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C:\Users\lubbe\Documents\Instrumenten\toolbox 2022\so\"/>
    </mc:Choice>
  </mc:AlternateContent>
  <xr:revisionPtr revIDLastSave="0" documentId="13_ncr:1_{519B00C7-0461-40BF-9DC5-A8E8F017E039}" xr6:coauthVersionLast="47" xr6:coauthVersionMax="47" xr10:uidLastSave="{00000000-0000-0000-0000-000000000000}"/>
  <bookViews>
    <workbookView xWindow="-120" yWindow="-120" windowWidth="19440" windowHeight="15000" tabRatio="858" xr2:uid="{00000000-000D-0000-FFFF-FFFF00000000}"/>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baten!$B$2:$M$178</definedName>
    <definedName name="_xlnm.Print_Area" localSheetId="10">begr!$B$2:$N$52</definedName>
    <definedName name="_xlnm.Print_Area" localSheetId="4">dir!$B$2:$U$114</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obp!$B$2:$U$190</definedName>
    <definedName name="_xlnm.Print_Area" localSheetId="5">op!$B$8:$U$340</definedName>
    <definedName name="_xlnm.Print_Area" localSheetId="17">saltab!$B$2:$W$144</definedName>
    <definedName name="_xlnm.Print_Area" localSheetId="15">som!$B$2:$K$70</definedName>
    <definedName name="_xlnm.Print_Area" localSheetId="16">tab!$B$1:$M$198</definedName>
    <definedName name="_xlnm.Print_Area" localSheetId="0">toelichting!$B$2:$B$95</definedName>
    <definedName name="baden2019">tab!$B$164:$I$168</definedName>
    <definedName name="baden2020">tab!$B$174:$I$178</definedName>
    <definedName name="baden2021">tab!$B$184:$I$190</definedName>
    <definedName name="MIvast2019">tab!$B$126:$F$130</definedName>
    <definedName name="MIvast2020">tab!$B$139:$F$143</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4" l="1"/>
  <c r="F97" i="4" s="1"/>
  <c r="K63" i="4"/>
  <c r="I21" i="1"/>
  <c r="H21" i="1"/>
  <c r="H40" i="5"/>
  <c r="K39" i="5"/>
  <c r="L39" i="5"/>
  <c r="J39" i="5"/>
  <c r="I39" i="5"/>
  <c r="C102" i="4" l="1"/>
  <c r="F12" i="4"/>
  <c r="C54" i="4"/>
  <c r="C53" i="4"/>
  <c r="D54" i="4"/>
  <c r="E11" i="4"/>
  <c r="E12" i="4" s="1"/>
  <c r="K52" i="17"/>
  <c r="F8" i="17"/>
  <c r="G8" i="17" s="1"/>
  <c r="H8" i="17" s="1"/>
  <c r="I8" i="17" s="1"/>
  <c r="J8" i="17" s="1"/>
  <c r="K8" i="17" s="1"/>
  <c r="F8" i="14"/>
  <c r="H13" i="12" l="1"/>
  <c r="I13" i="12" s="1"/>
  <c r="J13" i="12" s="1"/>
  <c r="K13" i="12" s="1"/>
  <c r="L13" i="12" s="1"/>
  <c r="M13" i="12" s="1"/>
  <c r="N13" i="12" s="1"/>
  <c r="O13" i="12" s="1"/>
  <c r="S8" i="13"/>
  <c r="T8" i="13"/>
  <c r="U8" i="13"/>
  <c r="V8" i="13"/>
  <c r="R8" i="13"/>
  <c r="E98" i="4" l="1"/>
  <c r="E97" i="4"/>
  <c r="E96" i="4"/>
  <c r="E95" i="4"/>
  <c r="E94" i="4"/>
  <c r="C98" i="4"/>
  <c r="C97" i="4"/>
  <c r="C96" i="4"/>
  <c r="C95" i="4"/>
  <c r="C94" i="4"/>
  <c r="D94" i="4"/>
  <c r="D98" i="4"/>
  <c r="D97" i="4"/>
  <c r="D96" i="4"/>
  <c r="D95" i="4"/>
  <c r="H127" i="5"/>
  <c r="I127" i="5"/>
  <c r="J127" i="5"/>
  <c r="K127" i="5"/>
  <c r="L127" i="5"/>
  <c r="G127" i="5"/>
  <c r="K61" i="4"/>
  <c r="F71" i="4" s="1"/>
  <c r="K62" i="4"/>
  <c r="F72" i="4" s="1"/>
  <c r="K86" i="4" l="1"/>
  <c r="F96" i="4" s="1"/>
  <c r="K85" i="4"/>
  <c r="F95" i="4" s="1"/>
  <c r="M87" i="4"/>
  <c r="H97" i="4" s="1"/>
  <c r="M86" i="4"/>
  <c r="H96" i="4" s="1"/>
  <c r="M85" i="4"/>
  <c r="H95" i="4" s="1"/>
  <c r="L87" i="4"/>
  <c r="G97" i="4" s="1"/>
  <c r="L86" i="4"/>
  <c r="G96" i="4" s="1"/>
  <c r="L85" i="4"/>
  <c r="G95" i="4" s="1"/>
  <c r="D88" i="4"/>
  <c r="D87" i="4"/>
  <c r="D86" i="4"/>
  <c r="D85" i="4"/>
  <c r="D84" i="4"/>
  <c r="F8" i="4"/>
  <c r="F11" i="4"/>
  <c r="C101" i="4" s="1"/>
  <c r="F47" i="4" l="1"/>
  <c r="K37" i="4" l="1"/>
  <c r="K38" i="4"/>
  <c r="K39" i="4"/>
  <c r="L37" i="4"/>
  <c r="L38" i="4"/>
  <c r="L39" i="4"/>
  <c r="M37" i="4"/>
  <c r="M38" i="4"/>
  <c r="M39" i="4"/>
  <c r="D41" i="4"/>
  <c r="D37" i="4" l="1"/>
  <c r="D38" i="4"/>
  <c r="D39" i="4"/>
  <c r="D40" i="4"/>
  <c r="D36" i="4"/>
  <c r="J117" i="5" l="1"/>
  <c r="K117" i="5"/>
  <c r="L117" i="5"/>
  <c r="I117" i="5"/>
  <c r="E50" i="4"/>
  <c r="D50" i="4"/>
  <c r="C50" i="4"/>
  <c r="G21" i="5" s="1"/>
  <c r="E49" i="4"/>
  <c r="D49" i="4"/>
  <c r="C49" i="4"/>
  <c r="E48" i="4"/>
  <c r="D48" i="4"/>
  <c r="C48" i="4"/>
  <c r="E47" i="4"/>
  <c r="D47" i="4"/>
  <c r="C47" i="4"/>
  <c r="E46" i="4"/>
  <c r="D46" i="4"/>
  <c r="C46" i="4"/>
  <c r="H49" i="4"/>
  <c r="H48" i="4"/>
  <c r="H47" i="4"/>
  <c r="G49" i="4"/>
  <c r="G48" i="4"/>
  <c r="G47" i="4"/>
  <c r="F49" i="4"/>
  <c r="F48" i="4"/>
  <c r="E74" i="4"/>
  <c r="D64" i="4"/>
  <c r="D63" i="4"/>
  <c r="D62" i="4"/>
  <c r="D61" i="4"/>
  <c r="D60" i="4"/>
  <c r="D74" i="4"/>
  <c r="C74" i="4"/>
  <c r="E73" i="4"/>
  <c r="D73" i="4"/>
  <c r="C73" i="4"/>
  <c r="E72" i="4"/>
  <c r="D72" i="4"/>
  <c r="C72" i="4"/>
  <c r="E71" i="4"/>
  <c r="D71" i="4"/>
  <c r="C71" i="4"/>
  <c r="E70" i="4"/>
  <c r="D70" i="4"/>
  <c r="C70" i="4"/>
  <c r="M63" i="4"/>
  <c r="H73" i="4" s="1"/>
  <c r="M62" i="4"/>
  <c r="H72" i="4" s="1"/>
  <c r="M61" i="4"/>
  <c r="H71" i="4" s="1"/>
  <c r="F73" i="4"/>
  <c r="L63" i="4"/>
  <c r="G73" i="4" s="1"/>
  <c r="L62" i="4"/>
  <c r="G72" i="4" s="1"/>
  <c r="L61" i="4"/>
  <c r="G71" i="4" s="1"/>
  <c r="D101" i="4"/>
  <c r="E8" i="4" l="1"/>
  <c r="C77" i="4"/>
  <c r="D102" i="4" s="1"/>
  <c r="E101" i="4" l="1"/>
  <c r="F102" i="4"/>
  <c r="N16" i="9"/>
  <c r="F101" i="4" l="1"/>
  <c r="E102" i="4"/>
  <c r="E318" i="11" l="1"/>
  <c r="E317" i="11"/>
  <c r="E256" i="11"/>
  <c r="E255" i="11"/>
  <c r="E194" i="11"/>
  <c r="E193"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569" i="10"/>
  <c r="E568" i="10"/>
  <c r="E457" i="10"/>
  <c r="E456" i="10"/>
  <c r="E345" i="10"/>
  <c r="E344" i="10"/>
  <c r="E233" i="10"/>
  <c r="E232"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G65" i="20" l="1"/>
  <c r="H65" i="20"/>
  <c r="I65" i="20"/>
  <c r="F65" i="20"/>
  <c r="F50" i="20"/>
  <c r="G32" i="20"/>
  <c r="H32" i="20"/>
  <c r="I32" i="20"/>
  <c r="G33" i="20"/>
  <c r="H33" i="20"/>
  <c r="I33" i="20"/>
  <c r="F33" i="20"/>
  <c r="F32" i="20"/>
  <c r="G24" i="20"/>
  <c r="H24" i="20"/>
  <c r="I24" i="20"/>
  <c r="F24" i="20"/>
  <c r="G16" i="20"/>
  <c r="H16" i="20"/>
  <c r="I16" i="20"/>
  <c r="F16" i="20"/>
  <c r="F28" i="18"/>
  <c r="G7" i="18"/>
  <c r="H7" i="18"/>
  <c r="I7" i="18"/>
  <c r="J7" i="18"/>
  <c r="F7" i="18"/>
  <c r="K8" i="16"/>
  <c r="L8" i="16"/>
  <c r="G8" i="15"/>
  <c r="H8" i="15"/>
  <c r="I8" i="15"/>
  <c r="J8" i="15"/>
  <c r="K8" i="15"/>
  <c r="F8" i="15"/>
  <c r="J94" i="21"/>
  <c r="K94" i="21"/>
  <c r="L94" i="21"/>
  <c r="M94" i="21"/>
  <c r="N94" i="21"/>
  <c r="I94" i="21"/>
  <c r="J49" i="21"/>
  <c r="K49" i="21"/>
  <c r="L49" i="21"/>
  <c r="M49" i="21"/>
  <c r="N49" i="21"/>
  <c r="I49" i="21"/>
  <c r="J67" i="21"/>
  <c r="K67" i="21"/>
  <c r="L67" i="21"/>
  <c r="M67" i="21"/>
  <c r="N67" i="21"/>
  <c r="E171" i="9"/>
  <c r="E170" i="9"/>
  <c r="E144" i="9"/>
  <c r="E143" i="9"/>
  <c r="E117" i="9"/>
  <c r="E116" i="9"/>
  <c r="E90" i="9"/>
  <c r="E89" i="9"/>
  <c r="E63" i="9"/>
  <c r="E62" i="9"/>
  <c r="E9" i="9"/>
  <c r="E35" i="9"/>
  <c r="E8" i="9"/>
  <c r="N8" i="21"/>
  <c r="N165" i="21" s="1"/>
  <c r="K8" i="21"/>
  <c r="J8" i="21"/>
  <c r="J165" i="21" s="1"/>
  <c r="I8" i="21"/>
  <c r="I165" i="21" s="1"/>
  <c r="H117" i="5"/>
  <c r="G117" i="5"/>
  <c r="G111" i="5"/>
  <c r="G112" i="5"/>
  <c r="G113" i="5"/>
  <c r="H97" i="5"/>
  <c r="I97" i="5"/>
  <c r="J97" i="5"/>
  <c r="K97" i="5"/>
  <c r="L97" i="5"/>
  <c r="H98" i="5"/>
  <c r="I98" i="5"/>
  <c r="J98" i="5"/>
  <c r="K98" i="5"/>
  <c r="L98" i="5"/>
  <c r="G98" i="5"/>
  <c r="G97" i="5"/>
  <c r="H18" i="1"/>
  <c r="I18" i="1"/>
  <c r="J18" i="1"/>
  <c r="K18" i="1"/>
  <c r="L18" i="1"/>
  <c r="H9" i="5"/>
  <c r="I9" i="5"/>
  <c r="J9" i="5"/>
  <c r="K9" i="5"/>
  <c r="L9" i="5"/>
  <c r="G9" i="5"/>
  <c r="H10" i="5" l="1"/>
  <c r="H99" i="5" s="1"/>
  <c r="I10" i="5"/>
  <c r="I99" i="5" s="1"/>
  <c r="J10" i="5"/>
  <c r="J99" i="5" s="1"/>
  <c r="K10" i="5"/>
  <c r="K99" i="5" s="1"/>
  <c r="L10" i="5"/>
  <c r="L99" i="5" s="1"/>
  <c r="G18" i="1"/>
  <c r="L8" i="2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F78" i="18" s="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I8" i="16"/>
  <c r="J8" i="16"/>
  <c r="Y323" i="11"/>
  <c r="Y261" i="11"/>
  <c r="Y199" i="11"/>
  <c r="Y137" i="11"/>
  <c r="Y75" i="11"/>
  <c r="Y13" i="11"/>
  <c r="Y574" i="10"/>
  <c r="Y462" i="10"/>
  <c r="Y350"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40" i="22"/>
  <c r="W139" i="22"/>
  <c r="W138" i="22"/>
  <c r="W137" i="22"/>
  <c r="W136" i="22"/>
  <c r="W135" i="22"/>
  <c r="W134" i="22"/>
  <c r="W133" i="22"/>
  <c r="W132" i="22"/>
  <c r="W131" i="22"/>
  <c r="W130" i="22"/>
  <c r="W129" i="22"/>
  <c r="W128" i="22"/>
  <c r="W127" i="22"/>
  <c r="W126" i="22"/>
  <c r="W125" i="22"/>
  <c r="C124" i="22"/>
  <c r="W124" i="22" s="1"/>
  <c r="C123" i="22"/>
  <c r="W123" i="22" s="1"/>
  <c r="W122" i="22"/>
  <c r="W121" i="22"/>
  <c r="W120" i="22"/>
  <c r="W119" i="22"/>
  <c r="W118" i="22"/>
  <c r="W117" i="22"/>
  <c r="W116" i="22"/>
  <c r="W115" i="22"/>
  <c r="W114" i="22"/>
  <c r="W113" i="22"/>
  <c r="W112" i="22"/>
  <c r="W111" i="22"/>
  <c r="W110" i="22"/>
  <c r="W109" i="22"/>
  <c r="W108" i="22"/>
  <c r="W107" i="22"/>
  <c r="W106" i="22"/>
  <c r="W105" i="22"/>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H45" i="1" l="1"/>
  <c r="F55" i="20" s="1"/>
  <c r="H44" i="1"/>
  <c r="F54" i="20" s="1"/>
  <c r="I45" i="1" l="1"/>
  <c r="I44" i="1"/>
  <c r="L14" i="15"/>
  <c r="L15" i="15"/>
  <c r="L17" i="15"/>
  <c r="L18" i="15"/>
  <c r="L36" i="15"/>
  <c r="F175" i="4"/>
  <c r="F185" i="4" s="1"/>
  <c r="G175" i="4"/>
  <c r="G185" i="4" s="1"/>
  <c r="C167" i="4"/>
  <c r="F178" i="4"/>
  <c r="F188" i="4" s="1"/>
  <c r="G178" i="4"/>
  <c r="G188" i="4" s="1"/>
  <c r="E179" i="4"/>
  <c r="F179" i="4"/>
  <c r="F189" i="4" s="1"/>
  <c r="E180" i="4"/>
  <c r="E190" i="4" s="1"/>
  <c r="F177" i="4"/>
  <c r="F187" i="4" s="1"/>
  <c r="G177" i="4"/>
  <c r="G187" i="4" s="1"/>
  <c r="C11" i="4"/>
  <c r="C13" i="4" s="1"/>
  <c r="J44" i="1" l="1"/>
  <c r="G54" i="20"/>
  <c r="J45" i="1"/>
  <c r="G55" i="20"/>
  <c r="E189" i="4"/>
  <c r="I185" i="4" s="1"/>
  <c r="H187" i="4"/>
  <c r="C187" i="4" s="1"/>
  <c r="H185" i="4"/>
  <c r="H188" i="4"/>
  <c r="C188" i="4" s="1"/>
  <c r="L19" i="15"/>
  <c r="J11" i="18" s="1"/>
  <c r="C8" i="4"/>
  <c r="H178" i="4"/>
  <c r="C178" i="4" s="1"/>
  <c r="I175" i="4"/>
  <c r="H177" i="4"/>
  <c r="C177" i="4" s="1"/>
  <c r="C168" i="4"/>
  <c r="H175" i="4"/>
  <c r="H145" i="4"/>
  <c r="H158" i="4" s="1"/>
  <c r="I145" i="4"/>
  <c r="I158" i="4" s="1"/>
  <c r="H146" i="4"/>
  <c r="H159" i="4" s="1"/>
  <c r="I146" i="4"/>
  <c r="I159" i="4" s="1"/>
  <c r="H147" i="4"/>
  <c r="H160" i="4" s="1"/>
  <c r="I147" i="4"/>
  <c r="I160" i="4" s="1"/>
  <c r="G146" i="4"/>
  <c r="G159" i="4" s="1"/>
  <c r="G147" i="4"/>
  <c r="G160" i="4" s="1"/>
  <c r="G145" i="4"/>
  <c r="G158" i="4" s="1"/>
  <c r="E140" i="4"/>
  <c r="E153" i="4" s="1"/>
  <c r="E141" i="4"/>
  <c r="E154" i="4" s="1"/>
  <c r="E142" i="4"/>
  <c r="E155" i="4" s="1"/>
  <c r="E143" i="4"/>
  <c r="E139" i="4"/>
  <c r="E152" i="4" s="1"/>
  <c r="D140" i="4"/>
  <c r="D153" i="4" s="1"/>
  <c r="D141" i="4"/>
  <c r="D154" i="4" s="1"/>
  <c r="F154" i="4" s="1"/>
  <c r="D142" i="4"/>
  <c r="D155" i="4" s="1"/>
  <c r="F155" i="4" s="1"/>
  <c r="D143" i="4"/>
  <c r="D156" i="4" s="1"/>
  <c r="D144" i="4"/>
  <c r="D157" i="4" s="1"/>
  <c r="D139" i="4"/>
  <c r="D152" i="4" s="1"/>
  <c r="C146" i="4"/>
  <c r="C159" i="4" s="1"/>
  <c r="C147" i="4"/>
  <c r="C160" i="4" s="1"/>
  <c r="C145" i="4"/>
  <c r="C158" i="4" s="1"/>
  <c r="C140" i="4"/>
  <c r="C153" i="4" s="1"/>
  <c r="C141" i="4"/>
  <c r="C154" i="4" s="1"/>
  <c r="C142" i="4"/>
  <c r="C155" i="4" s="1"/>
  <c r="C143" i="4"/>
  <c r="C139" i="4"/>
  <c r="C152" i="4" s="1"/>
  <c r="D197" i="4"/>
  <c r="D195" i="4"/>
  <c r="G22" i="17"/>
  <c r="G23" i="17"/>
  <c r="G24" i="17"/>
  <c r="F24" i="17"/>
  <c r="F23" i="17"/>
  <c r="F22" i="17"/>
  <c r="L23" i="15"/>
  <c r="M8" i="21"/>
  <c r="M165" i="21" s="1"/>
  <c r="F21" i="20"/>
  <c r="F20" i="20"/>
  <c r="F19" i="20"/>
  <c r="D11" i="4"/>
  <c r="G113" i="18"/>
  <c r="H113" i="18"/>
  <c r="I113" i="18"/>
  <c r="F113" i="18"/>
  <c r="G120" i="18"/>
  <c r="H120" i="18"/>
  <c r="I120" i="18"/>
  <c r="F120" i="18"/>
  <c r="F38" i="16"/>
  <c r="F42" i="16" s="1"/>
  <c r="F23" i="16"/>
  <c r="F46" i="16"/>
  <c r="F55" i="16"/>
  <c r="F14" i="18" s="1"/>
  <c r="G8" i="14"/>
  <c r="H8" i="14" s="1"/>
  <c r="I8" i="14" s="1"/>
  <c r="J8" i="14" s="1"/>
  <c r="K8" i="14" s="1"/>
  <c r="L8" i="14" s="1"/>
  <c r="M8" i="14" s="1"/>
  <c r="F23" i="12"/>
  <c r="G23" i="12" s="1"/>
  <c r="H23" i="12" s="1"/>
  <c r="I23" i="12" s="1"/>
  <c r="J23" i="12" s="1"/>
  <c r="K23" i="12" s="1"/>
  <c r="L23" i="12" s="1"/>
  <c r="M23" i="12" s="1"/>
  <c r="N23" i="12" s="1"/>
  <c r="O23" i="12" s="1"/>
  <c r="H30" i="1"/>
  <c r="H29" i="1"/>
  <c r="I29" i="1" s="1"/>
  <c r="J29" i="1" s="1"/>
  <c r="K29" i="1" s="1"/>
  <c r="L29" i="1" s="1"/>
  <c r="G10" i="5"/>
  <c r="G99" i="5" s="1"/>
  <c r="I184" i="5"/>
  <c r="J184" i="5"/>
  <c r="K184" i="5"/>
  <c r="L184" i="5"/>
  <c r="L8" i="15"/>
  <c r="L47" i="15"/>
  <c r="L49" i="15" s="1"/>
  <c r="L48" i="15"/>
  <c r="K36" i="15"/>
  <c r="L165" i="21"/>
  <c r="N88" i="21"/>
  <c r="N153" i="21" s="1"/>
  <c r="K23" i="15" s="1"/>
  <c r="N149" i="21"/>
  <c r="L46" i="5"/>
  <c r="L74" i="5"/>
  <c r="L87" i="5"/>
  <c r="L132" i="5"/>
  <c r="K48" i="15" s="1"/>
  <c r="L158" i="5"/>
  <c r="L206" i="5" s="1"/>
  <c r="L171" i="5"/>
  <c r="L207" i="5"/>
  <c r="L195" i="5"/>
  <c r="K17" i="15" s="1"/>
  <c r="L196" i="5"/>
  <c r="L197" i="5"/>
  <c r="L208" i="5"/>
  <c r="L209" i="5"/>
  <c r="L210" i="5"/>
  <c r="L225" i="5"/>
  <c r="L226" i="5"/>
  <c r="L227" i="5"/>
  <c r="L238" i="5"/>
  <c r="L239" i="5"/>
  <c r="L240" i="5"/>
  <c r="M57" i="9"/>
  <c r="M84" i="9" s="1"/>
  <c r="M111" i="9" s="1"/>
  <c r="M138" i="9" s="1"/>
  <c r="M165" i="9" s="1"/>
  <c r="M192" i="9" s="1"/>
  <c r="L57" i="9"/>
  <c r="L84" i="9" s="1"/>
  <c r="L111" i="9" s="1"/>
  <c r="L138" i="9" s="1"/>
  <c r="L165" i="9" s="1"/>
  <c r="M56" i="9"/>
  <c r="M83" i="9" s="1"/>
  <c r="M110" i="9" s="1"/>
  <c r="M137" i="9" s="1"/>
  <c r="M164" i="9" s="1"/>
  <c r="M191" i="9" s="1"/>
  <c r="L56" i="9"/>
  <c r="M55" i="9"/>
  <c r="M82" i="9" s="1"/>
  <c r="M109" i="9" s="1"/>
  <c r="M136" i="9" s="1"/>
  <c r="M163" i="9" s="1"/>
  <c r="M190" i="9" s="1"/>
  <c r="L55" i="9"/>
  <c r="M54" i="9"/>
  <c r="M81" i="9" s="1"/>
  <c r="AD81" i="9" s="1"/>
  <c r="L54" i="9"/>
  <c r="L81" i="9" s="1"/>
  <c r="L108" i="9" s="1"/>
  <c r="L135" i="9" s="1"/>
  <c r="M53" i="9"/>
  <c r="M80" i="9" s="1"/>
  <c r="L53" i="9"/>
  <c r="L80" i="9" s="1"/>
  <c r="L107" i="9" s="1"/>
  <c r="L134" i="9" s="1"/>
  <c r="L161" i="9" s="1"/>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M76" i="9"/>
  <c r="L49" i="9"/>
  <c r="L76" i="9" s="1"/>
  <c r="L103" i="9" s="1"/>
  <c r="L130" i="9" s="1"/>
  <c r="L157" i="9" s="1"/>
  <c r="M48" i="9"/>
  <c r="L48" i="9"/>
  <c r="M47" i="9"/>
  <c r="M74" i="9" s="1"/>
  <c r="M101" i="9" s="1"/>
  <c r="M128" i="9" s="1"/>
  <c r="M155" i="9" s="1"/>
  <c r="M182" i="9" s="1"/>
  <c r="L47" i="9"/>
  <c r="M46" i="9"/>
  <c r="M73" i="9" s="1"/>
  <c r="L46" i="9"/>
  <c r="L73" i="9" s="1"/>
  <c r="L100" i="9" s="1"/>
  <c r="L127" i="9" s="1"/>
  <c r="L154" i="9" s="1"/>
  <c r="M45" i="9"/>
  <c r="M72" i="9" s="1"/>
  <c r="M99" i="9" s="1"/>
  <c r="L45" i="9"/>
  <c r="M44" i="9"/>
  <c r="M71" i="9" s="1"/>
  <c r="M98" i="9" s="1"/>
  <c r="M125" i="9" s="1"/>
  <c r="M152" i="9" s="1"/>
  <c r="M179" i="9" s="1"/>
  <c r="L44" i="9"/>
  <c r="M43" i="9"/>
  <c r="M70" i="9" s="1"/>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s="1"/>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s="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s="1"/>
  <c r="M342" i="11" s="1"/>
  <c r="M93" i="11"/>
  <c r="L93" i="11"/>
  <c r="L155" i="11" s="1"/>
  <c r="M92" i="11"/>
  <c r="M154" i="11" s="1"/>
  <c r="M216" i="11" s="1"/>
  <c r="M278" i="11" s="1"/>
  <c r="M340" i="11" s="1"/>
  <c r="L92" i="11"/>
  <c r="L154" i="11" s="1"/>
  <c r="L91" i="11"/>
  <c r="L153" i="11" s="1"/>
  <c r="M90" i="11"/>
  <c r="M152" i="11" s="1"/>
  <c r="M214" i="11" s="1"/>
  <c r="M276" i="11" s="1"/>
  <c r="M338" i="11" s="1"/>
  <c r="L89" i="11"/>
  <c r="L151" i="11" s="1"/>
  <c r="L88" i="11"/>
  <c r="L150" i="11" s="1"/>
  <c r="L87" i="11"/>
  <c r="L149" i="11" s="1"/>
  <c r="M86" i="11"/>
  <c r="M148" i="11" s="1"/>
  <c r="M210" i="11" s="1"/>
  <c r="M272" i="11" s="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F19" i="15"/>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N102" i="13"/>
  <c r="M102" i="13"/>
  <c r="L102" i="13"/>
  <c r="O102" i="13" s="1"/>
  <c r="N101" i="13"/>
  <c r="M101" i="13"/>
  <c r="L101" i="13"/>
  <c r="O101" i="13" s="1"/>
  <c r="N100" i="13"/>
  <c r="M100" i="13"/>
  <c r="L100" i="13"/>
  <c r="O100" i="13" s="1"/>
  <c r="N99" i="13"/>
  <c r="P99" i="13" s="1"/>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N90" i="13"/>
  <c r="M90" i="13"/>
  <c r="L90" i="13"/>
  <c r="O90" i="13" s="1"/>
  <c r="N89" i="13"/>
  <c r="M89" i="13"/>
  <c r="L89" i="13"/>
  <c r="O89" i="13" s="1"/>
  <c r="N88" i="13"/>
  <c r="M88" i="13"/>
  <c r="L88" i="13"/>
  <c r="O88" i="13"/>
  <c r="N87" i="13"/>
  <c r="M87" i="13"/>
  <c r="L87" i="13"/>
  <c r="O87" i="13"/>
  <c r="N86" i="13"/>
  <c r="M86" i="13"/>
  <c r="L86" i="13"/>
  <c r="O86" i="13" s="1"/>
  <c r="N85" i="13"/>
  <c r="M85" i="13"/>
  <c r="L85" i="13"/>
  <c r="O85" i="13" s="1"/>
  <c r="N84" i="13"/>
  <c r="M84" i="13"/>
  <c r="L84" i="13"/>
  <c r="O84" i="13" s="1"/>
  <c r="N83" i="13"/>
  <c r="M83" i="13"/>
  <c r="L83" i="13"/>
  <c r="O83" i="13"/>
  <c r="S30" i="9"/>
  <c r="S29" i="9"/>
  <c r="S28" i="9"/>
  <c r="S27" i="9"/>
  <c r="S26" i="9"/>
  <c r="S25" i="9"/>
  <c r="S24" i="9"/>
  <c r="S23" i="9"/>
  <c r="S22" i="9"/>
  <c r="S21" i="9"/>
  <c r="S20" i="9"/>
  <c r="S19" i="9"/>
  <c r="S18" i="9"/>
  <c r="S17" i="9"/>
  <c r="E43" i="9"/>
  <c r="H39" i="16"/>
  <c r="I39" i="16" s="1"/>
  <c r="J39" i="16" s="1"/>
  <c r="K39" i="16" s="1"/>
  <c r="L39" i="16" s="1"/>
  <c r="H14" i="16"/>
  <c r="I14" i="16" s="1"/>
  <c r="F36" i="15"/>
  <c r="F49" i="15"/>
  <c r="M149" i="21"/>
  <c r="G58" i="5"/>
  <c r="H218" i="5" s="1"/>
  <c r="J141" i="5"/>
  <c r="K141" i="5" s="1"/>
  <c r="L141" i="5" s="1"/>
  <c r="H142" i="5"/>
  <c r="J142" i="5" s="1"/>
  <c r="K142" i="5" s="1"/>
  <c r="L142" i="5" s="1"/>
  <c r="J140" i="5"/>
  <c r="J55" i="5"/>
  <c r="K55" i="5" s="1"/>
  <c r="L55" i="5" s="1"/>
  <c r="H56" i="5"/>
  <c r="J56" i="5"/>
  <c r="K56" i="5" s="1"/>
  <c r="L56" i="5" s="1"/>
  <c r="H47" i="1"/>
  <c r="I47" i="1"/>
  <c r="J47" i="1"/>
  <c r="K47" i="1" s="1"/>
  <c r="L47" i="1" s="1"/>
  <c r="G46" i="1"/>
  <c r="H40" i="16"/>
  <c r="I40" i="16" s="1"/>
  <c r="J40" i="16" s="1"/>
  <c r="K40" i="16" s="1"/>
  <c r="L40" i="16" s="1"/>
  <c r="D56" i="20"/>
  <c r="H46" i="1"/>
  <c r="F53" i="20" s="1"/>
  <c r="I46" i="1"/>
  <c r="G53" i="20" s="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P158" i="10" s="1"/>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H162" i="10"/>
  <c r="H199" i="10"/>
  <c r="X199" i="10" s="1"/>
  <c r="H216" i="10"/>
  <c r="X216" i="10" s="1"/>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N145" i="10" s="1"/>
  <c r="R33" i="10"/>
  <c r="J141" i="10"/>
  <c r="N141" i="10" s="1"/>
  <c r="R29" i="10"/>
  <c r="J137" i="10"/>
  <c r="J249" i="10" s="1"/>
  <c r="Q249" i="10" s="1"/>
  <c r="R25" i="10"/>
  <c r="J133" i="10"/>
  <c r="P133" i="10" s="1"/>
  <c r="R21" i="10"/>
  <c r="J206" i="10"/>
  <c r="J194" i="10"/>
  <c r="P194" i="10" s="1"/>
  <c r="J166" i="10"/>
  <c r="J278" i="10" s="1"/>
  <c r="Q278" i="10" s="1"/>
  <c r="R54" i="10"/>
  <c r="J138" i="10"/>
  <c r="N138" i="10" s="1"/>
  <c r="R26" i="10"/>
  <c r="J224" i="10"/>
  <c r="R112" i="10"/>
  <c r="J192" i="10"/>
  <c r="P192" i="10" s="1"/>
  <c r="R80" i="10"/>
  <c r="J184" i="10"/>
  <c r="N184" i="10" s="1"/>
  <c r="R72" i="10"/>
  <c r="R52" i="10"/>
  <c r="J160" i="10"/>
  <c r="N160" i="10" s="1"/>
  <c r="R48" i="10"/>
  <c r="R44" i="10"/>
  <c r="R40" i="10"/>
  <c r="J148" i="10"/>
  <c r="N148" i="10" s="1"/>
  <c r="R36" i="10"/>
  <c r="Q28" i="10"/>
  <c r="R28" i="10"/>
  <c r="R20" i="10"/>
  <c r="R90" i="10"/>
  <c r="J190" i="10"/>
  <c r="J170" i="10"/>
  <c r="J282" i="10" s="1"/>
  <c r="R58" i="10"/>
  <c r="J134" i="10"/>
  <c r="J246" i="10" s="1"/>
  <c r="P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82" i="10"/>
  <c r="Q90" i="10"/>
  <c r="J163" i="10"/>
  <c r="H179" i="10"/>
  <c r="X179" i="10" s="1"/>
  <c r="H177" i="10"/>
  <c r="H136" i="10"/>
  <c r="X136" i="10" s="1"/>
  <c r="H130" i="10"/>
  <c r="Q66" i="10"/>
  <c r="Q74" i="10"/>
  <c r="J135" i="10"/>
  <c r="P135" i="10" s="1"/>
  <c r="J151" i="10"/>
  <c r="P151" i="10" s="1"/>
  <c r="J167" i="10"/>
  <c r="J279" i="10" s="1"/>
  <c r="Q279" i="10" s="1"/>
  <c r="H214" i="10"/>
  <c r="X214" i="10" s="1"/>
  <c r="H206" i="10"/>
  <c r="X206" i="10" s="1"/>
  <c r="H202" i="10"/>
  <c r="H167" i="10"/>
  <c r="X167" i="10" s="1"/>
  <c r="H226" i="10"/>
  <c r="H222" i="10"/>
  <c r="X222" i="10" s="1"/>
  <c r="H175" i="10"/>
  <c r="H129" i="10"/>
  <c r="H210" i="10"/>
  <c r="H155" i="10"/>
  <c r="X155" i="10" s="1"/>
  <c r="AC111" i="10"/>
  <c r="H328" i="10"/>
  <c r="X328" i="10" s="1"/>
  <c r="J220" i="10"/>
  <c r="R220" i="10" s="1"/>
  <c r="J216" i="10"/>
  <c r="Q216" i="10" s="1"/>
  <c r="J212" i="10"/>
  <c r="J324" i="10" s="1"/>
  <c r="J208" i="10"/>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P152" i="10" s="1"/>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J45" i="9"/>
  <c r="J72" i="9" s="1"/>
  <c r="J99" i="9" s="1"/>
  <c r="J126" i="9" s="1"/>
  <c r="J46" i="9"/>
  <c r="P46" i="9" s="1"/>
  <c r="J47" i="9"/>
  <c r="J48" i="9"/>
  <c r="J49" i="9"/>
  <c r="R49" i="9" s="1"/>
  <c r="P49" i="9"/>
  <c r="J50" i="9"/>
  <c r="R50" i="9" s="1"/>
  <c r="J51" i="9"/>
  <c r="P51" i="9"/>
  <c r="J52" i="9"/>
  <c r="J79" i="9" s="1"/>
  <c r="J53" i="9"/>
  <c r="J54" i="9"/>
  <c r="Q54" i="9" s="1"/>
  <c r="J55" i="9"/>
  <c r="P55" i="9"/>
  <c r="J56" i="9"/>
  <c r="P56" i="9" s="1"/>
  <c r="J57" i="9"/>
  <c r="N57" i="9" s="1"/>
  <c r="AC57" i="9" s="1"/>
  <c r="P57" i="9"/>
  <c r="J44" i="9"/>
  <c r="O58" i="9"/>
  <c r="AD54" i="9"/>
  <c r="AD51" i="9"/>
  <c r="AD50" i="9"/>
  <c r="X17" i="9"/>
  <c r="AD17" i="9"/>
  <c r="AF17" i="9"/>
  <c r="AG17" i="9" s="1"/>
  <c r="X18" i="9"/>
  <c r="Z18" i="9" s="1"/>
  <c r="AD18" i="9"/>
  <c r="AF18" i="9"/>
  <c r="AG18" i="9"/>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s="1"/>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J264" i="10"/>
  <c r="R324" i="10"/>
  <c r="R212" i="10"/>
  <c r="N51" i="9"/>
  <c r="AC51" i="9" s="1"/>
  <c r="Q324" i="10"/>
  <c r="N324" i="10"/>
  <c r="R19" i="10"/>
  <c r="H241" i="10"/>
  <c r="X241" i="10" s="1"/>
  <c r="H440" i="10"/>
  <c r="P54" i="9"/>
  <c r="N49" i="9"/>
  <c r="AC49" i="9" s="1"/>
  <c r="Z30" i="9"/>
  <c r="Q51" i="9"/>
  <c r="Q50" i="9"/>
  <c r="R53" i="9"/>
  <c r="R57" i="9"/>
  <c r="Q48" i="9"/>
  <c r="Q56" i="9"/>
  <c r="Q53" i="9"/>
  <c r="Q57" i="9"/>
  <c r="R279" i="10"/>
  <c r="AD16" i="9"/>
  <c r="Z16" i="9"/>
  <c r="Y16" i="9"/>
  <c r="AA16" i="9" s="1"/>
  <c r="Y20" i="9"/>
  <c r="Y22" i="9"/>
  <c r="Y24" i="9"/>
  <c r="Y26" i="9"/>
  <c r="AA26" i="9" s="1"/>
  <c r="AB26" i="9" s="1"/>
  <c r="Y28" i="9"/>
  <c r="Y30" i="9"/>
  <c r="Y17" i="9"/>
  <c r="Y18" i="9"/>
  <c r="Y21" i="9"/>
  <c r="Y23" i="9"/>
  <c r="Y25" i="9"/>
  <c r="AA25" i="9" s="1"/>
  <c r="AB25" i="9" s="1"/>
  <c r="Y27" i="9"/>
  <c r="Y29" i="9"/>
  <c r="Y19" i="9"/>
  <c r="AC16" i="9"/>
  <c r="Z18" i="10"/>
  <c r="Z17" i="10"/>
  <c r="H238" i="5"/>
  <c r="H239" i="5"/>
  <c r="H240" i="5"/>
  <c r="G132" i="5"/>
  <c r="H235" i="5" s="1"/>
  <c r="G158" i="5"/>
  <c r="G171" i="5"/>
  <c r="Q17" i="10"/>
  <c r="R18" i="10"/>
  <c r="R17" i="10"/>
  <c r="J77" i="9"/>
  <c r="N77" i="9" s="1"/>
  <c r="AC77" i="9" s="1"/>
  <c r="J78" i="9"/>
  <c r="J80" i="9"/>
  <c r="Q80" i="9" s="1"/>
  <c r="J84" i="9"/>
  <c r="P84" i="9" s="1"/>
  <c r="J43" i="9"/>
  <c r="P217" i="10"/>
  <c r="N137" i="10"/>
  <c r="N212" i="10"/>
  <c r="P212" i="10"/>
  <c r="Q212" i="10"/>
  <c r="P208" i="10"/>
  <c r="Q196" i="10"/>
  <c r="N192" i="10"/>
  <c r="N172" i="10"/>
  <c r="N156" i="10"/>
  <c r="N152" i="10"/>
  <c r="P144" i="10"/>
  <c r="Q144" i="10"/>
  <c r="N132" i="10"/>
  <c r="N223" i="10"/>
  <c r="P223" i="10"/>
  <c r="N215" i="10"/>
  <c r="N207" i="10"/>
  <c r="Q195" i="10"/>
  <c r="N167" i="10"/>
  <c r="P167" i="10"/>
  <c r="Q167" i="10"/>
  <c r="P159" i="10"/>
  <c r="Q159" i="10"/>
  <c r="Q165" i="10"/>
  <c r="Q190" i="10"/>
  <c r="Q77" i="9"/>
  <c r="Q84" i="9"/>
  <c r="N84" i="9"/>
  <c r="AC84" i="9" s="1"/>
  <c r="H171" i="5"/>
  <c r="H237" i="5"/>
  <c r="H158" i="5"/>
  <c r="H236" i="5"/>
  <c r="G87" i="5"/>
  <c r="K87" i="5"/>
  <c r="L194" i="5" s="1"/>
  <c r="K18" i="15" s="1"/>
  <c r="J87" i="5"/>
  <c r="K194" i="5" s="1"/>
  <c r="J18" i="15" s="1"/>
  <c r="I26" i="20" s="1"/>
  <c r="I87" i="5"/>
  <c r="J224" i="5" s="1"/>
  <c r="H69" i="15" s="1"/>
  <c r="G74" i="5"/>
  <c r="H223" i="5" s="1"/>
  <c r="K74" i="5"/>
  <c r="L193" i="5" s="1"/>
  <c r="K15" i="15" s="1"/>
  <c r="J74" i="5"/>
  <c r="K223" i="5" s="1"/>
  <c r="I67" i="15" s="1"/>
  <c r="I74" i="5"/>
  <c r="J223" i="5" s="1"/>
  <c r="H67" i="15" s="1"/>
  <c r="H74" i="5"/>
  <c r="I223" i="5" s="1"/>
  <c r="G67" i="15" s="1"/>
  <c r="I46" i="5"/>
  <c r="L224" i="5"/>
  <c r="L223" i="5"/>
  <c r="G122" i="18"/>
  <c r="H122" i="18"/>
  <c r="I122" i="18"/>
  <c r="F122" i="18"/>
  <c r="H49" i="16"/>
  <c r="I49" i="16" s="1"/>
  <c r="J49" i="16" s="1"/>
  <c r="K49" i="16" s="1"/>
  <c r="L49" i="16" s="1"/>
  <c r="H50" i="16"/>
  <c r="I50" i="16" s="1"/>
  <c r="H51" i="16"/>
  <c r="H52" i="16"/>
  <c r="H53" i="16"/>
  <c r="H54" i="16"/>
  <c r="I54" i="16" s="1"/>
  <c r="J54" i="16" s="1"/>
  <c r="K54" i="16" s="1"/>
  <c r="L54" i="16" s="1"/>
  <c r="H48" i="16"/>
  <c r="H45" i="16"/>
  <c r="H44" i="16"/>
  <c r="H46" i="16" s="1"/>
  <c r="H41" i="16"/>
  <c r="I41" i="16" s="1"/>
  <c r="J41" i="16" s="1"/>
  <c r="K41" i="16" s="1"/>
  <c r="L41" i="16" s="1"/>
  <c r="H16" i="16"/>
  <c r="G38" i="17"/>
  <c r="G46" i="16"/>
  <c r="G55" i="16"/>
  <c r="C5" i="18"/>
  <c r="C5" i="17"/>
  <c r="C5" i="20"/>
  <c r="C5" i="19"/>
  <c r="G116" i="18"/>
  <c r="H116" i="18"/>
  <c r="I116" i="18"/>
  <c r="F116" i="18"/>
  <c r="J239" i="5"/>
  <c r="K239" i="5"/>
  <c r="J240" i="5"/>
  <c r="K240" i="5"/>
  <c r="I240" i="5"/>
  <c r="I239" i="5"/>
  <c r="I196" i="5"/>
  <c r="J196" i="5"/>
  <c r="K196" i="5"/>
  <c r="I197" i="5"/>
  <c r="J197" i="5"/>
  <c r="K197" i="5"/>
  <c r="H197" i="5"/>
  <c r="H196" i="5"/>
  <c r="I209" i="5"/>
  <c r="J209" i="5"/>
  <c r="K209" i="5"/>
  <c r="I210" i="5"/>
  <c r="J210" i="5"/>
  <c r="K210" i="5"/>
  <c r="H210" i="5"/>
  <c r="H209" i="5"/>
  <c r="I226" i="5"/>
  <c r="J226" i="5"/>
  <c r="K226" i="5"/>
  <c r="I227" i="5"/>
  <c r="J227" i="5"/>
  <c r="K227" i="5"/>
  <c r="H227" i="5"/>
  <c r="H226" i="5"/>
  <c r="I10" i="18"/>
  <c r="G10" i="18"/>
  <c r="H10" i="18"/>
  <c r="C5" i="16"/>
  <c r="G60" i="15"/>
  <c r="H60" i="15"/>
  <c r="I60" i="15"/>
  <c r="J60" i="15"/>
  <c r="J88" i="15"/>
  <c r="I88" i="15"/>
  <c r="H88" i="15"/>
  <c r="G88" i="15"/>
  <c r="K132" i="5"/>
  <c r="J48" i="15" s="1"/>
  <c r="J132" i="5"/>
  <c r="I48" i="15"/>
  <c r="I132" i="5"/>
  <c r="J235" i="5" s="1"/>
  <c r="H100" i="15" s="1"/>
  <c r="H48" i="15"/>
  <c r="H132" i="5"/>
  <c r="K46" i="5"/>
  <c r="L222" i="5" s="1"/>
  <c r="J46" i="5"/>
  <c r="K222" i="5" s="1"/>
  <c r="I99" i="15" s="1"/>
  <c r="H46" i="5"/>
  <c r="H47" i="15" s="1"/>
  <c r="G46" i="5"/>
  <c r="K47" i="15"/>
  <c r="L235" i="5"/>
  <c r="H41" i="18"/>
  <c r="H67" i="18"/>
  <c r="H21" i="18"/>
  <c r="G21" i="18"/>
  <c r="G67" i="18"/>
  <c r="G41" i="18"/>
  <c r="I67" i="18"/>
  <c r="I41" i="18"/>
  <c r="I21" i="18"/>
  <c r="J47" i="15"/>
  <c r="I47" i="15"/>
  <c r="G48" i="15"/>
  <c r="I192" i="5"/>
  <c r="G62" i="20" s="1"/>
  <c r="J205" i="5"/>
  <c r="H63" i="20" s="1"/>
  <c r="H205" i="5"/>
  <c r="F63" i="20" s="1"/>
  <c r="J222" i="5"/>
  <c r="H99" i="15" s="1"/>
  <c r="J100" i="15"/>
  <c r="J192" i="5"/>
  <c r="H62" i="20" s="1"/>
  <c r="K205" i="5"/>
  <c r="I63" i="20" s="1"/>
  <c r="J99" i="15"/>
  <c r="J101" i="15" s="1"/>
  <c r="G36" i="15"/>
  <c r="H36" i="15"/>
  <c r="I36" i="15"/>
  <c r="J36" i="15"/>
  <c r="J238" i="5"/>
  <c r="K238" i="5"/>
  <c r="I238" i="5"/>
  <c r="J69" i="15"/>
  <c r="I225" i="5"/>
  <c r="G70" i="15" s="1"/>
  <c r="J225" i="5"/>
  <c r="H70" i="15"/>
  <c r="K225" i="5"/>
  <c r="I70" i="15" s="1"/>
  <c r="J70" i="15"/>
  <c r="H225" i="5"/>
  <c r="H224" i="5"/>
  <c r="I208" i="5"/>
  <c r="J208" i="5"/>
  <c r="K208" i="5"/>
  <c r="I158" i="5"/>
  <c r="I206" i="5" s="1"/>
  <c r="J158" i="5"/>
  <c r="J206" i="5" s="1"/>
  <c r="K158" i="5"/>
  <c r="K206" i="5" s="1"/>
  <c r="L236" i="5"/>
  <c r="I171" i="5"/>
  <c r="J237" i="5" s="1"/>
  <c r="J171" i="5"/>
  <c r="J207" i="5" s="1"/>
  <c r="K171" i="5"/>
  <c r="L237" i="5" s="1"/>
  <c r="H208" i="5"/>
  <c r="H207" i="5"/>
  <c r="I195" i="5"/>
  <c r="H17" i="15" s="1"/>
  <c r="G25" i="20" s="1"/>
  <c r="J195" i="5"/>
  <c r="I17" i="15" s="1"/>
  <c r="H25" i="20" s="1"/>
  <c r="K195" i="5"/>
  <c r="J17" i="15" s="1"/>
  <c r="I25" i="20" s="1"/>
  <c r="H195" i="5"/>
  <c r="G17" i="15"/>
  <c r="F25" i="20" s="1"/>
  <c r="G50" i="20"/>
  <c r="I207" i="5"/>
  <c r="J67" i="15"/>
  <c r="K236" i="5"/>
  <c r="J88" i="21"/>
  <c r="J153" i="21" s="1"/>
  <c r="M88" i="21"/>
  <c r="L88" i="21"/>
  <c r="L153" i="21" s="1"/>
  <c r="I23" i="15" s="1"/>
  <c r="I30" i="20"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30" i="20"/>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L24" i="21"/>
  <c r="M24" i="21" s="1"/>
  <c r="N24" i="21" s="1"/>
  <c r="K23" i="21"/>
  <c r="L23" i="21" s="1"/>
  <c r="M23" i="21" s="1"/>
  <c r="N23" i="21" s="1"/>
  <c r="J176" i="21"/>
  <c r="I53" i="16"/>
  <c r="J53" i="16" s="1"/>
  <c r="K53" i="16" s="1"/>
  <c r="L53" i="16" s="1"/>
  <c r="I52" i="16"/>
  <c r="J52" i="16"/>
  <c r="K52" i="16" s="1"/>
  <c r="L52" i="16" s="1"/>
  <c r="I51" i="16"/>
  <c r="J51" i="16" s="1"/>
  <c r="K51" i="16" s="1"/>
  <c r="L51" i="16" s="1"/>
  <c r="I45" i="16"/>
  <c r="J45" i="16" s="1"/>
  <c r="I35" i="16"/>
  <c r="J35" i="16" s="1"/>
  <c r="K35" i="16" s="1"/>
  <c r="L35" i="16" s="1"/>
  <c r="I34" i="16"/>
  <c r="J34" i="16" s="1"/>
  <c r="K34" i="16" s="1"/>
  <c r="L34" i="16" s="1"/>
  <c r="I33" i="16"/>
  <c r="J33" i="16" s="1"/>
  <c r="K33" i="16" s="1"/>
  <c r="L33" i="16" s="1"/>
  <c r="C5" i="15"/>
  <c r="C57" i="15" s="1"/>
  <c r="M153" i="21"/>
  <c r="J23" i="15" s="1"/>
  <c r="N169" i="21"/>
  <c r="J75" i="15"/>
  <c r="I21" i="16"/>
  <c r="I16" i="16"/>
  <c r="J16" i="16" s="1"/>
  <c r="I20" i="16"/>
  <c r="H23" i="17" s="1"/>
  <c r="J99" i="21"/>
  <c r="K29" i="21"/>
  <c r="L29" i="21" s="1"/>
  <c r="M29" i="21" s="1"/>
  <c r="N29" i="21" s="1"/>
  <c r="I19" i="16"/>
  <c r="H22" i="17" s="1"/>
  <c r="I48" i="16"/>
  <c r="J48" i="16" s="1"/>
  <c r="J20" i="16"/>
  <c r="K20" i="16" s="1"/>
  <c r="J21" i="16"/>
  <c r="J19" i="16"/>
  <c r="K19" i="16"/>
  <c r="L19" i="16" s="1"/>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s="1"/>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c r="D341" i="11" s="1"/>
  <c r="G92" i="11"/>
  <c r="G154" i="11" s="1"/>
  <c r="G216" i="11" s="1"/>
  <c r="G278" i="11" s="1"/>
  <c r="G340" i="11" s="1"/>
  <c r="AF30" i="11"/>
  <c r="AG30" i="11"/>
  <c r="D92" i="11"/>
  <c r="D154" i="11" s="1"/>
  <c r="D216" i="11" s="1"/>
  <c r="D278" i="11" s="1"/>
  <c r="D340" i="11" s="1"/>
  <c r="G91" i="11"/>
  <c r="G153" i="11"/>
  <c r="G215" i="11" s="1"/>
  <c r="G277" i="11" s="1"/>
  <c r="G339" i="11" s="1"/>
  <c r="D91" i="11"/>
  <c r="D153" i="11" s="1"/>
  <c r="D215" i="11" s="1"/>
  <c r="D277" i="11" s="1"/>
  <c r="D339" i="11" s="1"/>
  <c r="AE28" i="11"/>
  <c r="G90" i="11"/>
  <c r="G152" i="11" s="1"/>
  <c r="G214" i="11"/>
  <c r="G276" i="11" s="1"/>
  <c r="G338" i="11" s="1"/>
  <c r="D90" i="11"/>
  <c r="D152" i="11" s="1"/>
  <c r="D214" i="11" s="1"/>
  <c r="D276" i="11" s="1"/>
  <c r="D338" i="11" s="1"/>
  <c r="H89" i="11"/>
  <c r="X89" i="11" s="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F90" i="11"/>
  <c r="F152" i="11" s="1"/>
  <c r="AF28" i="11"/>
  <c r="AG28" i="11" s="1"/>
  <c r="H91" i="11"/>
  <c r="X91" i="11" s="1"/>
  <c r="H123" i="11"/>
  <c r="J85" i="11"/>
  <c r="J147" i="11" s="1"/>
  <c r="AC23" i="11"/>
  <c r="J87" i="11"/>
  <c r="N87" i="11" s="1"/>
  <c r="AC87" i="11" s="1"/>
  <c r="J89" i="11"/>
  <c r="P89" i="11" s="1"/>
  <c r="AC27" i="11"/>
  <c r="AC43" i="11"/>
  <c r="AC47" i="11"/>
  <c r="J111" i="11"/>
  <c r="Q111" i="11" s="1"/>
  <c r="J113" i="11"/>
  <c r="R113" i="11" s="1"/>
  <c r="AC51" i="11"/>
  <c r="J115" i="11"/>
  <c r="P115" i="11" s="1"/>
  <c r="J117" i="11"/>
  <c r="AC55" i="11"/>
  <c r="J119" i="11"/>
  <c r="J181" i="11" s="1"/>
  <c r="J243" i="11" s="1"/>
  <c r="J121" i="11"/>
  <c r="R121" i="11" s="1"/>
  <c r="AC59" i="11"/>
  <c r="J123" i="11"/>
  <c r="J125" i="11"/>
  <c r="H81" i="11"/>
  <c r="X81" i="11" s="1"/>
  <c r="F82" i="11"/>
  <c r="F144" i="11" s="1"/>
  <c r="AF144" i="11" s="1"/>
  <c r="AG144" i="11" s="1"/>
  <c r="AF20" i="11"/>
  <c r="AG20" i="11" s="1"/>
  <c r="H83" i="11"/>
  <c r="X83" i="11" s="1"/>
  <c r="F84" i="11"/>
  <c r="F146" i="11" s="1"/>
  <c r="AF22" i="11"/>
  <c r="AG22" i="11" s="1"/>
  <c r="H113" i="11"/>
  <c r="AC17" i="11"/>
  <c r="F79" i="11"/>
  <c r="F141"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s="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F96" i="11"/>
  <c r="F92" i="11"/>
  <c r="AF92" i="11" s="1"/>
  <c r="AG92" i="11" s="1"/>
  <c r="F93" i="11"/>
  <c r="AF93" i="11" s="1"/>
  <c r="AG93" i="11" s="1"/>
  <c r="F97" i="11"/>
  <c r="F101" i="11"/>
  <c r="AF101" i="11" s="1"/>
  <c r="AG101" i="11" s="1"/>
  <c r="F105" i="11"/>
  <c r="AF105" i="11" s="1"/>
  <c r="AG105" i="11" s="1"/>
  <c r="F107" i="11"/>
  <c r="F169" i="11" s="1"/>
  <c r="AF169" i="11" s="1"/>
  <c r="AG169"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s="1"/>
  <c r="F110" i="11"/>
  <c r="F106" i="11"/>
  <c r="F102" i="11"/>
  <c r="F164" i="11" s="1"/>
  <c r="F98" i="11"/>
  <c r="AF98" i="11" s="1"/>
  <c r="AG98" i="11" s="1"/>
  <c r="F94" i="11"/>
  <c r="F34" i="14"/>
  <c r="I54" i="21" s="1"/>
  <c r="P122" i="11"/>
  <c r="Q97" i="11"/>
  <c r="P125" i="11"/>
  <c r="R125" i="11"/>
  <c r="Q125" i="11"/>
  <c r="Q121" i="11"/>
  <c r="Q92" i="11"/>
  <c r="P119" i="11"/>
  <c r="R119" i="11"/>
  <c r="Q119" i="11"/>
  <c r="E169" i="11"/>
  <c r="N105" i="11"/>
  <c r="AC105" i="11" s="1"/>
  <c r="AC60" i="11"/>
  <c r="AC56" i="11"/>
  <c r="AC42" i="11"/>
  <c r="AC38" i="11"/>
  <c r="AF84" i="11"/>
  <c r="AG84" i="11" s="1"/>
  <c r="N125" i="11"/>
  <c r="AC125" i="11" s="1"/>
  <c r="N119" i="11"/>
  <c r="AG78" i="11"/>
  <c r="AC39" i="11"/>
  <c r="N181" i="11"/>
  <c r="N100" i="11"/>
  <c r="AC100" i="11" s="1"/>
  <c r="N122" i="11"/>
  <c r="AC122" i="11" s="1"/>
  <c r="AC44" i="11"/>
  <c r="AC40" i="11"/>
  <c r="AC26" i="11"/>
  <c r="AC35" i="11"/>
  <c r="AC15" i="11"/>
  <c r="N94" i="11"/>
  <c r="AC94" i="11" s="1"/>
  <c r="AC50" i="11"/>
  <c r="J246" i="11"/>
  <c r="Q246" i="11" s="1"/>
  <c r="N95" i="11"/>
  <c r="AC95" i="11" s="1"/>
  <c r="H145" i="11"/>
  <c r="X145" i="11" s="1"/>
  <c r="H170" i="11"/>
  <c r="AC62" i="11"/>
  <c r="AC58" i="11"/>
  <c r="AC52" i="11"/>
  <c r="AC34" i="11"/>
  <c r="AC30" i="11"/>
  <c r="AC61" i="11"/>
  <c r="AC53" i="11"/>
  <c r="AC49" i="11"/>
  <c r="J139" i="11"/>
  <c r="J201" i="11" s="1"/>
  <c r="N77" i="11"/>
  <c r="AC77" i="11" s="1"/>
  <c r="AF164" i="11"/>
  <c r="AG164" i="11" s="1"/>
  <c r="F171" i="11"/>
  <c r="AF171" i="11" s="1"/>
  <c r="AG171" i="11" s="1"/>
  <c r="F155" i="11"/>
  <c r="F217" i="11" s="1"/>
  <c r="F279" i="11" s="1"/>
  <c r="AF279" i="11" s="1"/>
  <c r="AG279" i="11" s="1"/>
  <c r="H16" i="12"/>
  <c r="H19" i="12" s="1"/>
  <c r="I16" i="12" s="1"/>
  <c r="F154" i="11"/>
  <c r="G34" i="14"/>
  <c r="J54" i="21" s="1"/>
  <c r="F23" i="14"/>
  <c r="G35" i="14"/>
  <c r="J55" i="21" s="1"/>
  <c r="F35" i="14"/>
  <c r="I55" i="21" s="1"/>
  <c r="P181" i="11"/>
  <c r="Q181" i="11"/>
  <c r="R181" i="11"/>
  <c r="G23" i="14"/>
  <c r="H35" i="14"/>
  <c r="K55" i="21" s="1"/>
  <c r="H34" i="14"/>
  <c r="K54" i="21" s="1"/>
  <c r="N188" i="11"/>
  <c r="AC188" i="11" s="1"/>
  <c r="AC181" i="11"/>
  <c r="AC119" i="11"/>
  <c r="F226" i="11"/>
  <c r="F288" i="11" s="1"/>
  <c r="AF288" i="11" s="1"/>
  <c r="AG288" i="11" s="1"/>
  <c r="F24" i="14"/>
  <c r="G24" i="14"/>
  <c r="H23" i="14"/>
  <c r="I34" i="14"/>
  <c r="L54" i="21" s="1"/>
  <c r="I35" i="14"/>
  <c r="L55" i="21" s="1"/>
  <c r="H24" i="14"/>
  <c r="J34" i="14"/>
  <c r="M54" i="21" s="1"/>
  <c r="K34" i="14"/>
  <c r="N54" i="21" s="1"/>
  <c r="I23" i="14"/>
  <c r="I24" i="14"/>
  <c r="J35" i="14"/>
  <c r="M55" i="21" s="1"/>
  <c r="K35" i="14"/>
  <c r="N55" i="21" s="1"/>
  <c r="K24" i="14"/>
  <c r="J23" i="14"/>
  <c r="L34" i="14"/>
  <c r="J24" i="14"/>
  <c r="L35" i="14"/>
  <c r="L24" i="14"/>
  <c r="M34" i="14"/>
  <c r="L23" i="14"/>
  <c r="M23" i="14"/>
  <c r="K23" i="14"/>
  <c r="J74" i="15"/>
  <c r="M35" i="14"/>
  <c r="M24" i="14"/>
  <c r="M40" i="14"/>
  <c r="F44" i="9"/>
  <c r="AF44" i="9" s="1"/>
  <c r="AG44" i="9" s="1"/>
  <c r="F45" i="9"/>
  <c r="AF45" i="9" s="1"/>
  <c r="F46" i="9"/>
  <c r="F47" i="9"/>
  <c r="F74" i="9" s="1"/>
  <c r="AF74" i="9" s="1"/>
  <c r="AG74" i="9" s="1"/>
  <c r="F48" i="9"/>
  <c r="F75" i="9" s="1"/>
  <c r="F49" i="9"/>
  <c r="F50" i="9"/>
  <c r="F77" i="9" s="1"/>
  <c r="F51" i="9"/>
  <c r="F52" i="9"/>
  <c r="F79" i="9" s="1"/>
  <c r="F53" i="9"/>
  <c r="AF53" i="9" s="1"/>
  <c r="AG53" i="9" s="1"/>
  <c r="F54" i="9"/>
  <c r="F55" i="9"/>
  <c r="AF55" i="9" s="1"/>
  <c r="AG55" i="9" s="1"/>
  <c r="F56" i="9"/>
  <c r="F83" i="9" s="1"/>
  <c r="F57" i="9"/>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F84" i="9"/>
  <c r="AF84" i="9" s="1"/>
  <c r="AG84" i="9" s="1"/>
  <c r="AF57" i="9"/>
  <c r="AG57" i="9" s="1"/>
  <c r="F80" i="9"/>
  <c r="F107" i="9" s="1"/>
  <c r="F76" i="9"/>
  <c r="AF76" i="9" s="1"/>
  <c r="AG76" i="9" s="1"/>
  <c r="AF49" i="9"/>
  <c r="AG49" i="9" s="1"/>
  <c r="F72" i="9"/>
  <c r="F99" i="9" s="1"/>
  <c r="AG45" i="9"/>
  <c r="AF56" i="9"/>
  <c r="AG56" i="9" s="1"/>
  <c r="F71" i="9"/>
  <c r="F98" i="9" s="1"/>
  <c r="F82" i="9"/>
  <c r="F109" i="9" s="1"/>
  <c r="AF109" i="9" s="1"/>
  <c r="AG109" i="9" s="1"/>
  <c r="AF47" i="9"/>
  <c r="AG47" i="9" s="1"/>
  <c r="G128" i="10"/>
  <c r="G240" i="10" s="1"/>
  <c r="G352" i="10" s="1"/>
  <c r="G464" i="10" s="1"/>
  <c r="AH16" i="10"/>
  <c r="AI16" i="10" s="1"/>
  <c r="AJ16" i="10" s="1"/>
  <c r="AK16" i="10" s="1"/>
  <c r="AL16" i="10" s="1"/>
  <c r="AN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E195" i="10"/>
  <c r="I195" i="10" s="1"/>
  <c r="F193" i="10"/>
  <c r="AH80" i="10"/>
  <c r="AI80" i="10" s="1"/>
  <c r="G192" i="10"/>
  <c r="E191" i="10"/>
  <c r="I191" i="10" s="1"/>
  <c r="F189" i="10"/>
  <c r="AH76" i="10"/>
  <c r="AI76" i="10" s="1"/>
  <c r="G188" i="10"/>
  <c r="AH188" i="10" s="1"/>
  <c r="AI188" i="10" s="1"/>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325" i="10" s="1"/>
  <c r="AI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AL279" i="10" s="1"/>
  <c r="AN279" i="10" s="1"/>
  <c r="E169" i="10"/>
  <c r="I169" i="10" s="1"/>
  <c r="G171" i="10"/>
  <c r="AJ171" i="10" s="1"/>
  <c r="AK171" i="10" s="1"/>
  <c r="E173" i="10"/>
  <c r="I173" i="10" s="1"/>
  <c r="G175" i="10"/>
  <c r="G287" i="10" s="1"/>
  <c r="E177" i="10"/>
  <c r="I177" i="10" s="1"/>
  <c r="G183" i="10"/>
  <c r="AH183" i="10" s="1"/>
  <c r="AI183" i="10" s="1"/>
  <c r="D44" i="9"/>
  <c r="D71" i="9" s="1"/>
  <c r="D98" i="9" s="1"/>
  <c r="D125" i="9" s="1"/>
  <c r="D152" i="9"/>
  <c r="D179" i="9" s="1"/>
  <c r="E44" i="9"/>
  <c r="I44" i="9" s="1"/>
  <c r="G44" i="9"/>
  <c r="G71" i="9" s="1"/>
  <c r="G98" i="9" s="1"/>
  <c r="G125" i="9" s="1"/>
  <c r="G152" i="9" s="1"/>
  <c r="G179" i="9" s="1"/>
  <c r="D45" i="9"/>
  <c r="D72" i="9" s="1"/>
  <c r="D99" i="9" s="1"/>
  <c r="D126" i="9" s="1"/>
  <c r="D153" i="9" s="1"/>
  <c r="D180" i="9" s="1"/>
  <c r="E45" i="9"/>
  <c r="S45" i="9" s="1"/>
  <c r="G45" i="9"/>
  <c r="G72" i="9" s="1"/>
  <c r="G99" i="9" s="1"/>
  <c r="G126" i="9" s="1"/>
  <c r="G153" i="9"/>
  <c r="G180" i="9" s="1"/>
  <c r="D46" i="9"/>
  <c r="D73" i="9" s="1"/>
  <c r="D100" i="9" s="1"/>
  <c r="D127" i="9" s="1"/>
  <c r="D154" i="9" s="1"/>
  <c r="D181" i="9" s="1"/>
  <c r="E46" i="9"/>
  <c r="G46" i="9"/>
  <c r="G73" i="9" s="1"/>
  <c r="G100" i="9" s="1"/>
  <c r="G127" i="9"/>
  <c r="G154" i="9" s="1"/>
  <c r="G181" i="9" s="1"/>
  <c r="D47" i="9"/>
  <c r="D74" i="9" s="1"/>
  <c r="D101" i="9" s="1"/>
  <c r="D128" i="9" s="1"/>
  <c r="D155" i="9" s="1"/>
  <c r="D182" i="9" s="1"/>
  <c r="E47" i="9"/>
  <c r="S47" i="9" s="1"/>
  <c r="G47" i="9"/>
  <c r="G74" i="9" s="1"/>
  <c r="G101" i="9" s="1"/>
  <c r="G128" i="9" s="1"/>
  <c r="G155" i="9" s="1"/>
  <c r="G182" i="9" s="1"/>
  <c r="D48" i="9"/>
  <c r="D75" i="9" s="1"/>
  <c r="D102" i="9" s="1"/>
  <c r="D129" i="9" s="1"/>
  <c r="D156" i="9" s="1"/>
  <c r="D183" i="9" s="1"/>
  <c r="E48" i="9"/>
  <c r="G48" i="9"/>
  <c r="G75" i="9" s="1"/>
  <c r="G102" i="9" s="1"/>
  <c r="G129" i="9" s="1"/>
  <c r="G156" i="9" s="1"/>
  <c r="G183" i="9" s="1"/>
  <c r="D49" i="9"/>
  <c r="D76" i="9" s="1"/>
  <c r="D103" i="9" s="1"/>
  <c r="D130" i="9" s="1"/>
  <c r="D157" i="9" s="1"/>
  <c r="D184" i="9" s="1"/>
  <c r="E49" i="9"/>
  <c r="S49" i="9" s="1"/>
  <c r="G49" i="9"/>
  <c r="G76" i="9"/>
  <c r="G103" i="9" s="1"/>
  <c r="G130" i="9" s="1"/>
  <c r="G157" i="9" s="1"/>
  <c r="G184" i="9" s="1"/>
  <c r="D50" i="9"/>
  <c r="D77" i="9" s="1"/>
  <c r="D104" i="9" s="1"/>
  <c r="D131" i="9" s="1"/>
  <c r="D158" i="9" s="1"/>
  <c r="D185" i="9" s="1"/>
  <c r="E50" i="9"/>
  <c r="G50" i="9"/>
  <c r="G77" i="9" s="1"/>
  <c r="G104" i="9" s="1"/>
  <c r="G131" i="9" s="1"/>
  <c r="G158" i="9" s="1"/>
  <c r="G185" i="9" s="1"/>
  <c r="D51" i="9"/>
  <c r="D78" i="9" s="1"/>
  <c r="D105" i="9" s="1"/>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s="1"/>
  <c r="D135" i="9" s="1"/>
  <c r="D162" i="9" s="1"/>
  <c r="D189" i="9" s="1"/>
  <c r="E54" i="9"/>
  <c r="S54" i="9" s="1"/>
  <c r="G54" i="9"/>
  <c r="G81" i="9" s="1"/>
  <c r="G108" i="9" s="1"/>
  <c r="G135" i="9" s="1"/>
  <c r="G162" i="9" s="1"/>
  <c r="G189" i="9" s="1"/>
  <c r="D55" i="9"/>
  <c r="D82" i="9" s="1"/>
  <c r="D109" i="9" s="1"/>
  <c r="D136" i="9" s="1"/>
  <c r="D163" i="9" s="1"/>
  <c r="D190" i="9" s="1"/>
  <c r="E55" i="9"/>
  <c r="S55" i="9" s="1"/>
  <c r="G55" i="9"/>
  <c r="G82" i="9"/>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s="1"/>
  <c r="D151" i="9" s="1"/>
  <c r="D178" i="9" s="1"/>
  <c r="C5" i="11"/>
  <c r="C5" i="10"/>
  <c r="I55" i="9"/>
  <c r="I56" i="9"/>
  <c r="S44" i="9"/>
  <c r="I45" i="9"/>
  <c r="I51" i="9"/>
  <c r="O216" i="10"/>
  <c r="O202" i="10"/>
  <c r="AF80" i="9"/>
  <c r="AG80" i="9" s="1"/>
  <c r="E70" i="9"/>
  <c r="E72" i="9"/>
  <c r="S72" i="9" s="1"/>
  <c r="F101" i="9"/>
  <c r="E76" i="9"/>
  <c r="S76" i="9" s="1"/>
  <c r="AF71" i="9"/>
  <c r="AG71" i="9" s="1"/>
  <c r="AF72" i="9"/>
  <c r="AG72" i="9" s="1"/>
  <c r="E83" i="9"/>
  <c r="E110" i="9" s="1"/>
  <c r="E71" i="9"/>
  <c r="S71" i="9" s="1"/>
  <c r="I50" i="9"/>
  <c r="F282" i="10"/>
  <c r="AF282" i="10" s="1"/>
  <c r="AG282" i="10" s="1"/>
  <c r="E248" i="10"/>
  <c r="I248" i="10" s="1"/>
  <c r="E318" i="10"/>
  <c r="I318" i="10" s="1"/>
  <c r="E292" i="10"/>
  <c r="I292" i="10" s="1"/>
  <c r="E284" i="10"/>
  <c r="F288" i="10"/>
  <c r="F268" i="10"/>
  <c r="F284" i="10"/>
  <c r="AF284" i="10" s="1"/>
  <c r="AG284" i="10" s="1"/>
  <c r="E330" i="10"/>
  <c r="I330" i="10" s="1"/>
  <c r="E279" i="10"/>
  <c r="I279" i="10" s="1"/>
  <c r="E256" i="10"/>
  <c r="I256" i="10" s="1"/>
  <c r="G467" i="10"/>
  <c r="AJ289" i="10"/>
  <c r="AK289" i="10" s="1"/>
  <c r="AJ204" i="10"/>
  <c r="AK204" i="10" s="1"/>
  <c r="AL204" i="10" s="1"/>
  <c r="AN204"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69" i="10"/>
  <c r="E105" i="9"/>
  <c r="S105" i="9" s="1"/>
  <c r="E103" i="9"/>
  <c r="Z54" i="9"/>
  <c r="F136" i="9"/>
  <c r="AA48" i="9"/>
  <c r="F128" i="9"/>
  <c r="F155" i="9" s="1"/>
  <c r="AF101" i="9"/>
  <c r="AG101" i="9" s="1"/>
  <c r="E97" i="9"/>
  <c r="AA46" i="9"/>
  <c r="G586" i="10"/>
  <c r="AJ586" i="10" s="1"/>
  <c r="AK586" i="10" s="1"/>
  <c r="F396" i="10"/>
  <c r="AF396" i="10" s="1"/>
  <c r="AG396" i="10" s="1"/>
  <c r="G591" i="10"/>
  <c r="AJ591" i="10" s="1"/>
  <c r="AK591" i="10" s="1"/>
  <c r="AH147" i="10"/>
  <c r="AI147" i="10" s="1"/>
  <c r="AJ147" i="10"/>
  <c r="AK147" i="10" s="1"/>
  <c r="AH159" i="10"/>
  <c r="AI159" i="10" s="1"/>
  <c r="AJ159" i="10"/>
  <c r="AK159" i="10" s="1"/>
  <c r="AL159" i="10" s="1"/>
  <c r="AN159" i="10" s="1"/>
  <c r="AH220" i="10"/>
  <c r="AI220" i="10" s="1"/>
  <c r="AH196" i="10"/>
  <c r="AI196" i="10" s="1"/>
  <c r="AH217" i="10"/>
  <c r="AI217" i="10" s="1"/>
  <c r="AH213" i="10"/>
  <c r="AI213" i="10" s="1"/>
  <c r="AH189" i="10"/>
  <c r="AI189" i="10" s="1"/>
  <c r="AH175" i="10"/>
  <c r="AI175" i="10" s="1"/>
  <c r="AH167" i="10"/>
  <c r="AI167" i="10" s="1"/>
  <c r="AH128" i="10"/>
  <c r="AI128" i="10" s="1"/>
  <c r="AJ128" i="10" s="1"/>
  <c r="AK128" i="10" s="1"/>
  <c r="AJ140" i="10"/>
  <c r="AK140" i="10" s="1"/>
  <c r="AJ383" i="10"/>
  <c r="AK383" i="10" s="1"/>
  <c r="AH362" i="10"/>
  <c r="AI362" i="10" s="1"/>
  <c r="AH352" i="10"/>
  <c r="AI352" i="10" s="1"/>
  <c r="AJ352" i="10" s="1"/>
  <c r="AK352" i="10" s="1"/>
  <c r="AJ375" i="10"/>
  <c r="AK375" i="10" s="1"/>
  <c r="AH367" i="10"/>
  <c r="AI367" i="10" s="1"/>
  <c r="AH308" i="10"/>
  <c r="AI308" i="10" s="1"/>
  <c r="AH307" i="10"/>
  <c r="AI307" i="10" s="1"/>
  <c r="AH287" i="10"/>
  <c r="AI287" i="10" s="1"/>
  <c r="AH279" i="10"/>
  <c r="AI279" i="10" s="1"/>
  <c r="AH271" i="10"/>
  <c r="AH265" i="10"/>
  <c r="AI265" i="10" s="1"/>
  <c r="AH259" i="10"/>
  <c r="AH257" i="10"/>
  <c r="AI257" i="10" s="1"/>
  <c r="AH240" i="10"/>
  <c r="AI240" i="10" s="1"/>
  <c r="AJ240" i="10" s="1"/>
  <c r="AK240" i="10" s="1"/>
  <c r="AJ250" i="10"/>
  <c r="AK250" i="10" s="1"/>
  <c r="M31" i="9"/>
  <c r="L31" i="9"/>
  <c r="O328" i="10"/>
  <c r="R55" i="9"/>
  <c r="E124" i="9"/>
  <c r="E151" i="9" s="1"/>
  <c r="E178" i="9" s="1"/>
  <c r="R56" i="9"/>
  <c r="AF128" i="9"/>
  <c r="AG128" i="9" s="1"/>
  <c r="R51" i="9"/>
  <c r="O129" i="10"/>
  <c r="C5" i="5"/>
  <c r="H184" i="5"/>
  <c r="C5" i="1"/>
  <c r="L214" i="5"/>
  <c r="G36" i="1"/>
  <c r="J35" i="1"/>
  <c r="G31" i="1"/>
  <c r="J30" i="1"/>
  <c r="K30" i="1" s="1"/>
  <c r="L30" i="1" s="1"/>
  <c r="G26" i="1"/>
  <c r="I25" i="1"/>
  <c r="J25" i="1" s="1"/>
  <c r="K25" i="1" s="1"/>
  <c r="L25" i="1" s="1"/>
  <c r="I214" i="5"/>
  <c r="K214" i="5"/>
  <c r="H214" i="5"/>
  <c r="J214" i="5"/>
  <c r="J34" i="1"/>
  <c r="K34" i="1" s="1"/>
  <c r="L34" i="1" s="1"/>
  <c r="H26" i="1"/>
  <c r="H36" i="1"/>
  <c r="G144" i="5"/>
  <c r="J66" i="15"/>
  <c r="J71" i="15" s="1"/>
  <c r="L20" i="16" l="1"/>
  <c r="K23" i="17" s="1"/>
  <c r="F125" i="9"/>
  <c r="F152" i="9" s="1"/>
  <c r="F179" i="9" s="1"/>
  <c r="AF179" i="9" s="1"/>
  <c r="AG179" i="9" s="1"/>
  <c r="AF98" i="9"/>
  <c r="AG98" i="9" s="1"/>
  <c r="F110" i="9"/>
  <c r="AF83" i="9"/>
  <c r="AG83" i="9" s="1"/>
  <c r="F102" i="9"/>
  <c r="AF75" i="9"/>
  <c r="AG75" i="9" s="1"/>
  <c r="I38" i="17"/>
  <c r="K16" i="16"/>
  <c r="J38" i="17" s="1"/>
  <c r="G44" i="17"/>
  <c r="G39" i="20"/>
  <c r="M107" i="9"/>
  <c r="AD80" i="9"/>
  <c r="AH254" i="10"/>
  <c r="AI254" i="10" s="1"/>
  <c r="AF48" i="9"/>
  <c r="AG48" i="9" s="1"/>
  <c r="H167" i="11"/>
  <c r="X167" i="11" s="1"/>
  <c r="J151" i="11"/>
  <c r="I24" i="17"/>
  <c r="I237" i="5"/>
  <c r="I222" i="5"/>
  <c r="G99" i="15" s="1"/>
  <c r="F44" i="17"/>
  <c r="F39" i="20"/>
  <c r="I236" i="5"/>
  <c r="P138" i="10"/>
  <c r="Q145" i="10"/>
  <c r="R46" i="9"/>
  <c r="F152" i="4"/>
  <c r="J23" i="17"/>
  <c r="F25" i="17"/>
  <c r="F26" i="17" s="1"/>
  <c r="F40" i="20"/>
  <c r="G14" i="18"/>
  <c r="G52" i="17" s="1"/>
  <c r="I23" i="17"/>
  <c r="F178" i="11"/>
  <c r="R102" i="11"/>
  <c r="AJ243" i="10"/>
  <c r="AK243" i="10" s="1"/>
  <c r="AH355" i="10"/>
  <c r="AI355" i="10" s="1"/>
  <c r="AH401" i="10"/>
  <c r="AI401" i="10" s="1"/>
  <c r="AH169" i="10"/>
  <c r="AI169" i="10" s="1"/>
  <c r="AJ475" i="10"/>
  <c r="AK475" i="10" s="1"/>
  <c r="O180" i="10"/>
  <c r="AJ196" i="10"/>
  <c r="AK196" i="10" s="1"/>
  <c r="AL196" i="10" s="1"/>
  <c r="AN196" i="10" s="1"/>
  <c r="F111" i="9"/>
  <c r="AF111" i="9" s="1"/>
  <c r="AG111" i="9" s="1"/>
  <c r="F350" i="11"/>
  <c r="AF350" i="11" s="1"/>
  <c r="AG350" i="11" s="1"/>
  <c r="F176" i="11"/>
  <c r="AF176" i="11" s="1"/>
  <c r="AG176" i="11" s="1"/>
  <c r="AF82" i="11"/>
  <c r="AG82" i="11" s="1"/>
  <c r="J142" i="11"/>
  <c r="J204" i="11" s="1"/>
  <c r="J266" i="11" s="1"/>
  <c r="J328" i="11" s="1"/>
  <c r="Q87" i="11"/>
  <c r="N15" i="13"/>
  <c r="H187" i="11"/>
  <c r="H38" i="17"/>
  <c r="H206" i="5"/>
  <c r="I235" i="5"/>
  <c r="G100" i="15" s="1"/>
  <c r="K49" i="15"/>
  <c r="Q137" i="10"/>
  <c r="P145" i="10"/>
  <c r="J76" i="9"/>
  <c r="AA18" i="9"/>
  <c r="N249" i="10"/>
  <c r="Q49" i="9"/>
  <c r="Q46" i="9"/>
  <c r="N46" i="9"/>
  <c r="AC46" i="9" s="1"/>
  <c r="R137" i="10"/>
  <c r="AD120" i="11"/>
  <c r="L205" i="5"/>
  <c r="H24" i="17"/>
  <c r="F153" i="4"/>
  <c r="K22" i="17"/>
  <c r="H144" i="5"/>
  <c r="H203" i="5" s="1"/>
  <c r="AJ265" i="10"/>
  <c r="AK265" i="10" s="1"/>
  <c r="AH363" i="10"/>
  <c r="AI363" i="10" s="1"/>
  <c r="AL140" i="10"/>
  <c r="AN140" i="10" s="1"/>
  <c r="F103" i="9"/>
  <c r="AF52" i="9"/>
  <c r="AG52" i="9" s="1"/>
  <c r="F160" i="11"/>
  <c r="AF160" i="11" s="1"/>
  <c r="AG160" i="11" s="1"/>
  <c r="H162" i="11"/>
  <c r="X162" i="11" s="1"/>
  <c r="N184" i="11"/>
  <c r="AC184" i="11" s="1"/>
  <c r="N114" i="11"/>
  <c r="AC114" i="11" s="1"/>
  <c r="N121" i="11"/>
  <c r="AC121" i="11" s="1"/>
  <c r="Q184" i="11"/>
  <c r="Q122" i="11"/>
  <c r="K21" i="16"/>
  <c r="I44" i="16"/>
  <c r="H78" i="18"/>
  <c r="I78" i="18"/>
  <c r="J78" i="18"/>
  <c r="G78" i="18"/>
  <c r="J236" i="5"/>
  <c r="I205" i="5"/>
  <c r="G63" i="20" s="1"/>
  <c r="H192" i="5"/>
  <c r="F62" i="20" s="1"/>
  <c r="K235" i="5"/>
  <c r="I100" i="15" s="1"/>
  <c r="I101" i="15" s="1"/>
  <c r="F52" i="17"/>
  <c r="N170" i="10"/>
  <c r="P187" i="10"/>
  <c r="P137" i="10"/>
  <c r="I71" i="9"/>
  <c r="S78" i="9"/>
  <c r="E82" i="9"/>
  <c r="I82" i="9" s="1"/>
  <c r="AF226" i="11"/>
  <c r="AG226" i="11" s="1"/>
  <c r="H165" i="11"/>
  <c r="X165" i="11" s="1"/>
  <c r="H232" i="11"/>
  <c r="X170" i="11"/>
  <c r="H166" i="11"/>
  <c r="AE166" i="11" s="1"/>
  <c r="X104" i="11"/>
  <c r="H157" i="11"/>
  <c r="X95" i="11"/>
  <c r="H185" i="11"/>
  <c r="X185" i="11" s="1"/>
  <c r="X123" i="11"/>
  <c r="AE87" i="11"/>
  <c r="X87" i="11"/>
  <c r="P99" i="9"/>
  <c r="J70" i="9"/>
  <c r="N43" i="9"/>
  <c r="AC43" i="9" s="1"/>
  <c r="H552" i="10"/>
  <c r="X440" i="10"/>
  <c r="AE175" i="10"/>
  <c r="X175" i="10"/>
  <c r="AE202" i="10"/>
  <c r="X202" i="10"/>
  <c r="AE130" i="10"/>
  <c r="X130" i="10"/>
  <c r="AA130" i="10" s="1"/>
  <c r="AE98" i="11"/>
  <c r="X98" i="11"/>
  <c r="H155" i="11"/>
  <c r="X155" i="11" s="1"/>
  <c r="X93" i="11"/>
  <c r="H176" i="11"/>
  <c r="X114" i="11"/>
  <c r="H180" i="11"/>
  <c r="X180" i="11" s="1"/>
  <c r="X118" i="11"/>
  <c r="Z118" i="11" s="1"/>
  <c r="E98" i="9"/>
  <c r="S51" i="9"/>
  <c r="I53" i="9"/>
  <c r="N139" i="11"/>
  <c r="AC139" i="11" s="1"/>
  <c r="P100" i="11"/>
  <c r="AF102" i="11"/>
  <c r="AG102" i="11" s="1"/>
  <c r="AF107" i="11"/>
  <c r="AG107" i="11" s="1"/>
  <c r="AE187" i="11"/>
  <c r="X187" i="11"/>
  <c r="AE116" i="11"/>
  <c r="X116" i="11"/>
  <c r="AE210" i="10"/>
  <c r="X210" i="10"/>
  <c r="AE226" i="10"/>
  <c r="X226" i="10"/>
  <c r="AE177" i="10"/>
  <c r="X177" i="10"/>
  <c r="O191" i="10"/>
  <c r="X191" i="10"/>
  <c r="O162" i="10"/>
  <c r="X162" i="10"/>
  <c r="AD76" i="9"/>
  <c r="H207" i="11"/>
  <c r="X207" i="11" s="1"/>
  <c r="AE177" i="11"/>
  <c r="X177" i="11"/>
  <c r="H173" i="11"/>
  <c r="AE173" i="11" s="1"/>
  <c r="X111" i="11"/>
  <c r="H169" i="11"/>
  <c r="X169" i="11" s="1"/>
  <c r="X107" i="11"/>
  <c r="AE112" i="11"/>
  <c r="X112" i="11"/>
  <c r="H175" i="11"/>
  <c r="X113" i="11"/>
  <c r="R80" i="9"/>
  <c r="AA23" i="9"/>
  <c r="AB23" i="9" s="1"/>
  <c r="AE129" i="10"/>
  <c r="X129" i="10"/>
  <c r="AE169" i="10"/>
  <c r="X169" i="10"/>
  <c r="AE147" i="10"/>
  <c r="X147" i="10"/>
  <c r="O211" i="10"/>
  <c r="X211" i="10"/>
  <c r="M58" i="9"/>
  <c r="AD49" i="9"/>
  <c r="G19" i="5"/>
  <c r="G18" i="5"/>
  <c r="G105" i="5"/>
  <c r="G39" i="1"/>
  <c r="G108" i="5" s="1"/>
  <c r="G20" i="5"/>
  <c r="I49" i="15"/>
  <c r="K45" i="1"/>
  <c r="H55" i="20"/>
  <c r="H49" i="15"/>
  <c r="J46" i="1"/>
  <c r="H53" i="20" s="1"/>
  <c r="K44" i="1"/>
  <c r="H54" i="20"/>
  <c r="K207" i="5"/>
  <c r="H193" i="5"/>
  <c r="G15" i="15" s="1"/>
  <c r="F72" i="18" s="1"/>
  <c r="J194" i="5"/>
  <c r="I18" i="15" s="1"/>
  <c r="H26" i="20" s="1"/>
  <c r="J193" i="5"/>
  <c r="I15" i="15" s="1"/>
  <c r="H23" i="20" s="1"/>
  <c r="H101" i="15"/>
  <c r="J49" i="15"/>
  <c r="K237" i="5"/>
  <c r="K224" i="5"/>
  <c r="I69" i="15" s="1"/>
  <c r="G101" i="15"/>
  <c r="G47" i="15"/>
  <c r="G49" i="15" s="1"/>
  <c r="L192" i="5"/>
  <c r="F32" i="18"/>
  <c r="K193" i="5"/>
  <c r="J15" i="15" s="1"/>
  <c r="I23" i="20" s="1"/>
  <c r="I193" i="5"/>
  <c r="H15" i="15" s="1"/>
  <c r="G23" i="20" s="1"/>
  <c r="H222" i="5"/>
  <c r="K192" i="5"/>
  <c r="I62" i="20" s="1"/>
  <c r="J41" i="1"/>
  <c r="F31" i="20"/>
  <c r="F79" i="18"/>
  <c r="I113" i="5"/>
  <c r="J33" i="1"/>
  <c r="H39" i="1"/>
  <c r="F52" i="20" s="1"/>
  <c r="F49" i="20"/>
  <c r="J28" i="1"/>
  <c r="J112" i="5" s="1"/>
  <c r="I112" i="5"/>
  <c r="J23" i="1"/>
  <c r="F47" i="20"/>
  <c r="H233" i="5"/>
  <c r="D8" i="4"/>
  <c r="C185" i="4"/>
  <c r="C156" i="4"/>
  <c r="E156" i="4"/>
  <c r="F156" i="4" s="1"/>
  <c r="H108" i="9"/>
  <c r="AE108" i="9" s="1"/>
  <c r="AE81" i="9"/>
  <c r="X81" i="9"/>
  <c r="Z81" i="9" s="1"/>
  <c r="X84" i="9"/>
  <c r="AA84" i="9" s="1"/>
  <c r="AE84" i="9"/>
  <c r="X73" i="9"/>
  <c r="Z73" i="9" s="1"/>
  <c r="AE73" i="9"/>
  <c r="J144" i="5"/>
  <c r="J203" i="5" s="1"/>
  <c r="I144" i="5"/>
  <c r="I203" i="5" s="1"/>
  <c r="K140" i="5"/>
  <c r="I58" i="5"/>
  <c r="J54" i="5"/>
  <c r="H58" i="5"/>
  <c r="G72" i="18"/>
  <c r="H72" i="18"/>
  <c r="F141" i="4"/>
  <c r="H112" i="5"/>
  <c r="AA241" i="10"/>
  <c r="F143" i="4"/>
  <c r="H111" i="5"/>
  <c r="H113" i="5"/>
  <c r="J14" i="16"/>
  <c r="H36" i="17"/>
  <c r="K48" i="16"/>
  <c r="K45" i="16"/>
  <c r="L45" i="16" s="1"/>
  <c r="J50" i="16"/>
  <c r="K50" i="16" s="1"/>
  <c r="L50" i="16" s="1"/>
  <c r="I55" i="16"/>
  <c r="L16" i="16"/>
  <c r="K38" i="17" s="1"/>
  <c r="H55" i="16"/>
  <c r="G36" i="17"/>
  <c r="I22" i="17"/>
  <c r="J22" i="17"/>
  <c r="F25" i="16"/>
  <c r="N14" i="13"/>
  <c r="R14" i="13" s="1"/>
  <c r="F45" i="14"/>
  <c r="G12" i="14" s="1"/>
  <c r="G45" i="14" s="1"/>
  <c r="H12" i="14" s="1"/>
  <c r="H45" i="14" s="1"/>
  <c r="J135" i="21"/>
  <c r="J154" i="21" s="1"/>
  <c r="G24" i="15" s="1"/>
  <c r="L169" i="21"/>
  <c r="I75" i="15" s="1"/>
  <c r="M169" i="21"/>
  <c r="G48" i="14"/>
  <c r="H15" i="14" s="1"/>
  <c r="H48" i="14" s="1"/>
  <c r="I15" i="14" s="1"/>
  <c r="I48" i="14" s="1"/>
  <c r="J15" i="14" s="1"/>
  <c r="J48" i="14" s="1"/>
  <c r="K15" i="14" s="1"/>
  <c r="K48" i="14" s="1"/>
  <c r="L15" i="14" s="1"/>
  <c r="L48" i="14" s="1"/>
  <c r="M15" i="14" s="1"/>
  <c r="M48" i="14" s="1"/>
  <c r="F139" i="4"/>
  <c r="F140" i="4"/>
  <c r="C175" i="4"/>
  <c r="G49" i="14"/>
  <c r="H16" i="14" s="1"/>
  <c r="H49" i="14" s="1"/>
  <c r="I16" i="14" s="1"/>
  <c r="I49" i="14" s="1"/>
  <c r="J16" i="14" s="1"/>
  <c r="J49" i="14" s="1"/>
  <c r="K16" i="14" s="1"/>
  <c r="K49" i="14" s="1"/>
  <c r="L16" i="14" s="1"/>
  <c r="L49" i="14" s="1"/>
  <c r="M16" i="14" s="1"/>
  <c r="M49" i="14" s="1"/>
  <c r="F142" i="4"/>
  <c r="F46" i="14"/>
  <c r="G13" i="14" s="1"/>
  <c r="G46" i="14" s="1"/>
  <c r="H13" i="14" s="1"/>
  <c r="H46" i="14" s="1"/>
  <c r="I13" i="14" s="1"/>
  <c r="I46" i="14" s="1"/>
  <c r="J13" i="14" s="1"/>
  <c r="J46" i="14" s="1"/>
  <c r="K13" i="14" s="1"/>
  <c r="K46" i="14" s="1"/>
  <c r="L13" i="14" s="1"/>
  <c r="L46" i="14" s="1"/>
  <c r="M13" i="14" s="1"/>
  <c r="M46" i="14" s="1"/>
  <c r="C165" i="4"/>
  <c r="K99" i="21"/>
  <c r="I160" i="21"/>
  <c r="K20" i="21"/>
  <c r="J169" i="21"/>
  <c r="G75" i="15" s="1"/>
  <c r="J170" i="21"/>
  <c r="G76" i="15" s="1"/>
  <c r="K153" i="21"/>
  <c r="H23" i="15" s="1"/>
  <c r="H30" i="20" s="1"/>
  <c r="K169" i="21"/>
  <c r="H75" i="15" s="1"/>
  <c r="J36" i="1"/>
  <c r="K35" i="1"/>
  <c r="L35" i="1" s="1"/>
  <c r="I36" i="1"/>
  <c r="G49" i="20" s="1"/>
  <c r="G114" i="5"/>
  <c r="G38" i="1"/>
  <c r="G107" i="5" s="1"/>
  <c r="H31" i="1"/>
  <c r="F48" i="20" s="1"/>
  <c r="I31" i="1"/>
  <c r="G48" i="20" s="1"/>
  <c r="I24" i="1"/>
  <c r="I111" i="5" s="1"/>
  <c r="K23" i="1"/>
  <c r="I19" i="12"/>
  <c r="J16" i="12" s="1"/>
  <c r="H38" i="16"/>
  <c r="H42" i="16" s="1"/>
  <c r="G38" i="20" s="1"/>
  <c r="G42" i="16"/>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P85" i="11"/>
  <c r="AD182" i="11"/>
  <c r="F167" i="11"/>
  <c r="AF167" i="11" s="1"/>
  <c r="AG167" i="11" s="1"/>
  <c r="N85" i="11"/>
  <c r="AC85" i="11" s="1"/>
  <c r="Q116" i="11"/>
  <c r="Q124" i="11"/>
  <c r="P102" i="11"/>
  <c r="N154" i="11"/>
  <c r="AC154" i="11" s="1"/>
  <c r="P154" i="11"/>
  <c r="AF90" i="11"/>
  <c r="AG90" i="11" s="1"/>
  <c r="N102" i="11"/>
  <c r="AC102" i="11" s="1"/>
  <c r="N113" i="11"/>
  <c r="AC113" i="11" s="1"/>
  <c r="Q113" i="11"/>
  <c r="S113" i="11" s="1"/>
  <c r="Q94" i="11"/>
  <c r="S94" i="11" s="1"/>
  <c r="J216" i="11"/>
  <c r="Q216" i="11" s="1"/>
  <c r="F180" i="11"/>
  <c r="AF180" i="11" s="1"/>
  <c r="AG180" i="11" s="1"/>
  <c r="N116" i="11"/>
  <c r="AC116" i="11" s="1"/>
  <c r="N80" i="11"/>
  <c r="AC80" i="11" s="1"/>
  <c r="R80" i="11"/>
  <c r="S80" i="11" s="1"/>
  <c r="R92" i="11"/>
  <c r="S92" i="11" s="1"/>
  <c r="P113" i="11"/>
  <c r="Q85" i="11"/>
  <c r="E161" i="11"/>
  <c r="E223" i="11" s="1"/>
  <c r="E154" i="11"/>
  <c r="E183" i="11"/>
  <c r="N186" i="11"/>
  <c r="AC186" i="11" s="1"/>
  <c r="J248" i="11"/>
  <c r="R186" i="11"/>
  <c r="P186" i="11"/>
  <c r="AF152" i="11"/>
  <c r="AG152" i="11" s="1"/>
  <c r="F214" i="11"/>
  <c r="AF155" i="11"/>
  <c r="AG155" i="11" s="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F178" i="11"/>
  <c r="AG178" i="11" s="1"/>
  <c r="F240" i="11"/>
  <c r="J263" i="11"/>
  <c r="N201" i="11"/>
  <c r="AC201" i="11" s="1"/>
  <c r="Q186" i="11"/>
  <c r="M170" i="11"/>
  <c r="AD108" i="11"/>
  <c r="R157" i="11"/>
  <c r="Q157" i="11"/>
  <c r="P178" i="11"/>
  <c r="R178" i="11"/>
  <c r="J240" i="11"/>
  <c r="N157" i="11"/>
  <c r="AC157" i="11" s="1"/>
  <c r="P157" i="11"/>
  <c r="P147" i="11"/>
  <c r="F183" i="11"/>
  <c r="Q178" i="11"/>
  <c r="R188" i="11"/>
  <c r="J250" i="11"/>
  <c r="P250" i="11" s="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AE169" i="11"/>
  <c r="H231" i="11"/>
  <c r="X231" i="11" s="1"/>
  <c r="AF110" i="11"/>
  <c r="AG110" i="11" s="1"/>
  <c r="F172" i="11"/>
  <c r="R106" i="11"/>
  <c r="J168" i="11"/>
  <c r="P106" i="11"/>
  <c r="Q106" i="11"/>
  <c r="AE180" i="11"/>
  <c r="H242" i="11"/>
  <c r="X242" i="11" s="1"/>
  <c r="Z84" i="11"/>
  <c r="AE84" i="11"/>
  <c r="H146" i="11"/>
  <c r="X146" i="11" s="1"/>
  <c r="M124" i="11"/>
  <c r="AD62" i="11"/>
  <c r="P266" i="11"/>
  <c r="P204" i="11"/>
  <c r="P164" i="11"/>
  <c r="Q164" i="11"/>
  <c r="N164" i="11"/>
  <c r="AC164" i="11" s="1"/>
  <c r="R164" i="11"/>
  <c r="AF94" i="11"/>
  <c r="AG94" i="11" s="1"/>
  <c r="F156" i="11"/>
  <c r="AF126" i="11"/>
  <c r="AG126" i="11" s="1"/>
  <c r="F188" i="11"/>
  <c r="AA97" i="11"/>
  <c r="AE97" i="11"/>
  <c r="H159" i="11"/>
  <c r="X159" i="11" s="1"/>
  <c r="F181" i="11"/>
  <c r="AF119" i="11"/>
  <c r="AG119" i="11" s="1"/>
  <c r="I143" i="11"/>
  <c r="E205" i="11"/>
  <c r="AF100" i="11"/>
  <c r="AG100" i="11" s="1"/>
  <c r="F162" i="11"/>
  <c r="M106" i="11"/>
  <c r="M168" i="11" s="1"/>
  <c r="M230" i="11" s="1"/>
  <c r="M292" i="11" s="1"/>
  <c r="M354" i="11" s="1"/>
  <c r="AD44" i="11"/>
  <c r="L111" i="11"/>
  <c r="AD49" i="11"/>
  <c r="F231" i="11"/>
  <c r="F186" i="11"/>
  <c r="I169" i="11"/>
  <c r="E231" i="11"/>
  <c r="AF85" i="11"/>
  <c r="AG85" i="11" s="1"/>
  <c r="F147" i="11"/>
  <c r="AF147" i="11" s="1"/>
  <c r="AG147" i="11" s="1"/>
  <c r="I161" i="11"/>
  <c r="R16" i="11"/>
  <c r="J78" i="11"/>
  <c r="Q16" i="11"/>
  <c r="Z89" i="11"/>
  <c r="AE89" i="11"/>
  <c r="H151" i="11"/>
  <c r="X151" i="11" s="1"/>
  <c r="AF37" i="11"/>
  <c r="AG37" i="11" s="1"/>
  <c r="F99" i="11"/>
  <c r="J99" i="11"/>
  <c r="R99" i="11" s="1"/>
  <c r="E112" i="11"/>
  <c r="AF140" i="11"/>
  <c r="AG140" i="11" s="1"/>
  <c r="F202" i="11"/>
  <c r="AF113" i="11"/>
  <c r="AG113" i="11" s="1"/>
  <c r="F175" i="11"/>
  <c r="AF175" i="11" s="1"/>
  <c r="AG175" i="11" s="1"/>
  <c r="J185" i="11"/>
  <c r="N123" i="11"/>
  <c r="AC123" i="11" s="1"/>
  <c r="P123" i="11"/>
  <c r="R123" i="11"/>
  <c r="Q123" i="11"/>
  <c r="M122" i="11"/>
  <c r="M184" i="11" s="1"/>
  <c r="M246" i="11" s="1"/>
  <c r="M308" i="11" s="1"/>
  <c r="M370" i="11" s="1"/>
  <c r="AD60" i="11"/>
  <c r="L126" i="11"/>
  <c r="AD64" i="11"/>
  <c r="R226" i="11"/>
  <c r="J288" i="11"/>
  <c r="P288" i="11" s="1"/>
  <c r="AE155" i="11"/>
  <c r="H217" i="11"/>
  <c r="X217" i="11" s="1"/>
  <c r="AE162" i="11"/>
  <c r="H224" i="11"/>
  <c r="X224" i="11" s="1"/>
  <c r="Z101" i="11"/>
  <c r="AE101" i="11"/>
  <c r="H163" i="11"/>
  <c r="X163" i="11" s="1"/>
  <c r="Z92" i="11"/>
  <c r="AE92" i="11"/>
  <c r="H154" i="11"/>
  <c r="X154" i="11" s="1"/>
  <c r="AF96" i="11"/>
  <c r="AG96" i="11" s="1"/>
  <c r="F158" i="11"/>
  <c r="Z109" i="11"/>
  <c r="AE109" i="11"/>
  <c r="H171" i="11"/>
  <c r="X171" i="11" s="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X227" i="11" s="1"/>
  <c r="Q151" i="11"/>
  <c r="P151" i="11"/>
  <c r="J213" i="11"/>
  <c r="N106" i="11"/>
  <c r="AC106" i="11" s="1"/>
  <c r="AE185" i="11"/>
  <c r="I109" i="11"/>
  <c r="E171" i="11"/>
  <c r="Z105" i="11"/>
  <c r="AE105" i="11"/>
  <c r="AE115" i="11"/>
  <c r="E80" i="11"/>
  <c r="I80" i="11" s="1"/>
  <c r="R24" i="11"/>
  <c r="J86" i="11"/>
  <c r="Q24" i="11"/>
  <c r="Z25" i="11"/>
  <c r="AE25" i="11"/>
  <c r="E150" i="11"/>
  <c r="I88" i="11"/>
  <c r="Z26" i="11"/>
  <c r="AE26" i="11"/>
  <c r="H88" i="11"/>
  <c r="AE58" i="11"/>
  <c r="H120" i="11"/>
  <c r="X120" i="11" s="1"/>
  <c r="M105" i="11"/>
  <c r="M167" i="11" s="1"/>
  <c r="M229" i="11" s="1"/>
  <c r="M291" i="11" s="1"/>
  <c r="M353" i="11" s="1"/>
  <c r="AD43" i="11"/>
  <c r="L107" i="11"/>
  <c r="AD45" i="11"/>
  <c r="M121" i="11"/>
  <c r="M183" i="11" s="1"/>
  <c r="M245" i="11" s="1"/>
  <c r="M307" i="11" s="1"/>
  <c r="M369" i="11" s="1"/>
  <c r="AD59" i="11"/>
  <c r="L123" i="11"/>
  <c r="AD61" i="11"/>
  <c r="L187" i="11"/>
  <c r="AD125" i="11"/>
  <c r="H219" i="11"/>
  <c r="X219" i="11" s="1"/>
  <c r="F170" i="11"/>
  <c r="AE176" i="11"/>
  <c r="N187" i="11"/>
  <c r="AC187" i="11" s="1"/>
  <c r="N117" i="11"/>
  <c r="AC117" i="11" s="1"/>
  <c r="F142" i="11"/>
  <c r="J167" i="11"/>
  <c r="Q105" i="11"/>
  <c r="S105" i="11" s="1"/>
  <c r="J175" i="11"/>
  <c r="Q90" i="11"/>
  <c r="AE104" i="11"/>
  <c r="AA99" i="11"/>
  <c r="AE99" i="11"/>
  <c r="H161" i="11"/>
  <c r="X161" i="11" s="1"/>
  <c r="AA95" i="11"/>
  <c r="AE95" i="11"/>
  <c r="AE175" i="11"/>
  <c r="AF89" i="11"/>
  <c r="AG89" i="11" s="1"/>
  <c r="F151" i="11"/>
  <c r="P97" i="11"/>
  <c r="J159" i="11"/>
  <c r="J221" i="11" s="1"/>
  <c r="Z119" i="11"/>
  <c r="AE119" i="11"/>
  <c r="H181" i="11"/>
  <c r="X181" i="11" s="1"/>
  <c r="E98" i="11"/>
  <c r="E103" i="11"/>
  <c r="Q126" i="11"/>
  <c r="N126" i="11"/>
  <c r="AC126" i="11" s="1"/>
  <c r="Z110" i="11"/>
  <c r="AE110" i="11"/>
  <c r="H172" i="11"/>
  <c r="X172" i="11" s="1"/>
  <c r="AE81" i="11"/>
  <c r="H143" i="11"/>
  <c r="X143" i="11" s="1"/>
  <c r="Z91" i="11"/>
  <c r="AE91" i="11"/>
  <c r="H153" i="11"/>
  <c r="X153" i="11" s="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AE232" i="11"/>
  <c r="AE100" i="11"/>
  <c r="AE96" i="11"/>
  <c r="H158" i="11"/>
  <c r="X158" i="11" s="1"/>
  <c r="R187" i="11"/>
  <c r="J249" i="11"/>
  <c r="P179" i="11"/>
  <c r="J180" i="11"/>
  <c r="R118" i="11"/>
  <c r="S118" i="11" s="1"/>
  <c r="N118" i="11"/>
  <c r="AC118" i="11" s="1"/>
  <c r="Z18" i="11"/>
  <c r="AE18" i="11"/>
  <c r="H80" i="11"/>
  <c r="E120" i="11"/>
  <c r="M96" i="11"/>
  <c r="AD34" i="11"/>
  <c r="L104" i="11"/>
  <c r="AD42" i="11"/>
  <c r="M118" i="11"/>
  <c r="M180" i="11" s="1"/>
  <c r="M242" i="11" s="1"/>
  <c r="M304" i="11" s="1"/>
  <c r="M366" i="11" s="1"/>
  <c r="AD56" i="11"/>
  <c r="F236" i="11"/>
  <c r="F233" i="11"/>
  <c r="Z207" i="11"/>
  <c r="AE207" i="11"/>
  <c r="P188" i="11"/>
  <c r="F179" i="11"/>
  <c r="Z145" i="11"/>
  <c r="AE145" i="11"/>
  <c r="R114" i="11"/>
  <c r="P105" i="11"/>
  <c r="R184" i="11"/>
  <c r="S184" i="11" s="1"/>
  <c r="Q117" i="11"/>
  <c r="P90" i="11"/>
  <c r="P126" i="11"/>
  <c r="AA103" i="11"/>
  <c r="AE103" i="11"/>
  <c r="AE93" i="11"/>
  <c r="P108" i="11"/>
  <c r="R108" i="11"/>
  <c r="Q101" i="11"/>
  <c r="J163" i="11"/>
  <c r="AF104" i="11"/>
  <c r="AG104" i="11" s="1"/>
  <c r="F166" i="11"/>
  <c r="AE111" i="11"/>
  <c r="I97" i="11"/>
  <c r="E159" i="11"/>
  <c r="AA114" i="11"/>
  <c r="AE114" i="11"/>
  <c r="E157" i="11"/>
  <c r="I95" i="11"/>
  <c r="AC24" i="11"/>
  <c r="Z124" i="11"/>
  <c r="AE124" i="11"/>
  <c r="H186" i="11"/>
  <c r="X186" i="11" s="1"/>
  <c r="Z86" i="11"/>
  <c r="AE86" i="11"/>
  <c r="J177" i="1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A123" i="11"/>
  <c r="AE123" i="11"/>
  <c r="I79" i="11"/>
  <c r="E141" i="11"/>
  <c r="I141" i="11" s="1"/>
  <c r="AE17" i="11"/>
  <c r="H79" i="11"/>
  <c r="X79" i="11" s="1"/>
  <c r="E84" i="11"/>
  <c r="I84" i="11" s="1"/>
  <c r="AE22" i="11"/>
  <c r="R32" i="11"/>
  <c r="S32" i="11" s="1"/>
  <c r="Z47" i="11"/>
  <c r="AE47" i="11"/>
  <c r="E115" i="11"/>
  <c r="AE53" i="11"/>
  <c r="R56" i="11"/>
  <c r="S56" i="11" s="1"/>
  <c r="E181" i="11"/>
  <c r="Z60" i="11"/>
  <c r="AE60" i="11"/>
  <c r="H122" i="11"/>
  <c r="X122" i="11" s="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AF333" i="10" s="1"/>
  <c r="AG333" i="10" s="1"/>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AI488" i="10" s="1"/>
  <c r="O147" i="10"/>
  <c r="AJ178" i="10"/>
  <c r="AK178" i="10" s="1"/>
  <c r="AJ207" i="10"/>
  <c r="AK207" i="10" s="1"/>
  <c r="AL207" i="10" s="1"/>
  <c r="AN207" i="10" s="1"/>
  <c r="AJ219" i="10"/>
  <c r="AK219" i="10" s="1"/>
  <c r="AL219" i="10" s="1"/>
  <c r="AN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I317" i="10" s="1"/>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206" i="10"/>
  <c r="R129" i="10"/>
  <c r="AC129" i="10"/>
  <c r="O440" i="10"/>
  <c r="AH243" i="10"/>
  <c r="AI243" i="10" s="1"/>
  <c r="AH250" i="10"/>
  <c r="AI250" i="10" s="1"/>
  <c r="AJ138" i="10"/>
  <c r="AK138" i="10" s="1"/>
  <c r="AL138" i="10" s="1"/>
  <c r="AN138" i="10" s="1"/>
  <c r="AH224" i="10"/>
  <c r="AI224" i="10" s="1"/>
  <c r="AJ177" i="10"/>
  <c r="AK177" i="10" s="1"/>
  <c r="F269" i="10"/>
  <c r="AF269" i="10" s="1"/>
  <c r="AG269" i="10" s="1"/>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C96" i="10"/>
  <c r="AC64" i="10"/>
  <c r="P287" i="10"/>
  <c r="J399" i="10"/>
  <c r="N399" i="10" s="1"/>
  <c r="AH653" i="10"/>
  <c r="AI653" i="10" s="1"/>
  <c r="AJ653" i="10"/>
  <c r="AK653" i="10" s="1"/>
  <c r="F381" i="10"/>
  <c r="AF381" i="10" s="1"/>
  <c r="AG381" i="10" s="1"/>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X353" i="10" s="1"/>
  <c r="AE241" i="10"/>
  <c r="AE167" i="10"/>
  <c r="H279" i="10"/>
  <c r="X279" i="10" s="1"/>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X286" i="10" s="1"/>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P180" i="10"/>
  <c r="J308" i="10"/>
  <c r="Q308" i="10" s="1"/>
  <c r="N196" i="10"/>
  <c r="R196" i="10"/>
  <c r="P196" i="10"/>
  <c r="J316" i="10"/>
  <c r="P316" i="10" s="1"/>
  <c r="N204" i="10"/>
  <c r="H135" i="10"/>
  <c r="X135" i="10" s="1"/>
  <c r="AC106" i="10"/>
  <c r="R135" i="10"/>
  <c r="N135" i="10"/>
  <c r="O179" i="10"/>
  <c r="AC179" i="10" s="1"/>
  <c r="AE179" i="10"/>
  <c r="Z164" i="10"/>
  <c r="AE164" i="10"/>
  <c r="H276" i="10"/>
  <c r="X276" i="10" s="1"/>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N178" i="10" s="1"/>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X274" i="10" s="1"/>
  <c r="AF111" i="10"/>
  <c r="AG111" i="10" s="1"/>
  <c r="F223" i="10"/>
  <c r="E220" i="10"/>
  <c r="AE103" i="10"/>
  <c r="H215" i="10"/>
  <c r="X215" i="10" s="1"/>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I464" i="10" s="1"/>
  <c r="AJ464" i="10" s="1"/>
  <c r="AK464" i="10" s="1"/>
  <c r="AF288" i="10"/>
  <c r="AG288" i="10" s="1"/>
  <c r="F400" i="10"/>
  <c r="I258" i="10"/>
  <c r="E370" i="10"/>
  <c r="G603" i="10"/>
  <c r="E170" i="10"/>
  <c r="F184" i="10"/>
  <c r="F296" i="10" s="1"/>
  <c r="N206" i="10"/>
  <c r="AC206" i="10" s="1"/>
  <c r="H664" i="10"/>
  <c r="X664" i="10" s="1"/>
  <c r="R206" i="10"/>
  <c r="S22" i="10"/>
  <c r="H218" i="10"/>
  <c r="AC74" i="10"/>
  <c r="H303" i="10"/>
  <c r="X303" i="10" s="1"/>
  <c r="AE191" i="10"/>
  <c r="R170" i="10"/>
  <c r="Q170" i="10"/>
  <c r="R149" i="10"/>
  <c r="Q149" i="10"/>
  <c r="N162" i="10"/>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436" i="10"/>
  <c r="L548" i="10" s="1"/>
  <c r="O552" i="10"/>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AF188" i="10" s="1"/>
  <c r="AG188" i="10" s="1"/>
  <c r="E217" i="10"/>
  <c r="I217" i="10" s="1"/>
  <c r="AH42" i="10"/>
  <c r="AI42" i="10" s="1"/>
  <c r="I130" i="10"/>
  <c r="E242" i="10"/>
  <c r="Q138" i="10"/>
  <c r="P170" i="10"/>
  <c r="Q151" i="10"/>
  <c r="P160" i="10"/>
  <c r="P184" i="10"/>
  <c r="N224" i="10"/>
  <c r="J353" i="10"/>
  <c r="N353" i="10" s="1"/>
  <c r="AA19" i="10"/>
  <c r="AB19" i="10" s="1"/>
  <c r="J317" i="10"/>
  <c r="J429" i="10" s="1"/>
  <c r="J261" i="10"/>
  <c r="R151" i="10"/>
  <c r="J307" i="10"/>
  <c r="Q307" i="10" s="1"/>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N173" i="10"/>
  <c r="P173" i="10"/>
  <c r="J310" i="10"/>
  <c r="N310" i="10" s="1"/>
  <c r="N198" i="10"/>
  <c r="R198" i="10"/>
  <c r="S198" i="10" s="1"/>
  <c r="P198" i="10"/>
  <c r="AE199" i="10"/>
  <c r="O199" i="10"/>
  <c r="AC199" i="10" s="1"/>
  <c r="AH115" i="10"/>
  <c r="AI115" i="10" s="1"/>
  <c r="G227" i="10"/>
  <c r="E186" i="10"/>
  <c r="E182" i="10"/>
  <c r="AF69" i="10"/>
  <c r="AG69" i="10" s="1"/>
  <c r="F181" i="10"/>
  <c r="F293"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AH46" i="10"/>
  <c r="AI46" i="10" s="1"/>
  <c r="G158" i="10"/>
  <c r="AJ46" i="10"/>
  <c r="AK46" i="10" s="1"/>
  <c r="AL46" i="10" s="1"/>
  <c r="AN46" i="10" s="1"/>
  <c r="H157" i="10"/>
  <c r="X157" i="10" s="1"/>
  <c r="AE45" i="10"/>
  <c r="AE38" i="10"/>
  <c r="H150" i="10"/>
  <c r="X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J337" i="10" s="1"/>
  <c r="Q113" i="10"/>
  <c r="R105" i="10"/>
  <c r="Q105" i="10"/>
  <c r="R101" i="10"/>
  <c r="J213" i="10"/>
  <c r="J209" i="10"/>
  <c r="Q97" i="10"/>
  <c r="Q89" i="10"/>
  <c r="J201" i="10"/>
  <c r="R85" i="10"/>
  <c r="S85" i="10" s="1"/>
  <c r="J193" i="10"/>
  <c r="Q81" i="10"/>
  <c r="Q73" i="10"/>
  <c r="R69" i="10"/>
  <c r="J181" i="10"/>
  <c r="J177" i="10"/>
  <c r="R177" i="10" s="1"/>
  <c r="Q65" i="10"/>
  <c r="R61" i="10"/>
  <c r="Q61" i="10"/>
  <c r="S61" i="10" s="1"/>
  <c r="J169" i="10"/>
  <c r="R169" i="10" s="1"/>
  <c r="Q57" i="10"/>
  <c r="R53" i="10"/>
  <c r="Q53" i="10"/>
  <c r="J161" i="10"/>
  <c r="R161" i="10" s="1"/>
  <c r="Q49" i="10"/>
  <c r="R45" i="10"/>
  <c r="Q45" i="10"/>
  <c r="Q41" i="10"/>
  <c r="J153" i="10"/>
  <c r="R37" i="10"/>
  <c r="Q37" i="10"/>
  <c r="J146" i="10"/>
  <c r="R146" i="10" s="1"/>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X292" i="10" s="1"/>
  <c r="AE180" i="10"/>
  <c r="S29" i="10"/>
  <c r="AC65" i="10"/>
  <c r="AA111" i="10"/>
  <c r="AA49" i="10"/>
  <c r="AE216" i="10"/>
  <c r="Z94" i="10"/>
  <c r="AE94" i="10"/>
  <c r="AE90" i="10"/>
  <c r="Z79" i="10"/>
  <c r="AE79" i="10"/>
  <c r="Z57" i="10"/>
  <c r="AE57" i="10"/>
  <c r="H158" i="10"/>
  <c r="AE46" i="10"/>
  <c r="Z35" i="10"/>
  <c r="AE35" i="10"/>
  <c r="Z28" i="10"/>
  <c r="AE28" i="10"/>
  <c r="Z24" i="10"/>
  <c r="AE24" i="10"/>
  <c r="G23" i="15"/>
  <c r="G30" i="20" s="1"/>
  <c r="AA124" i="11"/>
  <c r="S64" i="11"/>
  <c r="AA37" i="11"/>
  <c r="AA84" i="11"/>
  <c r="AA49" i="11"/>
  <c r="S61" i="11"/>
  <c r="S35" i="11"/>
  <c r="S54" i="11"/>
  <c r="S46" i="11"/>
  <c r="S38" i="11"/>
  <c r="S30" i="11"/>
  <c r="S20" i="11"/>
  <c r="AA107" i="11"/>
  <c r="S23" i="11"/>
  <c r="S62" i="11"/>
  <c r="AA170" i="11"/>
  <c r="S43" i="11"/>
  <c r="AC104" i="10"/>
  <c r="S74" i="10"/>
  <c r="S63" i="10"/>
  <c r="S79" i="10"/>
  <c r="AA129" i="10"/>
  <c r="S47" i="10"/>
  <c r="S87" i="10"/>
  <c r="S51" i="10"/>
  <c r="H97" i="9"/>
  <c r="I70" i="9"/>
  <c r="S48" i="11"/>
  <c r="S40" i="11"/>
  <c r="AA30" i="9"/>
  <c r="AB30" i="9" s="1"/>
  <c r="AF102" i="9"/>
  <c r="AG102" i="9" s="1"/>
  <c r="F129" i="9"/>
  <c r="F134" i="9"/>
  <c r="AF107" i="9"/>
  <c r="AG107" i="9" s="1"/>
  <c r="F137" i="9"/>
  <c r="AF110" i="9"/>
  <c r="AG110" i="9" s="1"/>
  <c r="E130" i="9"/>
  <c r="E157" i="9" s="1"/>
  <c r="S103" i="9"/>
  <c r="I103" i="9"/>
  <c r="E137" i="9"/>
  <c r="E164" i="9" s="1"/>
  <c r="S164" i="9" s="1"/>
  <c r="S110" i="9"/>
  <c r="S48" i="9"/>
  <c r="I48" i="9"/>
  <c r="P79" i="9"/>
  <c r="J106" i="9"/>
  <c r="R47" i="9"/>
  <c r="Q47" i="9"/>
  <c r="J74" i="9"/>
  <c r="I76" i="9"/>
  <c r="I54" i="9"/>
  <c r="E99" i="9"/>
  <c r="I99" i="9" s="1"/>
  <c r="I72" i="9"/>
  <c r="N79" i="9"/>
  <c r="AC79" i="9" s="1"/>
  <c r="AD46" i="9"/>
  <c r="Q55" i="9"/>
  <c r="J82" i="9"/>
  <c r="N55" i="9"/>
  <c r="AC55" i="9" s="1"/>
  <c r="AD84" i="9"/>
  <c r="H79" i="9"/>
  <c r="AE79" i="9" s="1"/>
  <c r="X52" i="9"/>
  <c r="AA52" i="9" s="1"/>
  <c r="AF152" i="9"/>
  <c r="AG152" i="9" s="1"/>
  <c r="R52" i="9"/>
  <c r="I83" i="9"/>
  <c r="E74" i="9"/>
  <c r="I47" i="9"/>
  <c r="S46" i="9"/>
  <c r="I46" i="9"/>
  <c r="E73" i="9"/>
  <c r="E100" i="9" s="1"/>
  <c r="S100" i="9" s="1"/>
  <c r="AF50" i="9"/>
  <c r="AG50" i="9" s="1"/>
  <c r="R79" i="9"/>
  <c r="P80" i="9"/>
  <c r="N52" i="9"/>
  <c r="AC52" i="9" s="1"/>
  <c r="N47" i="9"/>
  <c r="AC47" i="9" s="1"/>
  <c r="AD57" i="9"/>
  <c r="P45" i="9"/>
  <c r="N45" i="9"/>
  <c r="AC45" i="9" s="1"/>
  <c r="P43" i="9"/>
  <c r="J71" i="9"/>
  <c r="N71" i="9" s="1"/>
  <c r="AC71" i="9" s="1"/>
  <c r="R44" i="9"/>
  <c r="N44" i="9"/>
  <c r="AF125" i="9"/>
  <c r="AG125" i="9" s="1"/>
  <c r="E81" i="9"/>
  <c r="S81" i="9" s="1"/>
  <c r="P77" i="9"/>
  <c r="J104" i="9"/>
  <c r="P31" i="9"/>
  <c r="Q44" i="9"/>
  <c r="J58" i="9"/>
  <c r="F60" i="18" s="1"/>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P33" i="13"/>
  <c r="P47" i="13"/>
  <c r="R30" i="13"/>
  <c r="R50"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G50" i="14"/>
  <c r="H17" i="14" s="1"/>
  <c r="H50" i="14" s="1"/>
  <c r="I17" i="14" s="1"/>
  <c r="I50" i="14" s="1"/>
  <c r="J17" i="14" s="1"/>
  <c r="J50" i="14" s="1"/>
  <c r="K17" i="14" s="1"/>
  <c r="K50" i="14" s="1"/>
  <c r="L17" i="14" s="1"/>
  <c r="L50" i="14" s="1"/>
  <c r="M17" i="14" s="1"/>
  <c r="M50" i="14" s="1"/>
  <c r="S167" i="10"/>
  <c r="AA65" i="10"/>
  <c r="AH31" i="10"/>
  <c r="AI31" i="10" s="1"/>
  <c r="AH20" i="10"/>
  <c r="AI20" i="10" s="1"/>
  <c r="AA57" i="9"/>
  <c r="AA54" i="9"/>
  <c r="AB54" i="9" s="1"/>
  <c r="AA115" i="10"/>
  <c r="AA20" i="9"/>
  <c r="AA103" i="10"/>
  <c r="AA60" i="10"/>
  <c r="AB60" i="10" s="1"/>
  <c r="AA41" i="10"/>
  <c r="Z57" i="9"/>
  <c r="Z170" i="11"/>
  <c r="Z32" i="11"/>
  <c r="Z64" i="11"/>
  <c r="Z115" i="10"/>
  <c r="AA60" i="11"/>
  <c r="AB60" i="11" s="1"/>
  <c r="AA62" i="11"/>
  <c r="AB18" i="9"/>
  <c r="AA99" i="10"/>
  <c r="AA95" i="10"/>
  <c r="AA165" i="11"/>
  <c r="Z165" i="11"/>
  <c r="Z95" i="11"/>
  <c r="Z125" i="11"/>
  <c r="Z123" i="11"/>
  <c r="AA89" i="11"/>
  <c r="Z48" i="11"/>
  <c r="AA53" i="11"/>
  <c r="Z53" i="11"/>
  <c r="S39" i="11"/>
  <c r="S27" i="11"/>
  <c r="AA29" i="9"/>
  <c r="AB29" i="9" s="1"/>
  <c r="AA28" i="9"/>
  <c r="AB28" i="9" s="1"/>
  <c r="AA22" i="9"/>
  <c r="AB22" i="9" s="1"/>
  <c r="Z20" i="9"/>
  <c r="AA67" i="10"/>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O130" i="10"/>
  <c r="P221" i="10"/>
  <c r="Q221" i="10"/>
  <c r="N221" i="10"/>
  <c r="L216" i="10"/>
  <c r="AD104" i="10"/>
  <c r="AF442" i="10"/>
  <c r="AG442" i="10" s="1"/>
  <c r="F508" i="10"/>
  <c r="AF508" i="10" s="1"/>
  <c r="AG508" i="10" s="1"/>
  <c r="AF261" i="10"/>
  <c r="AG261" i="10" s="1"/>
  <c r="F373" i="10"/>
  <c r="N176" i="10"/>
  <c r="F417" i="10"/>
  <c r="E296" i="10"/>
  <c r="I296" i="10" s="1"/>
  <c r="G326" i="10"/>
  <c r="AJ326" i="10" s="1"/>
  <c r="AK326" i="10" s="1"/>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R307" i="10"/>
  <c r="AC24" i="10"/>
  <c r="R268" i="10"/>
  <c r="N268" i="10"/>
  <c r="AC47" i="10"/>
  <c r="AA214" i="10"/>
  <c r="H326" i="10"/>
  <c r="AC114" i="10"/>
  <c r="J255" i="10"/>
  <c r="AC101" i="10"/>
  <c r="H213" i="10"/>
  <c r="H201" i="10"/>
  <c r="H154" i="10"/>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C40" i="10"/>
  <c r="J329" i="10"/>
  <c r="J441" i="10" s="1"/>
  <c r="R217" i="10"/>
  <c r="AC23" i="10"/>
  <c r="R91" i="10"/>
  <c r="S91" i="10" s="1"/>
  <c r="R287" i="10"/>
  <c r="Q287" i="10"/>
  <c r="R256" i="10"/>
  <c r="N256" i="10"/>
  <c r="J327" i="10"/>
  <c r="R215" i="10"/>
  <c r="H312" i="10"/>
  <c r="X312" i="10" s="1"/>
  <c r="H220" i="10"/>
  <c r="X220" i="10" s="1"/>
  <c r="H217" i="10"/>
  <c r="J226" i="10"/>
  <c r="N226" i="10" s="1"/>
  <c r="Q114" i="10"/>
  <c r="S114" i="10" s="1"/>
  <c r="J222" i="10"/>
  <c r="R222" i="10" s="1"/>
  <c r="J218" i="10"/>
  <c r="J330" i="10" s="1"/>
  <c r="J214" i="10"/>
  <c r="R214" i="10" s="1"/>
  <c r="Q102" i="10"/>
  <c r="R102" i="10"/>
  <c r="J210" i="10"/>
  <c r="R98" i="10"/>
  <c r="S98" i="10" s="1"/>
  <c r="R94" i="10"/>
  <c r="Q94" i="10"/>
  <c r="AC94" i="10"/>
  <c r="AC91" i="10"/>
  <c r="Q55" i="10"/>
  <c r="M128" i="10"/>
  <c r="M240" i="10" s="1"/>
  <c r="M352" i="10" s="1"/>
  <c r="AD16" i="10"/>
  <c r="L132" i="10"/>
  <c r="AD20" i="10"/>
  <c r="L193" i="10"/>
  <c r="AD81" i="10"/>
  <c r="M209" i="10"/>
  <c r="AD97"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AD68" i="10"/>
  <c r="L192" i="10"/>
  <c r="AD80" i="10"/>
  <c r="H227" i="10"/>
  <c r="H224" i="10"/>
  <c r="H223" i="10"/>
  <c r="H186" i="10"/>
  <c r="AL99" i="10"/>
  <c r="AN99" i="10" s="1"/>
  <c r="AH591" i="10"/>
  <c r="AI591" i="10" s="1"/>
  <c r="AJ225" i="10"/>
  <c r="AK225" i="10" s="1"/>
  <c r="AJ371" i="10"/>
  <c r="AK371" i="10" s="1"/>
  <c r="G483" i="10"/>
  <c r="AH371" i="10"/>
  <c r="AI371" i="10" s="1"/>
  <c r="E472" i="10"/>
  <c r="I472" i="10" s="1"/>
  <c r="E368" i="10"/>
  <c r="I368" i="10" s="1"/>
  <c r="E380" i="10"/>
  <c r="I380" i="10" s="1"/>
  <c r="E293" i="10"/>
  <c r="I293" i="10" s="1"/>
  <c r="AI259" i="10"/>
  <c r="F206" i="10"/>
  <c r="AF94" i="10"/>
  <c r="AG94" i="10" s="1"/>
  <c r="H205" i="10"/>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H212" i="10"/>
  <c r="X212" i="10" s="1"/>
  <c r="AC100" i="10"/>
  <c r="L225" i="10"/>
  <c r="AD113" i="10"/>
  <c r="AJ259" i="10"/>
  <c r="AK259" i="10" s="1"/>
  <c r="AJ271" i="10"/>
  <c r="AK271" i="10" s="1"/>
  <c r="AL271" i="10" s="1"/>
  <c r="AN271" i="10" s="1"/>
  <c r="AH375" i="10"/>
  <c r="AI375" i="10" s="1"/>
  <c r="AJ487" i="10"/>
  <c r="AK487" i="10" s="1"/>
  <c r="E281" i="10"/>
  <c r="I281" i="10" s="1"/>
  <c r="E269" i="10"/>
  <c r="I269" i="10" s="1"/>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H178" i="10"/>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G278" i="10"/>
  <c r="AI166" i="10"/>
  <c r="AJ166" i="10"/>
  <c r="AK166" i="10" s="1"/>
  <c r="AL166" i="10" s="1"/>
  <c r="AN166" i="10" s="1"/>
  <c r="AI474" i="10"/>
  <c r="E244" i="10"/>
  <c r="AF168" i="10"/>
  <c r="AG168" i="10" s="1"/>
  <c r="F280" i="10"/>
  <c r="G315" i="10"/>
  <c r="AJ203" i="10"/>
  <c r="AK203" i="10" s="1"/>
  <c r="AL203" i="10" s="1"/>
  <c r="AN203" i="10" s="1"/>
  <c r="E322" i="10"/>
  <c r="I322" i="10" s="1"/>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X281" i="10" s="1"/>
  <c r="AF59" i="10"/>
  <c r="AG59" i="10" s="1"/>
  <c r="F171" i="10"/>
  <c r="F283" i="10" s="1"/>
  <c r="AC36" i="10"/>
  <c r="H148" i="10"/>
  <c r="AF199" i="10"/>
  <c r="AG199" i="10" s="1"/>
  <c r="F311" i="10"/>
  <c r="E325" i="10"/>
  <c r="I325" i="10" s="1"/>
  <c r="G441" i="10"/>
  <c r="AJ329" i="10"/>
  <c r="AK329" i="10" s="1"/>
  <c r="AF214" i="10"/>
  <c r="AG214" i="10" s="1"/>
  <c r="F326" i="10"/>
  <c r="E272" i="10"/>
  <c r="I272" i="10" s="1"/>
  <c r="AJ411" i="10"/>
  <c r="AK411" i="10" s="1"/>
  <c r="AJ481" i="10"/>
  <c r="AK481" i="10" s="1"/>
  <c r="AH481" i="10"/>
  <c r="AI481" i="10" s="1"/>
  <c r="AF252" i="10"/>
  <c r="AG252" i="10" s="1"/>
  <c r="F364" i="10"/>
  <c r="R448" i="10"/>
  <c r="J560" i="10"/>
  <c r="R560" i="10" s="1"/>
  <c r="N448" i="10"/>
  <c r="P448" i="10"/>
  <c r="N394" i="10"/>
  <c r="P394"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436" i="10"/>
  <c r="P324" i="10"/>
  <c r="R336" i="10"/>
  <c r="P336" i="10"/>
  <c r="AC54" i="10"/>
  <c r="H320" i="10"/>
  <c r="H265" i="10"/>
  <c r="J302" i="10"/>
  <c r="R190" i="10"/>
  <c r="S190" i="10" s="1"/>
  <c r="J272" i="10"/>
  <c r="R160" i="10"/>
  <c r="J296" i="10"/>
  <c r="R184" i="10"/>
  <c r="P310" i="10"/>
  <c r="J334" i="10"/>
  <c r="Q334" i="10" s="1"/>
  <c r="AF16" i="10"/>
  <c r="AG16" i="10" s="1"/>
  <c r="F128" i="10"/>
  <c r="Z98" i="10"/>
  <c r="AC98" i="10"/>
  <c r="N282" i="10"/>
  <c r="R282" i="10"/>
  <c r="Q282" i="10"/>
  <c r="R252" i="10"/>
  <c r="J391" i="10"/>
  <c r="P279" i="10"/>
  <c r="N279" i="10"/>
  <c r="Z210" i="10"/>
  <c r="H322" i="10"/>
  <c r="H287" i="10"/>
  <c r="J311" i="10"/>
  <c r="P311" i="10" s="1"/>
  <c r="R199" i="10"/>
  <c r="J251" i="10"/>
  <c r="R139" i="10"/>
  <c r="R147" i="10"/>
  <c r="J259" i="10"/>
  <c r="J250" i="10"/>
  <c r="AL250" i="10" s="1"/>
  <c r="AN250" i="10" s="1"/>
  <c r="R138" i="10"/>
  <c r="J306" i="10"/>
  <c r="R194" i="10"/>
  <c r="P249" i="10"/>
  <c r="R249" i="10"/>
  <c r="J361" i="10"/>
  <c r="J257" i="10"/>
  <c r="R145" i="10"/>
  <c r="J281" i="10"/>
  <c r="J297" i="10"/>
  <c r="R185" i="10"/>
  <c r="J309" i="10"/>
  <c r="R197" i="10"/>
  <c r="S197" i="10" s="1"/>
  <c r="J325" i="10"/>
  <c r="R213" i="10"/>
  <c r="J333" i="10"/>
  <c r="Q333" i="10" s="1"/>
  <c r="R221" i="10"/>
  <c r="AC63" i="10"/>
  <c r="H168" i="10"/>
  <c r="S109" i="10"/>
  <c r="S93" i="10"/>
  <c r="N327" i="10"/>
  <c r="R327" i="10"/>
  <c r="J439" i="10"/>
  <c r="J284" i="10"/>
  <c r="P284" i="10" s="1"/>
  <c r="R172" i="10"/>
  <c r="AC84" i="10"/>
  <c r="AC115" i="10"/>
  <c r="S101" i="10"/>
  <c r="H311" i="10"/>
  <c r="AA96" i="10"/>
  <c r="Z73" i="10"/>
  <c r="AC73" i="10"/>
  <c r="AC68" i="10"/>
  <c r="AC32" i="10"/>
  <c r="Z26" i="10"/>
  <c r="H138" i="10"/>
  <c r="Z21" i="10"/>
  <c r="AC21" i="10"/>
  <c r="H133" i="10"/>
  <c r="AD245" i="10"/>
  <c r="L357" i="10"/>
  <c r="AD357" i="10" s="1"/>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A110" i="10"/>
  <c r="AC110" i="10"/>
  <c r="H173" i="10"/>
  <c r="X173" i="10" s="1"/>
  <c r="AC61" i="10"/>
  <c r="AC52" i="10"/>
  <c r="AA34" i="10"/>
  <c r="H146" i="10"/>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L476" i="10" s="1"/>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E82" i="11"/>
  <c r="I82" i="11" s="1"/>
  <c r="F237" i="11"/>
  <c r="H269" i="11"/>
  <c r="R151" i="11"/>
  <c r="N151" i="11"/>
  <c r="AC151" i="11" s="1"/>
  <c r="P142" i="11"/>
  <c r="R142" i="11"/>
  <c r="Q146" i="11"/>
  <c r="H160" i="11"/>
  <c r="H249" i="11"/>
  <c r="N91" i="11"/>
  <c r="AC91" i="11" s="1"/>
  <c r="P87" i="11"/>
  <c r="R87" i="11"/>
  <c r="S87" i="11" s="1"/>
  <c r="J149" i="11"/>
  <c r="E148" i="11"/>
  <c r="I148" i="11" s="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E78" i="11"/>
  <c r="I78" i="11" s="1"/>
  <c r="Z23" i="11"/>
  <c r="H85" i="11"/>
  <c r="F88" i="11"/>
  <c r="AF26" i="11"/>
  <c r="AG26" i="11" s="1"/>
  <c r="R26" i="11"/>
  <c r="J88" i="11"/>
  <c r="Q33" i="11"/>
  <c r="S33" i="11" s="1"/>
  <c r="AC33" i="11"/>
  <c r="E100" i="11"/>
  <c r="I100" i="11" s="1"/>
  <c r="Q110" i="11"/>
  <c r="R122" i="11"/>
  <c r="Q31" i="11"/>
  <c r="Q26" i="11"/>
  <c r="AF15" i="11"/>
  <c r="AG15" i="11" s="1"/>
  <c r="F77" i="11"/>
  <c r="H77" i="11"/>
  <c r="AE77" i="11" s="1"/>
  <c r="H78" i="11"/>
  <c r="Q37" i="11"/>
  <c r="AC37" i="11"/>
  <c r="R37" i="11"/>
  <c r="E104" i="11"/>
  <c r="I104" i="11" s="1"/>
  <c r="Z55" i="11"/>
  <c r="H117" i="11"/>
  <c r="M77" i="11"/>
  <c r="M65" i="11"/>
  <c r="AD15" i="11"/>
  <c r="L204" i="11"/>
  <c r="L208" i="11"/>
  <c r="L212" i="11"/>
  <c r="L216" i="11"/>
  <c r="AD154" i="11"/>
  <c r="L220" i="11"/>
  <c r="H148" i="1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F113" i="10"/>
  <c r="AG113" i="10" s="1"/>
  <c r="F225" i="10"/>
  <c r="Z109" i="10"/>
  <c r="H221" i="10"/>
  <c r="AC109" i="10"/>
  <c r="E219" i="10"/>
  <c r="I219" i="10" s="1"/>
  <c r="H204" i="10"/>
  <c r="AC92" i="10"/>
  <c r="AF86" i="10"/>
  <c r="AG86" i="10" s="1"/>
  <c r="F198" i="10"/>
  <c r="H195" i="10"/>
  <c r="AC83" i="10"/>
  <c r="AF82" i="10"/>
  <c r="AG82" i="10" s="1"/>
  <c r="F194" i="10"/>
  <c r="E189" i="10"/>
  <c r="I189"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S27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C17" i="10"/>
  <c r="Z150" i="10"/>
  <c r="H262" i="10"/>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H398" i="10"/>
  <c r="R264" i="10"/>
  <c r="Q264" i="10"/>
  <c r="J376" i="10"/>
  <c r="P264" i="10"/>
  <c r="N264" i="10"/>
  <c r="J359" i="10"/>
  <c r="P247" i="10"/>
  <c r="N247" i="10"/>
  <c r="H267" i="10"/>
  <c r="J270" i="10"/>
  <c r="R158" i="10"/>
  <c r="Q158" i="10"/>
  <c r="N158" i="10"/>
  <c r="R178" i="10"/>
  <c r="P178" i="10"/>
  <c r="R202" i="10"/>
  <c r="N202" i="10"/>
  <c r="AC202" i="10" s="1"/>
  <c r="J338" i="10"/>
  <c r="J260" i="10"/>
  <c r="R148" i="10"/>
  <c r="P148" i="10"/>
  <c r="Q148" i="10"/>
  <c r="J304" i="10"/>
  <c r="R192" i="10"/>
  <c r="Q192" i="10"/>
  <c r="S89" i="10"/>
  <c r="M242" i="10"/>
  <c r="L249" i="10"/>
  <c r="AD137" i="10"/>
  <c r="J390" i="10"/>
  <c r="N278" i="10"/>
  <c r="R278" i="10"/>
  <c r="P278" i="10"/>
  <c r="H314" i="10"/>
  <c r="Z134" i="10"/>
  <c r="H246" i="10"/>
  <c r="P314" i="10"/>
  <c r="R271" i="10"/>
  <c r="N271" i="10"/>
  <c r="P271" i="10"/>
  <c r="J383" i="10"/>
  <c r="AA226" i="10"/>
  <c r="H338" i="10"/>
  <c r="Z194" i="10"/>
  <c r="H306" i="10"/>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S35" i="10"/>
  <c r="J313" i="10"/>
  <c r="R201" i="10"/>
  <c r="R225" i="10"/>
  <c r="R38" i="10"/>
  <c r="R332" i="10"/>
  <c r="P328" i="10"/>
  <c r="R248" i="10"/>
  <c r="N248" i="10"/>
  <c r="J360" i="10"/>
  <c r="N285" i="10"/>
  <c r="P285" i="10"/>
  <c r="R269" i="10"/>
  <c r="P269" i="10"/>
  <c r="P253" i="10"/>
  <c r="N318" i="10"/>
  <c r="R318" i="10"/>
  <c r="J430" i="10"/>
  <c r="N336" i="10"/>
  <c r="Q336" i="10"/>
  <c r="P272" i="10"/>
  <c r="Q77" i="10"/>
  <c r="S44" i="10"/>
  <c r="S40" i="10"/>
  <c r="S32" i="10"/>
  <c r="S72" i="10"/>
  <c r="H291" i="10"/>
  <c r="AC20" i="10"/>
  <c r="S25" i="10"/>
  <c r="S33" i="10"/>
  <c r="S41" i="10"/>
  <c r="S57" i="10"/>
  <c r="S73" i="10"/>
  <c r="H144" i="10"/>
  <c r="L240" i="10"/>
  <c r="M358" i="10"/>
  <c r="M470" i="10" s="1"/>
  <c r="M582" i="10" s="1"/>
  <c r="H289" i="10"/>
  <c r="AC67" i="10"/>
  <c r="S103" i="10"/>
  <c r="S86" i="10"/>
  <c r="H225" i="10"/>
  <c r="AC113" i="10"/>
  <c r="AA86" i="10"/>
  <c r="H198" i="10"/>
  <c r="AC86" i="10"/>
  <c r="H182" i="10"/>
  <c r="H159" i="10"/>
  <c r="L469" i="10"/>
  <c r="L138" i="10"/>
  <c r="L116" i="10"/>
  <c r="AD26" i="10"/>
  <c r="M363" i="10"/>
  <c r="S66" i="10"/>
  <c r="S28" i="10"/>
  <c r="S83" i="10"/>
  <c r="S68" i="10"/>
  <c r="S64" i="10"/>
  <c r="L466" i="10"/>
  <c r="M138" i="10"/>
  <c r="M250" i="10" s="1"/>
  <c r="M362" i="10" s="1"/>
  <c r="M474" i="10" s="1"/>
  <c r="M586" i="10" s="1"/>
  <c r="M116" i="10"/>
  <c r="L591" i="10"/>
  <c r="H273" i="10"/>
  <c r="S21" i="10"/>
  <c r="S69" i="10"/>
  <c r="L579"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X100" i="9"/>
  <c r="I57" i="9"/>
  <c r="E84" i="9"/>
  <c r="S57" i="9"/>
  <c r="E191" i="9"/>
  <c r="F138" i="9"/>
  <c r="E109" i="9"/>
  <c r="I100" i="9"/>
  <c r="F126" i="9"/>
  <c r="AF99" i="9"/>
  <c r="AG99" i="9" s="1"/>
  <c r="S82" i="9"/>
  <c r="F78" i="9"/>
  <c r="AF51" i="9"/>
  <c r="AG51" i="9" s="1"/>
  <c r="P126" i="9"/>
  <c r="N70" i="9"/>
  <c r="J111" i="9"/>
  <c r="R84" i="9"/>
  <c r="P74" i="9"/>
  <c r="Q16" i="9"/>
  <c r="AB16" i="9"/>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108" i="9"/>
  <c r="X75" i="9"/>
  <c r="H102" i="9"/>
  <c r="AE102" i="9" s="1"/>
  <c r="N106" i="9"/>
  <c r="AC106" i="9" s="1"/>
  <c r="J133" i="9"/>
  <c r="N82" i="9"/>
  <c r="AC82" i="9" s="1"/>
  <c r="J103" i="9"/>
  <c r="Q76" i="9"/>
  <c r="AC44" i="9"/>
  <c r="AG31" i="9"/>
  <c r="P71" i="9"/>
  <c r="N56" i="9"/>
  <c r="AC56" i="9" s="1"/>
  <c r="J83" i="9"/>
  <c r="P48" i="9"/>
  <c r="N48" i="9"/>
  <c r="AC48" i="9" s="1"/>
  <c r="R48" i="9"/>
  <c r="J75" i="9"/>
  <c r="X50" i="9"/>
  <c r="H77" i="9"/>
  <c r="AE77" i="9" s="1"/>
  <c r="L184"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Z206" i="10"/>
  <c r="S17" i="10"/>
  <c r="S115" i="10"/>
  <c r="S82" i="10"/>
  <c r="S23" i="10"/>
  <c r="S67" i="10"/>
  <c r="AA42" i="10"/>
  <c r="Z42" i="10"/>
  <c r="Z63" i="11"/>
  <c r="Z27" i="11"/>
  <c r="S34" i="10"/>
  <c r="Z38" i="10"/>
  <c r="AA30" i="10"/>
  <c r="Z30" i="10"/>
  <c r="AA35" i="11"/>
  <c r="Z84" i="9"/>
  <c r="Z114" i="10"/>
  <c r="AA114" i="10"/>
  <c r="AA102" i="10"/>
  <c r="Z82" i="10"/>
  <c r="AA82" i="10"/>
  <c r="AA74" i="10"/>
  <c r="Z74" i="10"/>
  <c r="Z22" i="10"/>
  <c r="AA22" i="10"/>
  <c r="AA47" i="11"/>
  <c r="AA39" i="11"/>
  <c r="S54" i="10"/>
  <c r="Z65" i="10"/>
  <c r="S97" i="11"/>
  <c r="Z241" i="10"/>
  <c r="Z129" i="10"/>
  <c r="S181" i="11"/>
  <c r="S119" i="11"/>
  <c r="S121" i="11"/>
  <c r="AB99" i="10" l="1"/>
  <c r="AB111" i="10"/>
  <c r="AA81" i="9"/>
  <c r="AB81" i="9" s="1"/>
  <c r="AB162" i="10"/>
  <c r="S122" i="11"/>
  <c r="AA118" i="11"/>
  <c r="AB118" i="11" s="1"/>
  <c r="AC162" i="10"/>
  <c r="AC180" i="10"/>
  <c r="I14" i="18"/>
  <c r="I52" i="17" s="1"/>
  <c r="H40" i="20"/>
  <c r="I46" i="16"/>
  <c r="J44" i="16"/>
  <c r="AD157" i="9"/>
  <c r="Q71" i="9"/>
  <c r="N295" i="10"/>
  <c r="R226" i="10"/>
  <c r="J273" i="10"/>
  <c r="J407" i="10"/>
  <c r="H264" i="10"/>
  <c r="G523" i="10"/>
  <c r="AC191" i="10"/>
  <c r="E319" i="10"/>
  <c r="I319" i="10" s="1"/>
  <c r="J214" i="11"/>
  <c r="P152" i="11"/>
  <c r="Q204" i="11"/>
  <c r="N266" i="11"/>
  <c r="AC266" i="11" s="1"/>
  <c r="N183" i="11"/>
  <c r="AC183" i="11" s="1"/>
  <c r="P183" i="11"/>
  <c r="Q142" i="11"/>
  <c r="S142" i="11" s="1"/>
  <c r="K28" i="1"/>
  <c r="K112" i="5" s="1"/>
  <c r="G40" i="20"/>
  <c r="H14" i="18"/>
  <c r="H52" i="17" s="1"/>
  <c r="L21" i="16"/>
  <c r="K24" i="17" s="1"/>
  <c r="J24" i="17"/>
  <c r="Q295" i="10"/>
  <c r="H296" i="10"/>
  <c r="AL225" i="10"/>
  <c r="AN225" i="10" s="1"/>
  <c r="F445" i="10"/>
  <c r="AF445" i="10" s="1"/>
  <c r="AG445" i="10" s="1"/>
  <c r="F222" i="11"/>
  <c r="Q266" i="11"/>
  <c r="Q183" i="11"/>
  <c r="S183" i="11" s="1"/>
  <c r="N142" i="11"/>
  <c r="AC142" i="11" s="1"/>
  <c r="J245" i="11"/>
  <c r="N245" i="11" s="1"/>
  <c r="AC245" i="11" s="1"/>
  <c r="J31" i="1"/>
  <c r="H48" i="20" s="1"/>
  <c r="AF103" i="9"/>
  <c r="AG103" i="9" s="1"/>
  <c r="F130" i="9"/>
  <c r="P76" i="9"/>
  <c r="R76" i="9"/>
  <c r="J326" i="10"/>
  <c r="F300" i="10"/>
  <c r="H415" i="10"/>
  <c r="P226" i="10"/>
  <c r="E339" i="10"/>
  <c r="I339" i="10" s="1"/>
  <c r="E386" i="10"/>
  <c r="I386" i="10" s="1"/>
  <c r="AH632" i="10"/>
  <c r="AI632" i="10" s="1"/>
  <c r="H247" i="11"/>
  <c r="X247" i="11" s="1"/>
  <c r="R204" i="11"/>
  <c r="N204" i="11"/>
  <c r="AC204" i="11" s="1"/>
  <c r="S102" i="11"/>
  <c r="AE273" i="10"/>
  <c r="X273" i="10"/>
  <c r="AE159" i="10"/>
  <c r="X159" i="10"/>
  <c r="AE291" i="10"/>
  <c r="X291" i="10"/>
  <c r="AE149" i="10"/>
  <c r="X149" i="10"/>
  <c r="AE187" i="10"/>
  <c r="X187" i="10"/>
  <c r="AE338" i="10"/>
  <c r="X338" i="10"/>
  <c r="AE465" i="10"/>
  <c r="X465" i="10"/>
  <c r="AE117" i="11"/>
  <c r="X117" i="11"/>
  <c r="AE174" i="11"/>
  <c r="X174" i="11"/>
  <c r="AE239" i="11"/>
  <c r="X239" i="11"/>
  <c r="AE207" i="10"/>
  <c r="X207" i="10"/>
  <c r="AE336" i="10"/>
  <c r="X336" i="10"/>
  <c r="AE133" i="10"/>
  <c r="X133" i="10"/>
  <c r="AE190" i="10"/>
  <c r="X190" i="10"/>
  <c r="AE248" i="10"/>
  <c r="X248" i="10"/>
  <c r="AE224" i="10"/>
  <c r="X224" i="10"/>
  <c r="Z224" i="10" s="1"/>
  <c r="AE192" i="10"/>
  <c r="X192" i="10"/>
  <c r="AE142" i="10"/>
  <c r="X142" i="10"/>
  <c r="AA142" i="10" s="1"/>
  <c r="AE154" i="10"/>
  <c r="X154" i="10"/>
  <c r="AB57" i="9"/>
  <c r="H124" i="9"/>
  <c r="AE97" i="9"/>
  <c r="O318" i="10"/>
  <c r="AC318" i="10" s="1"/>
  <c r="X318" i="10"/>
  <c r="Z318" i="10" s="1"/>
  <c r="AE80" i="11"/>
  <c r="X80" i="11"/>
  <c r="Z80" i="11" s="1"/>
  <c r="AE106" i="11"/>
  <c r="X106" i="11"/>
  <c r="Z106" i="11" s="1"/>
  <c r="AE88" i="11"/>
  <c r="X88" i="11"/>
  <c r="Z88" i="11" s="1"/>
  <c r="S98" i="9"/>
  <c r="E125" i="9"/>
  <c r="I98" i="9"/>
  <c r="H238" i="11"/>
  <c r="X176" i="11"/>
  <c r="Z176" i="11" s="1"/>
  <c r="AE552" i="10"/>
  <c r="X552" i="10"/>
  <c r="AA552" i="10" s="1"/>
  <c r="AE182" i="10"/>
  <c r="X182" i="10"/>
  <c r="AE144" i="10"/>
  <c r="X144" i="10"/>
  <c r="AE183" i="10"/>
  <c r="X183" i="10"/>
  <c r="AE145" i="10"/>
  <c r="X145" i="10"/>
  <c r="AE170" i="10"/>
  <c r="X170" i="10"/>
  <c r="AE314" i="10"/>
  <c r="X314" i="10"/>
  <c r="AE296" i="10"/>
  <c r="X296" i="10"/>
  <c r="AE288" i="10"/>
  <c r="X288" i="10"/>
  <c r="AE221" i="10"/>
  <c r="X221" i="10"/>
  <c r="AE259" i="10"/>
  <c r="X259" i="10"/>
  <c r="AE85" i="11"/>
  <c r="X85" i="11"/>
  <c r="AE90" i="11"/>
  <c r="X90" i="11"/>
  <c r="AE269" i="11"/>
  <c r="X269" i="11"/>
  <c r="AE149" i="11"/>
  <c r="X149" i="11"/>
  <c r="AE196" i="10"/>
  <c r="X196" i="10"/>
  <c r="AE219" i="10"/>
  <c r="X219" i="10"/>
  <c r="AE146" i="10"/>
  <c r="X146" i="10"/>
  <c r="AE168" i="10"/>
  <c r="X168" i="10"/>
  <c r="AE264" i="10"/>
  <c r="X264" i="10"/>
  <c r="AE163" i="10"/>
  <c r="X163" i="10"/>
  <c r="AE227" i="10"/>
  <c r="X227" i="10"/>
  <c r="AA227" i="10" s="1"/>
  <c r="AE217" i="10"/>
  <c r="X217" i="10"/>
  <c r="AE201" i="10"/>
  <c r="X201" i="10"/>
  <c r="AE185" i="10"/>
  <c r="X185" i="10"/>
  <c r="Z185" i="10" s="1"/>
  <c r="AE158" i="10"/>
  <c r="X158" i="10"/>
  <c r="AA158" i="10" s="1"/>
  <c r="X218" i="10"/>
  <c r="AA218" i="10" s="1"/>
  <c r="AE229" i="11"/>
  <c r="X229" i="11"/>
  <c r="H237" i="11"/>
  <c r="X175" i="11"/>
  <c r="AE157" i="11"/>
  <c r="X157" i="11"/>
  <c r="H294" i="11"/>
  <c r="X232" i="11"/>
  <c r="AE225" i="10"/>
  <c r="X225" i="10"/>
  <c r="AE289" i="10"/>
  <c r="X289" i="10"/>
  <c r="AE415" i="10"/>
  <c r="X415" i="10"/>
  <c r="AE137" i="10"/>
  <c r="X137" i="10"/>
  <c r="AE306" i="10"/>
  <c r="X306" i="10"/>
  <c r="AE267" i="10"/>
  <c r="X267" i="10"/>
  <c r="AE262" i="10"/>
  <c r="X262" i="10"/>
  <c r="AE195" i="10"/>
  <c r="X195" i="10"/>
  <c r="AE204" i="10"/>
  <c r="X204" i="10"/>
  <c r="AE148" i="11"/>
  <c r="X148" i="11"/>
  <c r="AE78" i="11"/>
  <c r="X78" i="11"/>
  <c r="AE121" i="11"/>
  <c r="X121" i="11"/>
  <c r="AE178" i="11"/>
  <c r="X178" i="11"/>
  <c r="AE249" i="11"/>
  <c r="X249" i="11"/>
  <c r="AE140" i="10"/>
  <c r="X140" i="10"/>
  <c r="AE197" i="10"/>
  <c r="X197" i="10"/>
  <c r="AA197" i="10" s="1"/>
  <c r="AE311" i="10"/>
  <c r="X311" i="10"/>
  <c r="AE287" i="10"/>
  <c r="X287" i="10"/>
  <c r="AE265" i="10"/>
  <c r="X265" i="10"/>
  <c r="AE209" i="10"/>
  <c r="X209" i="10"/>
  <c r="AE148" i="10"/>
  <c r="X148" i="10"/>
  <c r="AE186" i="10"/>
  <c r="X186" i="10"/>
  <c r="Z186" i="10" s="1"/>
  <c r="AE166" i="10"/>
  <c r="X166" i="10"/>
  <c r="H244" i="10"/>
  <c r="X132" i="10"/>
  <c r="Z132" i="10" s="1"/>
  <c r="AE213" i="10"/>
  <c r="X213" i="10"/>
  <c r="AE326" i="10"/>
  <c r="X326" i="10"/>
  <c r="X94" i="11"/>
  <c r="Z94" i="11" s="1"/>
  <c r="R245" i="11"/>
  <c r="Q245" i="11"/>
  <c r="AE198" i="10"/>
  <c r="X198" i="10"/>
  <c r="AE283" i="10"/>
  <c r="X283" i="10"/>
  <c r="AE160" i="10"/>
  <c r="X160" i="10"/>
  <c r="AE143" i="10"/>
  <c r="X143" i="10"/>
  <c r="AE165" i="10"/>
  <c r="X165" i="10"/>
  <c r="AE246" i="10"/>
  <c r="X246" i="10"/>
  <c r="AE398" i="10"/>
  <c r="X398" i="10"/>
  <c r="AE82" i="11"/>
  <c r="X82" i="11"/>
  <c r="AE160" i="11"/>
  <c r="X160" i="11"/>
  <c r="AE138" i="10"/>
  <c r="X138" i="10"/>
  <c r="AE322" i="10"/>
  <c r="X322" i="10"/>
  <c r="AE320" i="10"/>
  <c r="X320" i="10"/>
  <c r="AE151" i="10"/>
  <c r="X151" i="10"/>
  <c r="AE178" i="10"/>
  <c r="X178" i="10"/>
  <c r="AE205" i="10"/>
  <c r="X205" i="10"/>
  <c r="AE223" i="10"/>
  <c r="X223" i="10"/>
  <c r="AE334" i="10"/>
  <c r="X334" i="10"/>
  <c r="AA334" i="10" s="1"/>
  <c r="AE242" i="10"/>
  <c r="X242" i="10"/>
  <c r="J307" i="11"/>
  <c r="Q307" i="11" s="1"/>
  <c r="P245" i="11"/>
  <c r="H235" i="11"/>
  <c r="X173" i="11"/>
  <c r="AA173" i="11" s="1"/>
  <c r="H228" i="11"/>
  <c r="X166" i="11"/>
  <c r="Z166" i="11" s="1"/>
  <c r="AN128" i="10"/>
  <c r="J72" i="18"/>
  <c r="F23" i="20"/>
  <c r="L44" i="1"/>
  <c r="I54" i="20"/>
  <c r="K46" i="1"/>
  <c r="I53" i="20" s="1"/>
  <c r="L45" i="1"/>
  <c r="I55" i="20"/>
  <c r="AL272" i="10"/>
  <c r="AN272" i="10" s="1"/>
  <c r="G40" i="1"/>
  <c r="AB241" i="10"/>
  <c r="I72" i="18"/>
  <c r="F25" i="18"/>
  <c r="F26" i="18"/>
  <c r="F24" i="18"/>
  <c r="F23" i="18"/>
  <c r="F22" i="18"/>
  <c r="K41" i="1"/>
  <c r="H50" i="20"/>
  <c r="H79" i="18"/>
  <c r="I79" i="18"/>
  <c r="J79" i="18"/>
  <c r="G79" i="18"/>
  <c r="H108" i="5"/>
  <c r="J39" i="1"/>
  <c r="H49" i="20"/>
  <c r="I39" i="1"/>
  <c r="K33" i="1"/>
  <c r="J113" i="5"/>
  <c r="H38" i="1"/>
  <c r="H107" i="5" s="1"/>
  <c r="H105" i="5"/>
  <c r="AB62" i="11"/>
  <c r="AB32" i="11"/>
  <c r="J233" i="5"/>
  <c r="I233" i="5"/>
  <c r="AB124" i="11"/>
  <c r="AA73" i="9"/>
  <c r="AB73" i="9" s="1"/>
  <c r="AB107" i="11"/>
  <c r="AB67" i="10"/>
  <c r="AB95" i="10"/>
  <c r="AB49" i="11"/>
  <c r="AB37" i="11"/>
  <c r="S266" i="11"/>
  <c r="F32" i="16"/>
  <c r="F36" i="16" s="1"/>
  <c r="F13" i="18" s="1"/>
  <c r="F28" i="17"/>
  <c r="F38" i="20"/>
  <c r="S173" i="10"/>
  <c r="S185" i="10"/>
  <c r="AB64" i="11"/>
  <c r="D53" i="4"/>
  <c r="S256" i="10"/>
  <c r="R16" i="9"/>
  <c r="R31" i="9" s="1"/>
  <c r="Z55" i="9"/>
  <c r="L140" i="5"/>
  <c r="L144" i="5" s="1"/>
  <c r="L203" i="5" s="1"/>
  <c r="K144" i="5"/>
  <c r="I218" i="5"/>
  <c r="H188" i="5"/>
  <c r="I188" i="5"/>
  <c r="J58" i="5"/>
  <c r="K54" i="5"/>
  <c r="J218" i="5"/>
  <c r="P58" i="9"/>
  <c r="AC226" i="10"/>
  <c r="AB86" i="11"/>
  <c r="AC164" i="10"/>
  <c r="AB49" i="10"/>
  <c r="AB27" i="11"/>
  <c r="AB84" i="11"/>
  <c r="S108" i="11"/>
  <c r="S204" i="10"/>
  <c r="AB112" i="10"/>
  <c r="AB55" i="9"/>
  <c r="S156" i="10"/>
  <c r="S194" i="10"/>
  <c r="S141" i="10"/>
  <c r="S157" i="11"/>
  <c r="AL169" i="10"/>
  <c r="AN169" i="10" s="1"/>
  <c r="H114" i="5"/>
  <c r="H202" i="5" s="1"/>
  <c r="S157" i="10"/>
  <c r="S199" i="10"/>
  <c r="S172" i="10"/>
  <c r="AL251" i="10"/>
  <c r="AN251" i="10" s="1"/>
  <c r="S191" i="10"/>
  <c r="K55" i="16"/>
  <c r="L48" i="16"/>
  <c r="L55" i="16" s="1"/>
  <c r="J55" i="16"/>
  <c r="H25" i="17"/>
  <c r="H26" i="17" s="1"/>
  <c r="G25" i="17"/>
  <c r="G26" i="17" s="1"/>
  <c r="I36" i="17"/>
  <c r="K14" i="16"/>
  <c r="S133" i="10"/>
  <c r="AL328" i="10"/>
  <c r="AN328" i="10" s="1"/>
  <c r="S89" i="11"/>
  <c r="S206" i="10"/>
  <c r="S180" i="10"/>
  <c r="S186" i="11"/>
  <c r="S147" i="11"/>
  <c r="S187" i="11"/>
  <c r="S175" i="10"/>
  <c r="S220" i="10"/>
  <c r="S135" i="10"/>
  <c r="S149" i="10"/>
  <c r="S134" i="10"/>
  <c r="AB206" i="10"/>
  <c r="S101" i="11"/>
  <c r="S160" i="10"/>
  <c r="S63" i="11"/>
  <c r="S116" i="11"/>
  <c r="S85" i="11"/>
  <c r="S58" i="11"/>
  <c r="L20" i="21"/>
  <c r="K42" i="21"/>
  <c r="K167" i="21" s="1"/>
  <c r="K176" i="21"/>
  <c r="K135" i="21"/>
  <c r="L99" i="21"/>
  <c r="L28" i="1"/>
  <c r="L112" i="5" s="1"/>
  <c r="K31" i="1"/>
  <c r="I48" i="20" s="1"/>
  <c r="I114" i="5"/>
  <c r="I26" i="1"/>
  <c r="J24" i="1"/>
  <c r="J111" i="5" s="1"/>
  <c r="H40" i="1"/>
  <c r="L23" i="1"/>
  <c r="G28" i="17"/>
  <c r="J19" i="12"/>
  <c r="K16" i="12" s="1"/>
  <c r="I38" i="16"/>
  <c r="I42" i="16" s="1"/>
  <c r="H38" i="20"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R278" i="11" s="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I77" i="11"/>
  <c r="X77" i="11" s="1"/>
  <c r="S50" i="11"/>
  <c r="N209" i="11"/>
  <c r="AC209" i="11" s="1"/>
  <c r="S123"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B125" i="11"/>
  <c r="S84" i="11"/>
  <c r="Q209" i="11"/>
  <c r="S164" i="11"/>
  <c r="I149" i="11"/>
  <c r="E211" i="11"/>
  <c r="I145" i="11"/>
  <c r="E207" i="11"/>
  <c r="R307" i="1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X220" i="11" s="1"/>
  <c r="AA100" i="11"/>
  <c r="Z100" i="11"/>
  <c r="M368" i="11"/>
  <c r="AD368" i="11" s="1"/>
  <c r="AD306" i="11"/>
  <c r="L286" i="11"/>
  <c r="AD224" i="11"/>
  <c r="AA81" i="11"/>
  <c r="Z81" i="11"/>
  <c r="AE181" i="11"/>
  <c r="H243" i="11"/>
  <c r="X243" i="11" s="1"/>
  <c r="L169" i="11"/>
  <c r="AD107" i="11"/>
  <c r="AE171" i="11"/>
  <c r="H233" i="11"/>
  <c r="X233" i="11" s="1"/>
  <c r="AE163" i="11"/>
  <c r="H225" i="11"/>
  <c r="X225" i="11" s="1"/>
  <c r="L188" i="11"/>
  <c r="AD126" i="11"/>
  <c r="R78" i="11"/>
  <c r="Q78" i="11"/>
  <c r="N78" i="11"/>
  <c r="AC78" i="11" s="1"/>
  <c r="P78" i="11"/>
  <c r="J140" i="11"/>
  <c r="AF186" i="11"/>
  <c r="AG186" i="11" s="1"/>
  <c r="F248" i="11"/>
  <c r="AE146" i="11"/>
  <c r="H208" i="11"/>
  <c r="X208" i="11" s="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X234" i="11" s="1"/>
  <c r="AE120" i="11"/>
  <c r="H182" i="11"/>
  <c r="X182" i="11" s="1"/>
  <c r="E233" i="11"/>
  <c r="I171" i="11"/>
  <c r="M171" i="11"/>
  <c r="AD109" i="11"/>
  <c r="AE154" i="11"/>
  <c r="H216" i="11"/>
  <c r="X216" i="11" s="1"/>
  <c r="AF202" i="11"/>
  <c r="AG202" i="11" s="1"/>
  <c r="F264" i="11"/>
  <c r="E174" i="11"/>
  <c r="I112" i="11"/>
  <c r="AA31" i="11"/>
  <c r="AB31" i="11" s="1"/>
  <c r="S126" i="11"/>
  <c r="H168" i="1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X141" i="11" s="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X164" i="11" s="1"/>
  <c r="I94" i="11"/>
  <c r="E156" i="11"/>
  <c r="I93" i="11"/>
  <c r="E155" i="11"/>
  <c r="AE143" i="11"/>
  <c r="H205" i="11"/>
  <c r="X205" i="11" s="1"/>
  <c r="I103" i="11"/>
  <c r="E165" i="11"/>
  <c r="AE219" i="11"/>
  <c r="H281" i="11"/>
  <c r="X281" i="11" s="1"/>
  <c r="L249" i="11"/>
  <c r="AD187" i="11"/>
  <c r="Z115" i="11"/>
  <c r="AA115" i="11"/>
  <c r="J275" i="11"/>
  <c r="P213" i="11"/>
  <c r="N213" i="11"/>
  <c r="AC213" i="11" s="1"/>
  <c r="Q213" i="11"/>
  <c r="R213" i="11"/>
  <c r="I117" i="11"/>
  <c r="E179" i="11"/>
  <c r="AE217" i="11"/>
  <c r="H279" i="11"/>
  <c r="X279" i="11" s="1"/>
  <c r="R214" i="11"/>
  <c r="P214" i="11"/>
  <c r="Q214" i="11"/>
  <c r="J276" i="11"/>
  <c r="N214" i="11"/>
  <c r="AC214" i="11" s="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X184" i="11" s="1"/>
  <c r="I115" i="11"/>
  <c r="E177" i="11"/>
  <c r="Z17" i="11"/>
  <c r="AA17" i="11"/>
  <c r="L177" i="11"/>
  <c r="AD115" i="11"/>
  <c r="M150" i="11"/>
  <c r="AD88" i="11"/>
  <c r="AE126" i="11"/>
  <c r="H188" i="11"/>
  <c r="X188" i="11" s="1"/>
  <c r="AE186" i="11"/>
  <c r="H248" i="11"/>
  <c r="X248" i="11" s="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X293" i="11" s="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X289" i="11" s="1"/>
  <c r="AA162" i="11"/>
  <c r="Z162" i="11"/>
  <c r="F161" i="11"/>
  <c r="AF99" i="11"/>
  <c r="AG99" i="11" s="1"/>
  <c r="F293" i="11"/>
  <c r="AF231" i="11"/>
  <c r="AG231" i="11" s="1"/>
  <c r="AF162" i="11"/>
  <c r="AG162" i="11" s="1"/>
  <c r="F224" i="11"/>
  <c r="Z180" i="11"/>
  <c r="AA180" i="11"/>
  <c r="AA55" i="11"/>
  <c r="AB55" i="11" s="1"/>
  <c r="E146" i="11"/>
  <c r="I146" i="11" s="1"/>
  <c r="H150" i="11"/>
  <c r="H142" i="11"/>
  <c r="S114" i="11"/>
  <c r="Q168" i="11"/>
  <c r="AD110" i="11"/>
  <c r="AD155" i="11"/>
  <c r="R288" i="11"/>
  <c r="S288" i="11" s="1"/>
  <c r="AA176" i="11"/>
  <c r="AB176"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Z173"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X156" i="11" s="1"/>
  <c r="AE153" i="11"/>
  <c r="H215" i="11"/>
  <c r="X215" i="11" s="1"/>
  <c r="I98" i="11"/>
  <c r="E160" i="11"/>
  <c r="R159" i="11"/>
  <c r="N159" i="11"/>
  <c r="AC159" i="11" s="1"/>
  <c r="Q159" i="11"/>
  <c r="AE161" i="11"/>
  <c r="H223" i="11"/>
  <c r="X223" i="11" s="1"/>
  <c r="Z104" i="11"/>
  <c r="AA104" i="11"/>
  <c r="J229" i="11"/>
  <c r="Q167" i="11"/>
  <c r="P167" i="11"/>
  <c r="N167" i="11"/>
  <c r="AC167" i="11" s="1"/>
  <c r="R167" i="11"/>
  <c r="Z58" i="11"/>
  <c r="AA58" i="11"/>
  <c r="AE247" i="11"/>
  <c r="H309" i="11"/>
  <c r="X309" i="11" s="1"/>
  <c r="J374" i="11"/>
  <c r="P312" i="11"/>
  <c r="N312" i="11"/>
  <c r="AC312" i="11" s="1"/>
  <c r="R312" i="11"/>
  <c r="Q312" i="11"/>
  <c r="AF158" i="11"/>
  <c r="AG158" i="11" s="1"/>
  <c r="F220" i="11"/>
  <c r="AE224" i="11"/>
  <c r="H286" i="11"/>
  <c r="X286" i="11" s="1"/>
  <c r="J247" i="11"/>
  <c r="N185" i="11"/>
  <c r="AC185" i="11" s="1"/>
  <c r="P185" i="11"/>
  <c r="Q185" i="11"/>
  <c r="R185" i="11"/>
  <c r="P99" i="11"/>
  <c r="Q99" i="11"/>
  <c r="S99" i="11" s="1"/>
  <c r="N99" i="11"/>
  <c r="AC99" i="11" s="1"/>
  <c r="AE151" i="11"/>
  <c r="H213" i="11"/>
  <c r="X213" i="11" s="1"/>
  <c r="I205" i="11"/>
  <c r="E267" i="11"/>
  <c r="AE159" i="11"/>
  <c r="H221" i="11"/>
  <c r="X221" i="11" s="1"/>
  <c r="M186" i="11"/>
  <c r="AD124" i="11"/>
  <c r="AE242" i="11"/>
  <c r="H304" i="11"/>
  <c r="X304" i="11" s="1"/>
  <c r="H298" i="10"/>
  <c r="M291" i="10"/>
  <c r="R295" i="10"/>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10" i="10" s="1"/>
  <c r="AB129" i="10"/>
  <c r="H300" i="10"/>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D128" i="10"/>
  <c r="R284" i="10"/>
  <c r="R317" i="10"/>
  <c r="R328" i="10"/>
  <c r="P276" i="10"/>
  <c r="N263" i="10"/>
  <c r="H430" i="10"/>
  <c r="J604" i="10"/>
  <c r="N560" i="10"/>
  <c r="Q399" i="10"/>
  <c r="AD301" i="10"/>
  <c r="J420" i="10"/>
  <c r="N420" i="10" s="1"/>
  <c r="Q316" i="10"/>
  <c r="G276" i="10"/>
  <c r="J428" i="10"/>
  <c r="R182" i="10"/>
  <c r="N328" i="10"/>
  <c r="AC328" i="10" s="1"/>
  <c r="S170" i="10"/>
  <c r="S166" i="10"/>
  <c r="N332" i="10"/>
  <c r="AF262" i="10"/>
  <c r="AG262" i="10" s="1"/>
  <c r="F374" i="10"/>
  <c r="AA57" i="10"/>
  <c r="AB57" i="10" s="1"/>
  <c r="H315" i="10"/>
  <c r="J444" i="10"/>
  <c r="R444" i="10" s="1"/>
  <c r="R267" i="10"/>
  <c r="S267" i="10" s="1"/>
  <c r="AD165" i="10"/>
  <c r="H284" i="10"/>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D173" i="10"/>
  <c r="R314" i="10"/>
  <c r="S314" i="10" s="1"/>
  <c r="H424" i="10"/>
  <c r="G625" i="10"/>
  <c r="F367" i="10"/>
  <c r="AF367" i="10" s="1"/>
  <c r="AG367" i="10" s="1"/>
  <c r="AJ172" i="10"/>
  <c r="AK172" i="10" s="1"/>
  <c r="AL172" i="10" s="1"/>
  <c r="AN172" i="10" s="1"/>
  <c r="AD436" i="10"/>
  <c r="AD180" i="10"/>
  <c r="AL361" i="10"/>
  <c r="AN361" i="10" s="1"/>
  <c r="P252" i="10"/>
  <c r="Q275" i="10"/>
  <c r="S275" i="10" s="1"/>
  <c r="S184" i="10"/>
  <c r="P317" i="10"/>
  <c r="H388" i="10"/>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L379" i="10" s="1"/>
  <c r="AN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S145" i="10"/>
  <c r="J364" i="10"/>
  <c r="J476" i="10" s="1"/>
  <c r="N275" i="10"/>
  <c r="AJ164" i="10"/>
  <c r="AK164" i="10" s="1"/>
  <c r="AL164" i="10" s="1"/>
  <c r="AN164" i="10" s="1"/>
  <c r="AJ513" i="10"/>
  <c r="AK513" i="10" s="1"/>
  <c r="H446" i="10"/>
  <c r="F604" i="10"/>
  <c r="AF604" i="10" s="1"/>
  <c r="AG604" i="10" s="1"/>
  <c r="S217" i="10"/>
  <c r="S268" i="10"/>
  <c r="R291" i="10"/>
  <c r="AJ387" i="10"/>
  <c r="AK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AC158" i="10" s="1"/>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B130" i="10" s="1"/>
  <c r="AA94" i="10"/>
  <c r="AB94" i="10" s="1"/>
  <c r="H410" i="10"/>
  <c r="AD260" i="10"/>
  <c r="Q331" i="10"/>
  <c r="Q506" i="10"/>
  <c r="AJ560" i="10"/>
  <c r="AK560" i="10" s="1"/>
  <c r="AL560" i="10" s="1"/>
  <c r="AN560" i="10" s="1"/>
  <c r="AH560" i="10"/>
  <c r="AI560" i="10" s="1"/>
  <c r="O193" i="10"/>
  <c r="AE193" i="10"/>
  <c r="H464" i="10"/>
  <c r="AE464" i="10" s="1"/>
  <c r="AE352" i="10"/>
  <c r="H332" i="10"/>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X435" i="10" s="1"/>
  <c r="O323" i="10"/>
  <c r="G333" i="10"/>
  <c r="AJ221" i="10"/>
  <c r="AK221" i="10" s="1"/>
  <c r="AL221" i="10" s="1"/>
  <c r="AN221" i="10" s="1"/>
  <c r="AH221" i="10"/>
  <c r="AI221" i="10" s="1"/>
  <c r="AE218" i="10"/>
  <c r="H330" i="10"/>
  <c r="X330" i="10" s="1"/>
  <c r="O218" i="10"/>
  <c r="AE664" i="10"/>
  <c r="O664" i="10"/>
  <c r="M317" i="10"/>
  <c r="AD205" i="10"/>
  <c r="G288" i="10"/>
  <c r="AJ176" i="10"/>
  <c r="AK176" i="10" s="1"/>
  <c r="AL176" i="10" s="1"/>
  <c r="AN176" i="10" s="1"/>
  <c r="AH176" i="10"/>
  <c r="AI176" i="10" s="1"/>
  <c r="AE215" i="10"/>
  <c r="O215" i="10"/>
  <c r="AC215" i="10" s="1"/>
  <c r="H327" i="10"/>
  <c r="X327" i="10" s="1"/>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X391" i="10" s="1"/>
  <c r="O279" i="10"/>
  <c r="AC279" i="10" s="1"/>
  <c r="E379" i="10"/>
  <c r="I267" i="10"/>
  <c r="E333" i="10"/>
  <c r="I333" i="10" s="1"/>
  <c r="I221" i="10"/>
  <c r="Z212" i="10"/>
  <c r="AE212" i="10"/>
  <c r="AI282" i="10"/>
  <c r="E628" i="10"/>
  <c r="I628" i="10" s="1"/>
  <c r="O132" i="10"/>
  <c r="AC132" i="10" s="1"/>
  <c r="AE132" i="10"/>
  <c r="AA664" i="10"/>
  <c r="AL214" i="10"/>
  <c r="AN214" i="10" s="1"/>
  <c r="E315" i="10"/>
  <c r="S159" i="10"/>
  <c r="AA164" i="10"/>
  <c r="AB164" i="10" s="1"/>
  <c r="AE292" i="10"/>
  <c r="H404" i="10"/>
  <c r="X404" i="10" s="1"/>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X301" i="10" s="1"/>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X243" i="10" s="1"/>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X269" i="10" s="1"/>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X251" i="10" s="1"/>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X386" i="10" s="1"/>
  <c r="O274" i="10"/>
  <c r="L309" i="10"/>
  <c r="AD197" i="10"/>
  <c r="AE135" i="10"/>
  <c r="H247" i="10"/>
  <c r="X247" i="10" s="1"/>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B53" i="11"/>
  <c r="S110" i="11"/>
  <c r="AB170" i="11"/>
  <c r="Z34" i="10"/>
  <c r="AB34" i="10" s="1"/>
  <c r="Z78" i="10"/>
  <c r="AB65" i="10"/>
  <c r="S152" i="10"/>
  <c r="S200" i="10"/>
  <c r="S77" i="10"/>
  <c r="AB41" i="10"/>
  <c r="S42" i="10"/>
  <c r="I97" i="9"/>
  <c r="I124" i="9" s="1"/>
  <c r="X70" i="9"/>
  <c r="AG58" i="9"/>
  <c r="AB20" i="9"/>
  <c r="P73" i="9"/>
  <c r="J100" i="9"/>
  <c r="Q73" i="9"/>
  <c r="N73" i="9"/>
  <c r="AC73" i="9" s="1"/>
  <c r="R73" i="9"/>
  <c r="P82" i="9"/>
  <c r="R82" i="9"/>
  <c r="Q82" i="9"/>
  <c r="I73" i="9"/>
  <c r="S74" i="9"/>
  <c r="I74" i="9"/>
  <c r="E101" i="9"/>
  <c r="X79" i="9"/>
  <c r="P106" i="9"/>
  <c r="R106" i="9"/>
  <c r="F161" i="9"/>
  <c r="AF134" i="9"/>
  <c r="AG134" i="9" s="1"/>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O326" i="10"/>
  <c r="H354" i="10"/>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F417" i="10"/>
  <c r="AG417" i="10" s="1"/>
  <c r="F529" i="10"/>
  <c r="E415" i="10"/>
  <c r="I415" i="10" s="1"/>
  <c r="AA186" i="10"/>
  <c r="L369" i="10"/>
  <c r="AA174" i="10"/>
  <c r="Z174" i="10"/>
  <c r="AA202" i="10"/>
  <c r="Z202" i="10"/>
  <c r="Z70" i="10"/>
  <c r="AA70" i="10"/>
  <c r="M279" i="10"/>
  <c r="L261" i="10"/>
  <c r="L373" i="10" s="1"/>
  <c r="AD373" i="10" s="1"/>
  <c r="AD149" i="10"/>
  <c r="H335" i="10"/>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O154" i="10"/>
  <c r="H325" i="10"/>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X278" i="10" s="1"/>
  <c r="H253" i="10"/>
  <c r="O253" i="10" s="1"/>
  <c r="AJ300" i="10"/>
  <c r="AK300" i="10" s="1"/>
  <c r="AL300" i="10" s="1"/>
  <c r="AN300" i="10" s="1"/>
  <c r="E363" i="10"/>
  <c r="I363" i="10" s="1"/>
  <c r="G438" i="10"/>
  <c r="AJ438" i="10" s="1"/>
  <c r="AK438" i="10" s="1"/>
  <c r="H339" i="10"/>
  <c r="O227" i="10"/>
  <c r="AC227" i="10" s="1"/>
  <c r="Z29" i="10"/>
  <c r="AA29" i="10"/>
  <c r="AD208" i="10"/>
  <c r="L320" i="10"/>
  <c r="J243" i="10"/>
  <c r="N131" i="10"/>
  <c r="P131" i="10"/>
  <c r="Q131" i="10"/>
  <c r="R131" i="10"/>
  <c r="H254" i="10"/>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S226" i="10" s="1"/>
  <c r="N288" i="10"/>
  <c r="N506" i="10"/>
  <c r="AL330" i="10"/>
  <c r="AN330" i="10" s="1"/>
  <c r="AC16" i="10"/>
  <c r="AB96" i="10"/>
  <c r="Q300" i="10"/>
  <c r="Z141" i="10"/>
  <c r="O334" i="10"/>
  <c r="O186" i="10"/>
  <c r="AC186" i="10" s="1"/>
  <c r="H304" i="10"/>
  <c r="O192" i="10"/>
  <c r="AC192" i="10" s="1"/>
  <c r="S94" i="10"/>
  <c r="P214" i="10"/>
  <c r="Q214" i="10"/>
  <c r="S214" i="10" s="1"/>
  <c r="N214" i="10"/>
  <c r="AC214" i="10" s="1"/>
  <c r="N222" i="10"/>
  <c r="AC222" i="10" s="1"/>
  <c r="P222" i="10"/>
  <c r="Q222" i="10"/>
  <c r="S222" i="10" s="1"/>
  <c r="H329" i="10"/>
  <c r="O217" i="10"/>
  <c r="AC217" i="10" s="1"/>
  <c r="Q329" i="10"/>
  <c r="R329" i="10"/>
  <c r="N329" i="10"/>
  <c r="R320" i="10"/>
  <c r="Q320" i="10"/>
  <c r="P320" i="10"/>
  <c r="J432" i="10"/>
  <c r="N320" i="10"/>
  <c r="M308" i="10"/>
  <c r="AD196" i="10"/>
  <c r="H313" i="10"/>
  <c r="O201" i="10"/>
  <c r="AA167" i="10"/>
  <c r="Z167" i="10"/>
  <c r="AA161" i="10"/>
  <c r="Z161" i="10"/>
  <c r="E421" i="10"/>
  <c r="I421" i="10" s="1"/>
  <c r="AL294" i="10"/>
  <c r="AN294" i="10" s="1"/>
  <c r="AH607" i="10"/>
  <c r="AI607" i="10" s="1"/>
  <c r="AJ607" i="10"/>
  <c r="AK607" i="10" s="1"/>
  <c r="H297" i="10"/>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AC276" i="10" s="1"/>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O205" i="10"/>
  <c r="AC205" i="10" s="1"/>
  <c r="S380" i="10"/>
  <c r="E492" i="10"/>
  <c r="I492" i="10" s="1"/>
  <c r="AH337" i="10"/>
  <c r="AI337" i="10" s="1"/>
  <c r="P299" i="10"/>
  <c r="J395" i="10"/>
  <c r="R395" i="10" s="1"/>
  <c r="R283" i="10"/>
  <c r="Q311" i="10"/>
  <c r="L338" i="10"/>
  <c r="AD226" i="10"/>
  <c r="M319" i="10"/>
  <c r="AD207" i="10"/>
  <c r="L551" i="10"/>
  <c r="L540" i="10"/>
  <c r="AD428" i="10"/>
  <c r="L303" i="10"/>
  <c r="AD191" i="10"/>
  <c r="M355" i="10"/>
  <c r="AD243" i="10"/>
  <c r="Z45" i="10"/>
  <c r="AA45" i="10"/>
  <c r="L547" i="10"/>
  <c r="H319" i="10"/>
  <c r="O207" i="10"/>
  <c r="AC207" i="10" s="1"/>
  <c r="AA224"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S202" i="10"/>
  <c r="N283" i="10"/>
  <c r="R311" i="10"/>
  <c r="J423" i="10"/>
  <c r="R288" i="10"/>
  <c r="S288" i="10" s="1"/>
  <c r="F558" i="10"/>
  <c r="AF558" i="10" s="1"/>
  <c r="AG558" i="10" s="1"/>
  <c r="AD148" i="10"/>
  <c r="L333" i="10"/>
  <c r="AD221" i="10"/>
  <c r="L539" i="10"/>
  <c r="L246" i="10"/>
  <c r="AD134" i="10"/>
  <c r="Z44" i="10"/>
  <c r="AA44" i="10"/>
  <c r="H331" i="10"/>
  <c r="O219" i="10"/>
  <c r="AC219" i="10" s="1"/>
  <c r="L329" i="10"/>
  <c r="AD217" i="10"/>
  <c r="L306" i="10"/>
  <c r="AD194" i="10"/>
  <c r="M302" i="10"/>
  <c r="AD190" i="10"/>
  <c r="M255" i="10"/>
  <c r="AD143" i="10"/>
  <c r="H258" i="10"/>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N330" i="10"/>
  <c r="J442" i="10"/>
  <c r="Q250" i="10"/>
  <c r="N250" i="10"/>
  <c r="P250" i="10"/>
  <c r="R250" i="10"/>
  <c r="J362" i="10"/>
  <c r="AA180" i="10"/>
  <c r="Z180" i="10"/>
  <c r="AA220" i="10"/>
  <c r="Z220" i="10"/>
  <c r="H434" i="10"/>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O140" i="10"/>
  <c r="AC140" i="10" s="1"/>
  <c r="AA91" i="10"/>
  <c r="Z91" i="10"/>
  <c r="H448" i="10"/>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O265" i="10"/>
  <c r="H263" i="10"/>
  <c r="O151" i="10"/>
  <c r="AC151" i="10" s="1"/>
  <c r="AF326" i="10"/>
  <c r="AG326" i="10" s="1"/>
  <c r="F438" i="10"/>
  <c r="E437" i="10"/>
  <c r="I437" i="10" s="1"/>
  <c r="J356" i="10"/>
  <c r="P244" i="10"/>
  <c r="Q244" i="10"/>
  <c r="R244" i="10"/>
  <c r="N244" i="10"/>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O196" i="10"/>
  <c r="AC196" i="10" s="1"/>
  <c r="AA52" i="10"/>
  <c r="Z52" i="10"/>
  <c r="H250" i="10"/>
  <c r="O138" i="10"/>
  <c r="AC138" i="10" s="1"/>
  <c r="Z68" i="10"/>
  <c r="AA68" i="10"/>
  <c r="AA199" i="10"/>
  <c r="Z199" i="10"/>
  <c r="H376" i="10"/>
  <c r="O264" i="10"/>
  <c r="AC264" i="10" s="1"/>
  <c r="Z39" i="10"/>
  <c r="AA39" i="10"/>
  <c r="H293" i="10"/>
  <c r="O181" i="10"/>
  <c r="AC181" i="10" s="1"/>
  <c r="H321" i="10"/>
  <c r="O209" i="10"/>
  <c r="P560" i="10"/>
  <c r="Q560" i="10"/>
  <c r="J672" i="10"/>
  <c r="Z36" i="10"/>
  <c r="AA36" i="10"/>
  <c r="AF293" i="10"/>
  <c r="AG293" i="10" s="1"/>
  <c r="F405" i="10"/>
  <c r="AF260" i="10"/>
  <c r="AG260" i="10" s="1"/>
  <c r="F372" i="10"/>
  <c r="E468" i="10"/>
  <c r="I468" i="10" s="1"/>
  <c r="H290" i="10"/>
  <c r="O178" i="10"/>
  <c r="AC178" i="10" s="1"/>
  <c r="AA132" i="10"/>
  <c r="E381" i="10"/>
  <c r="I381" i="10" s="1"/>
  <c r="AF409" i="10"/>
  <c r="AG409" i="10" s="1"/>
  <c r="F521" i="10"/>
  <c r="L337" i="10"/>
  <c r="AD225" i="10"/>
  <c r="Z100" i="10"/>
  <c r="AA100" i="10"/>
  <c r="Z136" i="10"/>
  <c r="AA136" i="10"/>
  <c r="H324" i="10"/>
  <c r="L228" i="10"/>
  <c r="S292" i="10"/>
  <c r="P334" i="10"/>
  <c r="H285" i="10"/>
  <c r="X285" i="10" s="1"/>
  <c r="AA281" i="10"/>
  <c r="S158" i="10"/>
  <c r="J400" i="10"/>
  <c r="J512" i="10" s="1"/>
  <c r="AJ276" i="10"/>
  <c r="AK276" i="10" s="1"/>
  <c r="AL276" i="10" s="1"/>
  <c r="AN276" i="10" s="1"/>
  <c r="H305" i="10"/>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R420" i="10"/>
  <c r="J551" i="10"/>
  <c r="R439" i="10"/>
  <c r="Q439" i="10"/>
  <c r="N439" i="10"/>
  <c r="P439" i="10"/>
  <c r="H280" i="10"/>
  <c r="O168" i="10"/>
  <c r="AC168" i="10" s="1"/>
  <c r="Z63" i="10"/>
  <c r="AA63" i="10"/>
  <c r="H365" i="10"/>
  <c r="Q273" i="10"/>
  <c r="N273" i="10"/>
  <c r="J385" i="10"/>
  <c r="P273" i="10"/>
  <c r="R273" i="10"/>
  <c r="Q251" i="10"/>
  <c r="J363" i="10"/>
  <c r="P251" i="10"/>
  <c r="R251" i="10"/>
  <c r="N251" i="10"/>
  <c r="H399" i="10"/>
  <c r="O287" i="10"/>
  <c r="AC287" i="10" s="1"/>
  <c r="AA152" i="10"/>
  <c r="Z152" i="10"/>
  <c r="J384" i="10"/>
  <c r="Q272" i="10"/>
  <c r="P302" i="10"/>
  <c r="R302" i="10"/>
  <c r="Q302" i="10"/>
  <c r="N302" i="10"/>
  <c r="J414" i="10"/>
  <c r="H432" i="10"/>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O148" i="10"/>
  <c r="AC148" i="10" s="1"/>
  <c r="AH543" i="10"/>
  <c r="AI543" i="10" s="1"/>
  <c r="G655" i="10"/>
  <c r="AJ543" i="10"/>
  <c r="AK543" i="10" s="1"/>
  <c r="E411" i="10"/>
  <c r="I411" i="10" s="1"/>
  <c r="E401" i="10"/>
  <c r="I401" i="10" s="1"/>
  <c r="H275" i="10"/>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L282" i="11"/>
  <c r="L274" i="11"/>
  <c r="L266" i="11"/>
  <c r="H179" i="11"/>
  <c r="S37" i="11"/>
  <c r="H139" i="11"/>
  <c r="AE139" i="11" s="1"/>
  <c r="S31" i="11"/>
  <c r="E162" i="11"/>
  <c r="I162" i="11" s="1"/>
  <c r="AA80" i="11"/>
  <c r="L267" i="11"/>
  <c r="H183" i="11"/>
  <c r="H152" i="11"/>
  <c r="S19" i="11"/>
  <c r="H240" i="1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AF216" i="11"/>
  <c r="AG216" i="11" s="1"/>
  <c r="F278" i="11"/>
  <c r="L271" i="11"/>
  <c r="E175" i="11"/>
  <c r="I175" i="11" s="1"/>
  <c r="AF91" i="11"/>
  <c r="AG91" i="11" s="1"/>
  <c r="F153" i="11"/>
  <c r="Z185" i="11"/>
  <c r="AA185" i="11"/>
  <c r="Z177" i="11"/>
  <c r="AA177" i="11"/>
  <c r="E235" i="11"/>
  <c r="I235" i="11" s="1"/>
  <c r="E209" i="11"/>
  <c r="I209" i="11" s="1"/>
  <c r="Z50" i="11"/>
  <c r="AA50" i="11"/>
  <c r="H140" i="11"/>
  <c r="AF77" i="11"/>
  <c r="AG77" i="11" s="1"/>
  <c r="F139" i="11"/>
  <c r="Q88" i="11"/>
  <c r="N88" i="11"/>
  <c r="AC88" i="11" s="1"/>
  <c r="R88" i="11"/>
  <c r="J150" i="11"/>
  <c r="P88" i="11"/>
  <c r="F150" i="11"/>
  <c r="AF88" i="11"/>
  <c r="AG88" i="11" s="1"/>
  <c r="H236" i="1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N81" i="11"/>
  <c r="AC81" i="11" s="1"/>
  <c r="P81" i="11"/>
  <c r="R81" i="11"/>
  <c r="J143" i="11"/>
  <c r="Q81" i="11"/>
  <c r="F143" i="11"/>
  <c r="AF81" i="11"/>
  <c r="AG81" i="11" s="1"/>
  <c r="Z116" i="11"/>
  <c r="AA116" i="11"/>
  <c r="E210" i="11"/>
  <c r="I210" i="11" s="1"/>
  <c r="H311" i="11"/>
  <c r="H222" i="11"/>
  <c r="E144" i="11"/>
  <c r="I144" i="11" s="1"/>
  <c r="H211" i="11"/>
  <c r="AA247" i="11"/>
  <c r="Z247" i="11"/>
  <c r="Q350" i="11"/>
  <c r="R350" i="11"/>
  <c r="E152" i="11"/>
  <c r="I152" i="11" s="1"/>
  <c r="F307" i="11"/>
  <c r="AF245" i="11"/>
  <c r="AG245" i="11" s="1"/>
  <c r="H353" i="11"/>
  <c r="AF300" i="11"/>
  <c r="AG300" i="11" s="1"/>
  <c r="F362" i="11"/>
  <c r="AF362" i="11" s="1"/>
  <c r="AG362" i="11" s="1"/>
  <c r="Z52" i="11"/>
  <c r="AA52" i="11"/>
  <c r="H147" i="11"/>
  <c r="P176" i="11"/>
  <c r="J238" i="11"/>
  <c r="R176" i="11"/>
  <c r="N176" i="11"/>
  <c r="AC176" i="11" s="1"/>
  <c r="Q176" i="11"/>
  <c r="L242" i="11"/>
  <c r="AD180" i="11"/>
  <c r="L279" i="11"/>
  <c r="AD217" i="11"/>
  <c r="AA36" i="11"/>
  <c r="Z36" i="11"/>
  <c r="R149" i="11"/>
  <c r="N149" i="11"/>
  <c r="AC149" i="11" s="1"/>
  <c r="J211" i="11"/>
  <c r="P149" i="11"/>
  <c r="Q149" i="11"/>
  <c r="H331" i="1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E140" i="11"/>
  <c r="I140" i="11" s="1"/>
  <c r="Z112" i="11"/>
  <c r="AA112" i="11"/>
  <c r="M141" i="11"/>
  <c r="AD79" i="11"/>
  <c r="E158" i="11"/>
  <c r="I158" i="11" s="1"/>
  <c r="E151" i="11"/>
  <c r="I151" i="11" s="1"/>
  <c r="Z20" i="11"/>
  <c r="AA20" i="11"/>
  <c r="Z187" i="11"/>
  <c r="AA187" i="11"/>
  <c r="H301" i="1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Q308" i="11"/>
  <c r="R308" i="11"/>
  <c r="J370" i="11"/>
  <c r="N308" i="11"/>
  <c r="AC308" i="11" s="1"/>
  <c r="P308" i="11"/>
  <c r="AF246" i="11"/>
  <c r="AG246" i="11" s="1"/>
  <c r="F308" i="11"/>
  <c r="AD365" i="10"/>
  <c r="L477" i="10"/>
  <c r="L594" i="10"/>
  <c r="H385" i="10"/>
  <c r="O273" i="10"/>
  <c r="AA47" i="10"/>
  <c r="Z47" i="10"/>
  <c r="H427" i="10"/>
  <c r="Z211" i="10"/>
  <c r="AA211" i="10"/>
  <c r="Z179" i="10"/>
  <c r="AA179" i="10"/>
  <c r="AA188" i="10"/>
  <c r="Z188" i="10"/>
  <c r="R429" i="10"/>
  <c r="N429" i="10"/>
  <c r="J541" i="10"/>
  <c r="Q429" i="10"/>
  <c r="P429" i="10"/>
  <c r="J472" i="10"/>
  <c r="R360" i="10"/>
  <c r="N360" i="10"/>
  <c r="P360" i="10"/>
  <c r="Q360" i="10"/>
  <c r="J556" i="10"/>
  <c r="H395" i="10"/>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O143" i="10"/>
  <c r="P383" i="10"/>
  <c r="Q383" i="10"/>
  <c r="N383" i="10"/>
  <c r="J495" i="10"/>
  <c r="R383" i="10"/>
  <c r="J538" i="10"/>
  <c r="R426" i="10"/>
  <c r="N426" i="10"/>
  <c r="Q426" i="10"/>
  <c r="P426" i="10"/>
  <c r="H536" i="10"/>
  <c r="M354" i="10"/>
  <c r="AD242" i="10"/>
  <c r="P270" i="10"/>
  <c r="N270" i="10"/>
  <c r="Q270" i="10"/>
  <c r="R270" i="10"/>
  <c r="J382" i="10"/>
  <c r="AA155" i="10"/>
  <c r="Z155" i="10"/>
  <c r="AA286" i="10"/>
  <c r="Z286" i="10"/>
  <c r="Z552" i="10"/>
  <c r="F362" i="10"/>
  <c r="AF250" i="10"/>
  <c r="AG250" i="10" s="1"/>
  <c r="AF292" i="10"/>
  <c r="AG292" i="10" s="1"/>
  <c r="F404" i="10"/>
  <c r="E419" i="10"/>
  <c r="I419" i="10" s="1"/>
  <c r="S307" i="10"/>
  <c r="AF275" i="10"/>
  <c r="AG275" i="10" s="1"/>
  <c r="F387" i="10"/>
  <c r="AF299" i="10"/>
  <c r="AG299" i="10" s="1"/>
  <c r="F411" i="10"/>
  <c r="E433" i="10"/>
  <c r="I433" i="10" s="1"/>
  <c r="E554" i="10"/>
  <c r="I554" i="10" s="1"/>
  <c r="H400" i="10"/>
  <c r="O288" i="10"/>
  <c r="AF363" i="10"/>
  <c r="AG363" i="10" s="1"/>
  <c r="F475" i="10"/>
  <c r="AL174" i="10"/>
  <c r="AN174" i="10" s="1"/>
  <c r="AF259" i="10"/>
  <c r="AG259" i="10" s="1"/>
  <c r="F371" i="10"/>
  <c r="AF279" i="10"/>
  <c r="AG279" i="10" s="1"/>
  <c r="F391" i="10"/>
  <c r="AA83" i="10"/>
  <c r="Z83" i="10"/>
  <c r="Z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B42" i="10"/>
  <c r="AB78" i="10"/>
  <c r="L590" i="10"/>
  <c r="M527" i="10"/>
  <c r="M522" i="10"/>
  <c r="M518" i="10"/>
  <c r="M514" i="10"/>
  <c r="M510" i="10"/>
  <c r="M506" i="10"/>
  <c r="M502" i="10"/>
  <c r="M498" i="10"/>
  <c r="M494" i="10"/>
  <c r="M490" i="10"/>
  <c r="L588" i="10"/>
  <c r="M464" i="10"/>
  <c r="L250" i="10"/>
  <c r="AD138" i="10"/>
  <c r="H294" i="10"/>
  <c r="O182" i="10"/>
  <c r="AC182" i="10" s="1"/>
  <c r="H310" i="10"/>
  <c r="O198" i="10"/>
  <c r="AC198" i="10" s="1"/>
  <c r="AA203" i="10"/>
  <c r="Z203" i="10"/>
  <c r="H337" i="10"/>
  <c r="O225" i="10"/>
  <c r="L352" i="10"/>
  <c r="AD240" i="10"/>
  <c r="H256" i="10"/>
  <c r="O144" i="10"/>
  <c r="AC144" i="10" s="1"/>
  <c r="H522" i="10"/>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O268" i="10"/>
  <c r="AC268" i="10" s="1"/>
  <c r="AA171" i="10"/>
  <c r="Z171" i="10"/>
  <c r="R379" i="10"/>
  <c r="N379" i="10"/>
  <c r="P379" i="10"/>
  <c r="Q379" i="10"/>
  <c r="J491" i="10"/>
  <c r="R404" i="10"/>
  <c r="J516" i="10"/>
  <c r="N404" i="10"/>
  <c r="P404" i="10"/>
  <c r="Q404" i="10"/>
  <c r="S404" i="10" s="1"/>
  <c r="J301" i="10"/>
  <c r="N189" i="10"/>
  <c r="R189" i="10"/>
  <c r="P189" i="10"/>
  <c r="Q189" i="10"/>
  <c r="H249" i="10"/>
  <c r="O137" i="10"/>
  <c r="AC137" i="10" s="1"/>
  <c r="H261" i="10"/>
  <c r="O149" i="10"/>
  <c r="AC149" i="10" s="1"/>
  <c r="Z173" i="10"/>
  <c r="AA173" i="10"/>
  <c r="Z31" i="10"/>
  <c r="AA31" i="10"/>
  <c r="Z33" i="10"/>
  <c r="AA33" i="10"/>
  <c r="Z53" i="10"/>
  <c r="AA53" i="10"/>
  <c r="E241" i="10"/>
  <c r="I241" i="10" s="1"/>
  <c r="J502" i="10"/>
  <c r="R390" i="10"/>
  <c r="N390" i="10"/>
  <c r="P390" i="10"/>
  <c r="Q390" i="10"/>
  <c r="H542" i="10"/>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O309" i="10"/>
  <c r="AF198" i="10"/>
  <c r="AG198" i="10" s="1"/>
  <c r="F310" i="10"/>
  <c r="H316" i="10"/>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O145" i="10"/>
  <c r="AC145" i="10" s="1"/>
  <c r="H282" i="10"/>
  <c r="O170" i="10"/>
  <c r="AC170" i="10" s="1"/>
  <c r="Z172" i="10"/>
  <c r="AA172" i="10"/>
  <c r="AA75" i="10"/>
  <c r="Z75" i="10"/>
  <c r="H426" i="10"/>
  <c r="O314" i="10"/>
  <c r="AA46" i="10"/>
  <c r="AB46" i="10" s="1"/>
  <c r="Z226" i="10"/>
  <c r="AB226" i="10" s="1"/>
  <c r="M475" i="10"/>
  <c r="H271" i="10"/>
  <c r="O159" i="10"/>
  <c r="AC159" i="10" s="1"/>
  <c r="AA113" i="10"/>
  <c r="Z113" i="10"/>
  <c r="H401" i="10"/>
  <c r="O289" i="10"/>
  <c r="AA32" i="10"/>
  <c r="Z32" i="10"/>
  <c r="H403" i="10"/>
  <c r="O291" i="10"/>
  <c r="AC291" i="10" s="1"/>
  <c r="N519" i="10"/>
  <c r="AA156" i="10"/>
  <c r="Z156" i="10"/>
  <c r="H527" i="10"/>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O160" i="10"/>
  <c r="AC160" i="10" s="1"/>
  <c r="H295" i="10"/>
  <c r="O183" i="10"/>
  <c r="AC183" i="10" s="1"/>
  <c r="H450" i="10"/>
  <c r="O338" i="10"/>
  <c r="P375" i="10"/>
  <c r="H358" i="10"/>
  <c r="O246" i="10"/>
  <c r="AC246" i="10" s="1"/>
  <c r="Z312" i="10"/>
  <c r="AA312" i="10"/>
  <c r="L361" i="10"/>
  <c r="AD249" i="10"/>
  <c r="H408" i="10"/>
  <c r="O296" i="10"/>
  <c r="N338" i="10"/>
  <c r="P338" i="10"/>
  <c r="R338" i="10"/>
  <c r="J450" i="10"/>
  <c r="Q338" i="10"/>
  <c r="J488" i="10"/>
  <c r="P376" i="10"/>
  <c r="R376" i="10"/>
  <c r="Q376" i="10"/>
  <c r="N376" i="10"/>
  <c r="AL376" i="10"/>
  <c r="AN376" i="10" s="1"/>
  <c r="H510" i="10"/>
  <c r="O39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O221" i="10"/>
  <c r="AC221" i="10" s="1"/>
  <c r="O270" i="10"/>
  <c r="AL440" i="10"/>
  <c r="AN440" i="10" s="1"/>
  <c r="AJ672" i="10"/>
  <c r="AK672" i="10" s="1"/>
  <c r="AH672" i="10"/>
  <c r="AI672" i="10" s="1"/>
  <c r="Q396" i="10"/>
  <c r="AA37" i="10"/>
  <c r="AB37" i="10" s="1"/>
  <c r="AA150" i="10"/>
  <c r="AB150" i="10" s="1"/>
  <c r="AA194" i="10"/>
  <c r="AB194" i="10" s="1"/>
  <c r="L526" i="10"/>
  <c r="AD369" i="10"/>
  <c r="L481" i="10"/>
  <c r="H357" i="10"/>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O165" i="10"/>
  <c r="AC165" i="10" s="1"/>
  <c r="H299" i="10"/>
  <c r="O187" i="10"/>
  <c r="AC187" i="10" s="1"/>
  <c r="H418" i="10"/>
  <c r="O306" i="10"/>
  <c r="H505" i="10"/>
  <c r="H576" i="10"/>
  <c r="AE576" i="10" s="1"/>
  <c r="M228" i="10"/>
  <c r="Z184" i="10"/>
  <c r="AA184" i="10"/>
  <c r="R304" i="10"/>
  <c r="Q304" i="10"/>
  <c r="J416" i="10"/>
  <c r="N304" i="10"/>
  <c r="P304" i="10"/>
  <c r="P260" i="10"/>
  <c r="J372" i="10"/>
  <c r="R260" i="10"/>
  <c r="N260" i="10"/>
  <c r="Q260" i="10"/>
  <c r="H379" i="10"/>
  <c r="O267" i="10"/>
  <c r="AC267" i="10" s="1"/>
  <c r="J471" i="10"/>
  <c r="R359" i="10"/>
  <c r="Q359" i="10"/>
  <c r="P359" i="10"/>
  <c r="N359" i="10"/>
  <c r="R604" i="10"/>
  <c r="N604" i="10"/>
  <c r="P604" i="10"/>
  <c r="Q604" i="10"/>
  <c r="H577" i="10"/>
  <c r="O465" i="10"/>
  <c r="R443" i="10"/>
  <c r="N443" i="10"/>
  <c r="E403" i="10"/>
  <c r="I403" i="10" s="1"/>
  <c r="AF302" i="10"/>
  <c r="AG302" i="10" s="1"/>
  <c r="F414" i="10"/>
  <c r="AF315" i="10"/>
  <c r="AG315" i="10" s="1"/>
  <c r="F427" i="10"/>
  <c r="H374" i="10"/>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O195" i="10"/>
  <c r="AC195" i="10" s="1"/>
  <c r="E331" i="10"/>
  <c r="I331" i="10" s="1"/>
  <c r="H371" i="10"/>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AD70" i="9"/>
  <c r="L85" i="9"/>
  <c r="X111" i="9"/>
  <c r="H138" i="9"/>
  <c r="AE138" i="9" s="1"/>
  <c r="AD184" i="9"/>
  <c r="AA50" i="9"/>
  <c r="Z50" i="9"/>
  <c r="Q133" i="9"/>
  <c r="R133" i="9"/>
  <c r="N133" i="9"/>
  <c r="AC133" i="9" s="1"/>
  <c r="J160" i="9"/>
  <c r="P133" i="9"/>
  <c r="H129" i="9"/>
  <c r="AE129" i="9" s="1"/>
  <c r="X102" i="9"/>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Q31" i="9"/>
  <c r="S191" i="9"/>
  <c r="I191" i="9"/>
  <c r="X127" i="9"/>
  <c r="H154" i="9"/>
  <c r="AE154" i="9" s="1"/>
  <c r="AF126" i="9"/>
  <c r="AG126" i="9" s="1"/>
  <c r="F153" i="9"/>
  <c r="AA45" i="9"/>
  <c r="Z45" i="9"/>
  <c r="X110" i="9"/>
  <c r="H137" i="9"/>
  <c r="AE137" i="9" s="1"/>
  <c r="M135" i="9"/>
  <c r="AD108" i="9"/>
  <c r="M127" i="9"/>
  <c r="AD100" i="9"/>
  <c r="H133" i="9"/>
  <c r="AE133" i="9" s="1"/>
  <c r="X106" i="9"/>
  <c r="J110" i="9"/>
  <c r="P83" i="9"/>
  <c r="Q83" i="9"/>
  <c r="N83" i="9"/>
  <c r="AC83" i="9" s="1"/>
  <c r="R83" i="9"/>
  <c r="R81" i="9"/>
  <c r="P81" i="9"/>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X135"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47" i="11"/>
  <c r="AB74" i="10"/>
  <c r="AB35" i="11"/>
  <c r="AB63" i="11"/>
  <c r="AA88" i="11" l="1"/>
  <c r="AA166" i="11"/>
  <c r="AB166" i="11" s="1"/>
  <c r="AA94" i="11"/>
  <c r="AC189" i="10"/>
  <c r="AA185" i="10"/>
  <c r="AB185" i="10" s="1"/>
  <c r="AC131" i="10"/>
  <c r="Z218" i="10"/>
  <c r="Z142" i="10"/>
  <c r="AB142" i="10" s="1"/>
  <c r="S307" i="11"/>
  <c r="S204" i="11"/>
  <c r="AC244" i="10"/>
  <c r="S295" i="10"/>
  <c r="Z227" i="10"/>
  <c r="AB227" i="10" s="1"/>
  <c r="Z158" i="10"/>
  <c r="AB158" i="10" s="1"/>
  <c r="S245" i="11"/>
  <c r="Q278" i="11"/>
  <c r="K44" i="16"/>
  <c r="J46" i="16"/>
  <c r="E475" i="10"/>
  <c r="I475" i="10" s="1"/>
  <c r="AL387" i="10"/>
  <c r="AN387" i="10" s="1"/>
  <c r="AF130" i="9"/>
  <c r="AG130" i="9" s="1"/>
  <c r="F157" i="9"/>
  <c r="H44" i="17"/>
  <c r="H39" i="20"/>
  <c r="AB218" i="10"/>
  <c r="J14" i="18"/>
  <c r="J52" i="17" s="1"/>
  <c r="I40" i="20"/>
  <c r="AE371" i="10"/>
  <c r="X371" i="10"/>
  <c r="AE577" i="10"/>
  <c r="X577" i="10"/>
  <c r="AE418" i="10"/>
  <c r="X418" i="10"/>
  <c r="AE277" i="10"/>
  <c r="X277" i="10"/>
  <c r="AE333" i="10"/>
  <c r="X333" i="10"/>
  <c r="AE295" i="10"/>
  <c r="X295" i="10"/>
  <c r="AE527" i="10"/>
  <c r="X527" i="10"/>
  <c r="AE426" i="10"/>
  <c r="X426" i="10"/>
  <c r="AE257" i="10"/>
  <c r="X257" i="10"/>
  <c r="AE522" i="10"/>
  <c r="X522" i="10"/>
  <c r="AE294" i="10"/>
  <c r="X294" i="10"/>
  <c r="AE400" i="10"/>
  <c r="X400" i="10"/>
  <c r="AE152" i="11"/>
  <c r="X152" i="11"/>
  <c r="AE275" i="10"/>
  <c r="X275" i="10"/>
  <c r="AE432" i="10"/>
  <c r="X432" i="10"/>
  <c r="AE290" i="10"/>
  <c r="X290" i="10"/>
  <c r="AE321" i="10"/>
  <c r="X321" i="10"/>
  <c r="AE250" i="10"/>
  <c r="X250" i="10"/>
  <c r="AE308" i="10"/>
  <c r="X308" i="10"/>
  <c r="AE263" i="10"/>
  <c r="X263" i="10"/>
  <c r="AE434" i="10"/>
  <c r="X434" i="10"/>
  <c r="AE258" i="10"/>
  <c r="X258" i="10"/>
  <c r="AE319" i="10"/>
  <c r="X319" i="10"/>
  <c r="AE304" i="10"/>
  <c r="X304" i="10"/>
  <c r="AE254" i="10"/>
  <c r="X254" i="10"/>
  <c r="AE266" i="10"/>
  <c r="X266" i="10"/>
  <c r="AE335" i="10"/>
  <c r="X335" i="10"/>
  <c r="AB94" i="11"/>
  <c r="AE424" i="10"/>
  <c r="X424" i="10"/>
  <c r="AE430" i="10"/>
  <c r="X430" i="10"/>
  <c r="AE300" i="10"/>
  <c r="X300" i="10"/>
  <c r="AE142" i="11"/>
  <c r="X142" i="11"/>
  <c r="AE235" i="11"/>
  <c r="X235" i="11"/>
  <c r="H297" i="11"/>
  <c r="Z232" i="11"/>
  <c r="AA232" i="11"/>
  <c r="Z175" i="11"/>
  <c r="AA175" i="11"/>
  <c r="H151" i="9"/>
  <c r="I151" i="9" s="1"/>
  <c r="AE124" i="9"/>
  <c r="AE358" i="10"/>
  <c r="X358" i="10"/>
  <c r="AE316" i="10"/>
  <c r="X316" i="10"/>
  <c r="AE421" i="10"/>
  <c r="X421" i="10"/>
  <c r="AE542" i="10"/>
  <c r="X542" i="10"/>
  <c r="AE261" i="10"/>
  <c r="X261" i="10"/>
  <c r="AE395" i="10"/>
  <c r="X395" i="10"/>
  <c r="AE331" i="11"/>
  <c r="X331" i="11"/>
  <c r="AE222" i="11"/>
  <c r="X222" i="11"/>
  <c r="AE144" i="11"/>
  <c r="X144" i="11"/>
  <c r="AE140" i="11"/>
  <c r="X140" i="11"/>
  <c r="AE183" i="11"/>
  <c r="X183" i="11"/>
  <c r="AE179" i="11"/>
  <c r="X179" i="11"/>
  <c r="AE210" i="11"/>
  <c r="X210" i="11"/>
  <c r="AE204" i="11"/>
  <c r="X204" i="11"/>
  <c r="AE305" i="10"/>
  <c r="X305" i="10"/>
  <c r="Z305" i="10" s="1"/>
  <c r="AE393" i="10"/>
  <c r="X393" i="10"/>
  <c r="AA393" i="10" s="1"/>
  <c r="AE317" i="10"/>
  <c r="X317" i="10"/>
  <c r="AE423" i="10"/>
  <c r="X423" i="10"/>
  <c r="AE297" i="10"/>
  <c r="X297" i="10"/>
  <c r="AE354" i="10"/>
  <c r="X354" i="10"/>
  <c r="AE410" i="10"/>
  <c r="X410" i="10"/>
  <c r="Z410" i="10" s="1"/>
  <c r="AE270" i="10"/>
  <c r="X270" i="10"/>
  <c r="AA270" i="10" s="1"/>
  <c r="AE446" i="10"/>
  <c r="X446" i="10"/>
  <c r="AA446" i="10" s="1"/>
  <c r="AE388" i="10"/>
  <c r="X388" i="10"/>
  <c r="Z388" i="10" s="1"/>
  <c r="AE150" i="11"/>
  <c r="X150" i="11"/>
  <c r="Z150" i="11" s="1"/>
  <c r="AE168" i="11"/>
  <c r="X168" i="11"/>
  <c r="AA168" i="11" s="1"/>
  <c r="AE291" i="11"/>
  <c r="X291" i="11"/>
  <c r="Z291" i="11" s="1"/>
  <c r="H356" i="10"/>
  <c r="X244" i="10"/>
  <c r="Z244" i="10" s="1"/>
  <c r="X294" i="11"/>
  <c r="AE294" i="11"/>
  <c r="H356" i="11"/>
  <c r="H299" i="11"/>
  <c r="X237" i="11"/>
  <c r="AE237" i="11"/>
  <c r="I125" i="9"/>
  <c r="S125" i="9"/>
  <c r="E152" i="9"/>
  <c r="P85" i="9"/>
  <c r="AE505" i="10"/>
  <c r="X505" i="10"/>
  <c r="AE299" i="10"/>
  <c r="X299" i="10"/>
  <c r="F60" i="20"/>
  <c r="AE510" i="10"/>
  <c r="X510" i="10"/>
  <c r="AE450" i="10"/>
  <c r="X450" i="10"/>
  <c r="AE272" i="10"/>
  <c r="X272" i="10"/>
  <c r="AE282" i="10"/>
  <c r="X282" i="10"/>
  <c r="AE380" i="10"/>
  <c r="X380" i="10"/>
  <c r="AE256" i="10"/>
  <c r="X256" i="10"/>
  <c r="AE337" i="10"/>
  <c r="X337" i="10"/>
  <c r="AE310" i="10"/>
  <c r="X310" i="10"/>
  <c r="AE536" i="10"/>
  <c r="X536" i="10"/>
  <c r="AE255" i="10"/>
  <c r="X255" i="10"/>
  <c r="AE301" i="11"/>
  <c r="X301" i="11"/>
  <c r="AE147" i="11"/>
  <c r="X147" i="11"/>
  <c r="AE311" i="11"/>
  <c r="X311" i="11"/>
  <c r="AE240" i="11"/>
  <c r="X240" i="11"/>
  <c r="AE293" i="10"/>
  <c r="X293" i="10"/>
  <c r="AE376" i="10"/>
  <c r="X376" i="10"/>
  <c r="AE377" i="10"/>
  <c r="X377" i="10"/>
  <c r="AE448" i="10"/>
  <c r="X448" i="10"/>
  <c r="AE252" i="10"/>
  <c r="X252" i="10"/>
  <c r="AE331" i="10"/>
  <c r="X331" i="10"/>
  <c r="AE325" i="10"/>
  <c r="X325" i="10"/>
  <c r="AE332" i="10"/>
  <c r="X332" i="10"/>
  <c r="AA332" i="10" s="1"/>
  <c r="AE298" i="10"/>
  <c r="X298" i="10"/>
  <c r="X228" i="11"/>
  <c r="AE228" i="11"/>
  <c r="H290" i="11"/>
  <c r="P97" i="9"/>
  <c r="AE307" i="10"/>
  <c r="X307" i="10"/>
  <c r="AE374" i="10"/>
  <c r="X374" i="10"/>
  <c r="AE379" i="10"/>
  <c r="X379" i="10"/>
  <c r="AE357" i="10"/>
  <c r="X357" i="10"/>
  <c r="AE408" i="10"/>
  <c r="X408" i="10"/>
  <c r="AE403" i="10"/>
  <c r="X403" i="10"/>
  <c r="AE401" i="10"/>
  <c r="X401" i="10"/>
  <c r="AE271" i="10"/>
  <c r="X271" i="10"/>
  <c r="AE249" i="10"/>
  <c r="X249" i="10"/>
  <c r="AE427" i="10"/>
  <c r="X427" i="10"/>
  <c r="AE385" i="10"/>
  <c r="X385" i="10"/>
  <c r="AE353" i="11"/>
  <c r="X353" i="11"/>
  <c r="AE211" i="11"/>
  <c r="X211" i="11"/>
  <c r="AE236" i="11"/>
  <c r="X236" i="11"/>
  <c r="AE360" i="10"/>
  <c r="X360" i="10"/>
  <c r="AE260" i="10"/>
  <c r="X260" i="10"/>
  <c r="AE399" i="10"/>
  <c r="X399" i="10"/>
  <c r="AE365" i="10"/>
  <c r="X365" i="10"/>
  <c r="AE280" i="10"/>
  <c r="X280" i="10"/>
  <c r="O324" i="10"/>
  <c r="AC324" i="10" s="1"/>
  <c r="X324" i="10"/>
  <c r="AE302" i="10"/>
  <c r="X302" i="10"/>
  <c r="AE313" i="10"/>
  <c r="X313" i="10"/>
  <c r="AE329" i="10"/>
  <c r="X329" i="10"/>
  <c r="AE339" i="10"/>
  <c r="X339" i="10"/>
  <c r="AE253" i="10"/>
  <c r="X253" i="10"/>
  <c r="AE438" i="10"/>
  <c r="X438" i="10"/>
  <c r="AE309" i="10"/>
  <c r="X309" i="10"/>
  <c r="AE268" i="10"/>
  <c r="X268" i="10"/>
  <c r="AE284" i="10"/>
  <c r="X284" i="10"/>
  <c r="AE315" i="10"/>
  <c r="X315" i="10"/>
  <c r="AE245" i="10"/>
  <c r="X245" i="10"/>
  <c r="F59" i="20"/>
  <c r="H300" i="11"/>
  <c r="X238" i="11"/>
  <c r="AE238" i="11"/>
  <c r="F12" i="18"/>
  <c r="H37" i="5"/>
  <c r="G36" i="5"/>
  <c r="G30" i="5"/>
  <c r="G29" i="5"/>
  <c r="G33" i="5"/>
  <c r="G42" i="5" s="1"/>
  <c r="H221" i="5" s="1"/>
  <c r="G24" i="5"/>
  <c r="G26" i="5"/>
  <c r="G25" i="5"/>
  <c r="G16" i="5"/>
  <c r="G106" i="5"/>
  <c r="G109" i="5" s="1"/>
  <c r="G120" i="5"/>
  <c r="G118" i="5"/>
  <c r="G119" i="5"/>
  <c r="F52" i="18"/>
  <c r="F54" i="18"/>
  <c r="F53" i="18"/>
  <c r="G49" i="1"/>
  <c r="F51" i="20"/>
  <c r="L46" i="1"/>
  <c r="I50" i="20"/>
  <c r="L41" i="1"/>
  <c r="K113" i="5"/>
  <c r="K36" i="1"/>
  <c r="L33" i="1"/>
  <c r="I108" i="5"/>
  <c r="G52" i="20"/>
  <c r="J108" i="5"/>
  <c r="H52" i="20"/>
  <c r="I105" i="5"/>
  <c r="G47" i="20"/>
  <c r="H83" i="5"/>
  <c r="H87" i="5" s="1"/>
  <c r="G53" i="18"/>
  <c r="G54" i="18"/>
  <c r="H118" i="5"/>
  <c r="H120" i="5"/>
  <c r="H119" i="5"/>
  <c r="H106" i="5"/>
  <c r="H109" i="5" s="1"/>
  <c r="G52" i="18"/>
  <c r="S149" i="11"/>
  <c r="S16" i="9"/>
  <c r="S31" i="9" s="1"/>
  <c r="F57" i="16"/>
  <c r="F15" i="18"/>
  <c r="F16" i="18"/>
  <c r="C78" i="4"/>
  <c r="D78" i="4" s="1"/>
  <c r="S330" i="10"/>
  <c r="S272" i="10"/>
  <c r="K203" i="5"/>
  <c r="L233" i="5"/>
  <c r="K233" i="5"/>
  <c r="G67" i="20"/>
  <c r="G133" i="18"/>
  <c r="K218" i="5"/>
  <c r="J188" i="5"/>
  <c r="F67" i="20"/>
  <c r="F133" i="18"/>
  <c r="F134" i="18" s="1"/>
  <c r="K58" i="5"/>
  <c r="K188" i="5" s="1"/>
  <c r="L54" i="5"/>
  <c r="L58" i="5" s="1"/>
  <c r="S218" i="10"/>
  <c r="S291" i="10"/>
  <c r="S209" i="11"/>
  <c r="H232" i="5"/>
  <c r="AB15" i="11"/>
  <c r="R15" i="11" s="1"/>
  <c r="S15" i="11" s="1"/>
  <c r="H21" i="5"/>
  <c r="I219" i="5" s="1"/>
  <c r="H19" i="5"/>
  <c r="H20" i="5"/>
  <c r="H18" i="5"/>
  <c r="H16" i="5"/>
  <c r="I177" i="21"/>
  <c r="I25" i="17"/>
  <c r="I26" i="17" s="1"/>
  <c r="K25" i="17"/>
  <c r="K26" i="17" s="1"/>
  <c r="J36" i="17"/>
  <c r="L14" i="16"/>
  <c r="K36" i="17" s="1"/>
  <c r="J25" i="17"/>
  <c r="J26" i="17" s="1"/>
  <c r="S451" i="10"/>
  <c r="S308" i="10"/>
  <c r="S112" i="11"/>
  <c r="S299" i="10"/>
  <c r="S168" i="11"/>
  <c r="S317" i="10"/>
  <c r="I152" i="21"/>
  <c r="I168" i="21"/>
  <c r="I140" i="21"/>
  <c r="G27" i="5"/>
  <c r="H217" i="5" s="1"/>
  <c r="K154" i="21"/>
  <c r="H24" i="15" s="1"/>
  <c r="K170" i="21"/>
  <c r="H76" i="15" s="1"/>
  <c r="J160" i="21"/>
  <c r="F58" i="20" s="1"/>
  <c r="L135" i="21"/>
  <c r="L154" i="21" s="1"/>
  <c r="I24" i="15" s="1"/>
  <c r="G31" i="20" s="1"/>
  <c r="M99" i="21"/>
  <c r="L176" i="21"/>
  <c r="L160" i="21" s="1"/>
  <c r="H58" i="20" s="1"/>
  <c r="L42" i="21"/>
  <c r="M20" i="21"/>
  <c r="L31" i="1"/>
  <c r="K24" i="1"/>
  <c r="K111" i="5" s="1"/>
  <c r="J26" i="1"/>
  <c r="J114" i="5"/>
  <c r="I38" i="1"/>
  <c r="I232" i="5"/>
  <c r="I202" i="5"/>
  <c r="H33" i="5"/>
  <c r="H29" i="5"/>
  <c r="H49" i="1"/>
  <c r="H30" i="5"/>
  <c r="H25" i="5"/>
  <c r="H26" i="5"/>
  <c r="H24" i="5"/>
  <c r="H28" i="17"/>
  <c r="K19" i="12"/>
  <c r="L16" i="12" s="1"/>
  <c r="J38" i="16"/>
  <c r="J42" i="16" s="1"/>
  <c r="I38" i="20" s="1"/>
  <c r="S167" i="11"/>
  <c r="S175" i="11"/>
  <c r="AB33" i="11"/>
  <c r="AB41" i="11"/>
  <c r="H230" i="11"/>
  <c r="N161" i="11"/>
  <c r="AC161" i="11" s="1"/>
  <c r="S170" i="11"/>
  <c r="S156" i="11"/>
  <c r="F304" i="11"/>
  <c r="AF242" i="11"/>
  <c r="AG242" i="11" s="1"/>
  <c r="H212" i="11"/>
  <c r="P161" i="11"/>
  <c r="S96" i="11"/>
  <c r="AB111" i="11"/>
  <c r="S109" i="11"/>
  <c r="S328" i="11"/>
  <c r="S179" i="11"/>
  <c r="S250" i="11"/>
  <c r="S235" i="11"/>
  <c r="R161" i="11"/>
  <c r="S161" i="11" s="1"/>
  <c r="J223" i="11"/>
  <c r="AF270" i="11"/>
  <c r="AG270" i="11" s="1"/>
  <c r="F332" i="11"/>
  <c r="AF332" i="11" s="1"/>
  <c r="AG332" i="11" s="1"/>
  <c r="AB162" i="11"/>
  <c r="S86" i="11"/>
  <c r="S162" i="11"/>
  <c r="S278"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L228" i="11"/>
  <c r="AD166" i="11"/>
  <c r="L247" i="11"/>
  <c r="AD185" i="11"/>
  <c r="AF295" i="11"/>
  <c r="AG295" i="11" s="1"/>
  <c r="F357" i="11"/>
  <c r="AF357" i="11" s="1"/>
  <c r="AG357" i="11" s="1"/>
  <c r="AE205" i="11"/>
  <c r="H267" i="11"/>
  <c r="X267" i="11" s="1"/>
  <c r="F303" i="11"/>
  <c r="AF241" i="11"/>
  <c r="AG241" i="11" s="1"/>
  <c r="M237" i="11"/>
  <c r="AD175" i="11"/>
  <c r="E242" i="11"/>
  <c r="I180" i="11"/>
  <c r="AE182" i="11"/>
  <c r="H244" i="11"/>
  <c r="X244" i="11" s="1"/>
  <c r="I307" i="11"/>
  <c r="E369" i="11"/>
  <c r="I369" i="11" s="1"/>
  <c r="R140" i="11"/>
  <c r="J202" i="11"/>
  <c r="Q140" i="11"/>
  <c r="N140" i="11"/>
  <c r="AC140" i="11" s="1"/>
  <c r="P140" i="11"/>
  <c r="AE233" i="11"/>
  <c r="H295" i="11"/>
  <c r="X295" i="11" s="1"/>
  <c r="AE243" i="11"/>
  <c r="H305" i="11"/>
  <c r="X305" i="11" s="1"/>
  <c r="M204" i="11"/>
  <c r="AD142" i="11"/>
  <c r="Z159" i="11"/>
  <c r="AA159" i="11"/>
  <c r="AE286" i="11"/>
  <c r="H348" i="11"/>
  <c r="X348" i="11" s="1"/>
  <c r="AE309" i="11"/>
  <c r="H371" i="11"/>
  <c r="X371" i="11" s="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17" i="11"/>
  <c r="AA217" i="11"/>
  <c r="Z219" i="11"/>
  <c r="AA219" i="11"/>
  <c r="E218" i="11"/>
  <c r="I156" i="11"/>
  <c r="N311" i="11"/>
  <c r="AC311" i="11" s="1"/>
  <c r="R311" i="11"/>
  <c r="J373" i="11"/>
  <c r="P311" i="11"/>
  <c r="Q311" i="11"/>
  <c r="M302" i="11"/>
  <c r="AD240" i="11"/>
  <c r="S177" i="11"/>
  <c r="AA146" i="11"/>
  <c r="Z146" i="11"/>
  <c r="AE225" i="11"/>
  <c r="H287" i="11"/>
  <c r="X287" i="11" s="1"/>
  <c r="Z158" i="11"/>
  <c r="AA158" i="11"/>
  <c r="N350" i="11"/>
  <c r="AC350" i="11" s="1"/>
  <c r="AE304" i="11"/>
  <c r="H366" i="11"/>
  <c r="X366" i="11" s="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X355" i="11" s="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X246" i="11" s="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X275" i="11" s="1"/>
  <c r="AF220" i="11"/>
  <c r="AG220" i="11" s="1"/>
  <c r="F282" i="11"/>
  <c r="AE223" i="11"/>
  <c r="H285" i="11"/>
  <c r="X285" i="11" s="1"/>
  <c r="AE215" i="11"/>
  <c r="H277" i="11"/>
  <c r="X277" i="11" s="1"/>
  <c r="Q158" i="11"/>
  <c r="N158" i="11"/>
  <c r="AC158" i="11" s="1"/>
  <c r="R158" i="11"/>
  <c r="J220" i="11"/>
  <c r="P158" i="11"/>
  <c r="L226" i="11"/>
  <c r="AD164" i="11"/>
  <c r="F286" i="11"/>
  <c r="AF224" i="11"/>
  <c r="AG224" i="11" s="1"/>
  <c r="AE289" i="11"/>
  <c r="H351" i="11"/>
  <c r="X351" i="11" s="1"/>
  <c r="F294" i="11"/>
  <c r="AF232" i="11"/>
  <c r="AG232" i="11" s="1"/>
  <c r="E281" i="11"/>
  <c r="I219" i="11"/>
  <c r="P171" i="11"/>
  <c r="N171" i="11"/>
  <c r="AC171" i="11" s="1"/>
  <c r="Q171" i="11"/>
  <c r="R171" i="11"/>
  <c r="J233" i="11"/>
  <c r="AA231" i="11"/>
  <c r="Z231" i="11"/>
  <c r="AE248" i="11"/>
  <c r="H310" i="11"/>
  <c r="X310" i="11" s="1"/>
  <c r="E239" i="11"/>
  <c r="I177" i="11"/>
  <c r="Z122" i="11"/>
  <c r="AA122" i="11"/>
  <c r="L210" i="11"/>
  <c r="AD148" i="11"/>
  <c r="L223" i="11"/>
  <c r="AD161" i="11"/>
  <c r="S104" i="11"/>
  <c r="I285" i="11"/>
  <c r="E347" i="11"/>
  <c r="I347" i="11" s="1"/>
  <c r="Z102" i="11"/>
  <c r="AA102" i="11"/>
  <c r="L243" i="11"/>
  <c r="AD181" i="11"/>
  <c r="Z79" i="11"/>
  <c r="AA79" i="11"/>
  <c r="I174" i="11"/>
  <c r="E236" i="11"/>
  <c r="AE216" i="11"/>
  <c r="H278" i="11"/>
  <c r="X278" i="11" s="1"/>
  <c r="M233" i="11"/>
  <c r="AD171" i="11"/>
  <c r="AE234" i="11"/>
  <c r="H296" i="11"/>
  <c r="X296" i="11" s="1"/>
  <c r="M220" i="11"/>
  <c r="AD158" i="11"/>
  <c r="AB20" i="11"/>
  <c r="E208" i="11"/>
  <c r="I208" i="11" s="1"/>
  <c r="AA106" i="11"/>
  <c r="AB106" i="11" s="1"/>
  <c r="AE221" i="11"/>
  <c r="H283" i="11"/>
  <c r="X283" i="11" s="1"/>
  <c r="Z224" i="11"/>
  <c r="AA224" i="11"/>
  <c r="AB58" i="11"/>
  <c r="S159" i="11"/>
  <c r="AE156" i="11"/>
  <c r="H218" i="11"/>
  <c r="X218" i="11" s="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X250" i="11" s="1"/>
  <c r="M212" i="11"/>
  <c r="AD150" i="11"/>
  <c r="AF234" i="11"/>
  <c r="AG234" i="11" s="1"/>
  <c r="F296" i="11"/>
  <c r="AF243" i="11"/>
  <c r="AG243" i="11" s="1"/>
  <c r="F305" i="11"/>
  <c r="I293" i="11"/>
  <c r="E355" i="11"/>
  <c r="I355" i="11" s="1"/>
  <c r="R276" i="11"/>
  <c r="J338" i="11"/>
  <c r="N276" i="11"/>
  <c r="AC276" i="11" s="1"/>
  <c r="P276" i="11"/>
  <c r="Q276" i="11"/>
  <c r="S276" i="11" s="1"/>
  <c r="AE279" i="11"/>
  <c r="H341" i="11"/>
  <c r="X341" i="11" s="1"/>
  <c r="AB115" i="11"/>
  <c r="AE281" i="11"/>
  <c r="H343" i="11"/>
  <c r="X343" i="11" s="1"/>
  <c r="I155" i="11"/>
  <c r="E217" i="11"/>
  <c r="AE164" i="11"/>
  <c r="H226" i="11"/>
  <c r="X226" i="11" s="1"/>
  <c r="L218" i="11"/>
  <c r="AD156" i="11"/>
  <c r="Q225" i="11"/>
  <c r="N225" i="11"/>
  <c r="AC225" i="11" s="1"/>
  <c r="R225" i="11"/>
  <c r="J287" i="11"/>
  <c r="P225" i="11"/>
  <c r="L202" i="11"/>
  <c r="AD140" i="11"/>
  <c r="AE141" i="11"/>
  <c r="H203" i="11"/>
  <c r="X203" i="11" s="1"/>
  <c r="L227" i="11"/>
  <c r="AD165" i="11"/>
  <c r="P141" i="11"/>
  <c r="Q141" i="11"/>
  <c r="N141" i="11"/>
  <c r="AC141" i="11" s="1"/>
  <c r="R141" i="11"/>
  <c r="J203" i="11"/>
  <c r="AB21" i="11"/>
  <c r="AA154" i="11"/>
  <c r="Z154" i="11"/>
  <c r="I233" i="11"/>
  <c r="E295" i="11"/>
  <c r="AA172" i="11"/>
  <c r="Z172" i="11"/>
  <c r="P230" i="11"/>
  <c r="J292" i="11"/>
  <c r="R230" i="11"/>
  <c r="N230" i="11"/>
  <c r="AC230" i="11" s="1"/>
  <c r="Q230" i="11"/>
  <c r="AE208" i="11"/>
  <c r="H270" i="11"/>
  <c r="X270" i="11" s="1"/>
  <c r="S78" i="11"/>
  <c r="Z163" i="11"/>
  <c r="AA163" i="11"/>
  <c r="L231" i="11"/>
  <c r="AD169" i="11"/>
  <c r="AE220" i="11"/>
  <c r="H282" i="11"/>
  <c r="X282" i="11" s="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X558" i="10" s="1"/>
  <c r="Z558" i="10" s="1"/>
  <c r="AL444" i="10"/>
  <c r="AN444" i="10" s="1"/>
  <c r="S284" i="10"/>
  <c r="AH450" i="10"/>
  <c r="AI450" i="10" s="1"/>
  <c r="R364" i="10"/>
  <c r="P294" i="10"/>
  <c r="J406" i="10"/>
  <c r="E504" i="10"/>
  <c r="I504" i="10" s="1"/>
  <c r="AC465" i="10"/>
  <c r="Q618" i="10"/>
  <c r="AC314" i="10"/>
  <c r="H412" i="10"/>
  <c r="Q375" i="10"/>
  <c r="P400" i="10"/>
  <c r="O424" i="10"/>
  <c r="N444" i="10"/>
  <c r="P364" i="10"/>
  <c r="AC312" i="10"/>
  <c r="I441" i="10"/>
  <c r="E553" i="10"/>
  <c r="I553" i="10" s="1"/>
  <c r="Q443" i="10"/>
  <c r="O284" i="10"/>
  <c r="AC284" i="10" s="1"/>
  <c r="H382" i="10"/>
  <c r="AD299" i="10"/>
  <c r="F471" i="10"/>
  <c r="AA315" i="10"/>
  <c r="Q420" i="10"/>
  <c r="O332" i="10"/>
  <c r="AC332" i="10" s="1"/>
  <c r="Z664" i="10"/>
  <c r="AB664" i="10" s="1"/>
  <c r="I329" i="10"/>
  <c r="AH284" i="10"/>
  <c r="AI284" i="10" s="1"/>
  <c r="P443" i="10"/>
  <c r="H396" i="10"/>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X444" i="10" s="1"/>
  <c r="AA444" i="10" s="1"/>
  <c r="AL443" i="10"/>
  <c r="AN443" i="10" s="1"/>
  <c r="E534" i="10"/>
  <c r="I534" i="10" s="1"/>
  <c r="AC218" i="10"/>
  <c r="AB84" i="10"/>
  <c r="AB440" i="10"/>
  <c r="AL305" i="10"/>
  <c r="AN305" i="10" s="1"/>
  <c r="G414" i="10"/>
  <c r="E435" i="10"/>
  <c r="I435" i="10" s="1"/>
  <c r="N415" i="10"/>
  <c r="H500" i="10"/>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N395" i="10"/>
  <c r="AC273" i="10"/>
  <c r="H397" i="10"/>
  <c r="AE285" i="10"/>
  <c r="AC209" i="10"/>
  <c r="P412" i="10"/>
  <c r="AC146" i="10"/>
  <c r="AD261" i="10"/>
  <c r="E358" i="10"/>
  <c r="I246" i="10"/>
  <c r="AF424" i="10"/>
  <c r="AG424" i="10" s="1"/>
  <c r="F536" i="10"/>
  <c r="Z135" i="10"/>
  <c r="AA135" i="10"/>
  <c r="AE386" i="10"/>
  <c r="O386" i="10"/>
  <c r="H498" i="10"/>
  <c r="X498" i="10" s="1"/>
  <c r="I482" i="10"/>
  <c r="E594" i="10"/>
  <c r="I594" i="10" s="1"/>
  <c r="AJ413" i="10"/>
  <c r="AK413" i="10" s="1"/>
  <c r="G525" i="10"/>
  <c r="AH413" i="10"/>
  <c r="AI413" i="10" s="1"/>
  <c r="N419" i="10"/>
  <c r="Q419" i="10"/>
  <c r="J531" i="10"/>
  <c r="P419" i="10"/>
  <c r="R419" i="10"/>
  <c r="Q381" i="10"/>
  <c r="N381" i="10"/>
  <c r="J493" i="10"/>
  <c r="R381" i="10"/>
  <c r="P381" i="10"/>
  <c r="AE251" i="10"/>
  <c r="H363" i="10"/>
  <c r="X363" i="10" s="1"/>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X355" i="10" s="1"/>
  <c r="G392" i="10"/>
  <c r="AJ280" i="10"/>
  <c r="AK280" i="10" s="1"/>
  <c r="AL280" i="10" s="1"/>
  <c r="AN280" i="10" s="1"/>
  <c r="AH280" i="10"/>
  <c r="AI280" i="10" s="1"/>
  <c r="AF304" i="10"/>
  <c r="AG304" i="10" s="1"/>
  <c r="F416" i="10"/>
  <c r="AF335" i="10"/>
  <c r="AG335" i="10" s="1"/>
  <c r="F447" i="10"/>
  <c r="AC153" i="10"/>
  <c r="H413" i="10"/>
  <c r="X413" i="10" s="1"/>
  <c r="AE301" i="10"/>
  <c r="O301" i="10"/>
  <c r="I316" i="10"/>
  <c r="E428" i="10"/>
  <c r="S428" i="10" s="1"/>
  <c r="P258" i="10"/>
  <c r="Q258" i="10"/>
  <c r="J370" i="10"/>
  <c r="R258" i="10"/>
  <c r="N258" i="10"/>
  <c r="AB43" i="10"/>
  <c r="AE404" i="10"/>
  <c r="O404" i="10"/>
  <c r="AC404" i="10" s="1"/>
  <c r="H516" i="10"/>
  <c r="X516" i="10" s="1"/>
  <c r="AH322" i="10"/>
  <c r="AI322" i="10" s="1"/>
  <c r="AJ322" i="10"/>
  <c r="AK322" i="10" s="1"/>
  <c r="AL322" i="10" s="1"/>
  <c r="AN322" i="10" s="1"/>
  <c r="G434" i="10"/>
  <c r="AF515" i="10"/>
  <c r="AG515" i="10" s="1"/>
  <c r="F627" i="10"/>
  <c r="AF627" i="10" s="1"/>
  <c r="AG627" i="10" s="1"/>
  <c r="AE327" i="10"/>
  <c r="O327" i="10"/>
  <c r="AC327" i="10" s="1"/>
  <c r="H439" i="10"/>
  <c r="X439" i="10" s="1"/>
  <c r="M429" i="10"/>
  <c r="AD317" i="10"/>
  <c r="AE330" i="10"/>
  <c r="O330" i="10"/>
  <c r="H442" i="10"/>
  <c r="X442" i="10" s="1"/>
  <c r="G445" i="10"/>
  <c r="AJ333" i="10"/>
  <c r="AK333" i="10" s="1"/>
  <c r="AL333" i="10" s="1"/>
  <c r="AN333" i="10" s="1"/>
  <c r="AH333" i="10"/>
  <c r="AI333" i="10" s="1"/>
  <c r="AF277" i="10"/>
  <c r="AG277" i="10" s="1"/>
  <c r="F389" i="10"/>
  <c r="AB216" i="10"/>
  <c r="AL419" i="10"/>
  <c r="AN419" i="10" s="1"/>
  <c r="J354" i="10"/>
  <c r="R242" i="10"/>
  <c r="N242" i="10"/>
  <c r="AC242" i="10" s="1"/>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N507" i="10" s="1"/>
  <c r="AD244" i="10"/>
  <c r="L485" i="10"/>
  <c r="E563" i="10"/>
  <c r="I563" i="10" s="1"/>
  <c r="AD258" i="10"/>
  <c r="AC330" i="10"/>
  <c r="N412" i="10"/>
  <c r="E500" i="10"/>
  <c r="I500" i="10" s="1"/>
  <c r="AL438" i="10"/>
  <c r="AN438" i="10" s="1"/>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X381" i="10" s="1"/>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S383" i="10" s="1"/>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X503" i="10" s="1"/>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278" i="10"/>
  <c r="G623" i="10"/>
  <c r="AJ511" i="10"/>
  <c r="AK511" i="10" s="1"/>
  <c r="AL511" i="10" s="1"/>
  <c r="AN511" i="10" s="1"/>
  <c r="AH511" i="10"/>
  <c r="AI511" i="10" s="1"/>
  <c r="I305" i="10"/>
  <c r="E417" i="10"/>
  <c r="AE247" i="10"/>
  <c r="O247" i="10"/>
  <c r="AC247" i="10" s="1"/>
  <c r="H359" i="10"/>
  <c r="X359" i="10" s="1"/>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X547" i="10" s="1"/>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F188" i="9"/>
  <c r="AF188" i="9" s="1"/>
  <c r="AG188" i="9" s="1"/>
  <c r="AF161" i="9"/>
  <c r="AG161" i="9" s="1"/>
  <c r="Z79" i="9"/>
  <c r="AA79" i="9"/>
  <c r="E153" i="9"/>
  <c r="AB50" i="9"/>
  <c r="S101" i="9"/>
  <c r="E128" i="9"/>
  <c r="I101" i="9"/>
  <c r="Q109" i="9"/>
  <c r="J112" i="9"/>
  <c r="H60" i="18" s="1"/>
  <c r="G59" i="20"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G36" i="14"/>
  <c r="S12" i="13"/>
  <c r="AB36" i="11"/>
  <c r="AB174" i="10"/>
  <c r="I45" i="14"/>
  <c r="S300" i="10"/>
  <c r="AB66" i="10"/>
  <c r="S107" i="11"/>
  <c r="S360" i="10"/>
  <c r="AB132" i="10"/>
  <c r="S244" i="10"/>
  <c r="S306" i="10"/>
  <c r="S379" i="10"/>
  <c r="Z281" i="10"/>
  <c r="AB281" i="10" s="1"/>
  <c r="S88" i="11"/>
  <c r="AB152" i="10"/>
  <c r="AB184" i="10"/>
  <c r="S313" i="10"/>
  <c r="Z332" i="10"/>
  <c r="AB332" i="10" s="1"/>
  <c r="S255" i="10"/>
  <c r="S259" i="10"/>
  <c r="S297" i="10"/>
  <c r="AA141" i="10"/>
  <c r="AB141" i="10" s="1"/>
  <c r="AB167" i="10"/>
  <c r="AB229" i="11"/>
  <c r="AB52" i="11"/>
  <c r="AB208" i="10"/>
  <c r="AB161" i="10"/>
  <c r="S312" i="10"/>
  <c r="S339" i="10"/>
  <c r="AB100" i="9"/>
  <c r="S308" i="11"/>
  <c r="AB16" i="11"/>
  <c r="S219" i="11"/>
  <c r="S391" i="10"/>
  <c r="AB169" i="10"/>
  <c r="AB56" i="10"/>
  <c r="AB80" i="10"/>
  <c r="AB191" i="10"/>
  <c r="AB83" i="9"/>
  <c r="AB155" i="10"/>
  <c r="AB80" i="11"/>
  <c r="AB167" i="11"/>
  <c r="AB63" i="10"/>
  <c r="S325" i="10"/>
  <c r="AC283" i="10"/>
  <c r="S296" i="10"/>
  <c r="AB88" i="10"/>
  <c r="AB87" i="11"/>
  <c r="AB40" i="11"/>
  <c r="S311" i="10"/>
  <c r="G493" i="10"/>
  <c r="AH381" i="10"/>
  <c r="AI381" i="10" s="1"/>
  <c r="AJ381" i="10"/>
  <c r="AK381" i="10" s="1"/>
  <c r="AL381" i="10" s="1"/>
  <c r="AN381" i="10" s="1"/>
  <c r="Z201" i="10"/>
  <c r="AA201" i="10"/>
  <c r="N432" i="10"/>
  <c r="P432" i="10"/>
  <c r="J544" i="10"/>
  <c r="R432" i="10"/>
  <c r="Q432" i="10"/>
  <c r="H416" i="10"/>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G60" i="20" s="1"/>
  <c r="AB171" i="10"/>
  <c r="S430" i="10"/>
  <c r="S174" i="10"/>
  <c r="AB47" i="10"/>
  <c r="S302" i="10"/>
  <c r="AB107" i="10"/>
  <c r="AB91" i="10"/>
  <c r="AB220" i="10"/>
  <c r="AB40" i="10"/>
  <c r="O278" i="10"/>
  <c r="AC278" i="10" s="1"/>
  <c r="AH438" i="10"/>
  <c r="AI438" i="10" s="1"/>
  <c r="E654" i="10"/>
  <c r="I654" i="10" s="1"/>
  <c r="E558" i="10"/>
  <c r="I558" i="10" s="1"/>
  <c r="S276" i="10"/>
  <c r="S315" i="10"/>
  <c r="H409" i="10"/>
  <c r="O297" i="10"/>
  <c r="AC297" i="10" s="1"/>
  <c r="E533" i="10"/>
  <c r="I533" i="10" s="1"/>
  <c r="H441" i="10"/>
  <c r="O329" i="10"/>
  <c r="AC329" i="10" s="1"/>
  <c r="Z192" i="10"/>
  <c r="AA192" i="10"/>
  <c r="L440" i="10"/>
  <c r="AD328" i="10"/>
  <c r="E520" i="10"/>
  <c r="I520" i="10" s="1"/>
  <c r="AB108" i="10"/>
  <c r="O254" i="10"/>
  <c r="H366" i="10"/>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E527" i="10"/>
  <c r="I527" i="10" s="1"/>
  <c r="AF465" i="10"/>
  <c r="AG465" i="10" s="1"/>
  <c r="F577" i="10"/>
  <c r="AF577" i="10" s="1"/>
  <c r="AG577" i="10" s="1"/>
  <c r="O354" i="10"/>
  <c r="H466" i="10"/>
  <c r="AB101" i="10"/>
  <c r="AF397" i="10"/>
  <c r="AG397" i="10" s="1"/>
  <c r="F509" i="10"/>
  <c r="E510" i="10"/>
  <c r="I510" i="10" s="1"/>
  <c r="O339" i="10"/>
  <c r="AC339" i="10" s="1"/>
  <c r="H451" i="10"/>
  <c r="AF563" i="10"/>
  <c r="AG563" i="10" s="1"/>
  <c r="F675" i="10"/>
  <c r="AF675" i="10" s="1"/>
  <c r="AG675" i="10" s="1"/>
  <c r="E543" i="10"/>
  <c r="I543" i="10" s="1"/>
  <c r="S304" i="10"/>
  <c r="O393" i="10"/>
  <c r="AL672" i="10"/>
  <c r="AN672" i="10" s="1"/>
  <c r="AD271" i="10"/>
  <c r="AC388" i="10"/>
  <c r="AC415" i="10"/>
  <c r="R423" i="10"/>
  <c r="O285" i="10"/>
  <c r="AC285" i="10" s="1"/>
  <c r="AD269" i="10"/>
  <c r="AB211" i="10"/>
  <c r="AB36" i="10"/>
  <c r="S309" i="10"/>
  <c r="R392" i="10"/>
  <c r="J504" i="10"/>
  <c r="Q392" i="10"/>
  <c r="N392" i="10"/>
  <c r="P392" i="10"/>
  <c r="AF420" i="10"/>
  <c r="AG420" i="10" s="1"/>
  <c r="F532" i="10"/>
  <c r="H425" i="10"/>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H378" i="10"/>
  <c r="O266" i="10"/>
  <c r="E526" i="10"/>
  <c r="I526" i="10" s="1"/>
  <c r="L363" i="10"/>
  <c r="AD251" i="10"/>
  <c r="L416" i="10"/>
  <c r="AD304" i="10"/>
  <c r="Z223" i="10"/>
  <c r="AA223" i="10"/>
  <c r="AF551" i="10"/>
  <c r="AG551" i="10" s="1"/>
  <c r="F663" i="10"/>
  <c r="AF663" i="10" s="1"/>
  <c r="AG663" i="10" s="1"/>
  <c r="H550" i="10"/>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O260" i="10"/>
  <c r="AC260" i="10" s="1"/>
  <c r="E366" i="10"/>
  <c r="I366" i="10" s="1"/>
  <c r="H544" i="10"/>
  <c r="O432" i="10"/>
  <c r="H511" i="10"/>
  <c r="O399" i="10"/>
  <c r="AC399" i="10" s="1"/>
  <c r="L637" i="10"/>
  <c r="AD637" i="10" s="1"/>
  <c r="AD525" i="10"/>
  <c r="M423" i="10"/>
  <c r="AD311" i="10"/>
  <c r="AD334" i="10"/>
  <c r="L446" i="10"/>
  <c r="AF521" i="10"/>
  <c r="AG521" i="10" s="1"/>
  <c r="F633" i="10"/>
  <c r="AF633" i="10" s="1"/>
  <c r="AG633" i="10" s="1"/>
  <c r="O293" i="10"/>
  <c r="AC293" i="10" s="1"/>
  <c r="H405" i="10"/>
  <c r="L447" i="10"/>
  <c r="AD335" i="10"/>
  <c r="E432" i="10"/>
  <c r="I432" i="10" s="1"/>
  <c r="S320" i="10"/>
  <c r="Z151" i="10"/>
  <c r="AA151" i="10"/>
  <c r="L376" i="10"/>
  <c r="AD264" i="10"/>
  <c r="L408" i="10"/>
  <c r="AD296" i="10"/>
  <c r="E477" i="10"/>
  <c r="I477" i="10" s="1"/>
  <c r="AF392" i="10"/>
  <c r="AG392" i="10" s="1"/>
  <c r="F504"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Q423" i="10"/>
  <c r="S492" i="10"/>
  <c r="AB147" i="10"/>
  <c r="N400" i="10"/>
  <c r="H670" i="10"/>
  <c r="X670" i="10" s="1"/>
  <c r="H472" i="10"/>
  <c r="O360" i="10"/>
  <c r="AC360" i="10" s="1"/>
  <c r="E523" i="10"/>
  <c r="I523" i="10" s="1"/>
  <c r="N384" i="10"/>
  <c r="J496" i="10"/>
  <c r="P384" i="10"/>
  <c r="Q384" i="10"/>
  <c r="AL384" i="10"/>
  <c r="AN384" i="10" s="1"/>
  <c r="R384" i="10"/>
  <c r="J475" i="10"/>
  <c r="Q363" i="10"/>
  <c r="N363" i="10"/>
  <c r="AL363" i="10"/>
  <c r="AN363" i="10" s="1"/>
  <c r="P363" i="10"/>
  <c r="R363" i="10"/>
  <c r="L451" i="10"/>
  <c r="AD339" i="10"/>
  <c r="L449" i="10"/>
  <c r="AD337" i="10"/>
  <c r="H488" i="10"/>
  <c r="O376" i="10"/>
  <c r="AC376" i="10" s="1"/>
  <c r="AB52" i="10"/>
  <c r="Z196" i="10"/>
  <c r="AA196" i="10"/>
  <c r="P356" i="10"/>
  <c r="Q356" i="10"/>
  <c r="R356" i="10"/>
  <c r="N356" i="10"/>
  <c r="J468" i="10"/>
  <c r="AL356" i="10"/>
  <c r="AN356" i="10" s="1"/>
  <c r="AB175" i="10"/>
  <c r="H560" i="10"/>
  <c r="O448" i="10"/>
  <c r="AC448" i="10" s="1"/>
  <c r="E587" i="10"/>
  <c r="I587" i="10" s="1"/>
  <c r="Q503" i="10"/>
  <c r="P503" i="10"/>
  <c r="J615" i="10"/>
  <c r="R503" i="10"/>
  <c r="N503" i="10"/>
  <c r="AB180" i="10"/>
  <c r="N421" i="10"/>
  <c r="Q421" i="10"/>
  <c r="R421" i="10"/>
  <c r="J533" i="10"/>
  <c r="P421" i="10"/>
  <c r="H370" i="10"/>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O423" i="10"/>
  <c r="L380" i="10"/>
  <c r="AD268" i="10"/>
  <c r="L508" i="10"/>
  <c r="AD396" i="10"/>
  <c r="L412" i="10"/>
  <c r="AD300" i="10"/>
  <c r="AD307" i="10"/>
  <c r="M419" i="10"/>
  <c r="L430" i="10"/>
  <c r="AD318" i="10"/>
  <c r="AB71" i="10"/>
  <c r="O444" i="10"/>
  <c r="H436" i="10"/>
  <c r="P423" i="10"/>
  <c r="AC309" i="10"/>
  <c r="S431" i="10"/>
  <c r="Q395" i="10"/>
  <c r="S395" i="10" s="1"/>
  <c r="AB203" i="10"/>
  <c r="R400"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J663" i="10"/>
  <c r="R551" i="10"/>
  <c r="P551" i="10"/>
  <c r="Q551" i="10"/>
  <c r="N551" i="10"/>
  <c r="S274" i="10"/>
  <c r="L438" i="10"/>
  <c r="AD326" i="10"/>
  <c r="M439" i="10"/>
  <c r="AD327" i="10"/>
  <c r="AB100" i="10"/>
  <c r="O290" i="10"/>
  <c r="H402" i="10"/>
  <c r="E580" i="10"/>
  <c r="I580" i="10" s="1"/>
  <c r="P672" i="10"/>
  <c r="N672" i="10"/>
  <c r="R672" i="10"/>
  <c r="Q672" i="10"/>
  <c r="AA209" i="10"/>
  <c r="Z209" i="10"/>
  <c r="AA264" i="10"/>
  <c r="Z264" i="10"/>
  <c r="AB68" i="10"/>
  <c r="O250" i="10"/>
  <c r="AC250" i="10" s="1"/>
  <c r="H362" i="10"/>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O302" i="10"/>
  <c r="AC302" i="10" s="1"/>
  <c r="AF281" i="10"/>
  <c r="AG281" i="10" s="1"/>
  <c r="F393" i="10"/>
  <c r="AF429" i="10"/>
  <c r="AG429" i="10" s="1"/>
  <c r="F541" i="10"/>
  <c r="E485" i="10"/>
  <c r="I485" i="10" s="1"/>
  <c r="S373" i="10"/>
  <c r="H612" i="10"/>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L382" i="10"/>
  <c r="AD270" i="10"/>
  <c r="L406" i="10"/>
  <c r="AD294" i="10"/>
  <c r="M367" i="10"/>
  <c r="AD255" i="10"/>
  <c r="L445" i="10"/>
  <c r="AD333" i="10"/>
  <c r="E512" i="10"/>
  <c r="I512" i="10" s="1"/>
  <c r="AJ551" i="10"/>
  <c r="AK551" i="10" s="1"/>
  <c r="AL551" i="10" s="1"/>
  <c r="AN551" i="10" s="1"/>
  <c r="G663" i="10"/>
  <c r="AH551" i="10"/>
  <c r="AI551" i="10" s="1"/>
  <c r="H429" i="10"/>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S385" i="10" s="1"/>
  <c r="AA168" i="10"/>
  <c r="Z168" i="10"/>
  <c r="F517" i="10"/>
  <c r="AF405" i="10"/>
  <c r="AG405" i="10" s="1"/>
  <c r="H433" i="10"/>
  <c r="O321" i="10"/>
  <c r="AB199" i="10"/>
  <c r="L647" i="10"/>
  <c r="AF498" i="10"/>
  <c r="AG498" i="10" s="1"/>
  <c r="F610" i="10"/>
  <c r="AF610" i="10" s="1"/>
  <c r="AG610" i="10" s="1"/>
  <c r="AF438" i="10"/>
  <c r="AG438" i="10" s="1"/>
  <c r="F550" i="10"/>
  <c r="J558" i="10"/>
  <c r="P446" i="10"/>
  <c r="Q446" i="10"/>
  <c r="N446" i="10"/>
  <c r="R446" i="10"/>
  <c r="AL473" i="10"/>
  <c r="AN473" i="10" s="1"/>
  <c r="E536" i="10"/>
  <c r="I536" i="10" s="1"/>
  <c r="AF240" i="10"/>
  <c r="AG240" i="10" s="1"/>
  <c r="F352" i="10"/>
  <c r="Z322" i="10"/>
  <c r="AA322" i="10"/>
  <c r="O390" i="10"/>
  <c r="AC390" i="10" s="1"/>
  <c r="H443" i="10"/>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Z253" i="10"/>
  <c r="AA253" i="10"/>
  <c r="H392" i="10"/>
  <c r="O280" i="10"/>
  <c r="AC280" i="10" s="1"/>
  <c r="P532" i="10"/>
  <c r="Q532" i="10"/>
  <c r="N532" i="10"/>
  <c r="J644" i="10"/>
  <c r="R532" i="10"/>
  <c r="Q386" i="10"/>
  <c r="R386" i="10"/>
  <c r="P386" i="10"/>
  <c r="AL386" i="10"/>
  <c r="AN386" i="10" s="1"/>
  <c r="N386" i="10"/>
  <c r="J498" i="10"/>
  <c r="L443" i="10"/>
  <c r="AD331" i="10"/>
  <c r="E493" i="10"/>
  <c r="I493" i="10" s="1"/>
  <c r="AA178" i="10"/>
  <c r="Z178" i="10"/>
  <c r="AF372" i="10"/>
  <c r="AG372" i="10" s="1"/>
  <c r="F484" i="10"/>
  <c r="AA138" i="10"/>
  <c r="Z138" i="10"/>
  <c r="H420" i="10"/>
  <c r="O308" i="10"/>
  <c r="AC308" i="10" s="1"/>
  <c r="M482" i="10"/>
  <c r="AD370" i="10"/>
  <c r="L434" i="10"/>
  <c r="AD322" i="10"/>
  <c r="L442" i="10"/>
  <c r="AD330" i="10"/>
  <c r="E546" i="10"/>
  <c r="I546" i="10" s="1"/>
  <c r="E549" i="10"/>
  <c r="I549" i="10" s="1"/>
  <c r="H375" i="10"/>
  <c r="O263" i="10"/>
  <c r="AC263" i="10" s="1"/>
  <c r="O377" i="10"/>
  <c r="H489" i="10"/>
  <c r="O252" i="10"/>
  <c r="AC252" i="10" s="1"/>
  <c r="H364" i="10"/>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Z160" i="11"/>
  <c r="AA160" i="11"/>
  <c r="Q143" i="11"/>
  <c r="R143" i="11"/>
  <c r="N143" i="11"/>
  <c r="AC143" i="11" s="1"/>
  <c r="J205" i="11"/>
  <c r="P143" i="11"/>
  <c r="M211" i="11"/>
  <c r="AD149" i="11"/>
  <c r="L300" i="11"/>
  <c r="AD238" i="11"/>
  <c r="H298" i="11"/>
  <c r="AF150" i="11"/>
  <c r="AG150" i="11" s="1"/>
  <c r="F212" i="11"/>
  <c r="H202" i="1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B247" i="11"/>
  <c r="Z149" i="11"/>
  <c r="AA149" i="11"/>
  <c r="Z168" i="11"/>
  <c r="H373" i="11"/>
  <c r="E272" i="11"/>
  <c r="I272" i="11" s="1"/>
  <c r="AF143" i="11"/>
  <c r="AG143" i="11" s="1"/>
  <c r="F205" i="11"/>
  <c r="H206" i="11"/>
  <c r="F201" i="11"/>
  <c r="AF139" i="11"/>
  <c r="AG139" i="11" s="1"/>
  <c r="Z78" i="11"/>
  <c r="AA78" i="11"/>
  <c r="E271" i="11"/>
  <c r="I271" i="11" s="1"/>
  <c r="AB177" i="11"/>
  <c r="F292" i="11"/>
  <c r="AF230" i="11"/>
  <c r="AG230" i="11" s="1"/>
  <c r="Q215" i="11"/>
  <c r="N215" i="11"/>
  <c r="AC215" i="11" s="1"/>
  <c r="R215" i="11"/>
  <c r="P215" i="11"/>
  <c r="J277" i="11"/>
  <c r="S153" i="11"/>
  <c r="H302" i="11"/>
  <c r="H245" i="11"/>
  <c r="L327" i="11"/>
  <c r="L335" i="11"/>
  <c r="AF306" i="11"/>
  <c r="AG306" i="11" s="1"/>
  <c r="F368" i="11"/>
  <c r="AF368" i="11" s="1"/>
  <c r="AG368" i="11" s="1"/>
  <c r="E266" i="11"/>
  <c r="I266" i="11" s="1"/>
  <c r="AA142" i="11"/>
  <c r="Z142" i="11"/>
  <c r="M201" i="11"/>
  <c r="M189" i="11"/>
  <c r="P139" i="11"/>
  <c r="AD139" i="11"/>
  <c r="L341" i="11"/>
  <c r="AD341" i="11" s="1"/>
  <c r="AD279"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AB88"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B116" i="11"/>
  <c r="AA82" i="11"/>
  <c r="Z82" i="11"/>
  <c r="S93" i="11"/>
  <c r="M207" i="11"/>
  <c r="AD145" i="11"/>
  <c r="M215" i="11"/>
  <c r="AD153" i="11"/>
  <c r="L292" i="11"/>
  <c r="AD230" i="11"/>
  <c r="L308" i="11"/>
  <c r="AD246" i="11"/>
  <c r="AA174" i="11"/>
  <c r="Z174" i="11"/>
  <c r="Q150" i="11"/>
  <c r="P150" i="11"/>
  <c r="N150" i="11"/>
  <c r="AC150" i="11" s="1"/>
  <c r="R150" i="11"/>
  <c r="J212" i="11"/>
  <c r="H274" i="11"/>
  <c r="AG127" i="11"/>
  <c r="AB50" i="11"/>
  <c r="AB185" i="11"/>
  <c r="L333" i="11"/>
  <c r="AF211" i="11"/>
  <c r="AG211" i="11" s="1"/>
  <c r="F273" i="11"/>
  <c r="H214" i="11"/>
  <c r="Z121" i="11"/>
  <c r="AA121" i="11"/>
  <c r="AA117" i="11"/>
  <c r="Z117" i="11"/>
  <c r="L336" i="11"/>
  <c r="H272" i="11"/>
  <c r="L325" i="11"/>
  <c r="F227" i="11"/>
  <c r="AF165" i="11"/>
  <c r="AG165" i="11" s="1"/>
  <c r="S221" i="11"/>
  <c r="L296" i="11"/>
  <c r="AD234" i="11"/>
  <c r="E213" i="11"/>
  <c r="I213" i="11" s="1"/>
  <c r="M203" i="11"/>
  <c r="AD141" i="11"/>
  <c r="AF153" i="11"/>
  <c r="AG153" i="11" s="1"/>
  <c r="F215" i="11"/>
  <c r="H241" i="1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H292" i="11"/>
  <c r="AA249" i="1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J532" i="10"/>
  <c r="AK532" i="10" s="1"/>
  <c r="AL532" i="10" s="1"/>
  <c r="AN532" i="10" s="1"/>
  <c r="G644" i="10"/>
  <c r="AH532" i="10"/>
  <c r="AI532" i="10" s="1"/>
  <c r="H530" i="10"/>
  <c r="O418" i="10"/>
  <c r="AF435" i="10"/>
  <c r="AG435" i="10" s="1"/>
  <c r="F547" i="10"/>
  <c r="AF436" i="10"/>
  <c r="AG436" i="10" s="1"/>
  <c r="F548" i="10"/>
  <c r="AF310" i="10"/>
  <c r="AG310" i="10" s="1"/>
  <c r="F422" i="10"/>
  <c r="H533" i="10"/>
  <c r="O421" i="10"/>
  <c r="AF419" i="10"/>
  <c r="AG419" i="10" s="1"/>
  <c r="F531" i="10"/>
  <c r="R623" i="10"/>
  <c r="P623" i="10"/>
  <c r="Q623" i="10"/>
  <c r="N623" i="10"/>
  <c r="AF358" i="10"/>
  <c r="AG358" i="10" s="1"/>
  <c r="F470" i="10"/>
  <c r="AA300" i="10"/>
  <c r="Z300" i="10"/>
  <c r="AN150" i="10"/>
  <c r="AN228" i="10" s="1"/>
  <c r="AL228" i="10" s="1"/>
  <c r="Z195" i="10"/>
  <c r="AA195" i="10"/>
  <c r="AJ534" i="10"/>
  <c r="AK534" i="10" s="1"/>
  <c r="G646" i="10"/>
  <c r="AH534" i="10"/>
  <c r="AI534" i="10" s="1"/>
  <c r="Z306" i="10"/>
  <c r="AA306" i="10"/>
  <c r="Z187" i="10"/>
  <c r="AA187" i="10"/>
  <c r="Z284" i="10"/>
  <c r="AA284" i="10"/>
  <c r="Z165" i="10"/>
  <c r="AA165" i="10"/>
  <c r="AC150" i="10"/>
  <c r="N228" i="10"/>
  <c r="P262" i="10"/>
  <c r="R262" i="10"/>
  <c r="N262" i="10"/>
  <c r="Q262" i="10"/>
  <c r="J374" i="10"/>
  <c r="AA245"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O371" i="10"/>
  <c r="AC371" i="10" s="1"/>
  <c r="H384" i="10"/>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G526" i="10"/>
  <c r="AJ414" i="10"/>
  <c r="AK414" i="10" s="1"/>
  <c r="AL414" i="10" s="1"/>
  <c r="AN414" i="10" s="1"/>
  <c r="AH414" i="10"/>
  <c r="AI414" i="10" s="1"/>
  <c r="S560" i="10"/>
  <c r="E672" i="10"/>
  <c r="I672" i="10" s="1"/>
  <c r="AJ417" i="10"/>
  <c r="AK417" i="10" s="1"/>
  <c r="G529" i="10"/>
  <c r="AH417" i="10"/>
  <c r="AI417" i="10" s="1"/>
  <c r="Z262" i="10"/>
  <c r="AA262" i="10"/>
  <c r="AA465" i="10"/>
  <c r="Z465"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O408" i="10"/>
  <c r="J655" i="10"/>
  <c r="R543" i="10"/>
  <c r="Q543" i="10"/>
  <c r="N543" i="10"/>
  <c r="P543" i="10"/>
  <c r="AL543" i="10"/>
  <c r="AN543" i="10" s="1"/>
  <c r="E524" i="10"/>
  <c r="I524" i="10" s="1"/>
  <c r="AA430" i="10"/>
  <c r="Z430" i="10"/>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O395" i="10"/>
  <c r="J584" i="10"/>
  <c r="Q472" i="10"/>
  <c r="R472" i="10"/>
  <c r="N472" i="10"/>
  <c r="P472" i="10"/>
  <c r="H539" i="10"/>
  <c r="O427" i="10"/>
  <c r="Z273" i="10"/>
  <c r="AA273" i="10"/>
  <c r="Z259" i="10"/>
  <c r="AA259" i="10"/>
  <c r="H419" i="10"/>
  <c r="O307" i="10"/>
  <c r="AC307" i="10" s="1"/>
  <c r="AF306" i="10"/>
  <c r="AG306" i="10" s="1"/>
  <c r="F418" i="10"/>
  <c r="G508" i="10"/>
  <c r="AJ396" i="10"/>
  <c r="AK396" i="10" s="1"/>
  <c r="AL396" i="10" s="1"/>
  <c r="AN396" i="10" s="1"/>
  <c r="AH396" i="10"/>
  <c r="AI396" i="10" s="1"/>
  <c r="E557" i="10"/>
  <c r="I557" i="10" s="1"/>
  <c r="O577" i="10"/>
  <c r="H491" i="10"/>
  <c r="O379" i="10"/>
  <c r="AC379" i="10" s="1"/>
  <c r="S260" i="10"/>
  <c r="H617" i="10"/>
  <c r="O505" i="10"/>
  <c r="AB25" i="10"/>
  <c r="S150" i="10"/>
  <c r="H524" i="10"/>
  <c r="L638" i="10"/>
  <c r="J620" i="10"/>
  <c r="R508" i="10"/>
  <c r="N508" i="10"/>
  <c r="P508" i="10"/>
  <c r="Q508" i="10"/>
  <c r="E579" i="10"/>
  <c r="I579" i="10" s="1"/>
  <c r="F555" i="10"/>
  <c r="AF443" i="10"/>
  <c r="AG443" i="10" s="1"/>
  <c r="AA398" i="10"/>
  <c r="Z398" i="10"/>
  <c r="S338" i="10"/>
  <c r="AC338" i="10"/>
  <c r="Z296" i="10"/>
  <c r="AA296" i="10"/>
  <c r="H470" i="10"/>
  <c r="O358" i="10"/>
  <c r="AC358" i="10" s="1"/>
  <c r="R487" i="10"/>
  <c r="N487" i="10"/>
  <c r="P487" i="10"/>
  <c r="J599" i="10"/>
  <c r="Q487" i="10"/>
  <c r="AL487" i="10"/>
  <c r="AN487" i="10" s="1"/>
  <c r="Z183" i="10"/>
  <c r="AA183" i="10"/>
  <c r="Z160" i="10"/>
  <c r="AA160" i="10"/>
  <c r="S154" i="10"/>
  <c r="H513" i="10"/>
  <c r="O401" i="10"/>
  <c r="H428" i="10"/>
  <c r="O316" i="10"/>
  <c r="AC316" i="10" s="1"/>
  <c r="AA309" i="10"/>
  <c r="Z309" i="10"/>
  <c r="AA305" i="10"/>
  <c r="E537" i="10"/>
  <c r="I537" i="10" s="1"/>
  <c r="R507" i="10"/>
  <c r="J619" i="10"/>
  <c r="H373" i="10"/>
  <c r="O261" i="10"/>
  <c r="AC261" i="10" s="1"/>
  <c r="J664" i="10"/>
  <c r="N552" i="10"/>
  <c r="AC552" i="10" s="1"/>
  <c r="P552" i="10"/>
  <c r="R552" i="10"/>
  <c r="Q552" i="10"/>
  <c r="AL552" i="10"/>
  <c r="AN552" i="10" s="1"/>
  <c r="J654" i="10"/>
  <c r="P542" i="10"/>
  <c r="Q542" i="10"/>
  <c r="N542" i="10"/>
  <c r="R542" i="10"/>
  <c r="H634" i="10"/>
  <c r="O522" i="10"/>
  <c r="H368" i="10"/>
  <c r="O256" i="10"/>
  <c r="AC256" i="10" s="1"/>
  <c r="L464" i="10"/>
  <c r="AD352" i="10"/>
  <c r="H449" i="10"/>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O536" i="10"/>
  <c r="R495" i="10"/>
  <c r="Q495" i="10"/>
  <c r="P495" i="10"/>
  <c r="J607" i="10"/>
  <c r="N495" i="10"/>
  <c r="AL495" i="10"/>
  <c r="AN495" i="10" s="1"/>
  <c r="H367" i="10"/>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O400" i="10"/>
  <c r="AC400" i="10" s="1"/>
  <c r="AF404" i="10"/>
  <c r="AG404" i="10" s="1"/>
  <c r="F516" i="10"/>
  <c r="J668" i="10"/>
  <c r="R556" i="10"/>
  <c r="N556" i="10"/>
  <c r="P556" i="10"/>
  <c r="Q556" i="10"/>
  <c r="S331" i="10"/>
  <c r="E443" i="10"/>
  <c r="I443" i="10" s="1"/>
  <c r="AF378" i="10"/>
  <c r="AG378" i="10" s="1"/>
  <c r="F490" i="10"/>
  <c r="H486" i="10"/>
  <c r="O374" i="10"/>
  <c r="F526" i="10"/>
  <c r="AF414" i="10"/>
  <c r="AG414" i="10" s="1"/>
  <c r="R471" i="10"/>
  <c r="N471" i="10"/>
  <c r="P471" i="10"/>
  <c r="J583" i="10"/>
  <c r="Q471" i="10"/>
  <c r="Z267" i="10"/>
  <c r="AA267" i="10"/>
  <c r="Z393" i="10"/>
  <c r="H411" i="10"/>
  <c r="O299" i="10"/>
  <c r="AC299" i="10" s="1"/>
  <c r="H508" i="10"/>
  <c r="O396" i="10"/>
  <c r="H389" i="10"/>
  <c r="O277" i="10"/>
  <c r="AC277" i="10" s="1"/>
  <c r="AB48" i="10"/>
  <c r="AB303" i="10"/>
  <c r="S441" i="10"/>
  <c r="Q553" i="10"/>
  <c r="R553" i="10"/>
  <c r="N553" i="10"/>
  <c r="P553" i="10"/>
  <c r="J665" i="10"/>
  <c r="AB177" i="10"/>
  <c r="H469" i="10"/>
  <c r="O357" i="10"/>
  <c r="AC357" i="10" s="1"/>
  <c r="L593" i="10"/>
  <c r="AD593" i="10" s="1"/>
  <c r="AD481" i="10"/>
  <c r="H445" i="10"/>
  <c r="O333" i="10"/>
  <c r="AC333" i="10" s="1"/>
  <c r="AB92" i="10"/>
  <c r="E552" i="10"/>
  <c r="I552" i="10" s="1"/>
  <c r="S440" i="10"/>
  <c r="AF384" i="10"/>
  <c r="AG384" i="10" s="1"/>
  <c r="F496" i="10"/>
  <c r="AF421" i="10"/>
  <c r="AG421" i="10" s="1"/>
  <c r="F533" i="10"/>
  <c r="N450" i="10"/>
  <c r="J562" i="10"/>
  <c r="P450" i="10"/>
  <c r="Q450" i="10"/>
  <c r="R450" i="10"/>
  <c r="AL450" i="10"/>
  <c r="AN450" i="10" s="1"/>
  <c r="AA246" i="10"/>
  <c r="Z246" i="10"/>
  <c r="H562" i="10"/>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O403" i="10"/>
  <c r="AC403" i="10" s="1"/>
  <c r="Z289" i="10"/>
  <c r="AA289" i="10"/>
  <c r="M587" i="10"/>
  <c r="H394" i="10"/>
  <c r="O282" i="10"/>
  <c r="AC282" i="10" s="1"/>
  <c r="H509" i="10"/>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O249" i="10"/>
  <c r="AC249" i="10" s="1"/>
  <c r="J603" i="10"/>
  <c r="N491" i="10"/>
  <c r="P491" i="10"/>
  <c r="Q491" i="10"/>
  <c r="R491" i="10"/>
  <c r="AL491" i="10"/>
  <c r="AN491" i="10" s="1"/>
  <c r="S411" i="10"/>
  <c r="J635" i="10"/>
  <c r="P523" i="10"/>
  <c r="R523" i="10"/>
  <c r="Q523" i="10"/>
  <c r="N523" i="10"/>
  <c r="AL523" i="10"/>
  <c r="AN523" i="10" s="1"/>
  <c r="AA410" i="10"/>
  <c r="Z144" i="10"/>
  <c r="AA144" i="10"/>
  <c r="L340" i="10"/>
  <c r="Z225" i="10"/>
  <c r="AA225" i="10"/>
  <c r="L468" i="10"/>
  <c r="AD356" i="10"/>
  <c r="M576" i="10"/>
  <c r="M602" i="10"/>
  <c r="M610" i="10"/>
  <c r="M618" i="10"/>
  <c r="M626" i="10"/>
  <c r="M634" i="10"/>
  <c r="AB197" i="10"/>
  <c r="J624" i="10"/>
  <c r="R512" i="10"/>
  <c r="N512" i="10"/>
  <c r="P512" i="10"/>
  <c r="Q512" i="10"/>
  <c r="AB552" i="10"/>
  <c r="S270" i="10"/>
  <c r="M466" i="10"/>
  <c r="AD354" i="10"/>
  <c r="Z424" i="10"/>
  <c r="AA424" i="10"/>
  <c r="Z143" i="10"/>
  <c r="AA143" i="10"/>
  <c r="P286" i="10"/>
  <c r="J398" i="10"/>
  <c r="N286" i="10"/>
  <c r="AC286" i="10" s="1"/>
  <c r="R286" i="10"/>
  <c r="Q286" i="10"/>
  <c r="AL286" i="10"/>
  <c r="AN286" i="10" s="1"/>
  <c r="S429" i="10"/>
  <c r="AB188" i="10"/>
  <c r="Z315" i="10"/>
  <c r="H494" i="10"/>
  <c r="O382" i="10"/>
  <c r="AB193" i="10"/>
  <c r="E615" i="10"/>
  <c r="I615" i="10" s="1"/>
  <c r="AF479" i="10"/>
  <c r="AG479" i="10" s="1"/>
  <c r="F591" i="10"/>
  <c r="AF591" i="10" s="1"/>
  <c r="AG591" i="10" s="1"/>
  <c r="AF354" i="10"/>
  <c r="AG354" i="10" s="1"/>
  <c r="F466" i="10"/>
  <c r="H622" i="10"/>
  <c r="O510" i="10"/>
  <c r="AD361" i="10"/>
  <c r="L473" i="10"/>
  <c r="AB312" i="10"/>
  <c r="Z338" i="10"/>
  <c r="AA338" i="10"/>
  <c r="H407" i="10"/>
  <c r="O295" i="10"/>
  <c r="AC295" i="10" s="1"/>
  <c r="H639" i="10"/>
  <c r="O527" i="10"/>
  <c r="H383" i="10"/>
  <c r="O271" i="10"/>
  <c r="AC271" i="10" s="1"/>
  <c r="H538" i="10"/>
  <c r="O426" i="10"/>
  <c r="AC426" i="10" s="1"/>
  <c r="AB172" i="10"/>
  <c r="H369" i="10"/>
  <c r="O257" i="10"/>
  <c r="AC257" i="10" s="1"/>
  <c r="O228" i="10"/>
  <c r="P128" i="10"/>
  <c r="AC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O542" i="10"/>
  <c r="Q502" i="10"/>
  <c r="R502" i="10"/>
  <c r="N502" i="10"/>
  <c r="J614" i="10"/>
  <c r="P502" i="10"/>
  <c r="E353" i="10"/>
  <c r="I353" i="10" s="1"/>
  <c r="S241" i="10"/>
  <c r="Z149" i="10"/>
  <c r="AA149" i="10"/>
  <c r="Z137" i="10"/>
  <c r="AA137" i="10"/>
  <c r="H492" i="10"/>
  <c r="O380" i="10"/>
  <c r="AC380" i="10" s="1"/>
  <c r="AC430" i="10"/>
  <c r="H422" i="10"/>
  <c r="O310" i="10"/>
  <c r="AC310" i="10" s="1"/>
  <c r="H406" i="10"/>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L472" i="10"/>
  <c r="AD360" i="10"/>
  <c r="M489" i="10"/>
  <c r="AD377" i="10"/>
  <c r="M509" i="10"/>
  <c r="AD397" i="10"/>
  <c r="L661" i="10"/>
  <c r="AD661" i="10" s="1"/>
  <c r="AD549" i="10"/>
  <c r="R541" i="10"/>
  <c r="N541" i="10"/>
  <c r="P541" i="10"/>
  <c r="J653" i="10"/>
  <c r="Q541" i="10"/>
  <c r="AL541" i="10"/>
  <c r="AN541" i="10" s="1"/>
  <c r="AB179" i="10"/>
  <c r="H497" i="10"/>
  <c r="O385" i="10"/>
  <c r="L589" i="10"/>
  <c r="AD589" i="10" s="1"/>
  <c r="AD477" i="10"/>
  <c r="Z106" i="9"/>
  <c r="AA106" i="9"/>
  <c r="F124" i="9"/>
  <c r="AF97" i="9"/>
  <c r="AG97" i="9" s="1"/>
  <c r="F127" i="9"/>
  <c r="AF100" i="9"/>
  <c r="AG100" i="9" s="1"/>
  <c r="S154" i="9"/>
  <c r="E181" i="9"/>
  <c r="I154" i="9"/>
  <c r="P136" i="9"/>
  <c r="AB53" i="9"/>
  <c r="I111" i="9"/>
  <c r="S111" i="9"/>
  <c r="E138" i="9"/>
  <c r="X133" i="9"/>
  <c r="H160" i="9"/>
  <c r="AE160" i="9" s="1"/>
  <c r="M162" i="9"/>
  <c r="AD135" i="9"/>
  <c r="AA43" i="9"/>
  <c r="Z43" i="9"/>
  <c r="X58" i="9"/>
  <c r="AF108" i="9"/>
  <c r="AG108" i="9" s="1"/>
  <c r="F135" i="9"/>
  <c r="F132" i="9"/>
  <c r="AF105" i="9"/>
  <c r="AG105" i="9" s="1"/>
  <c r="AA102" i="9"/>
  <c r="Z102" i="9"/>
  <c r="P160" i="9"/>
  <c r="R160" i="9"/>
  <c r="N160" i="9"/>
  <c r="AC160" i="9" s="1"/>
  <c r="Q160" i="9"/>
  <c r="J187" i="9"/>
  <c r="X138"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X99" i="9"/>
  <c r="H126" i="9"/>
  <c r="AE126" i="9" s="1"/>
  <c r="Z76" i="9"/>
  <c r="AA76" i="9"/>
  <c r="X107" i="9"/>
  <c r="H134" i="9"/>
  <c r="AE134" i="9" s="1"/>
  <c r="X162" i="9"/>
  <c r="H189" i="9"/>
  <c r="AE189" i="9" s="1"/>
  <c r="L125" i="9"/>
  <c r="AD98" i="9"/>
  <c r="S106" i="9"/>
  <c r="I106" i="9"/>
  <c r="E133" i="9"/>
  <c r="L133" i="9"/>
  <c r="AD106" i="9"/>
  <c r="S134" i="9"/>
  <c r="I134" i="9"/>
  <c r="E161" i="9"/>
  <c r="Q108" i="9"/>
  <c r="J135" i="9"/>
  <c r="N108" i="9"/>
  <c r="AC108" i="9" s="1"/>
  <c r="P108" i="9"/>
  <c r="R108" i="9"/>
  <c r="N110" i="9"/>
  <c r="AC110" i="9" s="1"/>
  <c r="P110" i="9"/>
  <c r="J137" i="9"/>
  <c r="Q110" i="9"/>
  <c r="R110" i="9"/>
  <c r="AB45" i="9"/>
  <c r="AB75" i="9"/>
  <c r="M158" i="9"/>
  <c r="AD131" i="9"/>
  <c r="S153" i="9"/>
  <c r="E180" i="9"/>
  <c r="I153" i="9"/>
  <c r="AA111" i="9"/>
  <c r="Z111" i="9"/>
  <c r="L155" i="9"/>
  <c r="AD128" i="9"/>
  <c r="AA72" i="9"/>
  <c r="Z72" i="9"/>
  <c r="H131" i="9"/>
  <c r="AE131" i="9" s="1"/>
  <c r="X104" i="9"/>
  <c r="H125" i="9"/>
  <c r="AE125" i="9" s="1"/>
  <c r="X98" i="9"/>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X101" i="9"/>
  <c r="H128" i="9"/>
  <c r="AE128" i="9" s="1"/>
  <c r="Z135" i="9"/>
  <c r="AA135" i="9"/>
  <c r="S159" i="9"/>
  <c r="E186" i="9"/>
  <c r="I159" i="9"/>
  <c r="X105" i="9"/>
  <c r="H132" i="9"/>
  <c r="AE132" i="9" s="1"/>
  <c r="P180" i="9"/>
  <c r="Q180" i="9"/>
  <c r="R180" i="9"/>
  <c r="N180" i="9"/>
  <c r="AC180" i="9" s="1"/>
  <c r="M154" i="9"/>
  <c r="AD127" i="9"/>
  <c r="X137" i="9"/>
  <c r="H164" i="9"/>
  <c r="AE164" i="9" s="1"/>
  <c r="AF153" i="9"/>
  <c r="AG153" i="9" s="1"/>
  <c r="F180" i="9"/>
  <c r="AF180" i="9" s="1"/>
  <c r="AG180" i="9" s="1"/>
  <c r="X154" i="9"/>
  <c r="H181" i="9"/>
  <c r="AE181" i="9" s="1"/>
  <c r="AG85" i="9"/>
  <c r="P138" i="9"/>
  <c r="Q138" i="9"/>
  <c r="R138" i="9"/>
  <c r="J165" i="9"/>
  <c r="N138" i="9"/>
  <c r="AC138" i="9" s="1"/>
  <c r="X129" i="9"/>
  <c r="H156" i="9"/>
  <c r="AE156" i="9" s="1"/>
  <c r="AD109" i="9"/>
  <c r="L136" i="9"/>
  <c r="AB56" i="9"/>
  <c r="X109" i="9"/>
  <c r="H136" i="9"/>
  <c r="AE136" i="9" s="1"/>
  <c r="X103" i="9"/>
  <c r="H130" i="9"/>
  <c r="AE130" i="9" s="1"/>
  <c r="Z71" i="9"/>
  <c r="AA71" i="9"/>
  <c r="P132" i="9"/>
  <c r="Q132" i="9"/>
  <c r="R132" i="9"/>
  <c r="N132" i="9"/>
  <c r="AC132" i="9" s="1"/>
  <c r="J159" i="9"/>
  <c r="X97" i="9"/>
  <c r="D77" i="4"/>
  <c r="AA150" i="11" l="1"/>
  <c r="Z446" i="10"/>
  <c r="AB446" i="10" s="1"/>
  <c r="Z270" i="10"/>
  <c r="AA244" i="10"/>
  <c r="AB244" i="10" s="1"/>
  <c r="H42" i="5"/>
  <c r="G31" i="5"/>
  <c r="H220" i="5" s="1"/>
  <c r="AB175" i="11"/>
  <c r="F184" i="9"/>
  <c r="AF184" i="9" s="1"/>
  <c r="AG184" i="9" s="1"/>
  <c r="AF157" i="9"/>
  <c r="AG157" i="9" s="1"/>
  <c r="I39" i="20"/>
  <c r="I44" i="17"/>
  <c r="L44" i="16"/>
  <c r="L46" i="16" s="1"/>
  <c r="K46" i="16"/>
  <c r="J44" i="17" s="1"/>
  <c r="AE212" i="11"/>
  <c r="X212" i="11"/>
  <c r="X300" i="11"/>
  <c r="H362" i="11"/>
  <c r="AE300" i="11"/>
  <c r="Z298" i="10"/>
  <c r="AA298" i="10"/>
  <c r="X356" i="11"/>
  <c r="AE356" i="11"/>
  <c r="AE356" i="10"/>
  <c r="X356" i="10"/>
  <c r="H468" i="10"/>
  <c r="O356" i="10"/>
  <c r="AC356" i="10" s="1"/>
  <c r="H178" i="9"/>
  <c r="AE178" i="9" s="1"/>
  <c r="AE151" i="9"/>
  <c r="AE389" i="10"/>
  <c r="X389" i="10"/>
  <c r="AE648" i="10"/>
  <c r="X648" i="10"/>
  <c r="AE368" i="10"/>
  <c r="X368" i="10"/>
  <c r="AE206" i="11"/>
  <c r="X206" i="11"/>
  <c r="AE535" i="10"/>
  <c r="X535" i="10"/>
  <c r="AE417" i="10"/>
  <c r="X417" i="10"/>
  <c r="AE497" i="10"/>
  <c r="X497" i="10"/>
  <c r="AE369" i="10"/>
  <c r="X369" i="10"/>
  <c r="AE639" i="10"/>
  <c r="X639" i="10"/>
  <c r="AE509" i="10"/>
  <c r="X509" i="10"/>
  <c r="AE445" i="10"/>
  <c r="X445" i="10"/>
  <c r="AE469" i="10"/>
  <c r="X469" i="10"/>
  <c r="AE486" i="10"/>
  <c r="X486" i="10"/>
  <c r="Q507" i="10"/>
  <c r="AE513" i="10"/>
  <c r="X513" i="10"/>
  <c r="AE470" i="10"/>
  <c r="X470" i="10"/>
  <c r="AE524" i="10"/>
  <c r="X524" i="10"/>
  <c r="AE617" i="10"/>
  <c r="X617" i="10"/>
  <c r="AE419" i="10"/>
  <c r="X419" i="10"/>
  <c r="AL417" i="10"/>
  <c r="AN417" i="10" s="1"/>
  <c r="AE483" i="10"/>
  <c r="X483" i="10"/>
  <c r="AE533" i="10"/>
  <c r="X533" i="10"/>
  <c r="AE530" i="10"/>
  <c r="X530" i="10"/>
  <c r="AE266" i="11"/>
  <c r="X266" i="11"/>
  <c r="AE292" i="11"/>
  <c r="X292" i="11"/>
  <c r="AE241" i="11"/>
  <c r="X241" i="11"/>
  <c r="AE214" i="11"/>
  <c r="X214" i="11"/>
  <c r="AE274" i="11"/>
  <c r="X274" i="11"/>
  <c r="AE284" i="11"/>
  <c r="X284" i="11"/>
  <c r="AE302" i="11"/>
  <c r="X302" i="11"/>
  <c r="AL549" i="10"/>
  <c r="AN549" i="10" s="1"/>
  <c r="AE364" i="10"/>
  <c r="X364" i="10"/>
  <c r="AE546" i="10"/>
  <c r="X546" i="10"/>
  <c r="AE387" i="10"/>
  <c r="X387" i="10"/>
  <c r="AC435" i="10"/>
  <c r="AE362" i="10"/>
  <c r="X362" i="10"/>
  <c r="AE402" i="10"/>
  <c r="X402" i="10"/>
  <c r="AE370" i="10"/>
  <c r="X370" i="10"/>
  <c r="Q527" i="10"/>
  <c r="AE378" i="10"/>
  <c r="X378" i="10"/>
  <c r="AE447" i="10"/>
  <c r="X447" i="10"/>
  <c r="AE441" i="10"/>
  <c r="X441" i="10"/>
  <c r="AE416" i="10"/>
  <c r="X416" i="10"/>
  <c r="AE397" i="10"/>
  <c r="X397" i="10"/>
  <c r="AE396" i="10"/>
  <c r="X396" i="10"/>
  <c r="AA396" i="10" s="1"/>
  <c r="X290" i="11"/>
  <c r="AE290" i="11"/>
  <c r="H352" i="11"/>
  <c r="AE297" i="11"/>
  <c r="X297" i="11"/>
  <c r="H359" i="11"/>
  <c r="AE654" i="10"/>
  <c r="X654" i="10"/>
  <c r="AE538" i="10"/>
  <c r="X538" i="10"/>
  <c r="AE515" i="10"/>
  <c r="X515" i="10"/>
  <c r="AE367" i="10"/>
  <c r="X367" i="10"/>
  <c r="AE491" i="10"/>
  <c r="X491" i="10"/>
  <c r="AE245" i="11"/>
  <c r="X245" i="11"/>
  <c r="AE544" i="10"/>
  <c r="X544" i="10"/>
  <c r="AE390" i="10"/>
  <c r="X390" i="10"/>
  <c r="AA390" i="10" s="1"/>
  <c r="AE406" i="10"/>
  <c r="X406" i="10"/>
  <c r="AE383" i="10"/>
  <c r="X383" i="10"/>
  <c r="AE622" i="10"/>
  <c r="X622" i="10"/>
  <c r="AE494" i="10"/>
  <c r="X494" i="10"/>
  <c r="AE562" i="10"/>
  <c r="X562" i="10"/>
  <c r="AE508" i="10"/>
  <c r="X508" i="10"/>
  <c r="AE512" i="10"/>
  <c r="X512" i="10"/>
  <c r="AE634" i="10"/>
  <c r="X634" i="10"/>
  <c r="P507" i="10"/>
  <c r="N631" i="10"/>
  <c r="AE507" i="10"/>
  <c r="X507" i="10"/>
  <c r="AE520" i="10"/>
  <c r="X520" i="10"/>
  <c r="O417" i="10"/>
  <c r="AE273" i="11"/>
  <c r="X273" i="11"/>
  <c r="AE209" i="11"/>
  <c r="X209" i="11"/>
  <c r="AE298" i="11"/>
  <c r="X298" i="11"/>
  <c r="AE363" i="11"/>
  <c r="X363" i="11"/>
  <c r="AE375" i="10"/>
  <c r="X375" i="10"/>
  <c r="AE392" i="10"/>
  <c r="X392" i="10"/>
  <c r="AE477" i="10"/>
  <c r="X477" i="10"/>
  <c r="AE436" i="10"/>
  <c r="X436" i="10"/>
  <c r="Z436" i="10" s="1"/>
  <c r="AE511" i="10"/>
  <c r="X511" i="10"/>
  <c r="AE550" i="10"/>
  <c r="X550" i="10"/>
  <c r="AE437" i="10"/>
  <c r="X437" i="10"/>
  <c r="AE425" i="10"/>
  <c r="X425" i="10"/>
  <c r="AE451" i="10"/>
  <c r="X451" i="10"/>
  <c r="AE500" i="10"/>
  <c r="X500" i="10"/>
  <c r="AA500" i="10" s="1"/>
  <c r="AE412" i="10"/>
  <c r="X412" i="10"/>
  <c r="Z412" i="10" s="1"/>
  <c r="AE230" i="11"/>
  <c r="X230" i="11"/>
  <c r="AA230" i="11" s="1"/>
  <c r="I20" i="5"/>
  <c r="I18" i="5"/>
  <c r="I19" i="5"/>
  <c r="I21" i="5"/>
  <c r="S152" i="9"/>
  <c r="E179" i="9"/>
  <c r="I152" i="9"/>
  <c r="Z237" i="11"/>
  <c r="AA237" i="11"/>
  <c r="Z294" i="11"/>
  <c r="AA294" i="11"/>
  <c r="Z235" i="11"/>
  <c r="AA235" i="11"/>
  <c r="AE422" i="10"/>
  <c r="X422" i="10"/>
  <c r="AE411" i="10"/>
  <c r="X411" i="10"/>
  <c r="AE449" i="10"/>
  <c r="X449" i="10"/>
  <c r="AE373" i="11"/>
  <c r="X373" i="11"/>
  <c r="AE420" i="10"/>
  <c r="X420" i="10"/>
  <c r="AE429" i="10"/>
  <c r="X429" i="10"/>
  <c r="AE612" i="10"/>
  <c r="X612" i="10"/>
  <c r="AE414" i="10"/>
  <c r="X414" i="10"/>
  <c r="AE466" i="10"/>
  <c r="X466" i="10"/>
  <c r="AE409" i="10"/>
  <c r="X409" i="10"/>
  <c r="P112" i="9"/>
  <c r="J163" i="9"/>
  <c r="R163" i="9" s="1"/>
  <c r="AE492" i="10"/>
  <c r="X492" i="10"/>
  <c r="AE407" i="10"/>
  <c r="X407" i="10"/>
  <c r="AE361" i="10"/>
  <c r="X361" i="10"/>
  <c r="AE394" i="10"/>
  <c r="X394" i="10"/>
  <c r="AE373" i="10"/>
  <c r="X373" i="10"/>
  <c r="AE428" i="10"/>
  <c r="X428" i="10"/>
  <c r="AE539" i="10"/>
  <c r="X539" i="10"/>
  <c r="O240" i="10"/>
  <c r="AC240" i="10" s="1"/>
  <c r="AE384" i="10"/>
  <c r="X384" i="10"/>
  <c r="H529" i="10"/>
  <c r="AE272" i="11"/>
  <c r="X272" i="11"/>
  <c r="AE202" i="11"/>
  <c r="X202" i="11"/>
  <c r="AE431" i="10"/>
  <c r="X431" i="10"/>
  <c r="AE489" i="10"/>
  <c r="X489" i="10"/>
  <c r="AE443" i="10"/>
  <c r="X443" i="10"/>
  <c r="AE433" i="10"/>
  <c r="X433" i="10"/>
  <c r="AE560" i="10"/>
  <c r="X560" i="10"/>
  <c r="AE488" i="10"/>
  <c r="X488" i="10"/>
  <c r="AE472" i="10"/>
  <c r="X472" i="10"/>
  <c r="AE405" i="10"/>
  <c r="X405" i="10"/>
  <c r="AC432" i="10"/>
  <c r="AE372" i="10"/>
  <c r="X372" i="10"/>
  <c r="AE366" i="10"/>
  <c r="X366" i="10"/>
  <c r="AE382" i="10"/>
  <c r="X382" i="10"/>
  <c r="Z382" i="10" s="1"/>
  <c r="Z238" i="11"/>
  <c r="AA238" i="11"/>
  <c r="Z228" i="11"/>
  <c r="AA228" i="11"/>
  <c r="H361" i="11"/>
  <c r="X299" i="11"/>
  <c r="AE299" i="11"/>
  <c r="AB232" i="11"/>
  <c r="F43" i="18"/>
  <c r="F34" i="18"/>
  <c r="F46" i="18"/>
  <c r="F33" i="18"/>
  <c r="G121" i="5"/>
  <c r="G134" i="5" s="1"/>
  <c r="G148" i="5" s="1"/>
  <c r="G175" i="5" s="1"/>
  <c r="H191" i="5"/>
  <c r="L36" i="1"/>
  <c r="L39" i="1" s="1"/>
  <c r="L108" i="5" s="1"/>
  <c r="L113" i="5"/>
  <c r="I49" i="20"/>
  <c r="K39" i="1"/>
  <c r="G43" i="18"/>
  <c r="G44" i="18"/>
  <c r="I224" i="5"/>
  <c r="G69" i="15" s="1"/>
  <c r="I194" i="5"/>
  <c r="H18" i="15" s="1"/>
  <c r="G26" i="20" s="1"/>
  <c r="H194" i="5"/>
  <c r="G18" i="15" s="1"/>
  <c r="I107" i="5"/>
  <c r="G51" i="20"/>
  <c r="G34" i="18"/>
  <c r="J105" i="5"/>
  <c r="H47" i="20"/>
  <c r="AC386" i="10"/>
  <c r="AC446" i="10"/>
  <c r="AB249" i="11"/>
  <c r="S412" i="10"/>
  <c r="E53" i="4"/>
  <c r="F54" i="4"/>
  <c r="G17" i="5" s="1"/>
  <c r="I67" i="20"/>
  <c r="I133" i="18"/>
  <c r="I134" i="18" s="1"/>
  <c r="L218" i="5"/>
  <c r="L188" i="5"/>
  <c r="J133" i="18" s="1"/>
  <c r="J134" i="18" s="1"/>
  <c r="H67" i="20"/>
  <c r="H133" i="18"/>
  <c r="H134" i="18" s="1"/>
  <c r="AB145" i="10"/>
  <c r="AB79" i="9"/>
  <c r="AB215" i="10"/>
  <c r="J177" i="21"/>
  <c r="I161" i="21" s="1"/>
  <c r="AB217" i="11"/>
  <c r="AB146" i="11"/>
  <c r="S375" i="10"/>
  <c r="S169" i="11"/>
  <c r="S364" i="10"/>
  <c r="S420" i="10"/>
  <c r="I163" i="21"/>
  <c r="G33" i="18"/>
  <c r="S224" i="11"/>
  <c r="S519" i="10"/>
  <c r="S374" i="11"/>
  <c r="S234" i="11"/>
  <c r="S275" i="11"/>
  <c r="S311" i="11"/>
  <c r="K160" i="21"/>
  <c r="G58" i="20" s="1"/>
  <c r="N99" i="21"/>
  <c r="M135" i="21"/>
  <c r="K151" i="21"/>
  <c r="G28" i="20" s="1"/>
  <c r="L167" i="21"/>
  <c r="M176" i="21"/>
  <c r="M160" i="21" s="1"/>
  <c r="I58" i="20" s="1"/>
  <c r="M42" i="21"/>
  <c r="M167" i="21" s="1"/>
  <c r="N20" i="21"/>
  <c r="L170" i="21"/>
  <c r="I76" i="15" s="1"/>
  <c r="H27" i="5"/>
  <c r="J232" i="5"/>
  <c r="J202" i="5"/>
  <c r="J38" i="1"/>
  <c r="I40" i="1"/>
  <c r="I16" i="5" s="1"/>
  <c r="H31" i="5"/>
  <c r="H190" i="5" s="1"/>
  <c r="L24" i="1"/>
  <c r="L111" i="5" s="1"/>
  <c r="K26" i="1"/>
  <c r="K114" i="5"/>
  <c r="K232" i="5" s="1"/>
  <c r="H231" i="5"/>
  <c r="H201" i="5"/>
  <c r="G134" i="18"/>
  <c r="F68" i="18"/>
  <c r="H121" i="5"/>
  <c r="I221" i="5"/>
  <c r="I28" i="17"/>
  <c r="K38" i="16"/>
  <c r="K42" i="16" s="1"/>
  <c r="L19" i="12"/>
  <c r="M16" i="12"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X265" i="11" s="1"/>
  <c r="AD202" i="11"/>
  <c r="L264" i="11"/>
  <c r="AE226" i="11"/>
  <c r="H288" i="11"/>
  <c r="X288" i="11" s="1"/>
  <c r="AE218" i="11"/>
  <c r="H280" i="11"/>
  <c r="X280" i="11" s="1"/>
  <c r="AA234" i="11"/>
  <c r="Z234" i="11"/>
  <c r="E301" i="11"/>
  <c r="I239" i="11"/>
  <c r="AE275" i="11"/>
  <c r="H337" i="11"/>
  <c r="X337" i="11" s="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X306" i="11" s="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X372" i="11" s="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X308" i="11" s="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X329" i="11" s="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X344" i="11" s="1"/>
  <c r="L293" i="11"/>
  <c r="AD231" i="11"/>
  <c r="S230" i="11"/>
  <c r="Z141" i="11"/>
  <c r="AA141" i="11"/>
  <c r="R287" i="11"/>
  <c r="P287" i="11"/>
  <c r="J349" i="11"/>
  <c r="N287" i="11"/>
  <c r="AC287" i="11" s="1"/>
  <c r="Q287" i="11"/>
  <c r="S287" i="11" s="1"/>
  <c r="Z164" i="11"/>
  <c r="AA164" i="11"/>
  <c r="AE341" i="11"/>
  <c r="M274" i="11"/>
  <c r="AD212" i="11"/>
  <c r="E311" i="11"/>
  <c r="I249" i="11"/>
  <c r="E310" i="11"/>
  <c r="I248" i="11"/>
  <c r="E309" i="11"/>
  <c r="I247" i="11"/>
  <c r="Z221" i="11"/>
  <c r="AA221" i="11"/>
  <c r="AE296" i="11"/>
  <c r="H358" i="11"/>
  <c r="X358" i="11" s="1"/>
  <c r="M295" i="11"/>
  <c r="AD233" i="11"/>
  <c r="I236" i="11"/>
  <c r="E298" i="11"/>
  <c r="L285" i="11"/>
  <c r="AD223" i="11"/>
  <c r="P233" i="11"/>
  <c r="R233" i="11"/>
  <c r="Q233" i="11"/>
  <c r="N233" i="11"/>
  <c r="AC233" i="11" s="1"/>
  <c r="J295" i="11"/>
  <c r="AF294" i="11"/>
  <c r="AG294" i="11" s="1"/>
  <c r="F356" i="11"/>
  <c r="AF356" i="11" s="1"/>
  <c r="AG356" i="11" s="1"/>
  <c r="AE285" i="11"/>
  <c r="H347" i="11"/>
  <c r="X347" i="11" s="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126" i="11"/>
  <c r="S148" i="11"/>
  <c r="J272" i="11"/>
  <c r="P210" i="11"/>
  <c r="N210" i="11"/>
  <c r="AC210" i="11" s="1"/>
  <c r="Q210" i="11"/>
  <c r="R210" i="11"/>
  <c r="I240" i="11"/>
  <c r="E302" i="11"/>
  <c r="I246" i="11"/>
  <c r="E308" i="11"/>
  <c r="AE371" i="11"/>
  <c r="AA286" i="11"/>
  <c r="Z286" i="11"/>
  <c r="M266" i="11"/>
  <c r="AD204" i="11"/>
  <c r="AE295" i="11"/>
  <c r="H357" i="11"/>
  <c r="X357" i="11" s="1"/>
  <c r="Z182" i="11"/>
  <c r="AA182" i="11"/>
  <c r="M299" i="11"/>
  <c r="AD237" i="11"/>
  <c r="L251" i="11"/>
  <c r="AB121" i="11"/>
  <c r="AB163" i="11"/>
  <c r="AE270" i="11"/>
  <c r="H332" i="11"/>
  <c r="X332" i="11" s="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X312" i="11" s="1"/>
  <c r="I283" i="11"/>
  <c r="E345" i="11"/>
  <c r="I345" i="11" s="1"/>
  <c r="I288" i="11"/>
  <c r="E350" i="11"/>
  <c r="I350" i="11" s="1"/>
  <c r="I238" i="11"/>
  <c r="E300" i="11"/>
  <c r="L281" i="11"/>
  <c r="AD219" i="11"/>
  <c r="J298" i="11"/>
  <c r="R236" i="11"/>
  <c r="P236" i="11"/>
  <c r="Q236" i="11"/>
  <c r="N236" i="11"/>
  <c r="AC236" i="11" s="1"/>
  <c r="Z156" i="11"/>
  <c r="AA156" i="11"/>
  <c r="AE283" i="11"/>
  <c r="H345" i="11"/>
  <c r="X345" i="11" s="1"/>
  <c r="AE278" i="11"/>
  <c r="H340" i="11"/>
  <c r="X340" i="11" s="1"/>
  <c r="L305" i="11"/>
  <c r="AD243" i="11"/>
  <c r="AA248" i="11"/>
  <c r="Z248" i="11"/>
  <c r="AE351" i="11"/>
  <c r="F348" i="11"/>
  <c r="AF348" i="11" s="1"/>
  <c r="AG348" i="11" s="1"/>
  <c r="AF286" i="11"/>
  <c r="AG286" i="11" s="1"/>
  <c r="R220" i="11"/>
  <c r="P220" i="11"/>
  <c r="Q220" i="11"/>
  <c r="J282" i="11"/>
  <c r="N220" i="11"/>
  <c r="AC220" i="11" s="1"/>
  <c r="AE277" i="11"/>
  <c r="H339" i="11"/>
  <c r="X339" i="11" s="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X349" i="11" s="1"/>
  <c r="M360" i="11"/>
  <c r="AD360" i="11" s="1"/>
  <c r="AD298" i="11"/>
  <c r="AD222" i="11"/>
  <c r="L284" i="11"/>
  <c r="P291" i="11"/>
  <c r="N291" i="11"/>
  <c r="AC291" i="11" s="1"/>
  <c r="R291" i="11"/>
  <c r="Q291" i="11"/>
  <c r="J353" i="11"/>
  <c r="AB159" i="11"/>
  <c r="AE305" i="11"/>
  <c r="H367" i="11"/>
  <c r="X367" i="11" s="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AL499" i="10"/>
  <c r="AN499" i="10" s="1"/>
  <c r="H502" i="10"/>
  <c r="H614" i="10" s="1"/>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X556" i="10" s="1"/>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X659" i="10" s="1"/>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X610" i="10" s="1"/>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S502" i="10" s="1"/>
  <c r="AE359" i="10"/>
  <c r="O359" i="10"/>
  <c r="AC359" i="10" s="1"/>
  <c r="H471" i="10"/>
  <c r="X471" i="10" s="1"/>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S495" i="10" s="1"/>
  <c r="Q366" i="10"/>
  <c r="AL366" i="10"/>
  <c r="AN366" i="10" s="1"/>
  <c r="J478" i="10"/>
  <c r="R366" i="10"/>
  <c r="N366" i="10"/>
  <c r="P366" i="10"/>
  <c r="AE381" i="10"/>
  <c r="O381" i="10"/>
  <c r="AC381" i="10" s="1"/>
  <c r="H493" i="10"/>
  <c r="X493" i="10" s="1"/>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X554" i="10" s="1"/>
  <c r="M541" i="10"/>
  <c r="AD429" i="10"/>
  <c r="S258" i="10"/>
  <c r="I428" i="10"/>
  <c r="E540" i="10"/>
  <c r="S540" i="10" s="1"/>
  <c r="AA243" i="10"/>
  <c r="Z243" i="10"/>
  <c r="AE363" i="10"/>
  <c r="O363" i="10"/>
  <c r="AC363" i="10" s="1"/>
  <c r="H475" i="10"/>
  <c r="X475" i="10" s="1"/>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AC503" i="10" s="1"/>
  <c r="H615" i="10"/>
  <c r="X615" i="10" s="1"/>
  <c r="F477" i="10"/>
  <c r="AF365" i="10"/>
  <c r="AG365" i="10" s="1"/>
  <c r="O516" i="10"/>
  <c r="AC516" i="10" s="1"/>
  <c r="AE516" i="10"/>
  <c r="H628" i="10"/>
  <c r="X628" i="10" s="1"/>
  <c r="AE355" i="10"/>
  <c r="H467" i="10"/>
  <c r="X467" i="10" s="1"/>
  <c r="O355" i="10"/>
  <c r="G469" i="10"/>
  <c r="AH357" i="10"/>
  <c r="AI357" i="10" s="1"/>
  <c r="AJ357" i="10"/>
  <c r="AK357" i="10" s="1"/>
  <c r="AL357" i="10" s="1"/>
  <c r="AN357" i="10" s="1"/>
  <c r="P531" i="10"/>
  <c r="J643" i="10"/>
  <c r="N531" i="10"/>
  <c r="Q531" i="10"/>
  <c r="R531" i="10"/>
  <c r="AA386" i="10"/>
  <c r="Z386" i="10"/>
  <c r="R631" i="10"/>
  <c r="AC577"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I399" i="10"/>
  <c r="E511" i="10"/>
  <c r="S399" i="10"/>
  <c r="AF495" i="10"/>
  <c r="AG495" i="10" s="1"/>
  <c r="F607" i="10"/>
  <c r="AF607" i="10" s="1"/>
  <c r="AG607" i="10" s="1"/>
  <c r="I444" i="10"/>
  <c r="E556" i="10"/>
  <c r="S556" i="10" s="1"/>
  <c r="AF434" i="10"/>
  <c r="AG434" i="10" s="1"/>
  <c r="F546" i="10"/>
  <c r="AE439" i="10"/>
  <c r="H551" i="10"/>
  <c r="X551" i="10" s="1"/>
  <c r="O439" i="10"/>
  <c r="AC439" i="10" s="1"/>
  <c r="J482" i="10"/>
  <c r="P370" i="10"/>
  <c r="R370" i="10"/>
  <c r="AL370" i="10"/>
  <c r="AN370" i="10" s="1"/>
  <c r="N370" i="10"/>
  <c r="Q370" i="10"/>
  <c r="AE413" i="10"/>
  <c r="O413" i="10"/>
  <c r="H525" i="10"/>
  <c r="X525" i="10" s="1"/>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H59" i="20"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J168" i="21" s="1"/>
  <c r="G74" i="15"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G25" i="14"/>
  <c r="G29" i="14" s="1"/>
  <c r="AB12" i="13"/>
  <c r="H36" i="14"/>
  <c r="T12" i="13"/>
  <c r="F47" i="14"/>
  <c r="F29" i="14"/>
  <c r="S449" i="10"/>
  <c r="S500" i="10"/>
  <c r="AG340" i="10"/>
  <c r="S445" i="10"/>
  <c r="J12" i="14"/>
  <c r="AB430" i="10"/>
  <c r="AB110" i="9"/>
  <c r="AB74" i="9"/>
  <c r="AB283" i="10"/>
  <c r="S367" i="11"/>
  <c r="AB160" i="11"/>
  <c r="S393" i="10"/>
  <c r="AB288" i="10"/>
  <c r="AB239" i="11"/>
  <c r="S406" i="10"/>
  <c r="AB150" i="11"/>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F655" i="10"/>
  <c r="AF655" i="10" s="1"/>
  <c r="AG655" i="10" s="1"/>
  <c r="AF543" i="10"/>
  <c r="AG543" i="10" s="1"/>
  <c r="R539" i="10"/>
  <c r="J651" i="10"/>
  <c r="N539" i="10"/>
  <c r="P539" i="10"/>
  <c r="Q539" i="10"/>
  <c r="S539" i="10" s="1"/>
  <c r="AA438" i="10"/>
  <c r="Z438" i="10"/>
  <c r="L475" i="10"/>
  <c r="AD363" i="10"/>
  <c r="H490" i="10"/>
  <c r="O378" i="10"/>
  <c r="AA325" i="10"/>
  <c r="Z325" i="10"/>
  <c r="AL479" i="10"/>
  <c r="AN479" i="10" s="1"/>
  <c r="N479" i="10"/>
  <c r="J591" i="10"/>
  <c r="P479" i="10"/>
  <c r="Q479" i="10"/>
  <c r="R479" i="10"/>
  <c r="O425" i="10"/>
  <c r="AC425" i="10" s="1"/>
  <c r="H537" i="10"/>
  <c r="Q504" i="10"/>
  <c r="J616" i="10"/>
  <c r="P504" i="10"/>
  <c r="R504" i="10"/>
  <c r="N504" i="10"/>
  <c r="AA339" i="10"/>
  <c r="Z339" i="10"/>
  <c r="E622" i="10"/>
  <c r="I622" i="10" s="1"/>
  <c r="H578" i="10"/>
  <c r="O466" i="10"/>
  <c r="O447" i="10"/>
  <c r="AC447" i="10" s="1"/>
  <c r="H559" i="10"/>
  <c r="L537" i="10"/>
  <c r="AD425" i="10"/>
  <c r="Q621" i="10"/>
  <c r="N621" i="10"/>
  <c r="R621" i="10"/>
  <c r="P621" i="10"/>
  <c r="O366" i="10"/>
  <c r="H478" i="10"/>
  <c r="E645" i="10"/>
  <c r="I645" i="10" s="1"/>
  <c r="O409" i="10"/>
  <c r="AC409" i="10" s="1"/>
  <c r="H521" i="10"/>
  <c r="R544" i="10"/>
  <c r="J656" i="10"/>
  <c r="P544" i="10"/>
  <c r="Q544" i="10"/>
  <c r="N544" i="10"/>
  <c r="AH493" i="10"/>
  <c r="AI493" i="10" s="1"/>
  <c r="G605" i="10"/>
  <c r="AJ493" i="10"/>
  <c r="AK493" i="10" s="1"/>
  <c r="AL493" i="10" s="1"/>
  <c r="AN493" i="10" s="1"/>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O441" i="10"/>
  <c r="AC441" i="10" s="1"/>
  <c r="S322"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O550" i="10"/>
  <c r="AB223" i="10"/>
  <c r="J467" i="10"/>
  <c r="AL355" i="10"/>
  <c r="AN355" i="10" s="1"/>
  <c r="Q355" i="10"/>
  <c r="P355" i="10"/>
  <c r="N355" i="10"/>
  <c r="R355" i="10"/>
  <c r="AB217" i="10"/>
  <c r="AF532" i="10"/>
  <c r="AG532" i="10" s="1"/>
  <c r="F644" i="10"/>
  <c r="AF644" i="10" s="1"/>
  <c r="AG644" i="10" s="1"/>
  <c r="S392" i="10"/>
  <c r="H563" i="10"/>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F527" i="10"/>
  <c r="AF415" i="10"/>
  <c r="AG415" i="10" s="1"/>
  <c r="AH665" i="10"/>
  <c r="AI665" i="10" s="1"/>
  <c r="AJ665" i="10"/>
  <c r="AK665" i="10" s="1"/>
  <c r="AL665" i="10" s="1"/>
  <c r="AN665" i="10" s="1"/>
  <c r="H647" i="10"/>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O405" i="10"/>
  <c r="M535" i="10"/>
  <c r="AD423" i="10"/>
  <c r="O544" i="10"/>
  <c r="H656" i="10"/>
  <c r="H484" i="10"/>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O402" i="10"/>
  <c r="L550" i="10"/>
  <c r="AD438" i="10"/>
  <c r="Z365" i="10"/>
  <c r="AA365" i="10"/>
  <c r="N660" i="10"/>
  <c r="R660" i="10"/>
  <c r="Q660" i="10"/>
  <c r="P660" i="10"/>
  <c r="S438" i="10"/>
  <c r="O370" i="10"/>
  <c r="H482" i="10"/>
  <c r="S356" i="10"/>
  <c r="H584" i="10"/>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O375" i="10"/>
  <c r="AC375" i="10" s="1"/>
  <c r="E661" i="10"/>
  <c r="I661" i="10" s="1"/>
  <c r="H532" i="10"/>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S592" i="10"/>
  <c r="N530" i="10"/>
  <c r="J642" i="10"/>
  <c r="P530" i="10"/>
  <c r="Q530" i="10"/>
  <c r="R530" i="10"/>
  <c r="AJ667" i="10"/>
  <c r="AK667" i="10" s="1"/>
  <c r="AL667" i="10" s="1"/>
  <c r="AN667" i="10" s="1"/>
  <c r="AH667" i="10"/>
  <c r="AI667" i="10" s="1"/>
  <c r="S476" i="10"/>
  <c r="O612" i="10"/>
  <c r="L470" i="10"/>
  <c r="AD358" i="10"/>
  <c r="L553" i="10"/>
  <c r="AD441" i="10"/>
  <c r="J659" i="10"/>
  <c r="N547" i="10"/>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O560" i="10"/>
  <c r="AC560" i="10" s="1"/>
  <c r="N468" i="10"/>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O392" i="10"/>
  <c r="AC392" i="10" s="1"/>
  <c r="AJ502" i="10"/>
  <c r="AK502" i="10" s="1"/>
  <c r="AL502" i="10" s="1"/>
  <c r="AN502" i="10" s="1"/>
  <c r="AH502" i="10"/>
  <c r="AI502" i="10" s="1"/>
  <c r="G614" i="10"/>
  <c r="Z390" i="10"/>
  <c r="AF430" i="10"/>
  <c r="AG430" i="10" s="1"/>
  <c r="F542" i="10"/>
  <c r="H658" i="10"/>
  <c r="O546" i="10"/>
  <c r="L538" i="10"/>
  <c r="AD426" i="10"/>
  <c r="R557" i="10"/>
  <c r="N557" i="10"/>
  <c r="Q557" i="10"/>
  <c r="J669" i="10"/>
  <c r="P557" i="10"/>
  <c r="E548" i="10"/>
  <c r="I548" i="10" s="1"/>
  <c r="S436" i="10"/>
  <c r="M476" i="10"/>
  <c r="AD364" i="10"/>
  <c r="L496" i="10"/>
  <c r="AD384" i="10"/>
  <c r="H474" i="10"/>
  <c r="O362" i="10"/>
  <c r="AC362" i="10" s="1"/>
  <c r="L620" i="10"/>
  <c r="AD620" i="10" s="1"/>
  <c r="AD508" i="10"/>
  <c r="M543" i="10"/>
  <c r="AD431" i="10"/>
  <c r="AD451" i="10"/>
  <c r="L563" i="10"/>
  <c r="L510" i="10"/>
  <c r="AD398" i="10"/>
  <c r="Q585" i="10"/>
  <c r="R585" i="10"/>
  <c r="N585" i="10"/>
  <c r="P585" i="10"/>
  <c r="H623" i="10"/>
  <c r="O511" i="10"/>
  <c r="AC511" i="10" s="1"/>
  <c r="E478" i="10"/>
  <c r="I478" i="10" s="1"/>
  <c r="S507" i="10"/>
  <c r="AB270" i="10"/>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F352" i="10"/>
  <c r="AG352" i="10" s="1"/>
  <c r="F464" i="10"/>
  <c r="AF538" i="10"/>
  <c r="AG538" i="10" s="1"/>
  <c r="F650" i="10"/>
  <c r="AF650" i="10" s="1"/>
  <c r="AG650" i="10" s="1"/>
  <c r="H541" i="10"/>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H601" i="10"/>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AB322" i="10"/>
  <c r="AF550" i="10"/>
  <c r="AG550" i="10" s="1"/>
  <c r="F662" i="10"/>
  <c r="AF662" i="10" s="1"/>
  <c r="AG662" i="10" s="1"/>
  <c r="H545" i="10"/>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M251" i="11"/>
  <c r="M263" i="11"/>
  <c r="P201" i="11"/>
  <c r="AD201" i="11"/>
  <c r="H307" i="11"/>
  <c r="E333" i="11"/>
  <c r="I333" i="11" s="1"/>
  <c r="AA311" i="11"/>
  <c r="Z311" i="11"/>
  <c r="H328" i="1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Z211" i="11"/>
  <c r="AA211" i="11"/>
  <c r="AF301" i="11"/>
  <c r="AG301" i="11" s="1"/>
  <c r="F363" i="11"/>
  <c r="AF363" i="11" s="1"/>
  <c r="AG363" i="11" s="1"/>
  <c r="H303" i="11"/>
  <c r="AF215" i="11"/>
  <c r="AG215" i="11" s="1"/>
  <c r="F277" i="11"/>
  <c r="L358" i="11"/>
  <c r="AD358" i="11" s="1"/>
  <c r="AD296" i="11"/>
  <c r="H334" i="11"/>
  <c r="H276" i="11"/>
  <c r="H336" i="1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L362" i="11"/>
  <c r="AD362" i="11" s="1"/>
  <c r="AD300" i="11"/>
  <c r="H335" i="1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S238" i="11"/>
  <c r="E282" i="11"/>
  <c r="I282" i="11" s="1"/>
  <c r="J289" i="11"/>
  <c r="P227" i="11"/>
  <c r="Q227" i="11"/>
  <c r="R227" i="11"/>
  <c r="N227" i="11"/>
  <c r="AC227" i="11" s="1"/>
  <c r="E294" i="11"/>
  <c r="I294" i="11" s="1"/>
  <c r="AB291" i="11"/>
  <c r="E328" i="11"/>
  <c r="I328" i="11" s="1"/>
  <c r="H364" i="11"/>
  <c r="P277" i="11"/>
  <c r="R277" i="11"/>
  <c r="J339" i="11"/>
  <c r="Q277" i="11"/>
  <c r="N277" i="11"/>
  <c r="AC277" i="11" s="1"/>
  <c r="AB78" i="11"/>
  <c r="H268" i="11"/>
  <c r="AB149" i="11"/>
  <c r="Z147" i="11"/>
  <c r="AA147" i="11"/>
  <c r="AF309" i="11"/>
  <c r="AG309" i="11" s="1"/>
  <c r="F371" i="11"/>
  <c r="AF371" i="11" s="1"/>
  <c r="AG371" i="11" s="1"/>
  <c r="AA140" i="11"/>
  <c r="Z140" i="11"/>
  <c r="H360" i="11"/>
  <c r="Q205" i="11"/>
  <c r="R205" i="11"/>
  <c r="J267" i="11"/>
  <c r="N205" i="11"/>
  <c r="AC205" i="11" s="1"/>
  <c r="P205" i="11"/>
  <c r="Z301" i="11"/>
  <c r="AA301" i="11"/>
  <c r="P228" i="10"/>
  <c r="Q128" i="10"/>
  <c r="AF478" i="10"/>
  <c r="AG478" i="10" s="1"/>
  <c r="F590" i="10"/>
  <c r="AF590" i="10" s="1"/>
  <c r="AG590" i="10" s="1"/>
  <c r="Z450" i="10"/>
  <c r="AA450" i="10"/>
  <c r="Z536" i="10"/>
  <c r="AA536"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J21" i="1"/>
  <c r="AJ646" i="10"/>
  <c r="AK646" i="10" s="1"/>
  <c r="AH646" i="10"/>
  <c r="AI646" i="10" s="1"/>
  <c r="AF422" i="10"/>
  <c r="AG422" i="10" s="1"/>
  <c r="F534" i="10"/>
  <c r="Z418" i="10"/>
  <c r="AA418" i="10"/>
  <c r="H609" i="10"/>
  <c r="O497" i="10"/>
  <c r="P650" i="10"/>
  <c r="R650" i="10"/>
  <c r="Q650" i="10"/>
  <c r="N650" i="10"/>
  <c r="AJ545" i="10"/>
  <c r="AK545" i="10" s="1"/>
  <c r="G657" i="10"/>
  <c r="AH545" i="10"/>
  <c r="AI545" i="10" s="1"/>
  <c r="Z527" i="10"/>
  <c r="AA527" i="10"/>
  <c r="P583" i="10"/>
  <c r="Q583" i="10"/>
  <c r="N583" i="10"/>
  <c r="R583" i="10"/>
  <c r="M609" i="10"/>
  <c r="AD609" i="10" s="1"/>
  <c r="AD497" i="10"/>
  <c r="H485" i="10"/>
  <c r="O373" i="10"/>
  <c r="AC373" i="10" s="1"/>
  <c r="E649" i="10"/>
  <c r="I649" i="10" s="1"/>
  <c r="H540" i="10"/>
  <c r="O428" i="10"/>
  <c r="AC428" i="10" s="1"/>
  <c r="H582" i="10"/>
  <c r="O470" i="10"/>
  <c r="AC470" i="10" s="1"/>
  <c r="H531" i="10"/>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O492" i="10"/>
  <c r="AC492" i="10" s="1"/>
  <c r="AB149" i="10"/>
  <c r="E465" i="10"/>
  <c r="I465" i="10" s="1"/>
  <c r="S353" i="10"/>
  <c r="AB204" i="10"/>
  <c r="H481" i="10"/>
  <c r="O369" i="10"/>
  <c r="AC369" i="10" s="1"/>
  <c r="H650" i="10"/>
  <c r="O538" i="10"/>
  <c r="AC538" i="10" s="1"/>
  <c r="AF466" i="10"/>
  <c r="AG466" i="10" s="1"/>
  <c r="F578" i="10"/>
  <c r="AF578" i="10" s="1"/>
  <c r="AG578" i="10" s="1"/>
  <c r="AB315" i="10"/>
  <c r="AB143" i="10"/>
  <c r="AB410" i="10"/>
  <c r="H473" i="10"/>
  <c r="O361" i="10"/>
  <c r="AC361" i="10" s="1"/>
  <c r="P537" i="10"/>
  <c r="R537" i="10"/>
  <c r="Q537" i="10"/>
  <c r="N537" i="10"/>
  <c r="J649" i="10"/>
  <c r="Q647" i="10"/>
  <c r="R647" i="10"/>
  <c r="N647" i="10"/>
  <c r="P647" i="10"/>
  <c r="AA403" i="10"/>
  <c r="Z403" i="10"/>
  <c r="M623" i="10"/>
  <c r="AD623" i="10" s="1"/>
  <c r="AD511" i="10"/>
  <c r="M607" i="10"/>
  <c r="AD607" i="10" s="1"/>
  <c r="AD495" i="10"/>
  <c r="J490" i="10"/>
  <c r="N378" i="10"/>
  <c r="P378" i="10"/>
  <c r="Q378" i="10"/>
  <c r="R378" i="10"/>
  <c r="J674" i="10"/>
  <c r="Q562" i="10"/>
  <c r="N562" i="10"/>
  <c r="P562" i="10"/>
  <c r="R562" i="10"/>
  <c r="AL562" i="10"/>
  <c r="AN562" i="10" s="1"/>
  <c r="AF533" i="10"/>
  <c r="AG533" i="10" s="1"/>
  <c r="F645" i="10"/>
  <c r="AF645" i="10" s="1"/>
  <c r="AG645" i="10" s="1"/>
  <c r="Z333" i="10"/>
  <c r="AA333" i="10"/>
  <c r="Z357" i="10"/>
  <c r="AA357" i="10"/>
  <c r="H523" i="10"/>
  <c r="O411" i="10"/>
  <c r="AC411" i="10" s="1"/>
  <c r="AB267" i="10"/>
  <c r="H598" i="10"/>
  <c r="O486" i="10"/>
  <c r="AF516" i="10"/>
  <c r="AG516" i="10" s="1"/>
  <c r="F628" i="10"/>
  <c r="AF628" i="10" s="1"/>
  <c r="AG628" i="10" s="1"/>
  <c r="H624" i="10"/>
  <c r="O512" i="10"/>
  <c r="AC512" i="10" s="1"/>
  <c r="S516" i="10"/>
  <c r="R628" i="10"/>
  <c r="N628" i="10"/>
  <c r="P628" i="10"/>
  <c r="Q628" i="10"/>
  <c r="H479" i="10"/>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358" i="10"/>
  <c r="Z358" i="10"/>
  <c r="AA505" i="10"/>
  <c r="Z505" i="10"/>
  <c r="Z307" i="10"/>
  <c r="AA307" i="10"/>
  <c r="R584" i="10"/>
  <c r="P584" i="10"/>
  <c r="Q584" i="10"/>
  <c r="N584" i="10"/>
  <c r="AC382" i="10"/>
  <c r="R413" i="10"/>
  <c r="N413" i="10"/>
  <c r="Q413" i="10"/>
  <c r="J525" i="10"/>
  <c r="P413" i="10"/>
  <c r="AL413" i="10"/>
  <c r="AN413" i="10" s="1"/>
  <c r="S543" i="10"/>
  <c r="R484" i="10"/>
  <c r="N484" i="10"/>
  <c r="P484" i="10"/>
  <c r="J596" i="10"/>
  <c r="Q484" i="10"/>
  <c r="R667" i="10"/>
  <c r="P667" i="10"/>
  <c r="Q667" i="10"/>
  <c r="N667" i="10"/>
  <c r="F651" i="10"/>
  <c r="AF651" i="10" s="1"/>
  <c r="AG651" i="10" s="1"/>
  <c r="AF539" i="10"/>
  <c r="AG539" i="10" s="1"/>
  <c r="AB221"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Z397" i="10"/>
  <c r="AA397" i="10"/>
  <c r="S552" i="10"/>
  <c r="E664" i="10"/>
  <c r="I664" i="10" s="1"/>
  <c r="H581" i="10"/>
  <c r="O469" i="10"/>
  <c r="H518" i="10"/>
  <c r="O406" i="10"/>
  <c r="AC406" i="10" s="1"/>
  <c r="H534" i="10"/>
  <c r="O422" i="10"/>
  <c r="AC422" i="10" s="1"/>
  <c r="Z380" i="10"/>
  <c r="AA380" i="10"/>
  <c r="R614" i="10"/>
  <c r="N614" i="10"/>
  <c r="P614" i="10"/>
  <c r="Q614" i="10"/>
  <c r="E525" i="10"/>
  <c r="I525" i="10" s="1"/>
  <c r="Z257" i="10"/>
  <c r="AA257" i="10"/>
  <c r="AA426" i="10"/>
  <c r="Z426" i="10"/>
  <c r="H495" i="10"/>
  <c r="O383" i="10"/>
  <c r="AC383" i="10" s="1"/>
  <c r="H519" i="10"/>
  <c r="O407" i="10"/>
  <c r="AC407" i="10" s="1"/>
  <c r="H606" i="10"/>
  <c r="O494" i="10"/>
  <c r="M578" i="10"/>
  <c r="AD578" i="10" s="1"/>
  <c r="AD466" i="10"/>
  <c r="Q624" i="10"/>
  <c r="R624" i="10"/>
  <c r="N624" i="10"/>
  <c r="P624" i="10"/>
  <c r="L580" i="10"/>
  <c r="AD580" i="10" s="1"/>
  <c r="AD468" i="10"/>
  <c r="P675" i="10"/>
  <c r="Q675" i="10"/>
  <c r="R675" i="10"/>
  <c r="N675" i="10"/>
  <c r="M613" i="10"/>
  <c r="AD613" i="10" s="1"/>
  <c r="AD501" i="10"/>
  <c r="H506" i="10"/>
  <c r="O394" i="10"/>
  <c r="AC394" i="10" s="1"/>
  <c r="M478" i="10"/>
  <c r="AD366" i="10"/>
  <c r="M452" i="10"/>
  <c r="H501" i="10"/>
  <c r="O389" i="10"/>
  <c r="AC389" i="10" s="1"/>
  <c r="H620" i="10"/>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O449" i="10"/>
  <c r="AC449" i="10" s="1"/>
  <c r="L452" i="10"/>
  <c r="H480" i="10"/>
  <c r="O368" i="10"/>
  <c r="AC368" i="10" s="1"/>
  <c r="O634" i="10"/>
  <c r="AC542" i="10"/>
  <c r="Z261" i="10"/>
  <c r="AA261" i="10"/>
  <c r="AA316" i="10"/>
  <c r="Z316" i="10"/>
  <c r="H625" i="10"/>
  <c r="O513" i="10"/>
  <c r="H636" i="10"/>
  <c r="O524" i="10"/>
  <c r="AC524" i="10" s="1"/>
  <c r="H651" i="10"/>
  <c r="O539" i="10"/>
  <c r="AC539" i="10" s="1"/>
  <c r="H619" i="10"/>
  <c r="O507" i="10"/>
  <c r="AC507" i="10" s="1"/>
  <c r="H632" i="10"/>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O384" i="10"/>
  <c r="AC384" i="10" s="1"/>
  <c r="S262" i="10"/>
  <c r="AB300" i="10"/>
  <c r="F643" i="10"/>
  <c r="AF643" i="10" s="1"/>
  <c r="AG643" i="10" s="1"/>
  <c r="AF531" i="10"/>
  <c r="AG531" i="10" s="1"/>
  <c r="H641" i="10"/>
  <c r="O529" i="10"/>
  <c r="H645" i="10"/>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O515" i="10"/>
  <c r="AC515" i="10" s="1"/>
  <c r="H557" i="10"/>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O639" i="10"/>
  <c r="AC639" i="10" s="1"/>
  <c r="Z295" i="10"/>
  <c r="AA295" i="10"/>
  <c r="L585" i="10"/>
  <c r="AD585" i="10" s="1"/>
  <c r="AD473" i="10"/>
  <c r="O62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O509" i="10"/>
  <c r="AC509" i="10" s="1"/>
  <c r="M631" i="10"/>
  <c r="AD631" i="10" s="1"/>
  <c r="AD519" i="10"/>
  <c r="M615" i="10"/>
  <c r="AD615" i="10" s="1"/>
  <c r="AD503" i="10"/>
  <c r="M599" i="10"/>
  <c r="AD599" i="10" s="1"/>
  <c r="AD487" i="10"/>
  <c r="H674" i="10"/>
  <c r="O562" i="10"/>
  <c r="S450" i="10"/>
  <c r="F608" i="10"/>
  <c r="AF608" i="10" s="1"/>
  <c r="AG608" i="10" s="1"/>
  <c r="AF496" i="10"/>
  <c r="AG496" i="10" s="1"/>
  <c r="R665" i="10"/>
  <c r="N665" i="10"/>
  <c r="P665" i="10"/>
  <c r="Q665" i="10"/>
  <c r="S553" i="10"/>
  <c r="Z277" i="10"/>
  <c r="AA277" i="10"/>
  <c r="Z396" i="10"/>
  <c r="AA299" i="10"/>
  <c r="Z299" i="10"/>
  <c r="AF490" i="10"/>
  <c r="AG490" i="10" s="1"/>
  <c r="F602" i="10"/>
  <c r="AF602" i="10" s="1"/>
  <c r="AG602" i="10" s="1"/>
  <c r="R668" i="10"/>
  <c r="Q668" i="10"/>
  <c r="N668" i="10"/>
  <c r="P668" i="10"/>
  <c r="AB198"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H603" i="10"/>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M617" i="10"/>
  <c r="AD617" i="10" s="1"/>
  <c r="AD505" i="10"/>
  <c r="AB314" i="10"/>
  <c r="M627" i="10"/>
  <c r="AD627" i="10" s="1"/>
  <c r="AD515" i="10"/>
  <c r="M611" i="10"/>
  <c r="AD611" i="10" s="1"/>
  <c r="AD499" i="10"/>
  <c r="AA272" i="10"/>
  <c r="Z272" i="10"/>
  <c r="H595" i="10"/>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Z417" i="10"/>
  <c r="AA417" i="10"/>
  <c r="AA421" i="10"/>
  <c r="Z421" i="10"/>
  <c r="AF548" i="10"/>
  <c r="AG548" i="10" s="1"/>
  <c r="F660" i="10"/>
  <c r="AF660" i="10" s="1"/>
  <c r="AG660" i="10" s="1"/>
  <c r="H642" i="10"/>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X156" i="9"/>
  <c r="H183" i="9"/>
  <c r="AE183" i="9" s="1"/>
  <c r="Z105" i="9"/>
  <c r="AA105" i="9"/>
  <c r="AA101" i="9"/>
  <c r="Z101" i="9"/>
  <c r="AB127" i="9"/>
  <c r="E185" i="9"/>
  <c r="I158" i="9"/>
  <c r="S158" i="9"/>
  <c r="N151" i="9"/>
  <c r="J178" i="9"/>
  <c r="Z98" i="9"/>
  <c r="AA98" i="9"/>
  <c r="X131" i="9"/>
  <c r="H158" i="9"/>
  <c r="AE158" i="9" s="1"/>
  <c r="L182" i="9"/>
  <c r="AD182" i="9" s="1"/>
  <c r="AD155" i="9"/>
  <c r="S180" i="9"/>
  <c r="I180" i="9"/>
  <c r="N137" i="9"/>
  <c r="AC137" i="9" s="1"/>
  <c r="J164" i="9"/>
  <c r="P137" i="9"/>
  <c r="R137" i="9"/>
  <c r="Q137" i="9"/>
  <c r="S161" i="9"/>
  <c r="I161" i="9"/>
  <c r="E188" i="9"/>
  <c r="L160" i="9"/>
  <c r="AD133" i="9"/>
  <c r="X189" i="9"/>
  <c r="X134" i="9"/>
  <c r="H161" i="9"/>
  <c r="AE161" i="9" s="1"/>
  <c r="AB78" i="9"/>
  <c r="AB80" i="9"/>
  <c r="N161" i="9"/>
  <c r="AC161" i="9" s="1"/>
  <c r="J188" i="9"/>
  <c r="R161" i="9"/>
  <c r="P161" i="9"/>
  <c r="Q161" i="9"/>
  <c r="Q187" i="9"/>
  <c r="N187" i="9"/>
  <c r="AC187" i="9" s="1"/>
  <c r="P187" i="9"/>
  <c r="R187" i="9"/>
  <c r="F159" i="9"/>
  <c r="AF132" i="9"/>
  <c r="AG132" i="9" s="1"/>
  <c r="X160" i="9"/>
  <c r="H187" i="9"/>
  <c r="AE187" i="9" s="1"/>
  <c r="P163" i="9"/>
  <c r="J190" i="9"/>
  <c r="Q163" i="9"/>
  <c r="AF124" i="9"/>
  <c r="AG124" i="9" s="1"/>
  <c r="F151" i="9"/>
  <c r="X128" i="9"/>
  <c r="H155" i="9"/>
  <c r="AE155" i="9" s="1"/>
  <c r="N155" i="9"/>
  <c r="AC155" i="9" s="1"/>
  <c r="J182" i="9"/>
  <c r="Q155" i="9"/>
  <c r="P155" i="9"/>
  <c r="R155" i="9"/>
  <c r="AC124" i="9"/>
  <c r="P157" i="9"/>
  <c r="N157" i="9"/>
  <c r="AC157" i="9" s="1"/>
  <c r="J184" i="9"/>
  <c r="R157" i="9"/>
  <c r="Q157" i="9"/>
  <c r="L151" i="9"/>
  <c r="L139" i="9"/>
  <c r="AD124" i="9"/>
  <c r="AG112" i="9"/>
  <c r="X124" i="9"/>
  <c r="L163" i="9"/>
  <c r="AD136" i="9"/>
  <c r="AA129" i="9"/>
  <c r="Z129" i="9"/>
  <c r="X181" i="9"/>
  <c r="M181" i="9"/>
  <c r="AD181" i="9" s="1"/>
  <c r="AD154" i="9"/>
  <c r="M178" i="9"/>
  <c r="M166" i="9"/>
  <c r="X125" i="9"/>
  <c r="H152" i="9"/>
  <c r="AE152" i="9" s="1"/>
  <c r="S133" i="9"/>
  <c r="I133" i="9"/>
  <c r="E160" i="9"/>
  <c r="L152" i="9"/>
  <c r="AD125" i="9"/>
  <c r="Z162" i="9"/>
  <c r="AA162" i="9"/>
  <c r="Z107" i="9"/>
  <c r="AA107" i="9"/>
  <c r="X126" i="9"/>
  <c r="H153" i="9"/>
  <c r="AE153" i="9" s="1"/>
  <c r="R129" i="9"/>
  <c r="J156" i="9"/>
  <c r="N129" i="9"/>
  <c r="AC129" i="9" s="1"/>
  <c r="P129" i="9"/>
  <c r="Q129" i="9"/>
  <c r="L164" i="9"/>
  <c r="AD137" i="9"/>
  <c r="S163" i="9"/>
  <c r="I163" i="9"/>
  <c r="E190" i="9"/>
  <c r="F162" i="9"/>
  <c r="AF135" i="9"/>
  <c r="AG135" i="9" s="1"/>
  <c r="Q43" i="9"/>
  <c r="AB43" i="9"/>
  <c r="F154" i="9"/>
  <c r="AF127" i="9"/>
  <c r="AG127" i="9" s="1"/>
  <c r="X130" i="9"/>
  <c r="H157" i="9"/>
  <c r="AE157" i="9" s="1"/>
  <c r="Q85" i="9"/>
  <c r="AF158" i="9"/>
  <c r="AG158" i="9" s="1"/>
  <c r="F185" i="9"/>
  <c r="AF185" i="9" s="1"/>
  <c r="AG185" i="9" s="1"/>
  <c r="Z138" i="9"/>
  <c r="AA138" i="9"/>
  <c r="E165" i="9"/>
  <c r="I138" i="9"/>
  <c r="S138" i="9"/>
  <c r="AA97" i="9"/>
  <c r="Z97" i="9"/>
  <c r="X112" i="9"/>
  <c r="H163" i="9"/>
  <c r="AE163" i="9" s="1"/>
  <c r="X136" i="9"/>
  <c r="AA154" i="9"/>
  <c r="Z154" i="9"/>
  <c r="X164" i="9"/>
  <c r="H191" i="9"/>
  <c r="AE191" i="9" s="1"/>
  <c r="X132" i="9"/>
  <c r="H159" i="9"/>
  <c r="AE159" i="9" s="1"/>
  <c r="I186" i="9"/>
  <c r="S186" i="9"/>
  <c r="S162" i="9"/>
  <c r="E189" i="9"/>
  <c r="I162" i="9"/>
  <c r="P124" i="9"/>
  <c r="AB70" i="9"/>
  <c r="AB111" i="9"/>
  <c r="Q135" i="9"/>
  <c r="R135" i="9"/>
  <c r="P135" i="9"/>
  <c r="J162" i="9"/>
  <c r="N135" i="9"/>
  <c r="AC135" i="9" s="1"/>
  <c r="AB76" i="9"/>
  <c r="AA99" i="9"/>
  <c r="Z99" i="9"/>
  <c r="H192" i="9"/>
  <c r="AE192" i="9" s="1"/>
  <c r="X165" i="9"/>
  <c r="AB102" i="9"/>
  <c r="AA133" i="9"/>
  <c r="Z133" i="9"/>
  <c r="I181" i="9"/>
  <c r="S181" i="9"/>
  <c r="E77" i="4"/>
  <c r="F78" i="4"/>
  <c r="S402" i="10" l="1"/>
  <c r="O340" i="10"/>
  <c r="AC413" i="10"/>
  <c r="Z230" i="11"/>
  <c r="AA436" i="10"/>
  <c r="AA382" i="10"/>
  <c r="AB382" i="10" s="1"/>
  <c r="AB235" i="11"/>
  <c r="AB237" i="11"/>
  <c r="AL646" i="10"/>
  <c r="AN646" i="10" s="1"/>
  <c r="AC417" i="10"/>
  <c r="K44" i="17"/>
  <c r="AB238" i="11"/>
  <c r="AB294" i="11"/>
  <c r="I25" i="5"/>
  <c r="I24" i="5"/>
  <c r="I26" i="5"/>
  <c r="I17" i="5"/>
  <c r="AB228" i="11"/>
  <c r="AE674" i="10"/>
  <c r="X674" i="10"/>
  <c r="AE621" i="10"/>
  <c r="X621" i="10"/>
  <c r="AE627" i="10"/>
  <c r="X627" i="10"/>
  <c r="AE645" i="10"/>
  <c r="X645" i="10"/>
  <c r="AE620" i="10"/>
  <c r="X620" i="10"/>
  <c r="AE534" i="10"/>
  <c r="X534" i="10"/>
  <c r="AE581" i="10"/>
  <c r="X581" i="10"/>
  <c r="AE481" i="10"/>
  <c r="X481" i="10"/>
  <c r="AE531" i="10"/>
  <c r="X531" i="10"/>
  <c r="AE540" i="10"/>
  <c r="X540" i="10"/>
  <c r="AE609" i="10"/>
  <c r="X609" i="10"/>
  <c r="AE364" i="11"/>
  <c r="X364" i="11"/>
  <c r="AE336" i="11"/>
  <c r="X336" i="11"/>
  <c r="AE476" i="10"/>
  <c r="X476" i="10"/>
  <c r="AE541" i="10"/>
  <c r="X541" i="10"/>
  <c r="AE658" i="10"/>
  <c r="X658" i="10"/>
  <c r="AE584" i="10"/>
  <c r="X584" i="10"/>
  <c r="AE478" i="10"/>
  <c r="X478" i="10"/>
  <c r="AE559" i="10"/>
  <c r="X559" i="10"/>
  <c r="AE537" i="10"/>
  <c r="X537" i="10"/>
  <c r="AE549" i="10"/>
  <c r="X549" i="10"/>
  <c r="Z299" i="11"/>
  <c r="AA299" i="11"/>
  <c r="AB299" i="11" s="1"/>
  <c r="AE468" i="10"/>
  <c r="X468" i="10"/>
  <c r="H580" i="10"/>
  <c r="O468" i="10"/>
  <c r="AC468" i="10" s="1"/>
  <c r="AA356" i="11"/>
  <c r="Z356" i="11"/>
  <c r="X362" i="11"/>
  <c r="AE362" i="11"/>
  <c r="N163" i="9"/>
  <c r="AC163" i="9" s="1"/>
  <c r="AE595" i="10"/>
  <c r="X595" i="10"/>
  <c r="AE603" i="10"/>
  <c r="X603" i="10"/>
  <c r="AE619" i="10"/>
  <c r="X619" i="10"/>
  <c r="AE636" i="10"/>
  <c r="X636" i="10"/>
  <c r="AE519" i="10"/>
  <c r="X519" i="10"/>
  <c r="AE523" i="10"/>
  <c r="X523" i="10"/>
  <c r="AE360" i="11"/>
  <c r="X360" i="11"/>
  <c r="AE268" i="11"/>
  <c r="X268" i="11"/>
  <c r="AE264" i="11"/>
  <c r="X264" i="11"/>
  <c r="AE276" i="11"/>
  <c r="X276" i="11"/>
  <c r="AE328" i="11"/>
  <c r="X328" i="11"/>
  <c r="AE307" i="11"/>
  <c r="X307" i="11"/>
  <c r="AE543" i="10"/>
  <c r="X543" i="10"/>
  <c r="AE555" i="10"/>
  <c r="X555" i="10"/>
  <c r="AE474" i="10"/>
  <c r="X474" i="10"/>
  <c r="AE504" i="10"/>
  <c r="X504" i="10"/>
  <c r="AC402" i="10"/>
  <c r="AE484" i="10"/>
  <c r="X484" i="10"/>
  <c r="AE647" i="10"/>
  <c r="X647" i="10"/>
  <c r="AE521" i="10"/>
  <c r="X521" i="10"/>
  <c r="S527" i="10"/>
  <c r="X361" i="11"/>
  <c r="AE361" i="11"/>
  <c r="I179" i="9"/>
  <c r="S179" i="9"/>
  <c r="I178" i="9"/>
  <c r="X352" i="11"/>
  <c r="AE352" i="11"/>
  <c r="AA356" i="10"/>
  <c r="Z356" i="10"/>
  <c r="AB298" i="10"/>
  <c r="Z300" i="11"/>
  <c r="AA300" i="11"/>
  <c r="AE529" i="10"/>
  <c r="X529" i="10"/>
  <c r="H60" i="20"/>
  <c r="AE359" i="11"/>
  <c r="X359" i="11"/>
  <c r="AE496" i="10"/>
  <c r="X496" i="10"/>
  <c r="AE557" i="10"/>
  <c r="X557" i="10"/>
  <c r="AE641" i="10"/>
  <c r="X641" i="10"/>
  <c r="AE561" i="10"/>
  <c r="X561" i="10"/>
  <c r="AE501" i="10"/>
  <c r="X501" i="10"/>
  <c r="AE518" i="10"/>
  <c r="X518" i="10"/>
  <c r="AE624" i="10"/>
  <c r="X624" i="10"/>
  <c r="AE598" i="10"/>
  <c r="X598" i="10"/>
  <c r="AE650" i="10"/>
  <c r="X650" i="10"/>
  <c r="AE582" i="10"/>
  <c r="X582" i="10"/>
  <c r="AE335" i="11"/>
  <c r="X335" i="11"/>
  <c r="AE334" i="11"/>
  <c r="X334" i="11"/>
  <c r="AE354" i="11"/>
  <c r="X354" i="11"/>
  <c r="AE526" i="10"/>
  <c r="X526" i="10"/>
  <c r="AE545" i="10"/>
  <c r="X545" i="10"/>
  <c r="AE614" i="10"/>
  <c r="X614" i="10"/>
  <c r="AE672" i="10"/>
  <c r="X672" i="10"/>
  <c r="AE487" i="10"/>
  <c r="X487" i="10"/>
  <c r="AE482" i="10"/>
  <c r="X482" i="10"/>
  <c r="AE514" i="10"/>
  <c r="X514" i="10"/>
  <c r="AE656" i="10"/>
  <c r="X656" i="10"/>
  <c r="AE589" i="10"/>
  <c r="X589" i="10"/>
  <c r="AE563" i="10"/>
  <c r="X563" i="10"/>
  <c r="AE642" i="10"/>
  <c r="X642" i="10"/>
  <c r="AE632" i="10"/>
  <c r="X632" i="10"/>
  <c r="AE651" i="10"/>
  <c r="X651" i="10"/>
  <c r="AE625" i="10"/>
  <c r="X625" i="10"/>
  <c r="AE480" i="10"/>
  <c r="X480" i="10"/>
  <c r="AE506" i="10"/>
  <c r="X506" i="10"/>
  <c r="AE606" i="10"/>
  <c r="X606" i="10"/>
  <c r="AE495" i="10"/>
  <c r="X495" i="10"/>
  <c r="AC469" i="10"/>
  <c r="AE479" i="10"/>
  <c r="X479" i="10"/>
  <c r="AE473" i="10"/>
  <c r="X473" i="10"/>
  <c r="AE604" i="10"/>
  <c r="X604" i="10"/>
  <c r="AE485" i="10"/>
  <c r="X485" i="10"/>
  <c r="J19" i="5"/>
  <c r="J20" i="5"/>
  <c r="J21" i="5"/>
  <c r="J18" i="5"/>
  <c r="J16" i="5"/>
  <c r="AE346" i="11"/>
  <c r="X346" i="11"/>
  <c r="AE303" i="11"/>
  <c r="X303" i="11"/>
  <c r="AE271" i="11"/>
  <c r="X271" i="11"/>
  <c r="AE600" i="10"/>
  <c r="X600" i="10"/>
  <c r="AE601" i="10"/>
  <c r="X601" i="10"/>
  <c r="AE623" i="10"/>
  <c r="X623" i="10"/>
  <c r="AC547" i="10"/>
  <c r="AE499" i="10"/>
  <c r="X499" i="10"/>
  <c r="AE532" i="10"/>
  <c r="X532" i="10"/>
  <c r="AE517" i="10"/>
  <c r="X517" i="10"/>
  <c r="AE662" i="10"/>
  <c r="X662" i="10"/>
  <c r="AE553" i="10"/>
  <c r="X553" i="10"/>
  <c r="AE578" i="10"/>
  <c r="X578" i="10"/>
  <c r="AE490" i="10"/>
  <c r="X490" i="10"/>
  <c r="AE528" i="10"/>
  <c r="X528" i="10"/>
  <c r="AE548" i="10"/>
  <c r="X548" i="10"/>
  <c r="AA548" i="10" s="1"/>
  <c r="AE502" i="10"/>
  <c r="X502" i="10"/>
  <c r="Z297" i="11"/>
  <c r="AA297" i="11"/>
  <c r="Z290" i="11"/>
  <c r="AA290" i="11"/>
  <c r="I29" i="5"/>
  <c r="I34" i="5"/>
  <c r="I42" i="5" s="1"/>
  <c r="I191" i="5" s="1"/>
  <c r="I30" i="5"/>
  <c r="K108" i="5"/>
  <c r="I52" i="20"/>
  <c r="K105" i="5"/>
  <c r="I47" i="20"/>
  <c r="J107" i="5"/>
  <c r="H51" i="20"/>
  <c r="F26" i="20"/>
  <c r="I73" i="18"/>
  <c r="J73" i="18"/>
  <c r="F73" i="18"/>
  <c r="H73" i="18"/>
  <c r="G73" i="18"/>
  <c r="I106" i="5"/>
  <c r="I109" i="5" s="1"/>
  <c r="I118" i="5"/>
  <c r="I120" i="5"/>
  <c r="H53" i="18"/>
  <c r="H54" i="18"/>
  <c r="I119" i="5"/>
  <c r="H52" i="18"/>
  <c r="O352" i="10"/>
  <c r="O452" i="10" s="1"/>
  <c r="AC378" i="10"/>
  <c r="E54" i="4"/>
  <c r="F53" i="4"/>
  <c r="R43" i="9"/>
  <c r="R58" i="9" s="1"/>
  <c r="R70" i="9"/>
  <c r="R85" i="9" s="1"/>
  <c r="AC355" i="10"/>
  <c r="K177" i="21"/>
  <c r="J161" i="21" s="1"/>
  <c r="F57" i="20" s="1"/>
  <c r="F37" i="17"/>
  <c r="F40" i="17" s="1"/>
  <c r="F30" i="18"/>
  <c r="G37" i="17"/>
  <c r="G40" i="17" s="1"/>
  <c r="F64" i="20"/>
  <c r="H17" i="5"/>
  <c r="H22" i="5" s="1"/>
  <c r="I22" i="5"/>
  <c r="J216" i="5" s="1"/>
  <c r="L151" i="21"/>
  <c r="H28" i="20" s="1"/>
  <c r="H25" i="14"/>
  <c r="H29" i="14" s="1"/>
  <c r="G64" i="20" s="1"/>
  <c r="S531" i="10"/>
  <c r="S499" i="10"/>
  <c r="S220" i="11"/>
  <c r="S372" i="11"/>
  <c r="S477" i="10"/>
  <c r="S301" i="11"/>
  <c r="S236" i="11"/>
  <c r="N42" i="21"/>
  <c r="N151" i="21" s="1"/>
  <c r="N176" i="21"/>
  <c r="N160" i="21" s="1"/>
  <c r="N135" i="21"/>
  <c r="L24" i="15"/>
  <c r="M170" i="21"/>
  <c r="M154" i="21"/>
  <c r="J24" i="15" s="1"/>
  <c r="H31" i="20" s="1"/>
  <c r="I220" i="5"/>
  <c r="I217" i="5"/>
  <c r="H187" i="5"/>
  <c r="K202" i="5"/>
  <c r="I49" i="1"/>
  <c r="L26" i="1"/>
  <c r="L105" i="5" s="1"/>
  <c r="L114" i="5"/>
  <c r="L202" i="5" s="1"/>
  <c r="K38" i="1"/>
  <c r="J40" i="1"/>
  <c r="H204" i="5"/>
  <c r="H211" i="5" s="1"/>
  <c r="H234" i="5"/>
  <c r="H241" i="5" s="1"/>
  <c r="H134" i="5"/>
  <c r="H148" i="5" s="1"/>
  <c r="H175" i="5" s="1"/>
  <c r="M19" i="12"/>
  <c r="N16" i="12" s="1"/>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X370" i="11" s="1"/>
  <c r="L350" i="11"/>
  <c r="AD350" i="11" s="1"/>
  <c r="AD288" i="11"/>
  <c r="AE306" i="11"/>
  <c r="H368" i="11"/>
  <c r="X368" i="11" s="1"/>
  <c r="M372" i="11"/>
  <c r="AD372" i="11" s="1"/>
  <c r="AD310" i="11"/>
  <c r="AE280" i="11"/>
  <c r="H342" i="11"/>
  <c r="X342" i="11" s="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X374" i="11" s="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X350" i="11" s="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X327" i="11" s="1"/>
  <c r="S501" i="10"/>
  <c r="S366" i="10"/>
  <c r="O548" i="10"/>
  <c r="AC548" i="10" s="1"/>
  <c r="AC477" i="10"/>
  <c r="AC366" i="10"/>
  <c r="H660" i="10"/>
  <c r="AC498" i="10"/>
  <c r="E659" i="10"/>
  <c r="I659" i="10" s="1"/>
  <c r="AL611" i="10"/>
  <c r="AN611" i="10" s="1"/>
  <c r="AE556" i="10"/>
  <c r="H668" i="10"/>
  <c r="X668" i="10" s="1"/>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X587" i="10" s="1"/>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X605" i="10" s="1"/>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AC489" i="10" s="1"/>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X663" i="10" s="1"/>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X637" i="10" s="1"/>
  <c r="AA439" i="10"/>
  <c r="Z439" i="10"/>
  <c r="I556" i="10"/>
  <c r="E668" i="10"/>
  <c r="I668" i="10" s="1"/>
  <c r="F606" i="10"/>
  <c r="AF606" i="10" s="1"/>
  <c r="AG606" i="10" s="1"/>
  <c r="AF494" i="10"/>
  <c r="AG494" i="10" s="1"/>
  <c r="F674" i="10"/>
  <c r="AF674" i="10" s="1"/>
  <c r="AG674" i="10" s="1"/>
  <c r="AF562" i="10"/>
  <c r="AG562" i="10" s="1"/>
  <c r="AE467" i="10"/>
  <c r="H579" i="10"/>
  <c r="X579" i="10" s="1"/>
  <c r="O467" i="10"/>
  <c r="O615" i="10"/>
  <c r="AC615" i="10" s="1"/>
  <c r="AE615" i="10"/>
  <c r="O554" i="10"/>
  <c r="AC554" i="10" s="1"/>
  <c r="AE554" i="10"/>
  <c r="H666" i="10"/>
  <c r="X666" i="10" s="1"/>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X583" i="10" s="1"/>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N152" i="9"/>
  <c r="AC152" i="9" s="1"/>
  <c r="I155" i="9"/>
  <c r="E182" i="9"/>
  <c r="S155" i="9"/>
  <c r="L180" i="9"/>
  <c r="AD180" i="9" s="1"/>
  <c r="AD153" i="9"/>
  <c r="AB162" i="9"/>
  <c r="E183" i="9"/>
  <c r="I156" i="9"/>
  <c r="S156" i="9"/>
  <c r="K56" i="21"/>
  <c r="K61" i="21" s="1"/>
  <c r="K168"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O549" i="10"/>
  <c r="AC549" i="10" s="1"/>
  <c r="AB400" i="10"/>
  <c r="O537" i="10"/>
  <c r="AC537" i="10" s="1"/>
  <c r="H649" i="10"/>
  <c r="O528" i="10"/>
  <c r="AC528" i="10" s="1"/>
  <c r="H640" i="10"/>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Z550" i="10"/>
  <c r="AA550" i="10"/>
  <c r="AH636" i="10"/>
  <c r="AI636" i="10" s="1"/>
  <c r="AJ636" i="10"/>
  <c r="AK636" i="10" s="1"/>
  <c r="AL636" i="10" s="1"/>
  <c r="AN636" i="10" s="1"/>
  <c r="M644" i="10"/>
  <c r="AD644" i="10" s="1"/>
  <c r="AD532" i="10"/>
  <c r="O478" i="10"/>
  <c r="H590" i="10"/>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O553" i="10"/>
  <c r="AC553" i="10" s="1"/>
  <c r="R648" i="10"/>
  <c r="Q648" i="10"/>
  <c r="N648" i="10"/>
  <c r="AC648" i="10" s="1"/>
  <c r="P648" i="10"/>
  <c r="AH605" i="10"/>
  <c r="AI605" i="10" s="1"/>
  <c r="AJ605" i="10"/>
  <c r="AK605" i="10" s="1"/>
  <c r="AL605" i="10" s="1"/>
  <c r="AN605" i="10" s="1"/>
  <c r="H633" i="10"/>
  <c r="O521" i="10"/>
  <c r="AC521" i="10" s="1"/>
  <c r="H671" i="10"/>
  <c r="O559" i="10"/>
  <c r="AC559" i="10" s="1"/>
  <c r="P616" i="10"/>
  <c r="Q616" i="10"/>
  <c r="R616" i="10"/>
  <c r="N616" i="10"/>
  <c r="AB325" i="10"/>
  <c r="O490" i="10"/>
  <c r="H602" i="10"/>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A511" i="10"/>
  <c r="Z511" i="10"/>
  <c r="M659" i="10"/>
  <c r="AD659" i="10" s="1"/>
  <c r="AD547" i="10"/>
  <c r="L604" i="10"/>
  <c r="AD604" i="10" s="1"/>
  <c r="AD492" i="10"/>
  <c r="O584" i="10"/>
  <c r="AC584" i="10" s="1"/>
  <c r="L662" i="10"/>
  <c r="AD662" i="10" s="1"/>
  <c r="AD550" i="10"/>
  <c r="AD557" i="10"/>
  <c r="L669" i="10"/>
  <c r="AD669" i="10" s="1"/>
  <c r="AB436" i="10"/>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S548" i="10"/>
  <c r="E660" i="10"/>
  <c r="I660" i="10" s="1"/>
  <c r="O658" i="10"/>
  <c r="Z612" i="10"/>
  <c r="AA612" i="10"/>
  <c r="R642" i="10"/>
  <c r="P642" i="10"/>
  <c r="Q642" i="10"/>
  <c r="N642" i="10"/>
  <c r="S558" i="10"/>
  <c r="S521" i="10"/>
  <c r="N610" i="10"/>
  <c r="AL610" i="10"/>
  <c r="AN610" i="10" s="1"/>
  <c r="R610" i="10"/>
  <c r="P610" i="10"/>
  <c r="Q610" i="10"/>
  <c r="H599" i="10"/>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O476" i="10"/>
  <c r="AC476" i="10" s="1"/>
  <c r="L639" i="10"/>
  <c r="AD639" i="10" s="1"/>
  <c r="AD527" i="10"/>
  <c r="AB376" i="10"/>
  <c r="L654" i="10"/>
  <c r="AD654" i="10" s="1"/>
  <c r="AD542" i="10"/>
  <c r="L616" i="10"/>
  <c r="AD616" i="10" s="1"/>
  <c r="AD504" i="10"/>
  <c r="L630" i="10"/>
  <c r="AD630" i="10" s="1"/>
  <c r="AD518" i="10"/>
  <c r="H219" i="5"/>
  <c r="H189" i="5"/>
  <c r="H653" i="10"/>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L666" i="10"/>
  <c r="AD666" i="10" s="1"/>
  <c r="AD554" i="10"/>
  <c r="Z431" i="10"/>
  <c r="AA431" i="10"/>
  <c r="R669" i="10"/>
  <c r="P669" i="10"/>
  <c r="Q669" i="10"/>
  <c r="N669" i="10"/>
  <c r="O504" i="10"/>
  <c r="AC504" i="10" s="1"/>
  <c r="H616" i="10"/>
  <c r="O672" i="10"/>
  <c r="AC672" i="10" s="1"/>
  <c r="L665" i="10"/>
  <c r="AD665" i="10" s="1"/>
  <c r="AD553" i="10"/>
  <c r="Z420" i="10"/>
  <c r="AA420" i="10"/>
  <c r="AD562" i="10"/>
  <c r="L674" i="10"/>
  <c r="AD674" i="10" s="1"/>
  <c r="O482" i="10"/>
  <c r="AC482" i="10" s="1"/>
  <c r="H594" i="10"/>
  <c r="O514" i="10"/>
  <c r="H626" i="10"/>
  <c r="H596" i="10"/>
  <c r="O484" i="10"/>
  <c r="AC484" i="10" s="1"/>
  <c r="Z405" i="10"/>
  <c r="AA405" i="10"/>
  <c r="L598" i="10"/>
  <c r="AD598" i="10" s="1"/>
  <c r="AD486" i="10"/>
  <c r="O589" i="10"/>
  <c r="S624" i="10"/>
  <c r="S639" i="10"/>
  <c r="S475" i="10"/>
  <c r="AA488" i="10"/>
  <c r="Z488" i="10"/>
  <c r="L618" i="10"/>
  <c r="AD618" i="10" s="1"/>
  <c r="AD506" i="10"/>
  <c r="H657" i="10"/>
  <c r="O545" i="10"/>
  <c r="Z502" i="10"/>
  <c r="AA502"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E338" i="11"/>
  <c r="I338" i="11" s="1"/>
  <c r="Z272" i="11"/>
  <c r="AA272" i="11"/>
  <c r="AB211" i="11"/>
  <c r="P269" i="11"/>
  <c r="J331" i="11"/>
  <c r="R269" i="11"/>
  <c r="Q269" i="11"/>
  <c r="N269" i="11"/>
  <c r="AC269" i="11" s="1"/>
  <c r="M333" i="11"/>
  <c r="AD333" i="11" s="1"/>
  <c r="AD271" i="11"/>
  <c r="H333" i="11"/>
  <c r="P279" i="11"/>
  <c r="R279" i="11"/>
  <c r="J341" i="11"/>
  <c r="Q279" i="11"/>
  <c r="N279" i="11"/>
  <c r="AC279" i="11" s="1"/>
  <c r="Z266" i="11"/>
  <c r="AA266" i="11"/>
  <c r="Z245" i="11"/>
  <c r="AA245" i="11"/>
  <c r="H330" i="11"/>
  <c r="Z302" i="11"/>
  <c r="AA302" i="11"/>
  <c r="H369" i="1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O531" i="10"/>
  <c r="AC531" i="10" s="1"/>
  <c r="O582" i="10"/>
  <c r="AC582" i="10" s="1"/>
  <c r="H652" i="10"/>
  <c r="O540" i="10"/>
  <c r="AC540" i="10" s="1"/>
  <c r="AA373" i="10"/>
  <c r="Z373" i="10"/>
  <c r="AH657" i="10"/>
  <c r="AI657" i="10" s="1"/>
  <c r="AJ657" i="10"/>
  <c r="AK657" i="10" s="1"/>
  <c r="I189" i="5"/>
  <c r="J219"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O501" i="10"/>
  <c r="AC501" i="10" s="1"/>
  <c r="H631" i="10"/>
  <c r="O519" i="10"/>
  <c r="AC519" i="10" s="1"/>
  <c r="H607" i="10"/>
  <c r="O495" i="10"/>
  <c r="AC495" i="10" s="1"/>
  <c r="H646" i="10"/>
  <c r="O534" i="10"/>
  <c r="AC534" i="10" s="1"/>
  <c r="H630" i="10"/>
  <c r="O518" i="10"/>
  <c r="AC518" i="10" s="1"/>
  <c r="S664" i="10"/>
  <c r="J637" i="10"/>
  <c r="N525" i="10"/>
  <c r="AC525" i="10" s="1"/>
  <c r="Q525" i="10"/>
  <c r="R525" i="10"/>
  <c r="P525" i="10"/>
  <c r="AL525" i="10"/>
  <c r="AN525" i="10" s="1"/>
  <c r="AB358" i="10"/>
  <c r="AC654" i="10"/>
  <c r="H591" i="10"/>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AA529" i="10"/>
  <c r="H608" i="10"/>
  <c r="O496" i="10"/>
  <c r="AC496" i="10" s="1"/>
  <c r="O632" i="10"/>
  <c r="O651" i="10"/>
  <c r="AB316" i="10"/>
  <c r="AB261" i="10"/>
  <c r="H592" i="10"/>
  <c r="O480" i="10"/>
  <c r="AC480" i="10" s="1"/>
  <c r="AJ671" i="10"/>
  <c r="AK671" i="10" s="1"/>
  <c r="AL671" i="10" s="1"/>
  <c r="AN671" i="10" s="1"/>
  <c r="AH671" i="10"/>
  <c r="AI671" i="10" s="1"/>
  <c r="AB255" i="10"/>
  <c r="Z508" i="10"/>
  <c r="AA508" i="10"/>
  <c r="AA389" i="10"/>
  <c r="Z389" i="10"/>
  <c r="O606" i="10"/>
  <c r="Z407" i="10"/>
  <c r="AA407" i="10"/>
  <c r="Z548" i="10"/>
  <c r="AA383" i="10"/>
  <c r="Z383" i="10"/>
  <c r="AA422" i="10"/>
  <c r="Z422" i="10"/>
  <c r="AA406" i="10"/>
  <c r="Z406" i="10"/>
  <c r="AB542" i="10"/>
  <c r="N596" i="10"/>
  <c r="P596" i="10"/>
  <c r="Q596" i="10"/>
  <c r="R596" i="10"/>
  <c r="S584" i="10"/>
  <c r="AA367" i="10"/>
  <c r="Z367" i="10"/>
  <c r="S647" i="10"/>
  <c r="H585" i="10"/>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AC352" i="10"/>
  <c r="P352" i="10"/>
  <c r="O603" i="10"/>
  <c r="AC603" i="10" s="1"/>
  <c r="AB401" i="10"/>
  <c r="AB337" i="10"/>
  <c r="AB396" i="10"/>
  <c r="AA509" i="10"/>
  <c r="Z509" i="10"/>
  <c r="Z622" i="10"/>
  <c r="AA622" i="10"/>
  <c r="H669" i="10"/>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O561" i="10"/>
  <c r="AC561" i="10" s="1"/>
  <c r="S561" i="10"/>
  <c r="M590" i="10"/>
  <c r="AD590" i="10" s="1"/>
  <c r="AD478" i="10"/>
  <c r="M564" i="10"/>
  <c r="H618" i="10"/>
  <c r="O506" i="10"/>
  <c r="AC506" i="10" s="1"/>
  <c r="S675" i="10"/>
  <c r="AA494" i="10"/>
  <c r="Z494" i="10"/>
  <c r="O581" i="10"/>
  <c r="AC581" i="10" s="1"/>
  <c r="N486" i="10"/>
  <c r="R486" i="10"/>
  <c r="J598" i="10"/>
  <c r="P486" i="10"/>
  <c r="Q486" i="10"/>
  <c r="J564" i="10"/>
  <c r="S654" i="10"/>
  <c r="H635" i="10"/>
  <c r="O523" i="10"/>
  <c r="AC523" i="10" s="1"/>
  <c r="AC562" i="10"/>
  <c r="J602" i="10"/>
  <c r="N490" i="10"/>
  <c r="P490" i="10"/>
  <c r="R490" i="10"/>
  <c r="Q490" i="10"/>
  <c r="Z361" i="10"/>
  <c r="AA361" i="10"/>
  <c r="AA538" i="10"/>
  <c r="Z538" i="10"/>
  <c r="H593" i="10"/>
  <c r="O481" i="10"/>
  <c r="AC481" i="10" s="1"/>
  <c r="AA492" i="10"/>
  <c r="Z492" i="10"/>
  <c r="H597" i="10"/>
  <c r="O485" i="10"/>
  <c r="AC485" i="10" s="1"/>
  <c r="S528" i="10"/>
  <c r="N606" i="10"/>
  <c r="P606" i="10"/>
  <c r="Q606" i="10"/>
  <c r="R606" i="10"/>
  <c r="F642" i="10"/>
  <c r="AF642" i="10" s="1"/>
  <c r="AG642" i="10" s="1"/>
  <c r="AF530" i="10"/>
  <c r="AG530" i="10" s="1"/>
  <c r="AB536" i="10"/>
  <c r="P162" i="9"/>
  <c r="N162" i="9"/>
  <c r="AC162" i="9" s="1"/>
  <c r="J189" i="9"/>
  <c r="R162" i="9"/>
  <c r="Q162" i="9"/>
  <c r="X191" i="9"/>
  <c r="H180" i="9"/>
  <c r="AE180" i="9" s="1"/>
  <c r="X153" i="9"/>
  <c r="S160" i="9"/>
  <c r="E187" i="9"/>
  <c r="I160" i="9"/>
  <c r="F178" i="9"/>
  <c r="AF178" i="9" s="1"/>
  <c r="AG178" i="9" s="1"/>
  <c r="AF151" i="9"/>
  <c r="AG151" i="9" s="1"/>
  <c r="AA131" i="9"/>
  <c r="Z131" i="9"/>
  <c r="X183" i="9"/>
  <c r="AA165" i="9"/>
  <c r="Z165" i="9"/>
  <c r="AB99" i="9"/>
  <c r="H186" i="9"/>
  <c r="AE186" i="9" s="1"/>
  <c r="X159" i="9"/>
  <c r="Z164" i="9"/>
  <c r="AA164" i="9"/>
  <c r="Z136" i="9"/>
  <c r="AA136" i="9"/>
  <c r="AB97" i="9"/>
  <c r="R97" i="9" s="1"/>
  <c r="R112" i="9" s="1"/>
  <c r="Q97" i="9"/>
  <c r="S165" i="9"/>
  <c r="I165" i="9"/>
  <c r="E192" i="9"/>
  <c r="H184" i="9"/>
  <c r="AE184" i="9" s="1"/>
  <c r="X157" i="9"/>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X178" i="9"/>
  <c r="X151" i="9"/>
  <c r="X187" i="9"/>
  <c r="Q164" i="9"/>
  <c r="P164" i="9"/>
  <c r="J191" i="9"/>
  <c r="N164" i="9"/>
  <c r="AC164" i="9" s="1"/>
  <c r="R164" i="9"/>
  <c r="J166" i="9"/>
  <c r="P186" i="9"/>
  <c r="Q186" i="9"/>
  <c r="R186" i="9"/>
  <c r="N186" i="9"/>
  <c r="AC186" i="9" s="1"/>
  <c r="AB133" i="9"/>
  <c r="P139" i="9"/>
  <c r="Z132" i="9"/>
  <c r="AA132" i="9"/>
  <c r="X163" i="9"/>
  <c r="H190" i="9"/>
  <c r="AE190" i="9" s="1"/>
  <c r="AB138" i="9"/>
  <c r="Z130" i="9"/>
  <c r="AA130" i="9"/>
  <c r="Q58" i="9"/>
  <c r="AB107" i="9"/>
  <c r="AA181" i="9"/>
  <c r="Z181" i="9"/>
  <c r="L190" i="9"/>
  <c r="AD190" i="9" s="1"/>
  <c r="AD163" i="9"/>
  <c r="N139" i="9"/>
  <c r="H182" i="9"/>
  <c r="AE182" i="9" s="1"/>
  <c r="X155" i="9"/>
  <c r="S188" i="9"/>
  <c r="I188" i="9"/>
  <c r="N178" i="9"/>
  <c r="I185" i="9"/>
  <c r="S185" i="9"/>
  <c r="Z156" i="9"/>
  <c r="AA156" i="9"/>
  <c r="P192" i="9"/>
  <c r="Q192" i="9"/>
  <c r="N192" i="9"/>
  <c r="AC192" i="9" s="1"/>
  <c r="R192" i="9"/>
  <c r="F181" i="9"/>
  <c r="AF181" i="9" s="1"/>
  <c r="AG181" i="9" s="1"/>
  <c r="AF154" i="9"/>
  <c r="AG154" i="9" s="1"/>
  <c r="AF162" i="9"/>
  <c r="AG162" i="9" s="1"/>
  <c r="F189" i="9"/>
  <c r="AF189" i="9" s="1"/>
  <c r="AG189" i="9" s="1"/>
  <c r="X152" i="9"/>
  <c r="H179" i="9"/>
  <c r="AE179" i="9" s="1"/>
  <c r="L178" i="9"/>
  <c r="L166" i="9"/>
  <c r="AD151" i="9"/>
  <c r="R190" i="9"/>
  <c r="P190" i="9"/>
  <c r="N190" i="9"/>
  <c r="AC190" i="9" s="1"/>
  <c r="Q190" i="9"/>
  <c r="H188" i="9"/>
  <c r="AE188" i="9" s="1"/>
  <c r="X161" i="9"/>
  <c r="X192" i="9"/>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X158" i="9"/>
  <c r="H185" i="9"/>
  <c r="AE185" i="9" s="1"/>
  <c r="AC151" i="9"/>
  <c r="F77" i="4"/>
  <c r="E78" i="4"/>
  <c r="AB300" i="11" l="1"/>
  <c r="AB356" i="10"/>
  <c r="J34" i="5"/>
  <c r="J29" i="5"/>
  <c r="J26" i="5"/>
  <c r="J25" i="5"/>
  <c r="J24" i="5"/>
  <c r="J30" i="5"/>
  <c r="J17" i="5"/>
  <c r="G68" i="18"/>
  <c r="J193" i="9"/>
  <c r="AB290" i="11"/>
  <c r="AE585" i="10"/>
  <c r="X585" i="10"/>
  <c r="AE591" i="10"/>
  <c r="X591" i="10"/>
  <c r="AE652" i="10"/>
  <c r="X652" i="10"/>
  <c r="AE626" i="10"/>
  <c r="X626" i="10"/>
  <c r="AE590" i="10"/>
  <c r="X590" i="10"/>
  <c r="Z468" i="10"/>
  <c r="AA468" i="10"/>
  <c r="AE618" i="10"/>
  <c r="X618" i="10"/>
  <c r="AE592" i="10"/>
  <c r="X592" i="10"/>
  <c r="AE646" i="10"/>
  <c r="X646" i="10"/>
  <c r="AE631" i="10"/>
  <c r="X631" i="10"/>
  <c r="AE330" i="11"/>
  <c r="X330" i="11"/>
  <c r="AE338" i="11"/>
  <c r="X338" i="11"/>
  <c r="AE644" i="10"/>
  <c r="X644" i="10"/>
  <c r="AE611" i="10"/>
  <c r="X611" i="10"/>
  <c r="AE657" i="10"/>
  <c r="X657" i="10"/>
  <c r="AC514" i="10"/>
  <c r="AE638" i="10"/>
  <c r="X638" i="10"/>
  <c r="AE588" i="10"/>
  <c r="X588" i="10"/>
  <c r="AE602" i="10"/>
  <c r="X602" i="10"/>
  <c r="AE671" i="10"/>
  <c r="X671" i="10"/>
  <c r="K19" i="5"/>
  <c r="K21" i="5"/>
  <c r="K18" i="5"/>
  <c r="K20" i="5"/>
  <c r="AE640" i="10"/>
  <c r="X640" i="10"/>
  <c r="AB356" i="11"/>
  <c r="AE586" i="10"/>
  <c r="X586" i="10"/>
  <c r="AE365" i="11"/>
  <c r="X365" i="11"/>
  <c r="AE369" i="11"/>
  <c r="X369" i="11"/>
  <c r="AE594" i="10"/>
  <c r="X594" i="10"/>
  <c r="AE660" i="10"/>
  <c r="X660" i="10"/>
  <c r="AA352" i="11"/>
  <c r="Z352" i="11"/>
  <c r="AE326" i="11"/>
  <c r="X326" i="11"/>
  <c r="AE629" i="10"/>
  <c r="X629" i="10"/>
  <c r="AE653" i="10"/>
  <c r="X653" i="10"/>
  <c r="AE675" i="10"/>
  <c r="X675" i="10"/>
  <c r="AE597" i="10"/>
  <c r="X597" i="10"/>
  <c r="AE593" i="10"/>
  <c r="X593" i="10"/>
  <c r="AE635" i="10"/>
  <c r="X635" i="10"/>
  <c r="AE673" i="10"/>
  <c r="X673" i="10"/>
  <c r="AE669" i="10"/>
  <c r="X669" i="10"/>
  <c r="AE608" i="10"/>
  <c r="X608" i="10"/>
  <c r="AE630" i="10"/>
  <c r="X630" i="10"/>
  <c r="AE607" i="10"/>
  <c r="X607" i="10"/>
  <c r="AE613" i="10"/>
  <c r="X613" i="10"/>
  <c r="AE643" i="10"/>
  <c r="X643" i="10"/>
  <c r="AE333" i="11"/>
  <c r="X333" i="11"/>
  <c r="AE655" i="10"/>
  <c r="X655" i="10"/>
  <c r="AE596" i="10"/>
  <c r="X596" i="10"/>
  <c r="AE616" i="10"/>
  <c r="X616" i="10"/>
  <c r="AE599" i="10"/>
  <c r="X599" i="10"/>
  <c r="AE667" i="10"/>
  <c r="X667" i="10"/>
  <c r="AE633" i="10"/>
  <c r="X633" i="10"/>
  <c r="AE665" i="10"/>
  <c r="X665" i="10"/>
  <c r="AE649" i="10"/>
  <c r="X649" i="10"/>
  <c r="AE661" i="10"/>
  <c r="X661" i="10"/>
  <c r="AB297" i="11"/>
  <c r="Z359" i="11"/>
  <c r="AA359" i="11"/>
  <c r="Z361" i="11"/>
  <c r="AA361" i="11"/>
  <c r="AA362" i="11"/>
  <c r="Z362" i="11"/>
  <c r="AE580" i="10"/>
  <c r="X580" i="10"/>
  <c r="O580" i="10"/>
  <c r="AC580" i="10" s="1"/>
  <c r="I31" i="5"/>
  <c r="J220" i="5" s="1"/>
  <c r="J106" i="5"/>
  <c r="J109" i="5" s="1"/>
  <c r="J120" i="5"/>
  <c r="J118" i="5"/>
  <c r="I54" i="18"/>
  <c r="I53" i="18"/>
  <c r="J119" i="5"/>
  <c r="I52" i="18"/>
  <c r="H33" i="18"/>
  <c r="K107" i="5"/>
  <c r="I51" i="20"/>
  <c r="H44" i="18"/>
  <c r="H43" i="18"/>
  <c r="H34" i="18"/>
  <c r="S43" i="9"/>
  <c r="S58" i="9" s="1"/>
  <c r="I14" i="21" s="1"/>
  <c r="S70" i="9"/>
  <c r="S85" i="9" s="1"/>
  <c r="J14" i="21" s="1"/>
  <c r="G77" i="18"/>
  <c r="S611" i="10"/>
  <c r="L177" i="21"/>
  <c r="L161" i="21" s="1"/>
  <c r="H57" i="20" s="1"/>
  <c r="I216" i="5"/>
  <c r="I228" i="5" s="1"/>
  <c r="H48" i="5"/>
  <c r="H62" i="5" s="1"/>
  <c r="H91" i="5" s="1"/>
  <c r="I15" i="21"/>
  <c r="I172" i="21" s="1"/>
  <c r="F25" i="15"/>
  <c r="F29" i="20"/>
  <c r="F29" i="18"/>
  <c r="S589" i="10"/>
  <c r="S264" i="11"/>
  <c r="S353" i="11"/>
  <c r="N154" i="21"/>
  <c r="K24" i="15" s="1"/>
  <c r="I31" i="20" s="1"/>
  <c r="N170" i="21"/>
  <c r="M151" i="21"/>
  <c r="I28" i="20" s="1"/>
  <c r="N167" i="21"/>
  <c r="I121" i="5"/>
  <c r="I204" i="5" s="1"/>
  <c r="L232" i="5"/>
  <c r="K40" i="1"/>
  <c r="J49" i="1"/>
  <c r="H68" i="18" s="1"/>
  <c r="J42" i="5"/>
  <c r="I27" i="5"/>
  <c r="L38" i="1"/>
  <c r="L107" i="5" s="1"/>
  <c r="I201" i="5"/>
  <c r="I231" i="5"/>
  <c r="J221"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C587"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6" i="5"/>
  <c r="S648" i="10"/>
  <c r="P166" i="9"/>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L168"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Z563" i="10"/>
  <c r="AA563" i="10"/>
  <c r="AB451" i="10"/>
  <c r="AA549" i="10"/>
  <c r="Z549" i="10"/>
  <c r="O665" i="10"/>
  <c r="AC665" i="10" s="1"/>
  <c r="O649" i="10"/>
  <c r="AC649" i="10" s="1"/>
  <c r="R579" i="10"/>
  <c r="Q579" i="10"/>
  <c r="AL579" i="10"/>
  <c r="AN579" i="10" s="1"/>
  <c r="N579" i="10"/>
  <c r="P579" i="10"/>
  <c r="AB507"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60" i="10"/>
  <c r="AA660"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19" i="5"/>
  <c r="J189"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X182" i="9"/>
  <c r="Z183" i="9"/>
  <c r="AA183" i="9"/>
  <c r="X185" i="9"/>
  <c r="Q124" i="9"/>
  <c r="AB124" i="9"/>
  <c r="R124" i="9" s="1"/>
  <c r="R139" i="9" s="1"/>
  <c r="X188" i="9"/>
  <c r="AB181" i="9"/>
  <c r="X190" i="9"/>
  <c r="AB125" i="9"/>
  <c r="X184" i="9"/>
  <c r="Q112" i="9"/>
  <c r="S97" i="9"/>
  <c r="S112" i="9" s="1"/>
  <c r="AB164" i="9"/>
  <c r="X186" i="9"/>
  <c r="AA153" i="9"/>
  <c r="Z153" i="9"/>
  <c r="J171" i="21"/>
  <c r="AG193" i="9"/>
  <c r="AA191" i="9"/>
  <c r="Z191" i="9"/>
  <c r="AA158" i="9"/>
  <c r="Z158" i="9"/>
  <c r="AA192" i="9"/>
  <c r="Z192" i="9"/>
  <c r="X179" i="9"/>
  <c r="AC178" i="9"/>
  <c r="AB130" i="9"/>
  <c r="AA163" i="9"/>
  <c r="Z163" i="9"/>
  <c r="P191" i="9"/>
  <c r="Q191" i="9"/>
  <c r="R191" i="9"/>
  <c r="N191" i="9"/>
  <c r="AC191" i="9" s="1"/>
  <c r="AA187" i="9"/>
  <c r="Z187" i="9"/>
  <c r="AB134" i="9"/>
  <c r="I192" i="9"/>
  <c r="S192" i="9"/>
  <c r="S187" i="9"/>
  <c r="I187" i="9"/>
  <c r="X180" i="9"/>
  <c r="Z178" i="9"/>
  <c r="AA178" i="9"/>
  <c r="Z157" i="9"/>
  <c r="AA157" i="9"/>
  <c r="Z159" i="9"/>
  <c r="AA159" i="9"/>
  <c r="N166" i="9"/>
  <c r="AB189" i="9"/>
  <c r="AA152" i="9"/>
  <c r="Z152" i="9"/>
  <c r="P178" i="9"/>
  <c r="AA155" i="9"/>
  <c r="Z155" i="9"/>
  <c r="J60" i="18"/>
  <c r="I59" i="20" s="1"/>
  <c r="AA151" i="9"/>
  <c r="Q151" i="9" s="1"/>
  <c r="X166" i="9"/>
  <c r="Z151" i="9"/>
  <c r="Q183" i="9"/>
  <c r="R183" i="9"/>
  <c r="P183" i="9"/>
  <c r="N183" i="9"/>
  <c r="AC183" i="9" s="1"/>
  <c r="AB136" i="9"/>
  <c r="AG166" i="9"/>
  <c r="Q189" i="9"/>
  <c r="R189" i="9"/>
  <c r="N189" i="9"/>
  <c r="AC189" i="9" s="1"/>
  <c r="P189" i="9"/>
  <c r="AB468" i="10" l="1"/>
  <c r="AB359" i="11"/>
  <c r="AB352" i="11"/>
  <c r="AB361" i="11"/>
  <c r="G17" i="16"/>
  <c r="F35" i="20" s="1"/>
  <c r="H15" i="16"/>
  <c r="K34" i="5"/>
  <c r="K30" i="5"/>
  <c r="K29" i="5"/>
  <c r="K26" i="5"/>
  <c r="K25" i="5"/>
  <c r="K17" i="5"/>
  <c r="K24" i="5"/>
  <c r="K16" i="5"/>
  <c r="AC657" i="10"/>
  <c r="AC590" i="10"/>
  <c r="AB362" i="11"/>
  <c r="F44" i="18"/>
  <c r="I60" i="20"/>
  <c r="AA580" i="10"/>
  <c r="Z580" i="10"/>
  <c r="L19" i="5"/>
  <c r="L21" i="5"/>
  <c r="L18" i="5"/>
  <c r="L20" i="5"/>
  <c r="J22" i="5"/>
  <c r="J186" i="5" s="1"/>
  <c r="I33" i="18"/>
  <c r="I44" i="18"/>
  <c r="I43" i="18"/>
  <c r="I34" i="18"/>
  <c r="K106" i="5"/>
  <c r="K109" i="5" s="1"/>
  <c r="K201" i="5" s="1"/>
  <c r="K118" i="5"/>
  <c r="K120" i="5"/>
  <c r="J53" i="18"/>
  <c r="J54" i="18"/>
  <c r="K119" i="5"/>
  <c r="J52" i="18"/>
  <c r="AB337" i="11"/>
  <c r="K161" i="21"/>
  <c r="G57" i="20" s="1"/>
  <c r="H77" i="18"/>
  <c r="X193" i="9"/>
  <c r="O576" i="10"/>
  <c r="AC576" i="10" s="1"/>
  <c r="X576" i="10"/>
  <c r="AA576" i="10" s="1"/>
  <c r="AB347" i="11"/>
  <c r="AB308" i="11"/>
  <c r="I48" i="5"/>
  <c r="I62" i="5" s="1"/>
  <c r="I91" i="5" s="1"/>
  <c r="M177" i="21"/>
  <c r="M161" i="21" s="1"/>
  <c r="I57" i="20" s="1"/>
  <c r="I156" i="21"/>
  <c r="G29" i="20"/>
  <c r="K15" i="21"/>
  <c r="N177" i="21"/>
  <c r="N161" i="21" s="1"/>
  <c r="F27" i="15"/>
  <c r="F47" i="18"/>
  <c r="F27" i="18"/>
  <c r="K14" i="21"/>
  <c r="I171" i="21"/>
  <c r="I155" i="21"/>
  <c r="I134" i="5"/>
  <c r="I148" i="5" s="1"/>
  <c r="I175" i="5" s="1"/>
  <c r="I234" i="5"/>
  <c r="G66" i="15" s="1"/>
  <c r="G71" i="15" s="1"/>
  <c r="I190" i="5"/>
  <c r="S334" i="11"/>
  <c r="I211" i="5"/>
  <c r="J27" i="5"/>
  <c r="K217" i="5" s="1"/>
  <c r="K221" i="5"/>
  <c r="K49" i="1"/>
  <c r="I68" i="18" s="1"/>
  <c r="K42" i="5"/>
  <c r="L40" i="1"/>
  <c r="L16" i="5" s="1"/>
  <c r="J217" i="5"/>
  <c r="I187" i="5"/>
  <c r="J121" i="5"/>
  <c r="J134" i="5" s="1"/>
  <c r="J148" i="5" s="1"/>
  <c r="J175" i="5" s="1"/>
  <c r="J231" i="5"/>
  <c r="J201" i="5"/>
  <c r="J31" i="5"/>
  <c r="J191"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I77" i="18" s="1"/>
  <c r="L140" i="21"/>
  <c r="H14" i="14"/>
  <c r="G51" i="14"/>
  <c r="J25" i="14"/>
  <c r="J29" i="14" s="1"/>
  <c r="I64" i="20" s="1"/>
  <c r="AE12" i="13"/>
  <c r="K189" i="5"/>
  <c r="H22" i="15"/>
  <c r="K163" i="21"/>
  <c r="K36" i="14"/>
  <c r="W12" i="13"/>
  <c r="L219"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5" i="21" s="1"/>
  <c r="L172" i="21" s="1"/>
  <c r="Q452" i="10"/>
  <c r="S598" i="10"/>
  <c r="S602" i="10"/>
  <c r="Z593" i="10"/>
  <c r="AA593" i="10"/>
  <c r="AA607" i="10"/>
  <c r="Z607" i="10"/>
  <c r="AB561" i="10"/>
  <c r="AB619" i="10"/>
  <c r="Z646" i="10"/>
  <c r="AA646" i="10"/>
  <c r="AB621" i="10"/>
  <c r="AB531" i="10"/>
  <c r="AB660" i="10"/>
  <c r="AA631" i="10"/>
  <c r="Z631" i="10"/>
  <c r="Z608" i="10"/>
  <c r="AA608" i="10"/>
  <c r="AB650" i="10"/>
  <c r="AA618" i="10"/>
  <c r="Z618" i="10"/>
  <c r="AB523" i="10"/>
  <c r="AA635" i="10"/>
  <c r="Z635" i="10"/>
  <c r="Z669" i="10"/>
  <c r="AA669" i="10"/>
  <c r="AB581" i="10"/>
  <c r="Z597" i="10"/>
  <c r="AA597" i="10"/>
  <c r="Z652" i="10"/>
  <c r="AA652" i="10"/>
  <c r="K216" i="5"/>
  <c r="AA613" i="10"/>
  <c r="Z613" i="10"/>
  <c r="AA673" i="10"/>
  <c r="Z673" i="10"/>
  <c r="AA591" i="10"/>
  <c r="Z591" i="10"/>
  <c r="AB598" i="10"/>
  <c r="AB540" i="10"/>
  <c r="AB495" i="10"/>
  <c r="AC598" i="10"/>
  <c r="N676" i="10"/>
  <c r="AB582" i="10"/>
  <c r="AB674" i="10"/>
  <c r="AB604" i="10"/>
  <c r="O6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Z576" i="10" l="1"/>
  <c r="P576" i="10"/>
  <c r="L34" i="5"/>
  <c r="L24" i="5"/>
  <c r="L17" i="5"/>
  <c r="L30" i="5"/>
  <c r="L29" i="5"/>
  <c r="L26" i="5"/>
  <c r="L25" i="5"/>
  <c r="AB580" i="10"/>
  <c r="I198" i="5"/>
  <c r="I212" i="5" s="1"/>
  <c r="L106" i="5"/>
  <c r="L109" i="5" s="1"/>
  <c r="L120" i="5"/>
  <c r="L118" i="5"/>
  <c r="L119" i="5"/>
  <c r="J43" i="18"/>
  <c r="J44" i="18"/>
  <c r="J34" i="18"/>
  <c r="J33" i="18"/>
  <c r="Q464" i="10"/>
  <c r="Q564" i="10" s="1"/>
  <c r="R464" i="10"/>
  <c r="R564" i="10" s="1"/>
  <c r="J48" i="5"/>
  <c r="J62" i="5" s="1"/>
  <c r="J91" i="5" s="1"/>
  <c r="F127" i="18"/>
  <c r="F55" i="18" s="1"/>
  <c r="J156" i="21"/>
  <c r="K172" i="21"/>
  <c r="K156" i="21"/>
  <c r="H29" i="20"/>
  <c r="F40" i="15"/>
  <c r="F17" i="18"/>
  <c r="F128" i="18"/>
  <c r="F56" i="18" s="1"/>
  <c r="L14" i="21"/>
  <c r="L171" i="21" s="1"/>
  <c r="K171" i="21"/>
  <c r="J155" i="21"/>
  <c r="I241" i="5"/>
  <c r="I242" i="5" s="1"/>
  <c r="H14" i="15"/>
  <c r="S201" i="11"/>
  <c r="S151" i="9"/>
  <c r="S166" i="9" s="1"/>
  <c r="M14" i="21" s="1"/>
  <c r="K22" i="5"/>
  <c r="L216" i="5" s="1"/>
  <c r="J187" i="5"/>
  <c r="K231" i="5"/>
  <c r="J228" i="5"/>
  <c r="K220" i="5"/>
  <c r="K228" i="5" s="1"/>
  <c r="J190" i="5"/>
  <c r="J204" i="5"/>
  <c r="J234" i="5"/>
  <c r="H66" i="15" s="1"/>
  <c r="H71" i="15" s="1"/>
  <c r="L221" i="5"/>
  <c r="K31" i="5"/>
  <c r="L220" i="5" s="1"/>
  <c r="L49" i="1"/>
  <c r="J68" i="18" s="1"/>
  <c r="L42" i="5"/>
  <c r="L191" i="5" s="1"/>
  <c r="K27" i="5"/>
  <c r="K191" i="5"/>
  <c r="K121"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R576" i="10" s="1"/>
  <c r="R676" i="10" s="1"/>
  <c r="AB652" i="10"/>
  <c r="AB669" i="10"/>
  <c r="AB608" i="10"/>
  <c r="AB631" i="10"/>
  <c r="AB646" i="10"/>
  <c r="AB607" i="10"/>
  <c r="AB653" i="10"/>
  <c r="AB629" i="10"/>
  <c r="AB667" i="10"/>
  <c r="AB585" i="10"/>
  <c r="AB599" i="10"/>
  <c r="AB644" i="10"/>
  <c r="AB657" i="10"/>
  <c r="AB333" i="11"/>
  <c r="AB325" i="11"/>
  <c r="R325" i="11" s="1"/>
  <c r="AB330" i="11"/>
  <c r="AB338" i="11"/>
  <c r="AB369" i="11"/>
  <c r="AB365" i="11"/>
  <c r="AB593" i="10"/>
  <c r="AB643" i="10"/>
  <c r="P676" i="10"/>
  <c r="Q576" i="10"/>
  <c r="L189" i="5"/>
  <c r="AB597" i="10"/>
  <c r="AB630" i="10"/>
  <c r="Q193" i="9"/>
  <c r="S178" i="9"/>
  <c r="S193" i="9" s="1"/>
  <c r="N14" i="21" s="1"/>
  <c r="AB185" i="9"/>
  <c r="AB179" i="9"/>
  <c r="AB186" i="9"/>
  <c r="S464" i="10" l="1"/>
  <c r="S564" i="10" s="1"/>
  <c r="M15" i="21" s="1"/>
  <c r="L156" i="21" s="1"/>
  <c r="I128" i="18" s="1"/>
  <c r="I56" i="18" s="1"/>
  <c r="H17" i="16"/>
  <c r="G35" i="20" s="1"/>
  <c r="I15" i="16"/>
  <c r="L22" i="5"/>
  <c r="L186" i="5" s="1"/>
  <c r="L31" i="5"/>
  <c r="K155" i="21"/>
  <c r="H127" i="18" s="1"/>
  <c r="H55" i="18" s="1"/>
  <c r="G22" i="20"/>
  <c r="G127" i="18"/>
  <c r="G55" i="18" s="1"/>
  <c r="G128" i="18"/>
  <c r="G56" i="18" s="1"/>
  <c r="H29" i="18"/>
  <c r="F17" i="17"/>
  <c r="F30" i="17" s="1"/>
  <c r="F48" i="17" s="1"/>
  <c r="F51" i="17" s="1"/>
  <c r="G36" i="16"/>
  <c r="I29" i="20"/>
  <c r="H128" i="18"/>
  <c r="H56" i="18" s="1"/>
  <c r="M171" i="21"/>
  <c r="L155" i="21"/>
  <c r="M172" i="21"/>
  <c r="K186" i="5"/>
  <c r="H19" i="15"/>
  <c r="S325" i="11"/>
  <c r="J198" i="5"/>
  <c r="I14" i="15"/>
  <c r="J241" i="5"/>
  <c r="J242" i="5" s="1"/>
  <c r="L190" i="5"/>
  <c r="L121" i="5"/>
  <c r="L204" i="5" s="1"/>
  <c r="K187" i="5"/>
  <c r="L217" i="5"/>
  <c r="L228" i="5" s="1"/>
  <c r="K204" i="5"/>
  <c r="K211" i="5" s="1"/>
  <c r="K234" i="5"/>
  <c r="K241" i="5" s="1"/>
  <c r="K242" i="5" s="1"/>
  <c r="K134" i="5"/>
  <c r="K148" i="5" s="1"/>
  <c r="K175" i="5" s="1"/>
  <c r="L27" i="5"/>
  <c r="L187" i="5" s="1"/>
  <c r="J211" i="5"/>
  <c r="K48" i="5"/>
  <c r="K62" i="5" s="1"/>
  <c r="K91" i="5" s="1"/>
  <c r="L231" i="5"/>
  <c r="L201" i="5"/>
  <c r="K190"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N155" i="21"/>
  <c r="N171" i="21"/>
  <c r="M155" i="21"/>
  <c r="J127" i="18" l="1"/>
  <c r="J55" i="18" s="1"/>
  <c r="I127" i="18"/>
  <c r="I55" i="18" s="1"/>
  <c r="G66" i="20"/>
  <c r="H32" i="18"/>
  <c r="H46" i="18"/>
  <c r="M156" i="21"/>
  <c r="G57" i="16"/>
  <c r="F37" i="20"/>
  <c r="N172" i="21"/>
  <c r="I19" i="15"/>
  <c r="H22" i="20"/>
  <c r="I29" i="18"/>
  <c r="J212" i="5"/>
  <c r="F70" i="18"/>
  <c r="G115" i="18"/>
  <c r="G117" i="18" s="1"/>
  <c r="G118" i="18" s="1"/>
  <c r="L134" i="5"/>
  <c r="L148" i="5" s="1"/>
  <c r="L175" i="5" s="1"/>
  <c r="L234" i="5"/>
  <c r="L241" i="5" s="1"/>
  <c r="L242" i="5" s="1"/>
  <c r="L211" i="5"/>
  <c r="L48" i="5"/>
  <c r="L62" i="5" s="1"/>
  <c r="L91" i="5" s="1"/>
  <c r="K198" i="5"/>
  <c r="K212" i="5" s="1"/>
  <c r="J14" i="15"/>
  <c r="I66" i="15"/>
  <c r="I71" i="15" s="1"/>
  <c r="N163" i="21"/>
  <c r="K22" i="15"/>
  <c r="M25" i="14"/>
  <c r="M29" i="14" s="1"/>
  <c r="AH12" i="13"/>
  <c r="I18" i="14"/>
  <c r="I17" i="16" s="1"/>
  <c r="H35" i="20" s="1"/>
  <c r="I47" i="14"/>
  <c r="M12" i="14"/>
  <c r="H115" i="18"/>
  <c r="H117" i="18" s="1"/>
  <c r="H118" i="18" s="1"/>
  <c r="K14" i="15"/>
  <c r="L198" i="5"/>
  <c r="H30" i="18" l="1"/>
  <c r="H24" i="18"/>
  <c r="H23" i="18"/>
  <c r="H26" i="18"/>
  <c r="H22" i="18"/>
  <c r="I22" i="20"/>
  <c r="I46" i="18"/>
  <c r="I32" i="18"/>
  <c r="H66" i="20"/>
  <c r="G11" i="17"/>
  <c r="F49" i="17"/>
  <c r="G23" i="16"/>
  <c r="J128" i="18"/>
  <c r="J56" i="18" s="1"/>
  <c r="J29" i="18"/>
  <c r="L212"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5" i="16" s="1"/>
  <c r="J17" i="16" s="1"/>
  <c r="I35" i="20" s="1"/>
  <c r="J26" i="18" l="1"/>
  <c r="J23" i="18"/>
  <c r="J24" i="18"/>
  <c r="J30" i="18"/>
  <c r="J22" i="18"/>
  <c r="G13" i="18"/>
  <c r="G12" i="18"/>
  <c r="L27" i="15"/>
  <c r="L40" i="15" s="1"/>
  <c r="K14" i="14"/>
  <c r="J51" i="14"/>
  <c r="K47" i="14" l="1"/>
  <c r="K18" i="14"/>
  <c r="K15" i="16" s="1"/>
  <c r="K17" i="16" s="1"/>
  <c r="L14" i="14" l="1"/>
  <c r="K51" i="14"/>
  <c r="L47" i="14" l="1"/>
  <c r="L18" i="14"/>
  <c r="L15" i="16" s="1"/>
  <c r="L17" i="16" s="1"/>
  <c r="M14" i="14" l="1"/>
  <c r="L51" i="14"/>
  <c r="M47" i="14" l="1"/>
  <c r="M18" i="14"/>
  <c r="G22" i="5" l="1"/>
  <c r="H186" i="5" s="1"/>
  <c r="H198" i="5" l="1"/>
  <c r="H212" i="5" s="1"/>
  <c r="H216" i="5"/>
  <c r="H228" i="5" s="1"/>
  <c r="H242" i="5" s="1"/>
  <c r="G48" i="5"/>
  <c r="G62" i="5" s="1"/>
  <c r="G91" i="5" s="1"/>
  <c r="G14" i="15" l="1"/>
  <c r="J71" i="18" l="1"/>
  <c r="H71" i="18"/>
  <c r="G71" i="18"/>
  <c r="F71" i="18"/>
  <c r="G15" i="18"/>
  <c r="I71" i="18"/>
  <c r="G29" i="18"/>
  <c r="F22" i="20"/>
  <c r="G19" i="15"/>
  <c r="N36" i="11"/>
  <c r="AC36" i="11" s="1"/>
  <c r="P36" i="11"/>
  <c r="P65" i="11" s="1"/>
  <c r="Q36" i="11"/>
  <c r="Q65" i="11" s="1"/>
  <c r="R36" i="11"/>
  <c r="J65" i="11"/>
  <c r="I21" i="21" s="1"/>
  <c r="F62" i="18"/>
  <c r="J98" i="11"/>
  <c r="R98" i="11" s="1"/>
  <c r="R127" i="11" s="1"/>
  <c r="J160" i="11" l="1"/>
  <c r="J222" i="11" s="1"/>
  <c r="J251" i="11" s="1"/>
  <c r="I62" i="18" s="1"/>
  <c r="F63" i="18"/>
  <c r="S36" i="11"/>
  <c r="S65" i="11" s="1"/>
  <c r="I16" i="21" s="1"/>
  <c r="I17" i="21" s="1"/>
  <c r="F115" i="18"/>
  <c r="F117" i="18" s="1"/>
  <c r="F118" i="18" s="1"/>
  <c r="G46" i="18"/>
  <c r="G32" i="18"/>
  <c r="F66" i="20"/>
  <c r="G16" i="18"/>
  <c r="R65" i="11"/>
  <c r="K175" i="21"/>
  <c r="N222" i="11"/>
  <c r="AC222" i="11" s="1"/>
  <c r="J284" i="11"/>
  <c r="N98" i="11"/>
  <c r="AC98" i="11" s="1"/>
  <c r="J127" i="11"/>
  <c r="G62" i="18" s="1"/>
  <c r="P160" i="11"/>
  <c r="P189" i="11" s="1"/>
  <c r="J189" i="11"/>
  <c r="H62" i="18" s="1"/>
  <c r="N160" i="11"/>
  <c r="AC160" i="11" s="1"/>
  <c r="P98" i="11"/>
  <c r="P127" i="11" s="1"/>
  <c r="F37" i="18" s="1"/>
  <c r="Q98" i="11"/>
  <c r="Q160" i="11"/>
  <c r="R160" i="11"/>
  <c r="R189" i="11" s="1"/>
  <c r="G61" i="20" l="1"/>
  <c r="H45" i="18"/>
  <c r="H61" i="20"/>
  <c r="G45" i="18"/>
  <c r="P222" i="11"/>
  <c r="P251" i="11" s="1"/>
  <c r="R222" i="11"/>
  <c r="R251" i="11" s="1"/>
  <c r="M175" i="21" s="1"/>
  <c r="M159" i="21" s="1"/>
  <c r="I56" i="20" s="1"/>
  <c r="F61" i="20"/>
  <c r="H37" i="18"/>
  <c r="Q222" i="11"/>
  <c r="I173" i="21"/>
  <c r="I174" i="21" s="1"/>
  <c r="I175" i="21"/>
  <c r="J175" i="21"/>
  <c r="J159" i="21" s="1"/>
  <c r="F56" i="20" s="1"/>
  <c r="H70" i="18"/>
  <c r="I70" i="18"/>
  <c r="G70" i="18"/>
  <c r="J70" i="18"/>
  <c r="F36" i="18"/>
  <c r="G30" i="18"/>
  <c r="G23" i="18"/>
  <c r="G26" i="18"/>
  <c r="G24" i="18"/>
  <c r="G22" i="18"/>
  <c r="L175" i="21"/>
  <c r="L159" i="21" s="1"/>
  <c r="H56" i="20" s="1"/>
  <c r="Q127" i="11"/>
  <c r="S98" i="11"/>
  <c r="S127" i="11" s="1"/>
  <c r="J16" i="21" s="1"/>
  <c r="G37" i="18"/>
  <c r="Q251" i="11"/>
  <c r="I63" i="18"/>
  <c r="H42" i="18" s="1"/>
  <c r="Q189" i="11"/>
  <c r="S160" i="11"/>
  <c r="S189" i="11" s="1"/>
  <c r="K16" i="21" s="1"/>
  <c r="I166" i="21"/>
  <c r="P284" i="11"/>
  <c r="P313" i="11" s="1"/>
  <c r="J313" i="11"/>
  <c r="Q284" i="11"/>
  <c r="N284" i="11"/>
  <c r="AC284" i="11" s="1"/>
  <c r="R284" i="11"/>
  <c r="R313" i="11" s="1"/>
  <c r="J346" i="11"/>
  <c r="H63" i="18"/>
  <c r="G42" i="18" s="1"/>
  <c r="G63" i="18"/>
  <c r="G36" i="18"/>
  <c r="K159" i="21" l="1"/>
  <c r="G56" i="20" s="1"/>
  <c r="H36" i="18"/>
  <c r="S222" i="11"/>
  <c r="S251" i="11" s="1"/>
  <c r="L16" i="21" s="1"/>
  <c r="L173" i="21" s="1"/>
  <c r="L174" i="21" s="1"/>
  <c r="P197" i="9"/>
  <c r="G69" i="18"/>
  <c r="H69" i="18"/>
  <c r="I69" i="18"/>
  <c r="F42" i="18"/>
  <c r="I37" i="18"/>
  <c r="G136" i="18"/>
  <c r="G137" i="18" s="1"/>
  <c r="I159" i="21"/>
  <c r="F136" i="18" s="1"/>
  <c r="F137" i="18" s="1"/>
  <c r="F69" i="18"/>
  <c r="N175" i="21"/>
  <c r="N159" i="21" s="1"/>
  <c r="K173" i="21"/>
  <c r="K174" i="21" s="1"/>
  <c r="K17" i="21"/>
  <c r="K157" i="21"/>
  <c r="J173" i="21"/>
  <c r="J174" i="21" s="1"/>
  <c r="J157" i="21"/>
  <c r="J17" i="21"/>
  <c r="I157" i="21"/>
  <c r="J136" i="18"/>
  <c r="J137" i="18" s="1"/>
  <c r="H136" i="18"/>
  <c r="H137" i="18" s="1"/>
  <c r="Q313" i="11"/>
  <c r="S284" i="11"/>
  <c r="S313" i="11" s="1"/>
  <c r="M16" i="21" s="1"/>
  <c r="I36" i="18"/>
  <c r="J375" i="11"/>
  <c r="J62" i="18" s="1"/>
  <c r="N346" i="11"/>
  <c r="AC346" i="11" s="1"/>
  <c r="P346" i="11"/>
  <c r="P375" i="11" s="1"/>
  <c r="J37" i="18" s="1"/>
  <c r="R346" i="11"/>
  <c r="R375" i="11" s="1"/>
  <c r="J36" i="18" s="1"/>
  <c r="Q346" i="11"/>
  <c r="I136" i="18"/>
  <c r="I137" i="18" s="1"/>
  <c r="L17" i="21" l="1"/>
  <c r="F45" i="18"/>
  <c r="I45" i="18"/>
  <c r="J45" i="18"/>
  <c r="I61" i="20"/>
  <c r="I22" i="21"/>
  <c r="J24" i="21" s="1"/>
  <c r="J42" i="21" s="1"/>
  <c r="I158" i="21"/>
  <c r="F51" i="18" s="1"/>
  <c r="F129" i="18"/>
  <c r="F57" i="18" s="1"/>
  <c r="G129" i="18"/>
  <c r="G57" i="18" s="1"/>
  <c r="H129" i="18"/>
  <c r="H57" i="18" s="1"/>
  <c r="J63" i="18"/>
  <c r="M17" i="21"/>
  <c r="L150" i="21" s="1"/>
  <c r="H27" i="20" s="1"/>
  <c r="M173" i="21"/>
  <c r="M174" i="21" s="1"/>
  <c r="J158" i="21"/>
  <c r="G75" i="18" s="1"/>
  <c r="L157" i="21"/>
  <c r="K44" i="21"/>
  <c r="K166" i="21"/>
  <c r="K150" i="21"/>
  <c r="G27" i="20" s="1"/>
  <c r="H73" i="15"/>
  <c r="H77" i="15" s="1"/>
  <c r="H79" i="15" s="1"/>
  <c r="H92" i="15" s="1"/>
  <c r="Q375" i="11"/>
  <c r="S346" i="11"/>
  <c r="S375" i="11" s="1"/>
  <c r="N16" i="21" s="1"/>
  <c r="J166" i="21"/>
  <c r="J150" i="21"/>
  <c r="I150" i="21"/>
  <c r="K158" i="21"/>
  <c r="L44" i="21"/>
  <c r="L166" i="21"/>
  <c r="I73" i="15"/>
  <c r="I77" i="15" s="1"/>
  <c r="I79" i="15" s="1"/>
  <c r="I92" i="15" s="1"/>
  <c r="G73" i="15" l="1"/>
  <c r="G77" i="15" s="1"/>
  <c r="G79" i="15" s="1"/>
  <c r="G92" i="15" s="1"/>
  <c r="J44" i="21"/>
  <c r="I42" i="18"/>
  <c r="J42" i="18"/>
  <c r="J69" i="18"/>
  <c r="J167" i="21"/>
  <c r="J151" i="21"/>
  <c r="F27" i="20"/>
  <c r="H51" i="18"/>
  <c r="H75" i="18"/>
  <c r="F130" i="18"/>
  <c r="F131" i="18" s="1"/>
  <c r="H50" i="18"/>
  <c r="H49" i="18"/>
  <c r="G50" i="18"/>
  <c r="G49" i="18"/>
  <c r="G51" i="18"/>
  <c r="I129" i="18"/>
  <c r="I57" i="18" s="1"/>
  <c r="F75" i="18"/>
  <c r="F49" i="18"/>
  <c r="F50" i="18"/>
  <c r="G130" i="18"/>
  <c r="G131" i="18" s="1"/>
  <c r="I21" i="15"/>
  <c r="L162" i="21"/>
  <c r="I35" i="18"/>
  <c r="N173" i="21"/>
  <c r="N174" i="21" s="1"/>
  <c r="N17" i="21"/>
  <c r="M150" i="21" s="1"/>
  <c r="I27" i="20" s="1"/>
  <c r="N157" i="21"/>
  <c r="G76" i="18"/>
  <c r="I42" i="21"/>
  <c r="I151" i="21" s="1"/>
  <c r="G35" i="18"/>
  <c r="F35" i="18"/>
  <c r="L158" i="21"/>
  <c r="I75" i="18" s="1"/>
  <c r="M166" i="21"/>
  <c r="M44" i="21"/>
  <c r="J73" i="15"/>
  <c r="J77" i="15" s="1"/>
  <c r="J79" i="15" s="1"/>
  <c r="J92" i="15" s="1"/>
  <c r="H21" i="15"/>
  <c r="K162" i="21"/>
  <c r="H35" i="18"/>
  <c r="M157" i="21"/>
  <c r="J76" i="18" l="1"/>
  <c r="I76" i="18"/>
  <c r="H76" i="18"/>
  <c r="I50" i="18"/>
  <c r="I49" i="18"/>
  <c r="J129" i="18"/>
  <c r="J57" i="18" s="1"/>
  <c r="J162" i="21"/>
  <c r="F28" i="20"/>
  <c r="I51" i="18"/>
  <c r="M162" i="21"/>
  <c r="J21" i="15"/>
  <c r="J35" i="18"/>
  <c r="H130" i="18"/>
  <c r="H131" i="18" s="1"/>
  <c r="G21" i="15"/>
  <c r="N166" i="21"/>
  <c r="N44" i="21"/>
  <c r="N150" i="21"/>
  <c r="I25" i="18"/>
  <c r="I25" i="15"/>
  <c r="I47" i="18" s="1"/>
  <c r="I28" i="18"/>
  <c r="M158" i="21"/>
  <c r="J75" i="18" s="1"/>
  <c r="H28" i="18"/>
  <c r="H25" i="18"/>
  <c r="H25" i="15"/>
  <c r="H47" i="18" s="1"/>
  <c r="I167" i="21"/>
  <c r="I44" i="21"/>
  <c r="N158" i="21"/>
  <c r="J49" i="18" l="1"/>
  <c r="J50" i="18"/>
  <c r="F76" i="18"/>
  <c r="J51" i="18"/>
  <c r="G121" i="18"/>
  <c r="G123" i="18" s="1"/>
  <c r="G124" i="18" s="1"/>
  <c r="H27" i="18"/>
  <c r="H27" i="15"/>
  <c r="I130" i="18"/>
  <c r="I131" i="18" s="1"/>
  <c r="G25" i="18"/>
  <c r="G28" i="18"/>
  <c r="G25" i="15"/>
  <c r="N162" i="21"/>
  <c r="K21" i="15"/>
  <c r="K25" i="15" s="1"/>
  <c r="I162" i="21"/>
  <c r="J130" i="18"/>
  <c r="J131" i="18" s="1"/>
  <c r="I27" i="15"/>
  <c r="I27" i="18"/>
  <c r="H121" i="18"/>
  <c r="H123" i="18" s="1"/>
  <c r="H124" i="18" s="1"/>
  <c r="J28" i="18"/>
  <c r="J25" i="18"/>
  <c r="J25" i="15"/>
  <c r="J47" i="18" s="1"/>
  <c r="H74" i="18" l="1"/>
  <c r="J74" i="18"/>
  <c r="G74" i="18"/>
  <c r="I74" i="18"/>
  <c r="G47" i="18"/>
  <c r="F121" i="18"/>
  <c r="F123" i="18" s="1"/>
  <c r="F124" i="18" s="1"/>
  <c r="G27" i="18"/>
  <c r="F74" i="18"/>
  <c r="G27" i="15"/>
  <c r="H17" i="18"/>
  <c r="H40" i="15"/>
  <c r="G34" i="20" s="1"/>
  <c r="J27" i="15"/>
  <c r="J27" i="18"/>
  <c r="I121" i="18"/>
  <c r="I123" i="18" s="1"/>
  <c r="I124" i="18" s="1"/>
  <c r="K27" i="15"/>
  <c r="K40" i="15" s="1"/>
  <c r="J121" i="18"/>
  <c r="J123" i="18" s="1"/>
  <c r="J124" i="18" s="1"/>
  <c r="I17" i="18"/>
  <c r="I40" i="15"/>
  <c r="H34" i="20" s="1"/>
  <c r="J17" i="18" l="1"/>
  <c r="J40" i="15"/>
  <c r="I34" i="20" s="1"/>
  <c r="G17" i="18"/>
  <c r="G40" i="15"/>
  <c r="F34" i="20" s="1"/>
  <c r="I17" i="17"/>
  <c r="I30" i="17" s="1"/>
  <c r="I48" i="17" s="1"/>
  <c r="K17" i="17"/>
  <c r="K30" i="17" s="1"/>
  <c r="K48" i="17" s="1"/>
  <c r="H17" i="17"/>
  <c r="H30" i="17" s="1"/>
  <c r="H48" i="17" s="1"/>
  <c r="G17" i="17" l="1"/>
  <c r="G30" i="17" s="1"/>
  <c r="G48" i="17" s="1"/>
  <c r="G51" i="17" s="1"/>
  <c r="H32" i="16"/>
  <c r="H36" i="16" s="1"/>
  <c r="G37" i="20" s="1"/>
  <c r="J17" i="17"/>
  <c r="J30" i="17" s="1"/>
  <c r="J48" i="17" s="1"/>
  <c r="H16" i="18" l="1"/>
  <c r="H15" i="18"/>
  <c r="I32" i="16"/>
  <c r="I36" i="16" s="1"/>
  <c r="H37" i="20" s="1"/>
  <c r="H57" i="16"/>
  <c r="H22" i="16" s="1"/>
  <c r="I15" i="18" l="1"/>
  <c r="I16" i="18"/>
  <c r="J32" i="16"/>
  <c r="J36" i="16" s="1"/>
  <c r="I37" i="20" s="1"/>
  <c r="I57" i="16"/>
  <c r="I22" i="16" s="1"/>
  <c r="H23" i="16"/>
  <c r="G36" i="20" s="1"/>
  <c r="G49" i="17"/>
  <c r="H11" i="17"/>
  <c r="H51" i="17" s="1"/>
  <c r="J15" i="18" l="1"/>
  <c r="J16" i="18"/>
  <c r="J57" i="16"/>
  <c r="J22" i="16" s="1"/>
  <c r="K32" i="16"/>
  <c r="K36" i="16" s="1"/>
  <c r="H49" i="17"/>
  <c r="I11" i="17"/>
  <c r="I51" i="17" s="1"/>
  <c r="I23" i="16"/>
  <c r="H36" i="20" s="1"/>
  <c r="H25" i="16"/>
  <c r="H13" i="18" l="1"/>
  <c r="H12" i="18"/>
  <c r="I25" i="16"/>
  <c r="J23" i="16"/>
  <c r="I36" i="20" s="1"/>
  <c r="J11" i="17"/>
  <c r="J51" i="17" s="1"/>
  <c r="I49" i="17"/>
  <c r="L32" i="16"/>
  <c r="L36" i="16" s="1"/>
  <c r="L57" i="16" s="1"/>
  <c r="L22" i="16" s="1"/>
  <c r="K57" i="16"/>
  <c r="K22" i="16" s="1"/>
  <c r="K23" i="16" l="1"/>
  <c r="J49" i="17"/>
  <c r="K11" i="17"/>
  <c r="K51" i="17" s="1"/>
  <c r="L23" i="16"/>
  <c r="L25" i="16" s="1"/>
  <c r="I11" i="18" s="1"/>
  <c r="K49" i="17"/>
  <c r="J25" i="16"/>
  <c r="F11" i="18"/>
  <c r="I13" i="18"/>
  <c r="I12" i="18"/>
  <c r="J13" i="18" l="1"/>
  <c r="G11" i="18"/>
  <c r="J12" i="18"/>
  <c r="K25" i="16"/>
  <c r="H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E18" authorId="0" shapeId="0" xr:uid="{00000000-0006-0000-0100-000001000000}">
      <text>
        <r>
          <rPr>
            <sz val="9"/>
            <color indexed="81"/>
            <rFont val="Tahoma"/>
            <family val="2"/>
          </rPr>
          <t xml:space="preserve">
JJI- en GJI-leerlingen hierbij apart opgeven vanaf rij 44. Andere residentiële leerlingen wel meetellen.</t>
        </r>
      </text>
    </comment>
    <comment ref="D21" authorId="1" shapeId="0" xr:uid="{00000000-0006-0000-0100-000002000000}">
      <text>
        <r>
          <rPr>
            <sz val="8"/>
            <color indexed="81"/>
            <rFont val="Tahoma"/>
            <family val="2"/>
          </rPr>
          <t xml:space="preserve">
Noteer de GGL zoals vermeld op de beschikking voor 2020-2021 resp. 2021-2022. </t>
        </r>
      </text>
    </comment>
    <comment ref="E53" authorId="0" shapeId="0" xr:uid="{00000000-0006-0000-0100-00000300000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opgaven in BRON.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 xml:space="preserve"> </author>
  </authors>
  <commentList>
    <comment ref="E28" authorId="0" shapeId="0" xr:uid="{00000000-0006-0000-0200-000001000000}">
      <text>
        <r>
          <rPr>
            <sz val="9"/>
            <color indexed="81"/>
            <rFont val="Tahoma"/>
            <family val="2"/>
          </rPr>
          <t xml:space="preserve">
Dit betreft het deel van de basisbekostiging, het ondersteuningsdeel is integraal opgenomen in het personele ondersteuningsbedrag.</t>
        </r>
      </text>
    </comment>
    <comment ref="D35" authorId="0" shapeId="0" xr:uid="{00000000-0006-0000-0200-000002000000}">
      <text>
        <r>
          <rPr>
            <sz val="9"/>
            <color indexed="81"/>
            <rFont val="Tahoma"/>
            <family val="2"/>
          </rPr>
          <t xml:space="preserve">
Bekostiging conform beschikking DUO.</t>
        </r>
      </text>
    </comment>
    <comment ref="H37" authorId="1" shapeId="0" xr:uid="{00000000-0006-0000-0200-000003000000}">
      <text>
        <r>
          <rPr>
            <sz val="9"/>
            <color indexed="81"/>
            <rFont val="Tahoma"/>
            <family val="2"/>
          </rPr>
          <t xml:space="preserve">
Nadere verdeling sbo en (v)so voor 2020.</t>
        </r>
      </text>
    </comment>
    <comment ref="E38" authorId="1" shapeId="0" xr:uid="{00000000-0006-0000-0200-000004000000}">
      <text>
        <r>
          <rPr>
            <sz val="9"/>
            <color indexed="81"/>
            <rFont val="Tahoma"/>
            <family val="2"/>
          </rPr>
          <t xml:space="preserve">
Hiervan kan sprake zijn voor het VSO. Zie daarvoor de circulaire over aanvullende bekostiging technisch onderwijs vmbo-vso. </t>
        </r>
      </text>
    </comment>
    <comment ref="E39" authorId="1" shapeId="0" xr:uid="{00000000-0006-0000-0200-000005000000}">
      <text>
        <r>
          <rPr>
            <sz val="9"/>
            <color indexed="81"/>
            <rFont val="Tahoma"/>
            <family val="2"/>
          </rPr>
          <t xml:space="preserve">
Stcrt 2020 nr 45996, d.d. 6 juli 2021, art. 37. Stcrt 2021 nr. 15565, d.d. 6 juli 2021, art. 37. </t>
        </r>
      </text>
    </comment>
    <comment ref="I39" authorId="1" shapeId="0" xr:uid="{4CE5C46D-9AC2-4EE7-8FF0-BD10C8C847BD}">
      <text>
        <r>
          <rPr>
            <sz val="9"/>
            <color indexed="81"/>
            <rFont val="Tahoma"/>
            <family val="2"/>
          </rPr>
          <t xml:space="preserve">
Verdeling najaar 2021 binnen landelijk budget van 10 mln. euro. Bedrag voorlopig gesteld op bedrag voorafgaande jaar.</t>
        </r>
      </text>
    </comment>
    <comment ref="E40" authorId="1" shapeId="0" xr:uid="{00000000-0006-0000-0200-000006000000}">
      <text>
        <r>
          <rPr>
            <sz val="9"/>
            <color indexed="81"/>
            <rFont val="Tahoma"/>
            <family val="2"/>
          </rPr>
          <t xml:space="preserve">
Stcrt. 2020 nr 45996, d.d. 4 sept. 2020, art. 37a. Stcrt. 2021 nr 15565, d.d. 31 mrt 2021, art. 38.</t>
        </r>
      </text>
    </comment>
    <comment ref="H40" authorId="1" shapeId="0" xr:uid="{C77A3A61-A45A-4FE3-B53C-CFE3D6D46726}">
      <text>
        <r>
          <rPr>
            <sz val="9"/>
            <color indexed="81"/>
            <rFont val="Tahoma"/>
            <family val="2"/>
          </rPr>
          <t xml:space="preserve">
Verdeling najaar 2021 binnen landelijk budget van 16,5 mln. euro. Bedrag voorlopig gesteld op bedrag voorafgaande jaar.</t>
        </r>
      </text>
    </comment>
    <comment ref="E53" authorId="0" shapeId="0" xr:uid="{00000000-0006-0000-0200-000007000000}">
      <text>
        <r>
          <rPr>
            <sz val="9"/>
            <color indexed="81"/>
            <rFont val="Tahoma"/>
            <family val="2"/>
          </rPr>
          <t xml:space="preserve">
Deze overdrachtsbedragen voor 2019/20 resp. 2020/21 resp. 2021/22 ophalen uit de Kijkdoos groeiregeling  voor (V)SO. Voor de jaren daarna een raming maken i.p.v. de bedragen die nu automatisch worden herhaald.</t>
        </r>
      </text>
    </comment>
    <comment ref="D117" authorId="2" shapeId="0" xr:uid="{00000000-0006-0000-0200-000008000000}">
      <text>
        <r>
          <rPr>
            <sz val="10"/>
            <color indexed="81"/>
            <rFont val="Tahoma"/>
            <family val="2"/>
          </rPr>
          <t xml:space="preserve">
Alleen bepaalde schoolsoorten komen in aanmerking voor een watergewenningsbad (ZMLK) of een hydrobad (LG, MG).</t>
        </r>
      </text>
    </comment>
    <comment ref="D123" authorId="0" shapeId="0" xr:uid="{00000000-0006-0000-0200-000009000000}">
      <text>
        <r>
          <rPr>
            <sz val="9"/>
            <color indexed="81"/>
            <rFont val="Tahoma"/>
            <family val="2"/>
          </rPr>
          <t xml:space="preserve">
Bekostiging conform beschikking DUO art. 36 lid 1 t/m 4.</t>
        </r>
      </text>
    </comment>
    <comment ref="D124" authorId="1" shapeId="0" xr:uid="{00000000-0006-0000-0200-00000A000000}">
      <text>
        <r>
          <rPr>
            <sz val="9"/>
            <color indexed="81"/>
            <rFont val="Tahoma"/>
            <family val="2"/>
          </rPr>
          <t xml:space="preserve">
Herziening bijz. bek. per 1 jan. 2022 voor resterende maanden schooljaar 21-22.</t>
        </r>
      </text>
    </comment>
    <comment ref="E139" authorId="0" shapeId="0" xr:uid="{00000000-0006-0000-0200-00000B000000}">
      <text>
        <r>
          <rPr>
            <sz val="9"/>
            <color indexed="81"/>
            <rFont val="Tahoma"/>
            <family val="2"/>
          </rPr>
          <t xml:space="preserve">
Deze data voor 2020 resp. 2021 resp. 2022 ophalen uit de Kijkdoos groeiregeling  voor (V)SO. Voor 2023 een raming maken.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D21" authorId="0" shapeId="0" xr:uid="{00000000-0006-0000-0300-000001000000}">
      <text>
        <r>
          <rPr>
            <sz val="9"/>
            <color indexed="81"/>
            <rFont val="Tahoma"/>
            <family val="2"/>
          </rPr>
          <t xml:space="preserve">
875 euro naar rato van diensttijd en werktijdfactor in de maand januari 2020 conform cao-po 2019-2020.</t>
        </r>
      </text>
    </comment>
    <comment ref="D22" authorId="0" shapeId="0" xr:uid="{00000000-0006-0000-0300-000002000000}">
      <text>
        <r>
          <rPr>
            <sz val="9"/>
            <color indexed="81"/>
            <rFont val="Tahoma"/>
            <family val="2"/>
          </rPr>
          <t xml:space="preserve">
33% van maandsalaris januari 2020 naar rato van diensttijd en werktijdfactor.</t>
        </r>
      </text>
    </comment>
    <comment ref="D23" authorId="0" shapeId="0" xr:uid="{00000000-0006-0000-0300-000003000000}">
      <text>
        <r>
          <rPr>
            <sz val="9"/>
            <color indexed="81"/>
            <rFont val="Tahoma"/>
            <family val="2"/>
          </rPr>
          <t xml:space="preserve">
Stcrt 2020 nr 45996, d.d. 4 sept. 2020, art. 37a. </t>
        </r>
      </text>
    </comment>
    <comment ref="D24" authorId="0" shapeId="0" xr:uid="{00000000-0006-0000-0300-000004000000}">
      <text>
        <r>
          <rPr>
            <sz val="9"/>
            <color indexed="81"/>
            <rFont val="Tahoma"/>
            <family val="2"/>
          </rPr>
          <t xml:space="preserve">
verlenging cao PO</t>
        </r>
      </text>
    </comment>
    <comment ref="D67" authorId="1" shapeId="0" xr:uid="{00000000-0006-0000-0300-000005000000}">
      <text>
        <r>
          <rPr>
            <sz val="8"/>
            <color indexed="81"/>
            <rFont val="Tahoma"/>
            <family val="2"/>
          </rPr>
          <t xml:space="preserve">
wordt berekend in het werkblad mop.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8" authorId="0" shapeId="0" xr:uid="{00000000-0006-0000-0800-000001000000}">
      <text>
        <r>
          <rPr>
            <sz val="8"/>
            <color indexed="81"/>
            <rFont val="Tahoma"/>
            <family val="2"/>
          </rPr>
          <t xml:space="preserve">
hoeft niet te worden ingevuld</t>
        </r>
      </text>
    </comment>
    <comment ref="F8" authorId="0" shapeId="0" xr:uid="{00000000-0006-0000-0800-000002000000}">
      <text>
        <r>
          <rPr>
            <sz val="8"/>
            <color indexed="81"/>
            <rFont val="Tahoma"/>
            <family val="2"/>
          </rPr>
          <t xml:space="preserve">
hoeft niet te worden ingevuld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D11" authorId="0" shapeId="0" xr:uid="{00000000-0006-0000-0900-00000100000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B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B00-00000200000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0F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0F00-000002000000}">
      <text>
        <r>
          <rPr>
            <sz val="9"/>
            <color indexed="81"/>
            <rFont val="Tahoma"/>
            <family val="2"/>
          </rPr>
          <t xml:space="preserve">
Aantal leerlingen op 1 okt. T-1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Keizer</author>
    <author>B Keizer</author>
  </authors>
  <commentList>
    <comment ref="C7" authorId="0" shapeId="0" xr:uid="{00000000-0006-0000-1000-000001000000}">
      <text>
        <r>
          <rPr>
            <sz val="9"/>
            <color indexed="81"/>
            <rFont val="Tahoma"/>
            <family val="2"/>
          </rPr>
          <t xml:space="preserve">
Def. GPL 2018-2019, sept. 2019.</t>
        </r>
      </text>
    </comment>
    <comment ref="D7" authorId="1" shapeId="0" xr:uid="{00000000-0006-0000-1000-000002000000}">
      <text>
        <r>
          <rPr>
            <sz val="9"/>
            <color indexed="81"/>
            <rFont val="Tahoma"/>
            <family val="2"/>
          </rPr>
          <t xml:space="preserve">
Def. Reg. GPL 2019-2020, 16 juli 2020.</t>
        </r>
      </text>
    </comment>
    <comment ref="E7" authorId="1" shapeId="0" xr:uid="{00000000-0006-0000-1000-000003000000}">
      <text>
        <r>
          <rPr>
            <sz val="9"/>
            <color indexed="81"/>
            <rFont val="Tahoma"/>
            <family val="2"/>
          </rPr>
          <t xml:space="preserve">
Def. Reg. GPL 2020-2021, 6 juli 2021.</t>
        </r>
      </text>
    </comment>
    <comment ref="F7" authorId="1" shapeId="0" xr:uid="{00000000-0006-0000-1000-000004000000}">
      <text>
        <r>
          <rPr>
            <sz val="9"/>
            <color indexed="81"/>
            <rFont val="Tahoma"/>
            <family val="2"/>
          </rPr>
          <t xml:space="preserve">
2e Reg. GPL 2021-2022, 6 juli 2021.</t>
        </r>
      </text>
    </comment>
    <comment ref="C136" authorId="1" shapeId="0" xr:uid="{00000000-0006-0000-1000-000005000000}">
      <text>
        <r>
          <rPr>
            <sz val="9"/>
            <color indexed="81"/>
            <rFont val="Tahoma"/>
            <family val="2"/>
          </rPr>
          <t xml:space="preserve">
Indexering t.o.v. voorgaande jaar.</t>
        </r>
      </text>
    </comment>
    <comment ref="C149" authorId="1" shapeId="0" xr:uid="{00000000-0006-0000-1000-000006000000}">
      <text>
        <r>
          <rPr>
            <sz val="9"/>
            <color indexed="81"/>
            <rFont val="Tahoma"/>
            <family val="2"/>
          </rPr>
          <t xml:space="preserve">
Indexering t.o.v. voorgaande jaar.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1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1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E4D81800-2380-4974-A532-6E486A514A89}">
      <text>
        <r>
          <rPr>
            <sz val="9"/>
            <color indexed="81"/>
            <rFont val="Tahoma"/>
            <family val="2"/>
          </rPr>
          <t xml:space="preserve">
Aanloopschalen a1 en a2 achterwege gelaten. Aanpassing min. loon per 1-1-2020 zorgt dat de aanloopschalen dan tenminste 1684,80 zijn, en per 1 juli 2021  euro 1701,-. </t>
        </r>
      </text>
    </comment>
  </commentList>
</comments>
</file>

<file path=xl/sharedStrings.xml><?xml version="1.0" encoding="utf-8"?>
<sst xmlns="http://schemas.openxmlformats.org/spreadsheetml/2006/main" count="2138" uniqueCount="674">
  <si>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</si>
  <si>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</si>
  <si>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</si>
  <si>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</si>
  <si>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</si>
  <si>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</si>
  <si>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</si>
  <si>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</si>
  <si>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</si>
  <si>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</si>
  <si>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</si>
  <si>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</si>
  <si>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</si>
  <si>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</si>
  <si>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</si>
  <si>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</si>
  <si>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</si>
  <si>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</si>
  <si>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</si>
  <si>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</si>
  <si>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</si>
  <si>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</si>
  <si>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</si>
  <si>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</si>
  <si>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</si>
  <si>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</si>
  <si>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</si>
  <si>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</si>
  <si>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</si>
  <si>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</si>
  <si>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</si>
  <si>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</si>
  <si>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</si>
  <si>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</si>
  <si>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</si>
  <si>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</si>
  <si>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</si>
  <si>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</si>
  <si>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</si>
  <si>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</si>
  <si>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</si>
  <si>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</si>
  <si>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</si>
  <si>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</si>
  <si>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</si>
  <si>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</si>
  <si>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</si>
  <si>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</si>
  <si>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</si>
  <si>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</si>
  <si>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</si>
  <si>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</si>
  <si>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</si>
  <si>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</si>
  <si>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</si>
  <si>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</si>
  <si>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</si>
  <si>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</si>
  <si>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</si>
  <si>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</si>
  <si>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</si>
  <si>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</si>
  <si>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</si>
  <si>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</si>
  <si>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</si>
  <si>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</si>
  <si>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</si>
  <si>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</si>
  <si>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</si>
  <si>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</si>
  <si>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</si>
  <si>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</si>
  <si>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</si>
  <si>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</si>
  <si>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</si>
  <si>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</si>
  <si>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</si>
  <si>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</si>
  <si>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</si>
  <si>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</si>
  <si>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</si>
  <si>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</si>
  <si>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</si>
  <si>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</si>
  <si>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</si>
  <si>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</si>
  <si>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</si>
  <si>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</si>
  <si>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</si>
  <si>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</si>
  <si>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</si>
  <si>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</si>
  <si>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</si>
  <si>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</si>
  <si>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</si>
  <si>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</si>
  <si>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</si>
  <si>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</si>
  <si>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</si>
  <si>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</si>
  <si>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</si>
  <si>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</si>
  <si>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</si>
  <si>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</si>
  <si>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</si>
  <si>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</si>
  <si>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</si>
  <si>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</si>
  <si>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</si>
  <si>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</si>
  <si>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</si>
  <si>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</si>
  <si>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</si>
  <si>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</si>
  <si>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</si>
  <si>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</si>
  <si>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</si>
  <si>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</si>
  <si>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</si>
  <si>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</si>
  <si>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</si>
  <si>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</si>
  <si>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</si>
  <si>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</si>
  <si>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</si>
  <si>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</si>
  <si>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</si>
  <si>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</si>
  <si>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</si>
  <si>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</si>
  <si>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</si>
  <si>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</si>
  <si>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</si>
  <si>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</si>
  <si>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</si>
  <si>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</si>
  <si>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</si>
  <si>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</si>
  <si>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</si>
  <si>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</si>
  <si>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</si>
  <si>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</si>
  <si>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</si>
  <si>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</si>
  <si>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</si>
  <si>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</si>
  <si>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</si>
  <si>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</si>
  <si>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</si>
  <si>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</si>
  <si>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</si>
  <si>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</si>
  <si>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</si>
  <si>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</si>
  <si>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</si>
  <si>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</si>
  <si>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</si>
  <si>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</si>
  <si>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</si>
  <si>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</si>
  <si>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</si>
  <si>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</si>
  <si>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</si>
  <si>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</si>
  <si>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</si>
  <si>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</si>
  <si>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</si>
  <si>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</si>
  <si>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</si>
  <si>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</si>
  <si>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</si>
  <si>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</si>
  <si>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</si>
  <si>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</si>
  <si>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</si>
  <si>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</si>
  <si>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</si>
  <si>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</si>
  <si>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</si>
  <si>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</si>
  <si>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</si>
  <si>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</si>
  <si>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</si>
  <si>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</si>
  <si>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</si>
  <si>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</si>
  <si>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</si>
  <si>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</si>
  <si>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</si>
  <si>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</si>
  <si>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</si>
  <si>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</si>
  <si>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</si>
  <si>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</si>
  <si>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</si>
  <si>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</si>
  <si>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</si>
  <si>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</si>
  <si>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</si>
  <si>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</si>
  <si>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</si>
  <si>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</si>
  <si>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</si>
  <si>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</si>
  <si>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</si>
  <si>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</si>
  <si>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</si>
  <si>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</si>
  <si>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</si>
  <si>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</si>
  <si>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</si>
  <si>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</si>
  <si>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</si>
  <si>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</si>
  <si>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</si>
  <si>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</si>
  <si>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</si>
  <si>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</si>
  <si>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</si>
  <si>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</si>
  <si>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</si>
  <si>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</si>
  <si>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</si>
  <si>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</si>
  <si>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</si>
  <si>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</si>
  <si>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</si>
  <si>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</si>
  <si>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</si>
  <si>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</si>
  <si>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</si>
  <si>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</si>
  <si>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</si>
  <si>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</si>
  <si>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</si>
  <si>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</si>
  <si>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</si>
  <si>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</si>
  <si>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</si>
  <si>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</si>
  <si>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</si>
  <si>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</si>
  <si>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</si>
  <si>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</si>
  <si>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</si>
  <si>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</si>
  <si>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</si>
  <si>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</si>
  <si>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</si>
  <si>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</si>
  <si>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</si>
  <si>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</si>
  <si>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</si>
  <si>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</si>
  <si>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</si>
  <si>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</si>
  <si>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</si>
  <si>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</si>
  <si>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</si>
  <si>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</si>
  <si>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</si>
  <si>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</si>
  <si>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</si>
  <si>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</si>
  <si>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</si>
  <si>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</si>
  <si>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</si>
  <si>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</si>
  <si>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</si>
  <si>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</si>
  <si>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</si>
  <si>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</si>
  <si>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</si>
  <si>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</si>
  <si>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</si>
  <si>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</si>
  <si>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</si>
  <si>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</si>
  <si>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</si>
  <si>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</si>
  <si>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</si>
  <si>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</si>
  <si>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</si>
  <si>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</si>
  <si>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</si>
  <si>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</si>
  <si>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</si>
  <si>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</si>
  <si>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</si>
  <si>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</si>
  <si>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</si>
  <si>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</si>
  <si>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</si>
  <si>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</si>
  <si>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</si>
  <si>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</si>
  <si>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</si>
  <si>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</si>
  <si>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</si>
  <si>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</si>
  <si>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</si>
  <si>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</si>
  <si>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</si>
  <si>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</si>
  <si>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</si>
  <si>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</si>
  <si>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</si>
  <si>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</si>
  <si>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</si>
  <si>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</si>
  <si>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</si>
  <si>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</si>
  <si>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</si>
  <si>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</si>
  <si>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</si>
  <si>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</si>
  <si>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</si>
  <si>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</si>
  <si>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</si>
  <si>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</si>
  <si>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</si>
  <si>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</si>
  <si>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</si>
  <si>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</si>
  <si>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</si>
  <si>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Overige personele kosten</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</si>
  <si>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</si>
  <si>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</si>
  <si>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</si>
  <si>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</si>
  <si>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</si>
  <si>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</si>
  <si>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</si>
  <si>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</si>
  <si>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</si>
  <si>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</si>
  <si>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</si>
  <si>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</si>
  <si>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</si>
  <si>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</si>
  <si>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</si>
  <si>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</si>
  <si>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</si>
  <si>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</si>
  <si>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</si>
  <si>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</si>
  <si>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</si>
  <si>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</si>
  <si>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</si>
  <si>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</si>
  <si>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</si>
  <si>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</si>
  <si>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</si>
  <si>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</si>
  <si>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</si>
  <si>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</si>
  <si>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</si>
  <si>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</si>
  <si>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</si>
  <si>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</si>
  <si>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</si>
  <si>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</si>
  <si>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</si>
  <si>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</si>
  <si>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</si>
  <si>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</si>
  <si>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</si>
  <si>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</si>
  <si>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</si>
  <si>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</si>
  <si>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</si>
  <si>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</si>
  <si>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</si>
  <si>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</si>
  <si>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</si>
  <si>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</si>
  <si>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</si>
  <si>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</si>
  <si>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</si>
  <si>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</si>
  <si>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</si>
  <si>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</si>
  <si>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</si>
  <si>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</si>
  <si>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</si>
  <si>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</si>
  <si>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</si>
  <si>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</si>
  <si>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</si>
  <si>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</si>
  <si>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</si>
  <si>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</si>
  <si>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</si>
  <si>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</si>
  <si>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</si>
  <si>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</si>
  <si>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</si>
  <si>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</si>
  <si>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</si>
  <si>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</si>
  <si>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</si>
  <si>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</si>
  <si>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</si>
  <si>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</si>
  <si>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</si>
  <si>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</si>
  <si>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</si>
  <si>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</si>
  <si>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</si>
  <si>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</si>
  <si>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</si>
  <si>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</si>
  <si>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</si>
  <si>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</si>
  <si>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</si>
  <si>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</si>
  <si>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</si>
  <si>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</si>
  <si>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</si>
  <si>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</si>
  <si>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</si>
  <si>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</si>
  <si>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</si>
  <si>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</si>
  <si>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</si>
  <si>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</si>
  <si>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Categorie 1</t>
  </si>
  <si>
    <t>Categorie 2</t>
  </si>
  <si>
    <t>Categorie 3</t>
  </si>
  <si>
    <t xml:space="preserve">OBP </t>
  </si>
  <si>
    <t>Groeitelling op de peildatum</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</si>
  <si>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</si>
  <si>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</si>
  <si>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</si>
  <si>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</si>
  <si>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</si>
  <si>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</si>
  <si>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</si>
  <si>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</si>
  <si>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</si>
  <si>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</si>
  <si>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</si>
  <si>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</si>
  <si>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</si>
  <si>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</si>
  <si>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</si>
  <si>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</si>
  <si>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</si>
  <si>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</si>
  <si>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</si>
  <si>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</si>
  <si>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</si>
  <si>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</si>
  <si>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</si>
  <si>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</si>
  <si>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</si>
  <si>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</si>
  <si>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</si>
  <si>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</si>
  <si>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</si>
  <si>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</si>
  <si>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</si>
  <si>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</si>
  <si>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</si>
  <si>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</si>
  <si>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</si>
  <si>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</si>
  <si>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</si>
  <si>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</si>
  <si>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</si>
  <si>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</si>
  <si>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</si>
  <si>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</si>
  <si>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</si>
  <si>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</si>
  <si>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</si>
  <si>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</si>
  <si>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</si>
  <si>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</si>
  <si>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</si>
  <si>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</si>
  <si>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</si>
  <si>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</si>
  <si>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</si>
  <si>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</si>
  <si>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</si>
  <si>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</si>
  <si>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</si>
  <si>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</si>
  <si>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</si>
  <si>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</si>
  <si>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</si>
  <si>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</si>
  <si>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</si>
  <si>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</si>
  <si>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</si>
  <si>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</si>
  <si>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</si>
  <si>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</si>
  <si>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</si>
  <si>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</si>
  <si>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</si>
  <si>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</si>
  <si>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</si>
  <si>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</si>
  <si>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</si>
  <si>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</si>
  <si>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</si>
  <si>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</si>
  <si>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</si>
  <si>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</si>
  <si>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</si>
  <si>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</si>
  <si>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</si>
  <si>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</si>
  <si>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</si>
  <si>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</si>
  <si>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</si>
  <si>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</si>
  <si>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</si>
  <si>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</si>
  <si>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</si>
  <si>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</si>
  <si>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</si>
  <si>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</si>
  <si>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</si>
  <si>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</si>
  <si>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</si>
  <si>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</si>
  <si>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</si>
  <si>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</si>
  <si>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</si>
  <si>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</si>
  <si>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</si>
  <si>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</si>
  <si>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</si>
  <si>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</si>
  <si>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</si>
  <si>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</si>
  <si>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</si>
  <si>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</si>
  <si>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</si>
  <si>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</si>
  <si>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</si>
  <si>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</si>
  <si>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</si>
  <si>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</si>
  <si>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</si>
  <si>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</si>
  <si>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</si>
  <si>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</si>
  <si>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</si>
  <si>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</si>
  <si>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</si>
  <si>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</si>
  <si>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</si>
  <si>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</si>
  <si>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</si>
  <si>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</si>
  <si>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</si>
  <si>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</si>
  <si>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</si>
  <si>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</si>
  <si>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</si>
  <si>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</si>
  <si>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</si>
  <si>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</si>
  <si>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</si>
  <si>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</si>
  <si>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</si>
  <si>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</si>
  <si>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</si>
  <si>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</si>
  <si>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</si>
  <si>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</si>
  <si>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</si>
  <si>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</si>
  <si>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</si>
  <si>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</si>
  <si>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</si>
  <si>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</si>
  <si>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</si>
  <si>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</si>
  <si>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Salaristabellen (saltab)</t>
  </si>
  <si>
    <t>Basisbekostiging (van DUO)</t>
  </si>
  <si>
    <t>MI 2019 bekostiging, kalenderjaar</t>
  </si>
  <si>
    <t>Aanvullende programma's van eisen 2019</t>
  </si>
  <si>
    <t xml:space="preserve"> 2020/21</t>
  </si>
  <si>
    <t xml:space="preserve"> 2021/22</t>
  </si>
  <si>
    <t xml:space="preserve"> 2022/23</t>
  </si>
  <si>
    <t>totale baten (incl. financ.)</t>
  </si>
  <si>
    <t>Gewogen Gemiddelde Leeftijd (1 okt. t-1)</t>
  </si>
  <si>
    <t>GPL</t>
  </si>
  <si>
    <t>zie:</t>
  </si>
  <si>
    <t>Werkgeverslasten PO</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</si>
  <si>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</si>
  <si>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</si>
  <si>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meubilair</t>
  </si>
  <si>
    <t>tafels</t>
  </si>
  <si>
    <t>Personeel 19-20</t>
  </si>
  <si>
    <t>MI 2020 bekostiging, kalenderjaar</t>
  </si>
  <si>
    <t>Aanvullende programma's van eisen 2020</t>
  </si>
  <si>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</si>
  <si>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</si>
  <si>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</si>
  <si>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Participatiebaan</t>
  </si>
  <si>
    <t>A10</t>
  </si>
  <si>
    <t>A11</t>
  </si>
  <si>
    <t>A12</t>
  </si>
  <si>
    <t>A13</t>
  </si>
  <si>
    <t>D11</t>
  </si>
  <si>
    <t>D12</t>
  </si>
  <si>
    <t>D13</t>
  </si>
  <si>
    <t>D14</t>
  </si>
  <si>
    <t>D15</t>
  </si>
  <si>
    <t>Bijzondere en aanvullende bekostiging PO 2019</t>
  </si>
  <si>
    <t>2025/26</t>
  </si>
  <si>
    <t>2018/19</t>
  </si>
  <si>
    <t>M.L. Kingschool</t>
  </si>
  <si>
    <t>15DZ</t>
  </si>
  <si>
    <t>studieverlof</t>
  </si>
  <si>
    <t xml:space="preserve"> 2023/24</t>
  </si>
  <si>
    <t>Houd er alvast rekening mee dat de schooljaar bekostiging m.i.v. 1 januari 2023 wordt gewijzigd in een kalenderjaarbekostiging o.b.v. teldatum 1 februari 2022. Dan geldt de groeiregeling ook niet meer.</t>
  </si>
  <si>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</si>
  <si>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</si>
  <si>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</si>
  <si>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t>Het instrument is beschikbaar waarin dit werkblad gekopiëerd kan worden (Sommatiemodel) en waarmee dan automatisch de gesommeerde balans van het bestuur wordt gemaakt.</t>
  </si>
  <si>
    <t>Nadere verdeling bijz. en aanv. bekostiging PO 2020</t>
  </si>
  <si>
    <t>Tal van onderwerpen zijn opgegeven die in het kader van personeelsbeleid aan de orde kunnen zijn, zoals in elk geval die voor de voorziening jubilea en voor de twee eenmalige uitkeringen in januari resp. februari 2020 zoals vastgelegd in de CAO PO. De overige regels kunnen uiteraard worden aangepast (overschreven) en er is ruimte gelaten voor aanvullingen zodat alle mogelijke uitgaven van personele aard hier kunnen worden opgegeven.</t>
  </si>
  <si>
    <t>MI 2021 bekostiging, kalenderjaar</t>
  </si>
  <si>
    <t>Aanvullende programma's van eisen 2021</t>
  </si>
  <si>
    <t>Personeel 20-21</t>
  </si>
  <si>
    <t>2019-2020</t>
  </si>
  <si>
    <t>2020-2021</t>
  </si>
  <si>
    <t>Bijzondere bekostiging JJI resp GJI (art. 38 resp. 36)</t>
  </si>
  <si>
    <t>leerlingen SO &lt;8</t>
  </si>
  <si>
    <t>leerlingen SO &gt;=8</t>
  </si>
  <si>
    <t>leerlingen VSO</t>
  </si>
  <si>
    <t>Aanv. bek. techn. onderwijs vmbo vso</t>
  </si>
  <si>
    <t>De salaristabellen die van toepassing zijn op grond van de cao PO 2019-2020 zijn hier afzonderlijk opgenomen en van een naam voorzien om makkelijker in de formules te gebruiken. Zie onder 'formules' 'namen beheren'.</t>
  </si>
  <si>
    <t>Directietoeslag totaal</t>
  </si>
  <si>
    <t>Reservepotje PF: bedrag per ll</t>
  </si>
  <si>
    <r>
      <rPr>
        <b/>
        <i/>
        <sz val="11"/>
        <rFont val="Calibri"/>
        <family val="2"/>
      </rPr>
      <t>Nieuw</t>
    </r>
    <r>
      <rPr>
        <sz val="11"/>
        <rFont val="Calibri"/>
        <family val="2"/>
      </rPr>
      <t xml:space="preserve"> is de eenmalige toekenning in 2020-2021 uit het reservepotje van het Participatiefonds voor SBO resp. (V)SO, dit is een bedrag per leerling.</t>
    </r>
  </si>
  <si>
    <t>Reservepotje Participatiefonds: bedrag per ll.</t>
  </si>
  <si>
    <t>in geld (prijspeil 2019-2020 definitief)</t>
  </si>
  <si>
    <t>eenmalige extra toelage 0,7% december 2020</t>
  </si>
  <si>
    <t>Bijz. Bek. Leerlingen EMB</t>
  </si>
  <si>
    <t>Beloning leraren ivm uitstroomprofiel vervolgond.</t>
  </si>
  <si>
    <t>Vervolgens het soort onderwijs wat de kern van de school vormt. Op basis van deze gegevens wordt duidelijk wat als uitgangspunt geldt voor de bepaling van de materiële bekostiging. Tot slot wordt gevraagd of de school ook MG heeft, wat van invloed kan zijn op o.a. de directietoeslag.</t>
  </si>
  <si>
    <t>bedrag professionalisering en begeleiding</t>
  </si>
  <si>
    <t>Prestatiebox, omgezet in bedrag professionalisering per 1 aug. 2021</t>
  </si>
  <si>
    <t>Personeel 21-22</t>
  </si>
  <si>
    <t>2021-2022</t>
  </si>
  <si>
    <t>Bijz bek beloning lera mbt ll uitstr profiel vervolgond (art. 37a resp 38)</t>
  </si>
  <si>
    <t>relevante leerling</t>
  </si>
  <si>
    <t>art. 36 lid 5 voor 2022</t>
  </si>
  <si>
    <t>Bedrag profess. en begeleiding (1e Reg. 21/22 art. 40)</t>
  </si>
  <si>
    <t>Bijz. Bek. beloning leraren ivm uitstroomprof. vervolgonderwijs</t>
  </si>
  <si>
    <t xml:space="preserve">De MI-bedragen voor 2021 zijn opgegeven en die van 2022 van sept. 2021 worden opgegeven in een bijgestelde versie van dit instrument </t>
  </si>
  <si>
    <t>zodra de publicatie verschenen is.</t>
  </si>
  <si>
    <r>
      <t xml:space="preserve">De invoer van de leerlinggegevens vergt een prognose voor de jaren daarna. De opgave van </t>
    </r>
    <r>
      <rPr>
        <b/>
        <sz val="11"/>
        <color rgb="FFFF0000"/>
        <rFont val="Calibri"/>
        <family val="2"/>
      </rPr>
      <t>1 oktober 2020</t>
    </r>
    <r>
      <rPr>
        <sz val="11"/>
        <rFont val="Calibri"/>
        <family val="2"/>
      </rPr>
      <t xml:space="preserve"> is automatisch de telling van latere teldata, maar die dienen overschreven te worden, voor een deugdelijke raming is dat essentieel. </t>
    </r>
  </si>
  <si>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2021-2022 artikel 36). De bekostiging van deze vestigingen JJI en GJI is een zaak van het ministerie OCW en niet van de samenwerkingsverbanden.</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</si>
  <si>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overige overheidsbijdragen voor personele doeleinden en overige baten voor personele doeleinden.</t>
  </si>
  <si>
    <t xml:space="preserve">De werkgeverslasten zijn opgenomen in het werkblad tab in cel C193. </t>
  </si>
  <si>
    <t>Voor het schooljaar 2020-2021 zijn de werkgeverslasten geraamd op zo'n 60%, evenals voor de jaren daarna. Dit hangt mede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2021 (zie cel F193 in het werkblad 'tab') en eigen gegevens een nauwkeuriger percentage vast te stellen.</t>
  </si>
  <si>
    <t>in geld (prijspeil 2020-2021 definitief)</t>
  </si>
  <si>
    <t>in geld (prijspeil 2021-2022 Def. Regeling)</t>
  </si>
  <si>
    <r>
      <t xml:space="preserve">In deze applicatie zijn de bedragen opgenomen van de GPL's voor </t>
    </r>
    <r>
      <rPr>
        <b/>
        <sz val="11"/>
        <color rgb="FFC00000"/>
        <rFont val="Calibri"/>
        <family val="2"/>
      </rPr>
      <t>2021-2022</t>
    </r>
    <r>
      <rPr>
        <sz val="11"/>
        <rFont val="Calibri"/>
        <family val="2"/>
      </rPr>
      <t xml:space="preserve"> van 6 juli 2021</t>
    </r>
    <r>
      <rPr>
        <b/>
        <sz val="11"/>
        <color rgb="FFC00000"/>
        <rFont val="Calibri"/>
        <family val="2"/>
      </rPr>
      <t>.</t>
    </r>
  </si>
  <si>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 2021 beschikbaar gesteld via het 'Kijkglas 3'. In het instrument </t>
    </r>
    <r>
      <rPr>
        <b/>
        <sz val="11"/>
        <rFont val="Calibri"/>
        <family val="2"/>
      </rPr>
      <t>Kijkdoos groeiregeling voor vso</t>
    </r>
    <r>
      <rPr>
        <sz val="11"/>
        <rFont val="Calibri"/>
        <family val="2"/>
      </rPr>
      <t xml:space="preserve"> zijn de data van kijkglas 3 opgenomen - met de actuele GPL-waarden - en die worden automatisch verwerkt in de berekening van de overdrachtsverplichting. De uitkomsten dienen verwerkt te worden in het werkblad 'baten' in rij 54 t/m 56 voor de personele bekostiging en in rij 140 t/m 142 voor de materiële bekostiging.</t>
    </r>
  </si>
  <si>
    <r>
      <t xml:space="preserve">De werkgeverslasten zijn geraamd op </t>
    </r>
    <r>
      <rPr>
        <b/>
        <sz val="11"/>
        <rFont val="Calibri"/>
        <family val="2"/>
      </rPr>
      <t>60</t>
    </r>
    <r>
      <rPr>
        <sz val="11"/>
        <rFont val="Calibri"/>
        <family val="2"/>
      </rPr>
      <t>% voor 2020 en latere jaren. Dat percentage is in rij 193 aan te passen. Met klem wordt geadviseerd de eigen gegevens op dit punt met behulp van het instrument Werkgeverslasten PO 2021 goed in kaart te brengen en het percentage aan te passen.</t>
    </r>
  </si>
  <si>
    <t>De bedragen van de Definitieve regeling personele bekostiging 2019-2020 van juli 2020 zijn verwerkt, de bedragen van de Definitieve Regeling bekostiging personeel PO 2020-2021 van 6 juli 2021 en de Tweede Regeling bekostiging personeel  van eveneend 6 juli 2021. Ook is indexering voor MI voor 2021 verwerkt, die is in september 2021 gepubliceerd (cel C149). De salaristabellen van de cao 2019-2020 zijn compleet in dit instrument verwerkt.</t>
  </si>
  <si>
    <t>Handleiding Meerjarenbegroting (V)SO 2022                            versie                                                       14 juli 2021</t>
  </si>
  <si>
    <t>Aanpassing vs 10juli2021:</t>
  </si>
  <si>
    <t xml:space="preserve"> - Foutje in formule in tabblad cel K87: verwijzing moet beginnen met F$28 i.p.v. E$28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</si>
</sst>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 numFmtId="181" formatCode="_-&quot;€&quot;\ * #,##0_-;_-&quot;€&quot;\ * #,##0\-;_-&quot;€&quot;\ * &quot;-&quot;_-;_-@_-"/>
  </numFmts>
  <fonts count="96"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style="thin">
        <color indexed="64"/>
      </right>
      <top style="thin">
        <color theme="0" tint="-4.9989318521683403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54">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29"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29" xfId="0" applyNumberFormat="1" applyFont="1" applyFill="1" applyBorder="1" applyProtection="1"/>
    <xf numFmtId="0" fontId="61" fillId="3" borderId="29"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29"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0" xfId="0" applyNumberFormat="1" applyFont="1" applyFill="1" applyBorder="1" applyProtection="1"/>
    <xf numFmtId="2" fontId="60" fillId="2" borderId="30" xfId="0" applyNumberFormat="1" applyFont="1" applyFill="1" applyBorder="1" applyAlignment="1" applyProtection="1">
      <alignment horizontal="center"/>
    </xf>
    <xf numFmtId="2" fontId="79" fillId="2" borderId="30" xfId="0" applyNumberFormat="1" applyFont="1" applyFill="1" applyBorder="1" applyAlignment="1" applyProtection="1">
      <alignment horizontal="center"/>
    </xf>
    <xf numFmtId="2" fontId="33" fillId="2" borderId="30"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12" fillId="2" borderId="30" xfId="0" applyNumberFormat="1" applyFont="1" applyFill="1" applyBorder="1" applyProtection="1"/>
    <xf numFmtId="2" fontId="12" fillId="2" borderId="5" xfId="0" applyNumberFormat="1" applyFont="1" applyFill="1" applyBorder="1" applyProtection="1"/>
    <xf numFmtId="2" fontId="6" fillId="2" borderId="30" xfId="0" applyNumberFormat="1" applyFont="1" applyFill="1" applyBorder="1" applyProtection="1"/>
    <xf numFmtId="2" fontId="12" fillId="2" borderId="30"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1" xfId="0" applyFont="1" applyFill="1" applyBorder="1" applyProtection="1"/>
    <xf numFmtId="166" fontId="2" fillId="3" borderId="31" xfId="1" applyNumberFormat="1" applyFont="1" applyFill="1" applyBorder="1" applyAlignment="1" applyProtection="1">
      <alignment horizontal="center"/>
    </xf>
    <xf numFmtId="0" fontId="2" fillId="3" borderId="32" xfId="0" applyFont="1" applyFill="1" applyBorder="1" applyProtection="1"/>
    <xf numFmtId="166" fontId="2" fillId="3" borderId="32"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0"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71"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1" fontId="6" fillId="7" borderId="6" xfId="1" applyNumberFormat="1" applyFont="1" applyFill="1" applyBorder="1" applyAlignment="1" applyProtection="1">
      <alignment horizontal="center"/>
    </xf>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2" fillId="0" borderId="12" xfId="0" quotePrefix="1" applyFont="1" applyBorder="1" applyAlignment="1" applyProtection="1">
      <alignment horizontal="center"/>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167" fontId="22" fillId="0" borderId="17" xfId="0" applyNumberFormat="1" applyFont="1" applyBorder="1" applyProtection="1"/>
    <xf numFmtId="0" fontId="40" fillId="0" borderId="0" xfId="0" applyFont="1" applyFill="1" applyAlignment="1" applyProtection="1">
      <alignment horizontal="left"/>
    </xf>
    <xf numFmtId="44" fontId="6" fillId="7" borderId="0" xfId="0" applyNumberFormat="1" applyFont="1" applyFill="1" applyBorder="1" applyAlignment="1" applyProtection="1">
      <alignment horizontal="left"/>
      <protection locked="0"/>
    </xf>
    <xf numFmtId="44" fontId="2" fillId="7" borderId="0" xfId="0" applyNumberFormat="1" applyFont="1" applyFill="1" applyBorder="1" applyAlignment="1" applyProtection="1">
      <alignment horizontal="left" vertical="center"/>
      <protection locked="0"/>
    </xf>
    <xf numFmtId="44" fontId="2" fillId="7" borderId="0" xfId="1" applyNumberFormat="1" applyFont="1" applyFill="1" applyAlignment="1" applyProtection="1">
      <alignment horizontal="left"/>
      <protection locked="0"/>
    </xf>
    <xf numFmtId="44" fontId="22" fillId="0" borderId="5" xfId="0" applyNumberFormat="1" applyFont="1" applyBorder="1" applyProtection="1"/>
    <xf numFmtId="44" fontId="2" fillId="0" borderId="0" xfId="0" applyNumberFormat="1" applyFont="1" applyFill="1" applyAlignment="1" applyProtection="1">
      <alignment horizontal="left"/>
      <protection locked="0"/>
    </xf>
    <xf numFmtId="44" fontId="2" fillId="0" borderId="0" xfId="0" applyNumberFormat="1" applyFont="1" applyFill="1" applyAlignment="1" applyProtection="1">
      <alignment horizontal="right"/>
    </xf>
    <xf numFmtId="44" fontId="22" fillId="0" borderId="0" xfId="1" applyNumberFormat="1" applyFont="1" applyFill="1" applyAlignment="1" applyProtection="1">
      <alignment horizontal="left"/>
      <protection locked="0"/>
    </xf>
    <xf numFmtId="44" fontId="22" fillId="0" borderId="5" xfId="0" applyNumberFormat="1" applyFont="1" applyFill="1" applyBorder="1" applyProtection="1">
      <protection locked="0"/>
    </xf>
    <xf numFmtId="44" fontId="22" fillId="0" borderId="11" xfId="0" applyNumberFormat="1" applyFont="1" applyFill="1" applyBorder="1" applyProtection="1">
      <protection locked="0"/>
    </xf>
    <xf numFmtId="0" fontId="95" fillId="2" borderId="0" xfId="0" applyFont="1" applyFill="1" applyAlignment="1">
      <alignment vertical="top"/>
    </xf>
    <xf numFmtId="0" fontId="2" fillId="3" borderId="6" xfId="0" applyFont="1" applyFill="1" applyBorder="1" applyAlignment="1" applyProtection="1"/>
    <xf numFmtId="0" fontId="2" fillId="3" borderId="6" xfId="0" applyFont="1" applyFill="1" applyBorder="1" applyAlignment="1" applyProtection="1"/>
    <xf numFmtId="170" fontId="2" fillId="3" borderId="6" xfId="0" applyNumberFormat="1" applyFont="1" applyFill="1" applyBorder="1" applyAlignment="1" applyProtection="1">
      <alignment horizontal="left"/>
      <protection locked="0"/>
    </xf>
    <xf numFmtId="0" fontId="54" fillId="3" borderId="0" xfId="0" applyFont="1" applyFill="1" applyProtection="1"/>
    <xf numFmtId="170" fontId="2" fillId="7" borderId="6" xfId="0" applyNumberFormat="1" applyFont="1" applyFill="1" applyBorder="1" applyProtection="1">
      <protection locked="0"/>
    </xf>
    <xf numFmtId="181" fontId="6" fillId="7" borderId="6" xfId="0" applyNumberFormat="1" applyFont="1" applyFill="1" applyBorder="1" applyAlignment="1" applyProtection="1">
      <alignment horizontal="center"/>
      <protection locked="0"/>
    </xf>
    <xf numFmtId="170" fontId="2" fillId="3" borderId="6" xfId="0" applyNumberFormat="1" applyFont="1" applyFill="1" applyBorder="1" applyProtection="1">
      <protection locked="0"/>
    </xf>
    <xf numFmtId="0" fontId="22" fillId="0" borderId="12" xfId="0" quotePrefix="1" applyFont="1" applyBorder="1" applyAlignment="1" applyProtection="1">
      <alignment horizontal="center"/>
    </xf>
    <xf numFmtId="0" fontId="2" fillId="0" borderId="6" xfId="0" applyFont="1" applyFill="1" applyBorder="1" applyAlignment="1" applyProtection="1">
      <protection locked="0"/>
    </xf>
    <xf numFmtId="44" fontId="2" fillId="7" borderId="0" xfId="0" applyNumberFormat="1" applyFont="1" applyFill="1" applyAlignment="1" applyProtection="1">
      <alignment horizontal="left"/>
    </xf>
    <xf numFmtId="44" fontId="22" fillId="7" borderId="0" xfId="0" applyNumberFormat="1" applyFont="1" applyFill="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22" fillId="0" borderId="0" xfId="0" applyFont="1" applyBorder="1" applyAlignment="1" applyProtection="1">
      <alignment horizontal="left"/>
    </xf>
    <xf numFmtId="170" fontId="6" fillId="3" borderId="6" xfId="0" applyNumberFormat="1" applyFont="1" applyFill="1" applyBorder="1" applyAlignment="1" applyProtection="1"/>
    <xf numFmtId="170" fontId="6" fillId="3" borderId="6" xfId="0" applyNumberFormat="1" applyFont="1" applyFill="1" applyBorder="1" applyProtection="1">
      <protection locked="0"/>
    </xf>
    <xf numFmtId="170" fontId="12" fillId="3" borderId="6" xfId="0" applyNumberFormat="1" applyFont="1" applyFill="1" applyBorder="1" applyAlignment="1" applyProtection="1"/>
    <xf numFmtId="42" fontId="54" fillId="0" borderId="6" xfId="0" applyNumberFormat="1" applyFont="1" applyFill="1" applyBorder="1" applyAlignment="1" applyProtection="1">
      <alignment horizontal="center"/>
    </xf>
    <xf numFmtId="0" fontId="6" fillId="3" borderId="4" xfId="0" applyFont="1" applyFill="1" applyBorder="1" applyProtection="1"/>
    <xf numFmtId="2" fontId="6" fillId="3" borderId="3" xfId="0" applyNumberFormat="1" applyFont="1" applyFill="1" applyBorder="1" applyAlignment="1" applyProtection="1">
      <alignment horizontal="center"/>
    </xf>
    <xf numFmtId="2" fontId="6" fillId="3" borderId="5" xfId="0" applyNumberFormat="1" applyFont="1" applyFill="1" applyBorder="1" applyAlignment="1" applyProtection="1">
      <alignment horizontal="center"/>
    </xf>
    <xf numFmtId="2" fontId="6" fillId="3" borderId="5" xfId="0" applyNumberFormat="1" applyFont="1" applyFill="1" applyBorder="1" applyProtection="1"/>
    <xf numFmtId="0" fontId="6" fillId="3" borderId="4" xfId="0" applyFont="1" applyFill="1" applyBorder="1" applyAlignment="1" applyProtection="1">
      <alignment horizontal="center"/>
    </xf>
    <xf numFmtId="2" fontId="12" fillId="3" borderId="5" xfId="0" applyNumberFormat="1" applyFont="1" applyFill="1" applyBorder="1" applyAlignment="1" applyProtection="1">
      <alignment horizontal="center"/>
    </xf>
    <xf numFmtId="2" fontId="33" fillId="3" borderId="5" xfId="0" applyNumberFormat="1" applyFont="1" applyFill="1" applyBorder="1" applyAlignment="1" applyProtection="1">
      <alignment horizontal="center"/>
    </xf>
    <xf numFmtId="2" fontId="12" fillId="3" borderId="5" xfId="0" applyNumberFormat="1" applyFont="1" applyFill="1" applyBorder="1" applyProtection="1"/>
    <xf numFmtId="2" fontId="12" fillId="3" borderId="33" xfId="0" applyNumberFormat="1" applyFont="1" applyFill="1" applyBorder="1" applyProtection="1"/>
    <xf numFmtId="0" fontId="6" fillId="3" borderId="4" xfId="0" applyFont="1" applyFill="1" applyBorder="1" applyAlignment="1" applyProtection="1"/>
    <xf numFmtId="0" fontId="6" fillId="3" borderId="9" xfId="0" applyFont="1" applyFill="1" applyBorder="1" applyProtection="1"/>
    <xf numFmtId="0" fontId="6" fillId="3" borderId="10" xfId="0" applyFont="1" applyFill="1" applyBorder="1" applyProtection="1"/>
    <xf numFmtId="0" fontId="6" fillId="3" borderId="10" xfId="0" applyFont="1" applyFill="1" applyBorder="1" applyAlignment="1" applyProtection="1">
      <alignment horizontal="left"/>
    </xf>
    <xf numFmtId="172" fontId="6" fillId="3" borderId="10" xfId="0" applyNumberFormat="1" applyFont="1" applyFill="1" applyBorder="1" applyAlignment="1" applyProtection="1">
      <alignment horizontal="left"/>
    </xf>
    <xf numFmtId="0" fontId="6" fillId="3" borderId="10" xfId="0" applyFont="1" applyFill="1" applyBorder="1" applyAlignment="1" applyProtection="1">
      <alignment horizontal="center"/>
    </xf>
    <xf numFmtId="0" fontId="6" fillId="3" borderId="10" xfId="0" applyNumberFormat="1" applyFont="1" applyFill="1" applyBorder="1" applyAlignment="1" applyProtection="1">
      <alignment horizontal="center"/>
    </xf>
    <xf numFmtId="173" fontId="6" fillId="3" borderId="10" xfId="1" applyNumberFormat="1" applyFont="1" applyFill="1" applyBorder="1" applyAlignment="1" applyProtection="1">
      <alignment horizontal="center"/>
    </xf>
    <xf numFmtId="174" fontId="6" fillId="3" borderId="10" xfId="1" applyNumberFormat="1" applyFont="1" applyFill="1" applyBorder="1" applyAlignment="1" applyProtection="1">
      <alignment horizontal="center"/>
    </xf>
    <xf numFmtId="174" fontId="2" fillId="3" borderId="10" xfId="1" applyNumberFormat="1" applyFont="1" applyFill="1" applyBorder="1" applyAlignment="1" applyProtection="1">
      <alignment horizontal="center"/>
    </xf>
    <xf numFmtId="170" fontId="6" fillId="3" borderId="10" xfId="0" applyNumberFormat="1"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44" fontId="2" fillId="7" borderId="0" xfId="0" applyNumberFormat="1" applyFont="1" applyFill="1" applyAlignment="1" applyProtection="1">
      <alignment horizontal="right"/>
      <protection locked="0"/>
    </xf>
    <xf numFmtId="42" fontId="54" fillId="2" borderId="6" xfId="0" applyNumberFormat="1" applyFont="1" applyFill="1" applyBorder="1" applyAlignment="1" applyProtection="1">
      <alignment horizontal="center"/>
    </xf>
    <xf numFmtId="44" fontId="2" fillId="0" borderId="0" xfId="0" applyNumberFormat="1" applyFont="1" applyAlignment="1" applyProtection="1">
      <alignment horizontal="left"/>
      <protection locked="0"/>
    </xf>
    <xf numFmtId="44" fontId="22" fillId="0" borderId="0" xfId="1" applyFont="1" applyFill="1" applyAlignment="1" applyProtection="1">
      <alignment horizontal="left"/>
      <protection locked="0"/>
    </xf>
    <xf numFmtId="44" fontId="2" fillId="0" borderId="0" xfId="0" applyNumberFormat="1" applyFont="1" applyAlignment="1" applyProtection="1">
      <alignment horizontal="left" vertical="center"/>
      <protection locked="0"/>
    </xf>
    <xf numFmtId="0" fontId="2" fillId="0" borderId="0" xfId="0" applyFont="1" applyAlignment="1">
      <alignment horizontal="left"/>
    </xf>
    <xf numFmtId="167" fontId="22" fillId="0" borderId="18" xfId="0" applyNumberFormat="1" applyFont="1" applyBorder="1"/>
    <xf numFmtId="44" fontId="2" fillId="0" borderId="0" xfId="1" applyFont="1" applyFill="1" applyAlignment="1" applyProtection="1">
      <alignment horizontal="left"/>
      <protection locked="0"/>
    </xf>
    <xf numFmtId="44" fontId="2" fillId="0" borderId="0" xfId="0" applyNumberFormat="1" applyFont="1" applyFill="1" applyAlignment="1" applyProtection="1">
      <alignment horizontal="right"/>
      <protection locked="0"/>
    </xf>
    <xf numFmtId="44" fontId="6" fillId="0" borderId="0" xfId="0" applyNumberFormat="1" applyFont="1" applyFill="1" applyAlignment="1" applyProtection="1">
      <alignment horizontal="left"/>
      <protection locked="0"/>
    </xf>
    <xf numFmtId="44" fontId="22" fillId="7" borderId="0" xfId="1" applyFont="1" applyFill="1" applyAlignment="1" applyProtection="1">
      <alignment horizontal="left"/>
      <protection locked="0"/>
    </xf>
    <xf numFmtId="10" fontId="22" fillId="0" borderId="0" xfId="0" applyNumberFormat="1" applyFont="1" applyFill="1" applyProtection="1">
      <protection locked="0"/>
    </xf>
    <xf numFmtId="0" fontId="6" fillId="0" borderId="0" xfId="0" applyFont="1" applyAlignment="1">
      <alignment horizontal="left"/>
    </xf>
    <xf numFmtId="0" fontId="2" fillId="0" borderId="6" xfId="0" applyFont="1" applyFill="1" applyBorder="1" applyAlignment="1" applyProtection="1">
      <protection locked="0"/>
    </xf>
    <xf numFmtId="0" fontId="2" fillId="3" borderId="6" xfId="0" applyFont="1" applyFill="1" applyBorder="1" applyAlignment="1" applyProtection="1"/>
    <xf numFmtId="0" fontId="2" fillId="0" borderId="6" xfId="0" applyFont="1" applyFill="1" applyBorder="1" applyAlignment="1" applyProtection="1"/>
    <xf numFmtId="0" fontId="2" fillId="3" borderId="6" xfId="0" applyFont="1" applyFill="1" applyBorder="1" applyAlignment="1" applyProtection="1">
      <protection locked="0"/>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baten!$H$184:$L$184</c:f>
              <c:numCache>
                <c:formatCode>General</c:formatCode>
                <c:ptCount val="5"/>
                <c:pt idx="0">
                  <c:v>2020</c:v>
                </c:pt>
                <c:pt idx="1">
                  <c:v>2021</c:v>
                </c:pt>
                <c:pt idx="2">
                  <c:v>2022</c:v>
                </c:pt>
                <c:pt idx="3">
                  <c:v>2023</c:v>
                </c:pt>
                <c:pt idx="4">
                  <c:v>2024</c:v>
                </c:pt>
              </c:numCache>
            </c:numRef>
          </c:cat>
          <c:val>
            <c:numRef>
              <c:f>baten!$H$198:$L$198</c:f>
              <c:numCache>
                <c:formatCode>_("€"* #,##0_);_("€"* \(#,##0\);_("€"* "-"??_);_(@_)</c:formatCode>
                <c:ptCount val="5"/>
                <c:pt idx="0">
                  <c:v>3247614.1555000003</c:v>
                </c:pt>
                <c:pt idx="1">
                  <c:v>3643740.1919333334</c:v>
                </c:pt>
                <c:pt idx="2">
                  <c:v>3702702.3491666666</c:v>
                </c:pt>
                <c:pt idx="3">
                  <c:v>3720848.3391666668</c:v>
                </c:pt>
                <c:pt idx="4">
                  <c:v>3738994.3291666666</c:v>
                </c:pt>
              </c:numCache>
            </c:numRef>
          </c:val>
          <c:extLs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baten!$H$184:$L$184</c:f>
              <c:numCache>
                <c:formatCode>General</c:formatCode>
                <c:ptCount val="5"/>
                <c:pt idx="0">
                  <c:v>2020</c:v>
                </c:pt>
                <c:pt idx="1">
                  <c:v>2021</c:v>
                </c:pt>
                <c:pt idx="2">
                  <c:v>2022</c:v>
                </c:pt>
                <c:pt idx="3">
                  <c:v>2023</c:v>
                </c:pt>
                <c:pt idx="4">
                  <c:v>2024</c:v>
                </c:pt>
              </c:numCache>
            </c:numRef>
          </c:cat>
          <c:val>
            <c:numRef>
              <c:f>lasten!$J$162:$N$162</c:f>
              <c:numCache>
                <c:formatCode>_("€"* #,##0_);_("€"* \(#,##0\);_("€"* "-"_);_(@_)</c:formatCode>
                <c:ptCount val="5"/>
                <c:pt idx="0">
                  <c:v>221756.52920000005</c:v>
                </c:pt>
                <c:pt idx="1">
                  <c:v>218099.20000000001</c:v>
                </c:pt>
                <c:pt idx="2">
                  <c:v>224529.60000000003</c:v>
                </c:pt>
                <c:pt idx="3">
                  <c:v>231070.40000000002</c:v>
                </c:pt>
                <c:pt idx="4">
                  <c:v>234912.00000000003</c:v>
                </c:pt>
              </c:numCache>
            </c:numRef>
          </c:val>
          <c:extLs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91713144"/>
        <c:axId val="391718632"/>
      </c:barChart>
      <c:catAx>
        <c:axId val="3917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8632"/>
        <c:crosses val="autoZero"/>
        <c:auto val="1"/>
        <c:lblAlgn val="ctr"/>
        <c:lblOffset val="100"/>
        <c:tickLblSkip val="1"/>
        <c:tickMarkSkip val="1"/>
        <c:noMultiLvlLbl val="0"/>
      </c:catAx>
      <c:valAx>
        <c:axId val="3917186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baten!$H$211:$L$211</c:f>
              <c:numCache>
                <c:formatCode>_("€"* #,##0_);_("€"* \(#,##0\);_("€"* "-"??_);_(@_)</c:formatCode>
                <c:ptCount val="5"/>
                <c:pt idx="0">
                  <c:v>367543.25</c:v>
                </c:pt>
                <c:pt idx="1">
                  <c:v>388771.69</c:v>
                </c:pt>
                <c:pt idx="2">
                  <c:v>388771.69</c:v>
                </c:pt>
                <c:pt idx="3">
                  <c:v>388771.69</c:v>
                </c:pt>
                <c:pt idx="4">
                  <c:v>388771.69</c:v>
                </c:pt>
              </c:numCache>
            </c:numRef>
          </c:val>
          <c:extLs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lasten!$J$163:$N$163</c:f>
              <c:numCache>
                <c:formatCode>_-"€"\ * #,##0_-;_-"€"\ * #,##0\-;_-"€"\ * "-"??_-;_-@_-</c:formatCode>
                <c:ptCount val="5"/>
                <c:pt idx="0">
                  <c:v>15000</c:v>
                </c:pt>
                <c:pt idx="1">
                  <c:v>15000</c:v>
                </c:pt>
                <c:pt idx="2">
                  <c:v>15000</c:v>
                </c:pt>
                <c:pt idx="3">
                  <c:v>15000</c:v>
                </c:pt>
                <c:pt idx="4">
                  <c:v>15000</c:v>
                </c:pt>
              </c:numCache>
            </c:numRef>
          </c:val>
          <c:extLs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91717064"/>
        <c:axId val="391717456"/>
      </c:barChart>
      <c:catAx>
        <c:axId val="39171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456"/>
        <c:crosses val="autoZero"/>
        <c:auto val="1"/>
        <c:lblAlgn val="ctr"/>
        <c:lblOffset val="100"/>
        <c:tickLblSkip val="1"/>
        <c:tickMarkSkip val="1"/>
        <c:noMultiLvlLbl val="0"/>
      </c:catAx>
      <c:valAx>
        <c:axId val="391717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ken!$F$32:$J$32</c:f>
              <c:numCache>
                <c:formatCode>_("€"* #,##0_);_("€"* \(#,##0\);_("€"* "-"_);_(@_)</c:formatCode>
                <c:ptCount val="4"/>
                <c:pt idx="0">
                  <c:v>3615157.4055000003</c:v>
                </c:pt>
                <c:pt idx="1">
                  <c:v>4032511.8819333334</c:v>
                </c:pt>
                <c:pt idx="2">
                  <c:v>4091474.0391666666</c:v>
                </c:pt>
                <c:pt idx="3">
                  <c:v>4109620.0291666668</c:v>
                </c:pt>
              </c:numCache>
            </c:numRef>
          </c:val>
          <c:extLs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ken!$F$123:$J$123</c:f>
              <c:numCache>
                <c:formatCode>_("€"* #,##0_);_("€"* \(#,##0\);_("€"* "-"_);_(@_)</c:formatCode>
                <c:ptCount val="4"/>
                <c:pt idx="0">
                  <c:v>233099.2</c:v>
                </c:pt>
                <c:pt idx="1">
                  <c:v>239529.60000000003</c:v>
                </c:pt>
                <c:pt idx="2">
                  <c:v>246070.40000000002</c:v>
                </c:pt>
                <c:pt idx="3">
                  <c:v>249912.00000000003</c:v>
                </c:pt>
              </c:numCache>
            </c:numRef>
          </c:val>
          <c:extLs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91713536"/>
        <c:axId val="391720200"/>
      </c:barChart>
      <c:catAx>
        <c:axId val="39171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20200"/>
        <c:crosses val="autoZero"/>
        <c:auto val="1"/>
        <c:lblAlgn val="ctr"/>
        <c:lblOffset val="100"/>
        <c:tickLblSkip val="1"/>
        <c:tickMarkSkip val="1"/>
        <c:noMultiLvlLbl val="0"/>
      </c:catAx>
      <c:valAx>
        <c:axId val="3917202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ken!$F$128:$J$128</c:f>
              <c:numCache>
                <c:formatCode>_("€"* #,##0_);_("€"* \(#,##0\);_("€"* "-"_);_(@_)</c:formatCode>
                <c:ptCount val="4"/>
                <c:pt idx="0">
                  <c:v>72424</c:v>
                </c:pt>
                <c:pt idx="1">
                  <c:v>74872</c:v>
                </c:pt>
                <c:pt idx="2">
                  <c:v>77411.200000000012</c:v>
                </c:pt>
                <c:pt idx="3">
                  <c:v>80024</c:v>
                </c:pt>
              </c:numCache>
            </c:numRef>
          </c:val>
          <c:extLs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ken!$F$129:$J$129</c:f>
              <c:numCache>
                <c:formatCode>_("€"* #,##0_);_("€"* \(#,##0\);_("€"* "-"_);_(@_)</c:formatCode>
                <c:ptCount val="4"/>
                <c:pt idx="0">
                  <c:v>58441.600000000006</c:v>
                </c:pt>
                <c:pt idx="1">
                  <c:v>59664</c:v>
                </c:pt>
                <c:pt idx="2">
                  <c:v>60931.200000000012</c:v>
                </c:pt>
                <c:pt idx="3">
                  <c:v>62158.400000000009</c:v>
                </c:pt>
              </c:numCache>
            </c:numRef>
          </c:val>
          <c:extLs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391713928"/>
        <c:axId val="391719416"/>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4"/>
                      <c:pt idx="0">
                        <c:v>2020</c:v>
                      </c:pt>
                      <c:pt idx="1">
                        <c:v>2021</c:v>
                      </c:pt>
                      <c:pt idx="2">
                        <c:v>2022</c:v>
                      </c:pt>
                      <c:pt idx="3">
                        <c:v>2023</c:v>
                      </c:pt>
                    </c:numCache>
                  </c:numRef>
                </c:cat>
                <c:val>
                  <c:numRef>
                    <c:extLst>
                      <c:ext uri="{02D57815-91ED-43cb-92C2-25804820EDAC}">
                        <c15:formulaRef>
                          <c15:sqref>ken!$F$127:$J$127</c15:sqref>
                        </c15:formulaRef>
                      </c:ext>
                    </c:extLst>
                    <c:numCache>
                      <c:formatCode>_("€"* #,##0_);_("€"* \(#,##0\);_("€"* "-"_);_(@_)</c:formatCode>
                      <c:ptCount val="4"/>
                      <c:pt idx="0">
                        <c:v>81016.000000000015</c:v>
                      </c:pt>
                      <c:pt idx="1">
                        <c:v>83563.200000000026</c:v>
                      </c:pt>
                      <c:pt idx="2">
                        <c:v>86187.200000000012</c:v>
                      </c:pt>
                      <c:pt idx="3">
                        <c:v>88888</c:v>
                      </c:pt>
                    </c:numCache>
                  </c:numRef>
                </c:val>
                <c:extLst>
                  <c:ext xmlns:c16="http://schemas.microsoft.com/office/drawing/2014/chart" uri="{C3380CC4-5D6E-409C-BE32-E72D297353CC}">
                    <c16:uniqueId val="{00000002-25FF-4593-A6F9-3E34386652E4}"/>
                  </c:ext>
                </c:extLst>
              </c15:ser>
            </c15:filteredBarSeries>
          </c:ext>
        </c:extLst>
      </c:barChart>
      <c:catAx>
        <c:axId val="3917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9416"/>
        <c:crosses val="autoZero"/>
        <c:auto val="1"/>
        <c:lblAlgn val="ctr"/>
        <c:lblOffset val="100"/>
        <c:tickLblSkip val="1"/>
        <c:tickMarkSkip val="1"/>
        <c:noMultiLvlLbl val="0"/>
      </c:catAx>
      <c:valAx>
        <c:axId val="39171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9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2020</c:v>
                </c:pt>
                <c:pt idx="1">
                  <c:v>2021</c:v>
                </c:pt>
                <c:pt idx="2">
                  <c:v>2022</c:v>
                </c:pt>
                <c:pt idx="3">
                  <c:v>2023</c:v>
                </c:pt>
                <c:pt idx="4">
                  <c:v>2024</c:v>
                </c:pt>
              </c:numCache>
            </c:numRef>
          </c:cat>
          <c:val>
            <c:numRef>
              <c:f>begr!$G$40:$K$40</c:f>
              <c:numCache>
                <c:formatCode>_("€"* #,##0_);_("€"* \(#,##0\);_("€"* "-"_);_(@_)</c:formatCode>
                <c:ptCount val="5"/>
                <c:pt idx="0">
                  <c:v>3378400.8763000001</c:v>
                </c:pt>
                <c:pt idx="1">
                  <c:v>3799412.6819333332</c:v>
                </c:pt>
                <c:pt idx="2">
                  <c:v>3851944.4391666665</c:v>
                </c:pt>
                <c:pt idx="3">
                  <c:v>3863549.6291666669</c:v>
                </c:pt>
                <c:pt idx="4">
                  <c:v>3877854.0191666665</c:v>
                </c:pt>
              </c:numCache>
            </c:numRef>
          </c:val>
          <c:extLs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90210744"/>
        <c:axId val="354612800"/>
      </c:barChart>
      <c:catAx>
        <c:axId val="39021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612800"/>
        <c:crosses val="autoZero"/>
        <c:auto val="1"/>
        <c:lblAlgn val="ctr"/>
        <c:lblOffset val="100"/>
        <c:tickLblSkip val="1"/>
        <c:tickMarkSkip val="1"/>
        <c:noMultiLvlLbl val="0"/>
      </c:catAx>
      <c:valAx>
        <c:axId val="3546128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0210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geg!$G$17:$L$17</c:f>
              <c:strCache>
                <c:ptCount val="5"/>
                <c:pt idx="0">
                  <c:v>2020/21</c:v>
                </c:pt>
                <c:pt idx="1">
                  <c:v>2021/22</c:v>
                </c:pt>
                <c:pt idx="2">
                  <c:v>2022/23</c:v>
                </c:pt>
                <c:pt idx="3">
                  <c:v>2023/24</c:v>
                </c:pt>
                <c:pt idx="4">
                  <c:v>2024/25</c:v>
                </c:pt>
              </c:strCache>
            </c:strRef>
          </c:cat>
          <c:val>
            <c:numRef>
              <c:f>geg!$G$40:$L$40</c:f>
              <c:numCache>
                <c:formatCode>General</c:formatCode>
                <c:ptCount val="5"/>
                <c:pt idx="0">
                  <c:v>176</c:v>
                </c:pt>
                <c:pt idx="1">
                  <c:v>196</c:v>
                </c:pt>
                <c:pt idx="2">
                  <c:v>196</c:v>
                </c:pt>
                <c:pt idx="3">
                  <c:v>196</c:v>
                </c:pt>
                <c:pt idx="4">
                  <c:v>196</c:v>
                </c:pt>
              </c:numCache>
            </c:numRef>
          </c:val>
          <c:extLs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geg!$G$26:$L$26</c:f>
              <c:numCache>
                <c:formatCode>General</c:formatCode>
                <c:ptCount val="5"/>
                <c:pt idx="0">
                  <c:v>29</c:v>
                </c:pt>
                <c:pt idx="1">
                  <c:v>36</c:v>
                </c:pt>
                <c:pt idx="2">
                  <c:v>36</c:v>
                </c:pt>
                <c:pt idx="3">
                  <c:v>36</c:v>
                </c:pt>
                <c:pt idx="4">
                  <c:v>36</c:v>
                </c:pt>
              </c:numCache>
            </c:numRef>
          </c:val>
          <c:extLs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geg!$G$31:$L$31</c:f>
              <c:numCache>
                <c:formatCode>General</c:formatCode>
                <c:ptCount val="5"/>
                <c:pt idx="0">
                  <c:v>65</c:v>
                </c:pt>
                <c:pt idx="1">
                  <c:v>69</c:v>
                </c:pt>
                <c:pt idx="2">
                  <c:v>69</c:v>
                </c:pt>
                <c:pt idx="3">
                  <c:v>69</c:v>
                </c:pt>
                <c:pt idx="4">
                  <c:v>69</c:v>
                </c:pt>
              </c:numCache>
            </c:numRef>
          </c:val>
          <c:extLs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5"/>
                <c:pt idx="0">
                  <c:v>2020/21</c:v>
                </c:pt>
                <c:pt idx="1">
                  <c:v>2021/22</c:v>
                </c:pt>
                <c:pt idx="2">
                  <c:v>2022/23</c:v>
                </c:pt>
                <c:pt idx="3">
                  <c:v>2023/24</c:v>
                </c:pt>
                <c:pt idx="4">
                  <c:v>2024/25</c:v>
                </c:pt>
              </c:strCache>
            </c:strRef>
          </c:cat>
          <c:val>
            <c:numRef>
              <c:f>geg!$G$36:$L$36</c:f>
              <c:numCache>
                <c:formatCode>General</c:formatCode>
                <c:ptCount val="5"/>
                <c:pt idx="0">
                  <c:v>82</c:v>
                </c:pt>
                <c:pt idx="1">
                  <c:v>91</c:v>
                </c:pt>
                <c:pt idx="2">
                  <c:v>91</c:v>
                </c:pt>
                <c:pt idx="3">
                  <c:v>91</c:v>
                </c:pt>
                <c:pt idx="4">
                  <c:v>91</c:v>
                </c:pt>
              </c:numCache>
            </c:numRef>
          </c:val>
          <c:extLs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05860672"/>
        <c:axId val="405861064"/>
      </c:barChart>
      <c:catAx>
        <c:axId val="40586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064"/>
        <c:crosses val="autoZero"/>
        <c:auto val="1"/>
        <c:lblAlgn val="ctr"/>
        <c:lblOffset val="100"/>
        <c:tickLblSkip val="1"/>
        <c:tickMarkSkip val="1"/>
        <c:noMultiLvlLbl val="0"/>
      </c:catAx>
      <c:valAx>
        <c:axId val="40586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4"/>
                <c:pt idx="0">
                  <c:v>2020/21</c:v>
                </c:pt>
                <c:pt idx="1">
                  <c:v>2021/22</c:v>
                </c:pt>
                <c:pt idx="2">
                  <c:v>2022/23</c:v>
                </c:pt>
                <c:pt idx="3">
                  <c:v>2023/24</c:v>
                </c:pt>
              </c:strCache>
            </c:strRef>
          </c:cat>
          <c:val>
            <c:numRef>
              <c:f>geg!$G$21:$K$21</c:f>
              <c:numCache>
                <c:formatCode>0.00</c:formatCode>
                <c:ptCount val="4"/>
                <c:pt idx="0">
                  <c:v>42.18</c:v>
                </c:pt>
                <c:pt idx="1">
                  <c:v>43</c:v>
                </c:pt>
                <c:pt idx="2">
                  <c:v>44</c:v>
                </c:pt>
                <c:pt idx="3">
                  <c:v>45</c:v>
                </c:pt>
              </c:numCache>
            </c:numRef>
          </c:val>
          <c:extLs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05858320"/>
        <c:axId val="405856752"/>
      </c:barChart>
      <c:catAx>
        <c:axId val="40585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6752"/>
        <c:crosses val="autoZero"/>
        <c:auto val="1"/>
        <c:lblAlgn val="ctr"/>
        <c:lblOffset val="100"/>
        <c:tickLblSkip val="1"/>
        <c:tickMarkSkip val="1"/>
        <c:noMultiLvlLbl val="0"/>
      </c:catAx>
      <c:valAx>
        <c:axId val="4058567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numRef>
              <c:f>act!$F$8:$K$8</c:f>
              <c:numCache>
                <c:formatCode>General</c:formatCode>
                <c:ptCount val="6"/>
                <c:pt idx="0">
                  <c:v>2020</c:v>
                </c:pt>
                <c:pt idx="1">
                  <c:v>2021</c:v>
                </c:pt>
                <c:pt idx="2">
                  <c:v>2022</c:v>
                </c:pt>
                <c:pt idx="3">
                  <c:v>2023</c:v>
                </c:pt>
                <c:pt idx="4">
                  <c:v>2024</c:v>
                </c:pt>
                <c:pt idx="5">
                  <c:v>2025</c:v>
                </c:pt>
              </c:numCache>
            </c:numRef>
          </c:cat>
          <c:val>
            <c:numRef>
              <c:f>act!$F$29:$K$29</c:f>
              <c:numCache>
                <c:formatCode>_("€"* #,##0_);_("€"* \(#,##0\);_("€"* "-"_);_(@_)</c:formatCode>
                <c:ptCount val="6"/>
                <c:pt idx="0">
                  <c:v>0</c:v>
                </c:pt>
                <c:pt idx="1">
                  <c:v>0</c:v>
                </c:pt>
                <c:pt idx="2">
                  <c:v>0</c:v>
                </c:pt>
                <c:pt idx="3">
                  <c:v>75000</c:v>
                </c:pt>
                <c:pt idx="4">
                  <c:v>0</c:v>
                </c:pt>
                <c:pt idx="5">
                  <c:v>0</c:v>
                </c:pt>
              </c:numCache>
            </c:numRef>
          </c:val>
          <c:extLs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05861456"/>
        <c:axId val="405858712"/>
      </c:barChart>
      <c:catAx>
        <c:axId val="4058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712"/>
        <c:crosses val="autoZero"/>
        <c:auto val="1"/>
        <c:lblAlgn val="ctr"/>
        <c:lblOffset val="100"/>
        <c:tickLblSkip val="1"/>
        <c:tickMarkSkip val="2"/>
        <c:noMultiLvlLbl val="0"/>
      </c:catAx>
      <c:valAx>
        <c:axId val="405858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6364942</xdr:colOff>
      <xdr:row>3</xdr:row>
      <xdr:rowOff>156880</xdr:rowOff>
    </xdr:from>
    <xdr:to>
      <xdr:col>1</xdr:col>
      <xdr:colOff>8756775</xdr:colOff>
      <xdr:row>7</xdr:row>
      <xdr:rowOff>56030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11471" y="773204"/>
          <a:ext cx="2391833" cy="70597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00"/>
  <sheetViews>
    <sheetView tabSelected="1" zoomScale="85" zoomScaleNormal="85" workbookViewId="0">
      <selection activeCell="B3" sqref="B3"/>
    </sheetView>
  </sheetViews>
  <sheetFormatPr defaultColWidth="9.140625" defaultRowHeight="15" x14ac:dyDescent="0.2"/>
  <cols>
    <col min="1" max="1" width="3.7109375" style="1179" customWidth="1"/>
    <col min="2" max="2" width="135" style="1182" customWidth="1"/>
    <col min="3" max="3" width="3" style="1179" customWidth="1"/>
    <col min="4" max="16384" width="9.140625" style="1179"/>
  </cols>
  <sheetData>
    <row r="3" spans="2:6" s="1176" customFormat="1" ht="18.75" x14ac:dyDescent="0.2">
      <c r="B3" s="1189" t="s">
        <v>671</v>
      </c>
      <c r="D3" s="1177"/>
    </row>
    <row r="4" spans="2:6" ht="15.75" x14ac:dyDescent="0.2">
      <c r="B4" s="1188"/>
      <c r="D4" s="1180"/>
      <c r="F4" s="1282"/>
    </row>
    <row r="5" spans="2:6" ht="15.75" x14ac:dyDescent="0.2">
      <c r="B5" s="1242" t="s">
        <v>672</v>
      </c>
      <c r="D5" s="1180"/>
      <c r="F5" s="1282"/>
    </row>
    <row r="6" spans="2:6" ht="15.75" x14ac:dyDescent="0.2">
      <c r="B6" s="1241" t="s">
        <v>673</v>
      </c>
      <c r="D6" s="1180"/>
      <c r="F6" s="1282"/>
    </row>
    <row r="7" spans="2:6" ht="15.75" x14ac:dyDescent="0.2">
      <c r="B7" s="1241"/>
      <c r="D7" s="1180"/>
      <c r="F7" s="1282"/>
    </row>
    <row r="8" spans="2:6" ht="15.75" x14ac:dyDescent="0.2">
      <c r="B8" s="1188"/>
      <c r="D8" s="1180"/>
      <c r="F8" s="1282"/>
    </row>
    <row r="9" spans="2:6" x14ac:dyDescent="0.25">
      <c r="B9" s="1191" t="s">
        <v>376</v>
      </c>
      <c r="D9" s="1180"/>
    </row>
    <row r="10" spans="2:6" x14ac:dyDescent="0.2">
      <c r="B10" s="1182" t="s">
        <v>405</v>
      </c>
    </row>
    <row r="11" spans="2:6" x14ac:dyDescent="0.2">
      <c r="B11" s="1182" t="s">
        <v>377</v>
      </c>
    </row>
    <row r="12" spans="2:6" ht="15" customHeight="1" x14ac:dyDescent="0.2">
      <c r="B12" s="1182" t="s">
        <v>667</v>
      </c>
    </row>
    <row r="13" spans="2:6" ht="15" customHeight="1" x14ac:dyDescent="0.25">
      <c r="B13" s="1211" t="s">
        <v>658</v>
      </c>
      <c r="D13" s="1180"/>
    </row>
    <row r="14" spans="2:6" ht="15" customHeight="1" x14ac:dyDescent="0.25">
      <c r="B14" s="1211" t="s">
        <v>659</v>
      </c>
      <c r="D14" s="1180"/>
    </row>
    <row r="15" spans="2:6" ht="31.5" customHeight="1" x14ac:dyDescent="0.2">
      <c r="B15" s="1182" t="s">
        <v>378</v>
      </c>
    </row>
    <row r="16" spans="2:6" ht="30" x14ac:dyDescent="0.2">
      <c r="B16" s="1182" t="s">
        <v>622</v>
      </c>
    </row>
    <row r="17" spans="2:2" ht="12.75" customHeight="1" x14ac:dyDescent="0.2">
      <c r="B17" s="1183"/>
    </row>
    <row r="18" spans="2:2" ht="17.25" customHeight="1" x14ac:dyDescent="0.2">
      <c r="B18" s="1184" t="s">
        <v>579</v>
      </c>
    </row>
    <row r="19" spans="2:2" ht="158.25" customHeight="1" x14ac:dyDescent="0.2">
      <c r="B19" s="1182" t="s">
        <v>668</v>
      </c>
    </row>
    <row r="20" spans="2:2" ht="18" customHeight="1" x14ac:dyDescent="0.2">
      <c r="B20" s="1181" t="s">
        <v>379</v>
      </c>
    </row>
    <row r="21" spans="2:2" ht="15.75" customHeight="1" x14ac:dyDescent="0.2">
      <c r="B21" s="1182" t="s">
        <v>409</v>
      </c>
    </row>
    <row r="22" spans="2:2" x14ac:dyDescent="0.2">
      <c r="B22" s="1182" t="s">
        <v>380</v>
      </c>
    </row>
    <row r="23" spans="2:2" ht="35.25" customHeight="1" x14ac:dyDescent="0.2">
      <c r="B23" s="1182" t="s">
        <v>648</v>
      </c>
    </row>
    <row r="24" spans="2:2" ht="22.5" customHeight="1" x14ac:dyDescent="0.2">
      <c r="B24" s="1182" t="s">
        <v>570</v>
      </c>
    </row>
    <row r="25" spans="2:2" ht="36" customHeight="1" x14ac:dyDescent="0.2">
      <c r="B25" s="1182" t="s">
        <v>473</v>
      </c>
    </row>
    <row r="26" spans="2:2" ht="38.25" customHeight="1" x14ac:dyDescent="0.2">
      <c r="B26" s="1182" t="s">
        <v>660</v>
      </c>
    </row>
    <row r="27" spans="2:2" ht="36" customHeight="1" x14ac:dyDescent="0.2">
      <c r="B27" s="1182" t="s">
        <v>580</v>
      </c>
    </row>
    <row r="28" spans="2:2" ht="74.25" customHeight="1" x14ac:dyDescent="0.2">
      <c r="B28" s="1182" t="s">
        <v>661</v>
      </c>
    </row>
    <row r="29" spans="2:2" ht="24.75" customHeight="1" x14ac:dyDescent="0.2">
      <c r="B29" s="1181" t="s">
        <v>410</v>
      </c>
    </row>
    <row r="30" spans="2:2" ht="81" customHeight="1" x14ac:dyDescent="0.2">
      <c r="B30" s="1182" t="s">
        <v>662</v>
      </c>
    </row>
    <row r="31" spans="2:2" ht="24" customHeight="1" x14ac:dyDescent="0.2">
      <c r="B31" s="1182" t="s">
        <v>411</v>
      </c>
    </row>
    <row r="32" spans="2:2" ht="60" customHeight="1" x14ac:dyDescent="0.2">
      <c r="B32" s="1182" t="s">
        <v>602</v>
      </c>
    </row>
    <row r="33" spans="1:2" ht="10.5" customHeight="1" x14ac:dyDescent="0.2"/>
    <row r="34" spans="1:2" ht="18" customHeight="1" x14ac:dyDescent="0.25">
      <c r="B34" s="1236" t="s">
        <v>406</v>
      </c>
    </row>
    <row r="35" spans="1:2" ht="17.25" customHeight="1" x14ac:dyDescent="0.25">
      <c r="B35" s="1234" t="s">
        <v>264</v>
      </c>
    </row>
    <row r="36" spans="1:2" ht="63.75" customHeight="1" x14ac:dyDescent="0.2">
      <c r="B36" s="1182" t="s">
        <v>628</v>
      </c>
    </row>
    <row r="37" spans="1:2" ht="15" customHeight="1" x14ac:dyDescent="0.25">
      <c r="A37" s="1223"/>
      <c r="B37" s="1232"/>
    </row>
    <row r="38" spans="1:2" ht="18.75" customHeight="1" x14ac:dyDescent="0.25">
      <c r="B38" s="1233" t="s">
        <v>414</v>
      </c>
    </row>
    <row r="39" spans="1:2" ht="34.5" customHeight="1" x14ac:dyDescent="0.2">
      <c r="B39" s="1182" t="s">
        <v>571</v>
      </c>
    </row>
    <row r="40" spans="1:2" ht="30" customHeight="1" x14ac:dyDescent="0.2">
      <c r="B40" s="1185" t="s">
        <v>595</v>
      </c>
    </row>
    <row r="41" spans="1:2" s="1212" customFormat="1" ht="21.75" customHeight="1" x14ac:dyDescent="0.25">
      <c r="B41" s="1235" t="s">
        <v>381</v>
      </c>
    </row>
    <row r="42" spans="1:2" x14ac:dyDescent="0.2">
      <c r="B42" s="1182" t="s">
        <v>623</v>
      </c>
    </row>
    <row r="43" spans="1:2" ht="36" customHeight="1" x14ac:dyDescent="0.2">
      <c r="B43" s="1182" t="s">
        <v>624</v>
      </c>
    </row>
    <row r="44" spans="1:2" ht="45.75" customHeight="1" x14ac:dyDescent="0.2">
      <c r="B44" s="1182" t="s">
        <v>382</v>
      </c>
    </row>
    <row r="45" spans="1:2" ht="21" customHeight="1" x14ac:dyDescent="0.2">
      <c r="B45" s="1237" t="s">
        <v>663</v>
      </c>
    </row>
    <row r="46" spans="1:2" ht="81" customHeight="1" x14ac:dyDescent="0.2">
      <c r="B46" s="1182" t="s">
        <v>664</v>
      </c>
    </row>
    <row r="47" spans="1:2" ht="21" customHeight="1" x14ac:dyDescent="0.2">
      <c r="B47" s="1181" t="s">
        <v>383</v>
      </c>
    </row>
    <row r="48" spans="1:2" ht="17.25" customHeight="1" x14ac:dyDescent="0.2">
      <c r="B48" s="1182" t="s">
        <v>384</v>
      </c>
    </row>
    <row r="49" spans="2:2" ht="33.75" customHeight="1" x14ac:dyDescent="0.2">
      <c r="B49" s="1182" t="s">
        <v>385</v>
      </c>
    </row>
    <row r="50" spans="2:2" ht="18" customHeight="1" x14ac:dyDescent="0.2">
      <c r="B50" s="1182" t="s">
        <v>386</v>
      </c>
    </row>
    <row r="51" spans="2:2" ht="48.75" customHeight="1" x14ac:dyDescent="0.2">
      <c r="B51" s="1182" t="s">
        <v>581</v>
      </c>
    </row>
    <row r="52" spans="2:2" ht="16.5" customHeight="1" x14ac:dyDescent="0.2">
      <c r="B52" s="1181" t="s">
        <v>412</v>
      </c>
    </row>
    <row r="53" spans="2:2" ht="21.75" customHeight="1" x14ac:dyDescent="0.2">
      <c r="B53" s="1182" t="s">
        <v>387</v>
      </c>
    </row>
    <row r="54" spans="2:2" ht="18.75" customHeight="1" x14ac:dyDescent="0.2">
      <c r="B54" s="1181" t="s">
        <v>388</v>
      </c>
    </row>
    <row r="55" spans="2:2" ht="33.75" customHeight="1" x14ac:dyDescent="0.2">
      <c r="B55" s="1182" t="s">
        <v>389</v>
      </c>
    </row>
    <row r="56" spans="2:2" ht="19.5" customHeight="1" x14ac:dyDescent="0.2">
      <c r="B56" s="1181" t="s">
        <v>390</v>
      </c>
    </row>
    <row r="57" spans="2:2" ht="48" customHeight="1" x14ac:dyDescent="0.2">
      <c r="B57" s="1182" t="s">
        <v>413</v>
      </c>
    </row>
    <row r="58" spans="2:2" ht="18.75" customHeight="1" x14ac:dyDescent="0.2">
      <c r="B58" s="1182" t="s">
        <v>391</v>
      </c>
    </row>
    <row r="59" spans="2:2" ht="15" customHeight="1" x14ac:dyDescent="0.2">
      <c r="B59" s="1178" t="s">
        <v>181</v>
      </c>
    </row>
    <row r="60" spans="2:2" ht="16.5" customHeight="1" x14ac:dyDescent="0.2">
      <c r="B60" s="1178" t="s">
        <v>182</v>
      </c>
    </row>
    <row r="61" spans="2:2" ht="15.75" customHeight="1" x14ac:dyDescent="0.2">
      <c r="B61" s="1178" t="s">
        <v>185</v>
      </c>
    </row>
    <row r="62" spans="2:2" x14ac:dyDescent="0.2">
      <c r="B62" s="1178" t="s">
        <v>186</v>
      </c>
    </row>
    <row r="63" spans="2:2" x14ac:dyDescent="0.2">
      <c r="B63" s="1182" t="s">
        <v>392</v>
      </c>
    </row>
    <row r="64" spans="2:2" ht="34.5" customHeight="1" x14ac:dyDescent="0.2">
      <c r="B64" s="1182" t="s">
        <v>393</v>
      </c>
    </row>
    <row r="65" spans="2:2" ht="19.5" customHeight="1" x14ac:dyDescent="0.2">
      <c r="B65" s="1181" t="s">
        <v>394</v>
      </c>
    </row>
    <row r="66" spans="2:2" ht="33.75" customHeight="1" x14ac:dyDescent="0.2">
      <c r="B66" s="1182" t="s">
        <v>524</v>
      </c>
    </row>
    <row r="67" spans="2:2" ht="22.5" customHeight="1" x14ac:dyDescent="0.2">
      <c r="B67" s="1186" t="s">
        <v>395</v>
      </c>
    </row>
    <row r="68" spans="2:2" ht="32.25" customHeight="1" x14ac:dyDescent="0.2">
      <c r="B68" s="1182" t="s">
        <v>625</v>
      </c>
    </row>
    <row r="69" spans="2:2" ht="20.25" customHeight="1" x14ac:dyDescent="0.2">
      <c r="B69" s="1182" t="s">
        <v>396</v>
      </c>
    </row>
    <row r="70" spans="2:2" ht="19.5" customHeight="1" x14ac:dyDescent="0.2">
      <c r="B70" s="1182" t="s">
        <v>397</v>
      </c>
    </row>
    <row r="71" spans="2:2" ht="20.25" customHeight="1" x14ac:dyDescent="0.2">
      <c r="B71" s="1181" t="s">
        <v>398</v>
      </c>
    </row>
    <row r="72" spans="2:2" ht="77.25" customHeight="1" x14ac:dyDescent="0.2">
      <c r="B72" s="1182" t="s">
        <v>596</v>
      </c>
    </row>
    <row r="73" spans="2:2" ht="20.25" customHeight="1" x14ac:dyDescent="0.2">
      <c r="B73" s="1181" t="s">
        <v>399</v>
      </c>
    </row>
    <row r="74" spans="2:2" ht="20.25" customHeight="1" x14ac:dyDescent="0.2">
      <c r="B74" s="1182" t="s">
        <v>415</v>
      </c>
    </row>
    <row r="75" spans="2:2" ht="21" customHeight="1" x14ac:dyDescent="0.2">
      <c r="B75" s="1181" t="s">
        <v>400</v>
      </c>
    </row>
    <row r="76" spans="2:2" ht="36" customHeight="1" x14ac:dyDescent="0.2">
      <c r="B76" s="1182" t="s">
        <v>567</v>
      </c>
    </row>
    <row r="77" spans="2:2" ht="16.5" customHeight="1" x14ac:dyDescent="0.2">
      <c r="B77" s="1182" t="s">
        <v>401</v>
      </c>
    </row>
    <row r="78" spans="2:2" ht="36" customHeight="1" x14ac:dyDescent="0.2">
      <c r="B78" s="1182" t="s">
        <v>603</v>
      </c>
    </row>
    <row r="79" spans="2:2" ht="22.5" customHeight="1" x14ac:dyDescent="0.2">
      <c r="B79" s="1181" t="s">
        <v>421</v>
      </c>
    </row>
    <row r="80" spans="2:2" ht="33" customHeight="1" x14ac:dyDescent="0.2">
      <c r="B80" s="1182" t="s">
        <v>474</v>
      </c>
    </row>
    <row r="81" spans="1:2" ht="23.25" customHeight="1" x14ac:dyDescent="0.2">
      <c r="B81" s="1238" t="s">
        <v>422</v>
      </c>
    </row>
    <row r="82" spans="1:2" ht="48.75" customHeight="1" x14ac:dyDescent="0.2">
      <c r="B82" s="1182" t="s">
        <v>402</v>
      </c>
    </row>
    <row r="83" spans="1:2" ht="33.75" customHeight="1" x14ac:dyDescent="0.2">
      <c r="B83" s="1182" t="s">
        <v>626</v>
      </c>
    </row>
    <row r="84" spans="1:2" ht="20.25" customHeight="1" x14ac:dyDescent="0.2">
      <c r="B84" s="1238" t="s">
        <v>423</v>
      </c>
    </row>
    <row r="85" spans="1:2" ht="51" customHeight="1" x14ac:dyDescent="0.2">
      <c r="B85" s="1182" t="s">
        <v>669</v>
      </c>
    </row>
    <row r="86" spans="1:2" ht="51.75" customHeight="1" x14ac:dyDescent="0.2">
      <c r="B86" s="1182" t="s">
        <v>670</v>
      </c>
    </row>
    <row r="87" spans="1:2" ht="18.75" customHeight="1" x14ac:dyDescent="0.25">
      <c r="B87" s="1211" t="s">
        <v>642</v>
      </c>
    </row>
    <row r="88" spans="1:2" ht="14.25" customHeight="1" x14ac:dyDescent="0.2"/>
    <row r="89" spans="1:2" x14ac:dyDescent="0.25">
      <c r="B89" s="1210" t="s">
        <v>583</v>
      </c>
    </row>
    <row r="90" spans="1:2" ht="30" x14ac:dyDescent="0.25">
      <c r="B90" s="1232" t="s">
        <v>639</v>
      </c>
    </row>
    <row r="91" spans="1:2" x14ac:dyDescent="0.25">
      <c r="B91" s="1211"/>
    </row>
    <row r="92" spans="1:2" ht="15" customHeight="1" x14ac:dyDescent="0.25">
      <c r="B92" s="1210" t="s">
        <v>403</v>
      </c>
    </row>
    <row r="93" spans="1:2" ht="15" customHeight="1" x14ac:dyDescent="0.25">
      <c r="B93" s="1212" t="s">
        <v>404</v>
      </c>
    </row>
    <row r="94" spans="1:2" ht="15" customHeight="1" x14ac:dyDescent="0.25">
      <c r="A94" s="1223"/>
      <c r="B94" s="1211" t="s">
        <v>604</v>
      </c>
    </row>
    <row r="95" spans="1:2" ht="15" customHeight="1" x14ac:dyDescent="0.2"/>
    <row r="96" spans="1:2" ht="15" customHeight="1" x14ac:dyDescent="0.2">
      <c r="B96" s="1179"/>
    </row>
    <row r="97" spans="2:2" ht="15" customHeight="1" x14ac:dyDescent="0.2">
      <c r="B97" s="1179"/>
    </row>
    <row r="98" spans="2:2" ht="15" customHeight="1" x14ac:dyDescent="0.2">
      <c r="B98" s="1179"/>
    </row>
    <row r="99" spans="2:2" ht="15" customHeight="1" x14ac:dyDescent="0.2">
      <c r="B99" s="1187"/>
    </row>
    <row r="100" spans="2:2" ht="15.75" x14ac:dyDescent="0.2">
      <c r="B100" s="1187"/>
    </row>
  </sheetData>
  <sheetProtection algorithmName="SHA-512" hashValue="ICk4i4xnHspCDszsBgt6gpxSac++ICSFZQAxc4b3TIrs9DmqzpD3lz3fbm1y/8czhpZ2qco5bvzpzcWz5zylow==" saltValue="lCo6tc2driAReVw5uPvAxQ==" spinCount="100000" sheet="1" objects="1" scenarios="1"/>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&amp;L&amp;"Arial,Vet"keizer&amp;C&amp;"Arial,Vet"pagina &amp;P&amp;R&amp;"Arial,Vet"&amp;D</oddFooter>
  </headerFooter>
  <rowBreaks count="1" manualBreakCount="1">
    <brk id="46"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customWidth="1"/>
    <col min="10" max="12" width="14.140625" style="34" customWidth="1"/>
    <col min="13"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179</v>
      </c>
      <c r="D4" s="181"/>
      <c r="E4" s="17"/>
      <c r="F4" s="17"/>
      <c r="G4" s="17"/>
      <c r="H4" s="17"/>
      <c r="I4" s="17"/>
      <c r="J4" s="17"/>
      <c r="K4" s="17"/>
      <c r="L4" s="17"/>
      <c r="M4" s="17"/>
      <c r="N4" s="17"/>
      <c r="O4" s="179"/>
    </row>
    <row r="5" spans="2:15" s="180" customFormat="1" ht="18" customHeight="1" x14ac:dyDescent="0.3">
      <c r="B5" s="177"/>
      <c r="C5" s="96" t="str">
        <f>+geg!H9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6"/>
      <c r="G7" s="636"/>
      <c r="H7" s="636"/>
      <c r="I7" s="636"/>
      <c r="J7" s="636"/>
      <c r="K7" s="636"/>
      <c r="L7" s="636"/>
      <c r="M7" s="636"/>
      <c r="N7" s="20"/>
      <c r="O7" s="22"/>
    </row>
    <row r="8" spans="2:15" ht="13.15" customHeight="1" x14ac:dyDescent="0.2">
      <c r="B8" s="249"/>
      <c r="C8" s="264"/>
      <c r="D8" s="983"/>
      <c r="E8" s="240"/>
      <c r="F8" s="993">
        <f>+tab!E4</f>
        <v>2020</v>
      </c>
      <c r="G8" s="993">
        <f t="shared" ref="G8:M8" si="0">F8+1</f>
        <v>2021</v>
      </c>
      <c r="H8" s="993">
        <f t="shared" si="0"/>
        <v>2022</v>
      </c>
      <c r="I8" s="993">
        <f t="shared" si="0"/>
        <v>2023</v>
      </c>
      <c r="J8" s="993">
        <f t="shared" si="0"/>
        <v>2024</v>
      </c>
      <c r="K8" s="993">
        <f t="shared" si="0"/>
        <v>2025</v>
      </c>
      <c r="L8" s="993">
        <f t="shared" si="0"/>
        <v>2026</v>
      </c>
      <c r="M8" s="993">
        <f t="shared" si="0"/>
        <v>2027</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6" t="s">
        <v>180</v>
      </c>
      <c r="E11" s="3"/>
      <c r="F11" s="3"/>
      <c r="G11" s="3"/>
      <c r="H11" s="3"/>
      <c r="I11" s="3"/>
      <c r="J11" s="3"/>
      <c r="K11" s="6"/>
      <c r="L11" s="6"/>
      <c r="M11" s="6"/>
      <c r="N11" s="6"/>
      <c r="O11" s="22"/>
    </row>
    <row r="12" spans="2:15" ht="13.15" customHeight="1" x14ac:dyDescent="0.2">
      <c r="B12" s="210"/>
      <c r="C12" s="213"/>
      <c r="D12" s="1" t="s">
        <v>181</v>
      </c>
      <c r="E12" s="3"/>
      <c r="F12" s="209">
        <v>0</v>
      </c>
      <c r="G12" s="1002">
        <f t="shared" ref="G12:J17" si="1">F45</f>
        <v>0</v>
      </c>
      <c r="H12" s="1002">
        <f t="shared" si="1"/>
        <v>0</v>
      </c>
      <c r="I12" s="1002">
        <f t="shared" si="1"/>
        <v>0</v>
      </c>
      <c r="J12" s="1002">
        <f t="shared" si="1"/>
        <v>0</v>
      </c>
      <c r="K12" s="1002">
        <f t="shared" ref="K12:K17" si="2">J45</f>
        <v>0</v>
      </c>
      <c r="L12" s="1002">
        <f t="shared" ref="L12:L17" si="3">K45</f>
        <v>0</v>
      </c>
      <c r="M12" s="1002">
        <f t="shared" ref="M12:M17" si="4">L45</f>
        <v>0</v>
      </c>
      <c r="N12" s="6"/>
      <c r="O12" s="22"/>
    </row>
    <row r="13" spans="2:15" ht="13.15" customHeight="1" x14ac:dyDescent="0.2">
      <c r="B13" s="210"/>
      <c r="C13" s="213"/>
      <c r="D13" s="1" t="s">
        <v>182</v>
      </c>
      <c r="E13" s="3"/>
      <c r="F13" s="214">
        <v>0</v>
      </c>
      <c r="G13" s="1002">
        <f t="shared" si="1"/>
        <v>0</v>
      </c>
      <c r="H13" s="1002">
        <f t="shared" si="1"/>
        <v>0</v>
      </c>
      <c r="I13" s="1002">
        <f t="shared" si="1"/>
        <v>0</v>
      </c>
      <c r="J13" s="1002">
        <f t="shared" si="1"/>
        <v>0</v>
      </c>
      <c r="K13" s="1002">
        <f t="shared" si="2"/>
        <v>0</v>
      </c>
      <c r="L13" s="1002">
        <f t="shared" si="3"/>
        <v>0</v>
      </c>
      <c r="M13" s="1002">
        <f t="shared" si="4"/>
        <v>0</v>
      </c>
      <c r="N13" s="6"/>
      <c r="O13" s="22"/>
    </row>
    <row r="14" spans="2:15" ht="13.15" customHeight="1" x14ac:dyDescent="0.2">
      <c r="B14" s="210"/>
      <c r="C14" s="213"/>
      <c r="D14" s="215" t="s">
        <v>183</v>
      </c>
      <c r="E14" s="3"/>
      <c r="F14" s="214">
        <v>45000</v>
      </c>
      <c r="G14" s="1002">
        <f t="shared" si="1"/>
        <v>30000</v>
      </c>
      <c r="H14" s="1002">
        <f t="shared" si="1"/>
        <v>15000</v>
      </c>
      <c r="I14" s="1002">
        <f t="shared" si="1"/>
        <v>0</v>
      </c>
      <c r="J14" s="1002">
        <f t="shared" si="1"/>
        <v>60000</v>
      </c>
      <c r="K14" s="1002">
        <f t="shared" si="2"/>
        <v>45000</v>
      </c>
      <c r="L14" s="1002">
        <f t="shared" si="3"/>
        <v>30000</v>
      </c>
      <c r="M14" s="1002">
        <f t="shared" si="4"/>
        <v>15000</v>
      </c>
      <c r="N14" s="6"/>
      <c r="O14" s="22"/>
    </row>
    <row r="15" spans="2:15" ht="13.15" customHeight="1" x14ac:dyDescent="0.2">
      <c r="B15" s="210"/>
      <c r="C15" s="213"/>
      <c r="D15" s="215" t="s">
        <v>184</v>
      </c>
      <c r="E15" s="3"/>
      <c r="F15" s="214">
        <v>0</v>
      </c>
      <c r="G15" s="1002">
        <f t="shared" si="1"/>
        <v>0</v>
      </c>
      <c r="H15" s="1002">
        <f t="shared" si="1"/>
        <v>0</v>
      </c>
      <c r="I15" s="1002">
        <f t="shared" si="1"/>
        <v>0</v>
      </c>
      <c r="J15" s="1002">
        <f t="shared" si="1"/>
        <v>0</v>
      </c>
      <c r="K15" s="1002">
        <f t="shared" si="2"/>
        <v>0</v>
      </c>
      <c r="L15" s="1002">
        <f t="shared" si="3"/>
        <v>0</v>
      </c>
      <c r="M15" s="1002">
        <f t="shared" si="4"/>
        <v>0</v>
      </c>
      <c r="N15" s="6"/>
      <c r="O15" s="22"/>
    </row>
    <row r="16" spans="2:15" ht="13.15" customHeight="1" x14ac:dyDescent="0.2">
      <c r="B16" s="210"/>
      <c r="C16" s="213"/>
      <c r="D16" s="1" t="s">
        <v>185</v>
      </c>
      <c r="E16" s="3"/>
      <c r="F16" s="214">
        <v>0</v>
      </c>
      <c r="G16" s="1002">
        <f t="shared" si="1"/>
        <v>0</v>
      </c>
      <c r="H16" s="1002">
        <f t="shared" si="1"/>
        <v>0</v>
      </c>
      <c r="I16" s="1002">
        <f t="shared" si="1"/>
        <v>0</v>
      </c>
      <c r="J16" s="1002">
        <f t="shared" si="1"/>
        <v>0</v>
      </c>
      <c r="K16" s="1002">
        <f t="shared" si="2"/>
        <v>0</v>
      </c>
      <c r="L16" s="1002">
        <f t="shared" si="3"/>
        <v>0</v>
      </c>
      <c r="M16" s="1002">
        <f t="shared" si="4"/>
        <v>0</v>
      </c>
      <c r="N16" s="6"/>
      <c r="O16" s="22"/>
    </row>
    <row r="17" spans="2:15" ht="13.15" customHeight="1" x14ac:dyDescent="0.2">
      <c r="B17" s="210"/>
      <c r="C17" s="213"/>
      <c r="D17" s="1" t="s">
        <v>186</v>
      </c>
      <c r="E17" s="3"/>
      <c r="F17" s="214">
        <v>0</v>
      </c>
      <c r="G17" s="1002">
        <f t="shared" si="1"/>
        <v>0</v>
      </c>
      <c r="H17" s="1002">
        <f t="shared" si="1"/>
        <v>0</v>
      </c>
      <c r="I17" s="1002">
        <f t="shared" si="1"/>
        <v>0</v>
      </c>
      <c r="J17" s="1002">
        <f t="shared" si="1"/>
        <v>0</v>
      </c>
      <c r="K17" s="1002">
        <f t="shared" si="2"/>
        <v>0</v>
      </c>
      <c r="L17" s="1002">
        <f t="shared" si="3"/>
        <v>0</v>
      </c>
      <c r="M17" s="1002">
        <f t="shared" si="4"/>
        <v>0</v>
      </c>
      <c r="N17" s="6"/>
      <c r="O17" s="22"/>
    </row>
    <row r="18" spans="2:15" ht="13.15" customHeight="1" x14ac:dyDescent="0.2">
      <c r="B18" s="210"/>
      <c r="C18" s="213"/>
      <c r="D18" s="686" t="s">
        <v>141</v>
      </c>
      <c r="E18" s="3"/>
      <c r="F18" s="798">
        <f t="shared" ref="F18:M18" si="5">SUM(F12:F17)</f>
        <v>45000</v>
      </c>
      <c r="G18" s="798">
        <f t="shared" si="5"/>
        <v>30000</v>
      </c>
      <c r="H18" s="798">
        <f t="shared" si="5"/>
        <v>15000</v>
      </c>
      <c r="I18" s="798">
        <f t="shared" si="5"/>
        <v>0</v>
      </c>
      <c r="J18" s="798">
        <f t="shared" si="5"/>
        <v>60000</v>
      </c>
      <c r="K18" s="798">
        <f t="shared" si="5"/>
        <v>45000</v>
      </c>
      <c r="L18" s="798">
        <f t="shared" si="5"/>
        <v>30000</v>
      </c>
      <c r="M18" s="798">
        <f t="shared" si="5"/>
        <v>15000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6" t="s">
        <v>187</v>
      </c>
      <c r="E22" s="3"/>
      <c r="F22" s="28"/>
      <c r="G22" s="3"/>
      <c r="H22" s="3"/>
      <c r="I22" s="3"/>
      <c r="J22" s="3"/>
      <c r="K22" s="3"/>
      <c r="L22" s="3"/>
      <c r="M22" s="3"/>
      <c r="N22" s="6"/>
      <c r="O22" s="22"/>
    </row>
    <row r="23" spans="2:15" ht="13.15" customHeight="1" x14ac:dyDescent="0.2">
      <c r="B23" s="210"/>
      <c r="C23" s="213"/>
      <c r="D23" s="1" t="s">
        <v>181</v>
      </c>
      <c r="E23" s="3"/>
      <c r="F23" s="767">
        <f>(SUMIF(mip!$D14:$D169,"gebouwen en terreinen",mip!AA14:AA169))</f>
        <v>0</v>
      </c>
      <c r="G23" s="767">
        <f>(SUMIF(mip!$D14:$D169,"gebouwen en terreinen",mip!AB14:AB169))</f>
        <v>0</v>
      </c>
      <c r="H23" s="767">
        <f>(SUMIF(mip!$D14:$D169,"gebouwen en terreinen",mip!AC14:AC169))</f>
        <v>0</v>
      </c>
      <c r="I23" s="767">
        <f>(SUMIF(mip!$D14:$D169,"gebouwen en terreinen",mip!AD14:AD169))</f>
        <v>0</v>
      </c>
      <c r="J23" s="767">
        <f>(SUMIF(mip!$D14:$D169,"gebouwen en terreinen",mip!AE14:AE169))</f>
        <v>0</v>
      </c>
      <c r="K23" s="767">
        <f>(SUMIF(mip!$D14:$D169,"gebouwen en terreinen",mip!AF14:AF169))</f>
        <v>0</v>
      </c>
      <c r="L23" s="767">
        <f>(SUMIF(mip!$D14:$D169,"gebouwen en terreinen",mip!AG14:AG169))</f>
        <v>0</v>
      </c>
      <c r="M23" s="767">
        <f>(SUMIF(mip!$D14:$D169,"gebouwen en terreinen",mip!AH14:AH169))</f>
        <v>0</v>
      </c>
      <c r="N23" s="6"/>
      <c r="O23" s="22"/>
    </row>
    <row r="24" spans="2:15" ht="13.15" customHeight="1" x14ac:dyDescent="0.2">
      <c r="B24" s="210"/>
      <c r="C24" s="213"/>
      <c r="D24" s="1" t="s">
        <v>182</v>
      </c>
      <c r="E24" s="3"/>
      <c r="F24" s="997">
        <f>(SUMIF(mip!$D14:$D169,"inventaris en apparatuur",mip!AA14:AA169))</f>
        <v>0</v>
      </c>
      <c r="G24" s="997">
        <f>(SUMIF(mip!$D14:$D169,"inventaris en apparatuur",mip!AB14:AB169))</f>
        <v>0</v>
      </c>
      <c r="H24" s="997">
        <f>(SUMIF(mip!$D14:$D169,"inventaris en apparatuur",mip!AC14:AC169))</f>
        <v>0</v>
      </c>
      <c r="I24" s="997">
        <f>(SUMIF(mip!$D14:$D169,"inventaris en apparatuur",mip!AD14:AD169))</f>
        <v>0</v>
      </c>
      <c r="J24" s="997">
        <f>(SUMIF(mip!$D14:$D169,"inventaris en apparatuur",mip!AE14:AE169))</f>
        <v>0</v>
      </c>
      <c r="K24" s="997">
        <f>(SUMIF(mip!$D14:$D169,"inventaris en apparatuur",mip!AF14:AF169))</f>
        <v>0</v>
      </c>
      <c r="L24" s="997">
        <f>(SUMIF(mip!$D14:$D169,"inventaris en apparatuur",mip!AG14:AG169))</f>
        <v>0</v>
      </c>
      <c r="M24" s="997">
        <f>(SUMIF(mip!$D14:$D169,"inventaris en apparatuur",mip!AH14:AH169))</f>
        <v>0</v>
      </c>
      <c r="N24" s="6"/>
      <c r="O24" s="22"/>
    </row>
    <row r="25" spans="2:15" ht="13.15" customHeight="1" x14ac:dyDescent="0.2">
      <c r="B25" s="210"/>
      <c r="C25" s="213"/>
      <c r="D25" s="215" t="s">
        <v>183</v>
      </c>
      <c r="E25" s="3"/>
      <c r="F25" s="997">
        <f>(SUMIF(mip!$D14:$D169,"meubilair",mip!AA14:AA169))</f>
        <v>0</v>
      </c>
      <c r="G25" s="997">
        <f>(SUMIF(mip!$D14:$D169,"meubilair",mip!AB14:AB169))</f>
        <v>0</v>
      </c>
      <c r="H25" s="997">
        <f>(SUMIF(mip!$D14:$D169,"meubilair",mip!AC14:AC169))</f>
        <v>0</v>
      </c>
      <c r="I25" s="997">
        <f>(SUMIF(mip!$D14:$D169,"meubilair",mip!AD14:AD169))</f>
        <v>75000</v>
      </c>
      <c r="J25" s="997">
        <f>(SUMIF(mip!$D14:$D169,"meubilair",mip!AE14:AE169))</f>
        <v>0</v>
      </c>
      <c r="K25" s="997">
        <f>(SUMIF(mip!$D14:$D169,"meubilair",mip!AF14:AF169))</f>
        <v>0</v>
      </c>
      <c r="L25" s="997">
        <f>(SUMIF(mip!$D14:$D169,"meubilair",mip!AG14:AG169))</f>
        <v>0</v>
      </c>
      <c r="M25" s="997">
        <f>(SUMIF(mip!$D14:$D169,"meubilair",mip!AH14:AH169))</f>
        <v>0</v>
      </c>
      <c r="N25" s="6"/>
      <c r="O25" s="22"/>
    </row>
    <row r="26" spans="2:15" ht="13.15" customHeight="1" x14ac:dyDescent="0.2">
      <c r="B26" s="210"/>
      <c r="C26" s="213"/>
      <c r="D26" s="215" t="s">
        <v>184</v>
      </c>
      <c r="E26" s="3"/>
      <c r="F26" s="997">
        <f>(SUMIF(mip!$D14:$D169,"ICT",mip!AA14:AA169))</f>
        <v>0</v>
      </c>
      <c r="G26" s="997">
        <f>(SUMIF(mip!$D14:$D169,"ICT",mip!AB14:AB169))</f>
        <v>0</v>
      </c>
      <c r="H26" s="997">
        <f>(SUMIF(mip!$D14:$D169,"ICT",mip!AC14:AC169))</f>
        <v>0</v>
      </c>
      <c r="I26" s="997">
        <f>(SUMIF(mip!$D14:$D169,"ICT",mip!AD14:AD169))</f>
        <v>0</v>
      </c>
      <c r="J26" s="997">
        <f>(SUMIF(mip!$D14:$D169,"ICT",mip!AE14:AE169))</f>
        <v>0</v>
      </c>
      <c r="K26" s="997">
        <f>(SUMIF(mip!$D14:$D169,"ICT",mip!AF14:AF169))</f>
        <v>0</v>
      </c>
      <c r="L26" s="997">
        <f>(SUMIF(mip!$D14:$D169,"ICT",mip!AG14:AG169))</f>
        <v>0</v>
      </c>
      <c r="M26" s="997">
        <f>(SUMIF(mip!$D14:$D169,"ICT",mip!AH14:AH169))</f>
        <v>0</v>
      </c>
      <c r="N26" s="6"/>
      <c r="O26" s="22"/>
    </row>
    <row r="27" spans="2:15" ht="13.15" customHeight="1" x14ac:dyDescent="0.2">
      <c r="B27" s="210"/>
      <c r="C27" s="213"/>
      <c r="D27" s="1" t="s">
        <v>185</v>
      </c>
      <c r="E27" s="3"/>
      <c r="F27" s="997">
        <f>(SUMIF(mip!$D14:$D169,"leermiddelen po",mip!AA14:AA169))</f>
        <v>0</v>
      </c>
      <c r="G27" s="997">
        <f>(SUMIF(mip!$D14:$D169,"leermiddelen po",mip!AB14:AB169))</f>
        <v>0</v>
      </c>
      <c r="H27" s="997">
        <f>(SUMIF(mip!$D14:$D169,"leermiddelen po",mip!AC14:AC169))</f>
        <v>0</v>
      </c>
      <c r="I27" s="997">
        <f>(SUMIF(mip!$D14:$D169,"leermiddelen po",mip!AD14:AD169))</f>
        <v>0</v>
      </c>
      <c r="J27" s="997">
        <f>(SUMIF(mip!$D14:$D169,"leermiddelen po",mip!AE14:AE169))</f>
        <v>0</v>
      </c>
      <c r="K27" s="997">
        <f>(SUMIF(mip!$D14:$D169,"leermiddelen po",mip!AF14:AF169))</f>
        <v>0</v>
      </c>
      <c r="L27" s="997">
        <f>(SUMIF(mip!$D14:$D169,"leermiddelen po",mip!AG14:AG169))</f>
        <v>0</v>
      </c>
      <c r="M27" s="997">
        <f>(SUMIF(mip!$D14:$D169,"leermiddelen po",mip!AH14:AH169))</f>
        <v>0</v>
      </c>
      <c r="N27" s="6"/>
      <c r="O27" s="22"/>
    </row>
    <row r="28" spans="2:15" ht="13.15" customHeight="1" x14ac:dyDescent="0.2">
      <c r="B28" s="210"/>
      <c r="C28" s="213"/>
      <c r="D28" s="1" t="s">
        <v>186</v>
      </c>
      <c r="E28" s="3"/>
      <c r="F28" s="997">
        <f>(SUMIF(mip!$D14:$D169,"overige materiële vaste activa",mip!AA14:AA169))</f>
        <v>0</v>
      </c>
      <c r="G28" s="997">
        <f>(SUMIF(mip!$D14:$D169,"overige materiële vaste activa",mip!AB14:AB169))</f>
        <v>0</v>
      </c>
      <c r="H28" s="997">
        <f>(SUMIF(mip!$D14:$D169,"overige materiële vaste activa",mip!AC14:AC169))</f>
        <v>0</v>
      </c>
      <c r="I28" s="997">
        <f>(SUMIF(mip!$D14:$D169,"overige materiële vaste activa",mip!AD14:AD169))</f>
        <v>0</v>
      </c>
      <c r="J28" s="997">
        <f>(SUMIF(mip!$D14:$D169,"overige materiële vaste activa",mip!AE14:AE169))</f>
        <v>0</v>
      </c>
      <c r="K28" s="997">
        <f>(SUMIF(mip!$D14:$D169,"overige materiële vaste activa",mip!AF14:AF169))</f>
        <v>0</v>
      </c>
      <c r="L28" s="997">
        <f>(SUMIF(mip!$D14:$D169,"overige materiële vaste activa",mip!AG14:AG169))</f>
        <v>0</v>
      </c>
      <c r="M28" s="997">
        <f>(SUMIF(mip!$D14:$D169,"overige materiële vaste activa",mip!AH14:AH169))</f>
        <v>0</v>
      </c>
      <c r="N28" s="6"/>
      <c r="O28" s="22"/>
    </row>
    <row r="29" spans="2:15" ht="13.15" customHeight="1" x14ac:dyDescent="0.2">
      <c r="B29" s="210"/>
      <c r="C29" s="213"/>
      <c r="D29" s="686" t="s">
        <v>141</v>
      </c>
      <c r="E29" s="3"/>
      <c r="F29" s="798">
        <f t="shared" ref="F29:M29" si="6">SUM(F23:F28)</f>
        <v>0</v>
      </c>
      <c r="G29" s="798">
        <f t="shared" si="6"/>
        <v>0</v>
      </c>
      <c r="H29" s="798">
        <f t="shared" si="6"/>
        <v>0</v>
      </c>
      <c r="I29" s="798">
        <f t="shared" si="6"/>
        <v>75000</v>
      </c>
      <c r="J29" s="798">
        <f t="shared" si="6"/>
        <v>0</v>
      </c>
      <c r="K29" s="798">
        <f t="shared" si="6"/>
        <v>0</v>
      </c>
      <c r="L29" s="798">
        <f t="shared" si="6"/>
        <v>0</v>
      </c>
      <c r="M29" s="798">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6" t="s">
        <v>188</v>
      </c>
      <c r="E33" s="3"/>
      <c r="F33" s="3"/>
      <c r="G33" s="3"/>
      <c r="H33" s="3"/>
      <c r="I33" s="3"/>
      <c r="J33" s="3"/>
      <c r="K33" s="3"/>
      <c r="L33" s="3"/>
      <c r="M33" s="3"/>
      <c r="N33" s="6"/>
      <c r="O33" s="22"/>
    </row>
    <row r="34" spans="2:15" ht="13.15" customHeight="1" x14ac:dyDescent="0.2">
      <c r="B34" s="210"/>
      <c r="C34" s="213"/>
      <c r="D34" s="1" t="s">
        <v>181</v>
      </c>
      <c r="E34" s="3"/>
      <c r="F34" s="767">
        <f>(SUMIF(mip!$D14:$D169,"gebouwen en terreinen",mip!R14:R169))</f>
        <v>0</v>
      </c>
      <c r="G34" s="767">
        <f>(SUMIF(mip!$D14:$D169,"gebouwen en terreinen",mip!S14:S169))</f>
        <v>0</v>
      </c>
      <c r="H34" s="767">
        <f>(SUMIF(mip!$D14:$D169,"gebouwen en terreinen",mip!T14:T169))</f>
        <v>0</v>
      </c>
      <c r="I34" s="767">
        <f>(SUMIF(mip!$D14:$D169,"gebouwen en terreinen",mip!U14:U169))</f>
        <v>0</v>
      </c>
      <c r="J34" s="767">
        <f>(SUMIF(mip!$D14:$D169,"gebouwen en terreinen",mip!V14:V169))</f>
        <v>0</v>
      </c>
      <c r="K34" s="767">
        <f>(SUMIF(mip!$D14:$D169,"gebouwen en terreinen",mip!W14:W169))</f>
        <v>0</v>
      </c>
      <c r="L34" s="767">
        <f>(SUMIF(mip!$D14:$D169,"gebouwen en terreinen",mip!X14:X169))</f>
        <v>0</v>
      </c>
      <c r="M34" s="767">
        <f>(SUMIF(mip!$D14:$D169,"gebouwen en terreinen",mip!Y14:Y169))</f>
        <v>0</v>
      </c>
      <c r="N34" s="6"/>
      <c r="O34" s="22"/>
    </row>
    <row r="35" spans="2:15" ht="13.15" customHeight="1" x14ac:dyDescent="0.2">
      <c r="B35" s="210"/>
      <c r="C35" s="213"/>
      <c r="D35" s="1" t="s">
        <v>182</v>
      </c>
      <c r="E35" s="3"/>
      <c r="F35" s="1002">
        <f>(SUMIF(mip!$D14:$D169,"inventaris en apparatuur",mip!R14:R169))</f>
        <v>0</v>
      </c>
      <c r="G35" s="1002">
        <f>(SUMIF(mip!$D14:$D169,"inventaris en apparatuur",mip!S14:S169))</f>
        <v>0</v>
      </c>
      <c r="H35" s="1002">
        <f>(SUMIF(mip!$D14:$D169,"inventaris en apparatuur",mip!T14:T169))</f>
        <v>0</v>
      </c>
      <c r="I35" s="1002">
        <f>(SUMIF(mip!$D14:$D169,"inventaris en apparatuur",mip!U14:U169))</f>
        <v>0</v>
      </c>
      <c r="J35" s="1002">
        <f>(SUMIF(mip!$D14:$D169,"inventaris en apparatuur",mip!V14:V169))</f>
        <v>0</v>
      </c>
      <c r="K35" s="1002">
        <f>(SUMIF(mip!$D14:$D169,"inventaris en apparatuur",mip!W14:W169))</f>
        <v>0</v>
      </c>
      <c r="L35" s="1002">
        <f>(SUMIF(mip!$D14:$D169,"inventaris en apparatuur",mip!X14:X169))</f>
        <v>0</v>
      </c>
      <c r="M35" s="1002">
        <f>(SUMIF(mip!$D14:$D169,"inventaris en apparatuur",mip!Y14:Y169))</f>
        <v>0</v>
      </c>
      <c r="N35" s="6"/>
      <c r="O35" s="22"/>
    </row>
    <row r="36" spans="2:15" ht="13.15" customHeight="1" x14ac:dyDescent="0.2">
      <c r="B36" s="210"/>
      <c r="C36" s="213"/>
      <c r="D36" s="215" t="s">
        <v>183</v>
      </c>
      <c r="E36" s="3"/>
      <c r="F36" s="997">
        <f>(SUMIF(mip!$D14:$D169,"meubilair",mip!R14:R169))</f>
        <v>15000</v>
      </c>
      <c r="G36" s="997">
        <f>(SUMIF(mip!$D14:$D169,"meubilair",mip!S14:S169))</f>
        <v>15000</v>
      </c>
      <c r="H36" s="997">
        <f>(SUMIF(mip!$D14:$D169,"meubilair",mip!T14:T169))</f>
        <v>15000</v>
      </c>
      <c r="I36" s="997">
        <f>(SUMIF(mip!$D14:$D169,"meubilair",mip!U14:U169))</f>
        <v>15000</v>
      </c>
      <c r="J36" s="997">
        <f>(SUMIF(mip!$D14:$D169,"meubilair",mip!V14:V169))</f>
        <v>15000</v>
      </c>
      <c r="K36" s="997">
        <f>(SUMIF(mip!$D14:$D169,"meubilair",mip!W14:W169))</f>
        <v>15000</v>
      </c>
      <c r="L36" s="997">
        <f>(SUMIF(mip!$D14:$D169,"meubilair",mip!X14:X169))</f>
        <v>15000</v>
      </c>
      <c r="M36" s="997">
        <f>(SUMIF(mip!$D14:$D169,"meubilair",mip!Y14:Y169))</f>
        <v>15000</v>
      </c>
      <c r="N36" s="6"/>
      <c r="O36" s="22"/>
    </row>
    <row r="37" spans="2:15" ht="13.15" customHeight="1" x14ac:dyDescent="0.2">
      <c r="B37" s="210"/>
      <c r="C37" s="213"/>
      <c r="D37" s="215" t="s">
        <v>184</v>
      </c>
      <c r="E37" s="3"/>
      <c r="F37" s="997">
        <f>(SUMIF(mip!$D14:$D169,"ICT",mip!R14:R169))</f>
        <v>0</v>
      </c>
      <c r="G37" s="997">
        <f>(SUMIF(mip!$D14:$D169,"ICT",mip!S14:S169))</f>
        <v>0</v>
      </c>
      <c r="H37" s="997">
        <f>(SUMIF(mip!$D14:$D169,"ICT",mip!T14:T169))</f>
        <v>0</v>
      </c>
      <c r="I37" s="997">
        <f>(SUMIF(mip!$D14:$D169,"ICT",mip!U14:U169))</f>
        <v>0</v>
      </c>
      <c r="J37" s="997">
        <f>(SUMIF(mip!$D14:$D169,"ICT",mip!V14:V169))</f>
        <v>0</v>
      </c>
      <c r="K37" s="997">
        <f>(SUMIF(mip!$D14:$D169,"ICT",mip!W14:W169))</f>
        <v>0</v>
      </c>
      <c r="L37" s="997">
        <f>(SUMIF(mip!$D14:$D169,"ICT",mip!X14:X169))</f>
        <v>0</v>
      </c>
      <c r="M37" s="997">
        <f>(SUMIF(mip!$D14:$D169,"ICT",mip!Y14:Y169))</f>
        <v>0</v>
      </c>
      <c r="N37" s="6"/>
      <c r="O37" s="22"/>
    </row>
    <row r="38" spans="2:15" ht="13.15" customHeight="1" x14ac:dyDescent="0.2">
      <c r="B38" s="210"/>
      <c r="C38" s="213"/>
      <c r="D38" s="1" t="s">
        <v>185</v>
      </c>
      <c r="E38" s="3"/>
      <c r="F38" s="997">
        <f>(SUMIF(mip!$D14:$D169,"leermiddelen po",mip!R14:R169))</f>
        <v>0</v>
      </c>
      <c r="G38" s="997">
        <f>(SUMIF(mip!$D14:$D169,"leermiddelen po",mip!S14:S169))</f>
        <v>0</v>
      </c>
      <c r="H38" s="997">
        <f>(SUMIF(mip!$D14:$D169,"leermiddelen po",mip!T14:T169))</f>
        <v>0</v>
      </c>
      <c r="I38" s="997">
        <f>(SUMIF(mip!$D14:$D169,"leermiddelen po",mip!U14:U169))</f>
        <v>0</v>
      </c>
      <c r="J38" s="997">
        <f>(SUMIF(mip!$D14:$D169,"leermiddelen po",mip!V14:V169))</f>
        <v>0</v>
      </c>
      <c r="K38" s="997">
        <f>(SUMIF(mip!$D14:$D169,"leermiddelen po",mip!W14:W169))</f>
        <v>0</v>
      </c>
      <c r="L38" s="997">
        <f>(SUMIF(mip!$D14:$D169,"leermiddelen po",mip!X14:X169))</f>
        <v>0</v>
      </c>
      <c r="M38" s="997">
        <f>(SUMIF(mip!$D14:$D169,"leermiddelen po",mip!Y14:Y169))</f>
        <v>0</v>
      </c>
      <c r="N38" s="6"/>
      <c r="O38" s="22"/>
    </row>
    <row r="39" spans="2:15" ht="13.15" customHeight="1" x14ac:dyDescent="0.2">
      <c r="B39" s="210"/>
      <c r="C39" s="213"/>
      <c r="D39" s="1" t="s">
        <v>186</v>
      </c>
      <c r="E39" s="3"/>
      <c r="F39" s="997">
        <f>(SUMIF(mip!$D14:$D169,"overige materiële vaste activa",mip!R14:R169))</f>
        <v>0</v>
      </c>
      <c r="G39" s="997">
        <f>(SUMIF(mip!$D14:$D169,"overige materiële vaste activa",mip!S14:S169))</f>
        <v>0</v>
      </c>
      <c r="H39" s="997">
        <f>(SUMIF(mip!$D14:$D169,"overige materiële vaste activa",mip!T14:T169))</f>
        <v>0</v>
      </c>
      <c r="I39" s="997">
        <f>(SUMIF(mip!$D14:$D169,"overige materiële vaste activa",mip!U14:U169))</f>
        <v>0</v>
      </c>
      <c r="J39" s="997">
        <f>(SUMIF(mip!$D14:$D169,"overige materiële vaste activa",mip!V14:V169))</f>
        <v>0</v>
      </c>
      <c r="K39" s="997">
        <f>(SUMIF(mip!$D14:$D169,"overige materiële vaste activa",mip!W14:W169))</f>
        <v>0</v>
      </c>
      <c r="L39" s="997">
        <f>(SUMIF(mip!$D14:$D169,"overige materiële vaste activa",mip!X14:X169))</f>
        <v>0</v>
      </c>
      <c r="M39" s="997">
        <f>(SUMIF(mip!$D14:$D169,"overige materiële vaste activa",mip!Y14:Y169))</f>
        <v>0</v>
      </c>
      <c r="N39" s="6"/>
      <c r="O39" s="22"/>
    </row>
    <row r="40" spans="2:15" s="35" customFormat="1" ht="13.15" customHeight="1" x14ac:dyDescent="0.2">
      <c r="B40" s="222"/>
      <c r="C40" s="27"/>
      <c r="D40" s="29" t="s">
        <v>141</v>
      </c>
      <c r="E40" s="29"/>
      <c r="F40" s="798">
        <f t="shared" ref="F40:L40" si="7">SUM(F34:F39)</f>
        <v>15000</v>
      </c>
      <c r="G40" s="798">
        <f t="shared" si="7"/>
        <v>15000</v>
      </c>
      <c r="H40" s="798">
        <f t="shared" si="7"/>
        <v>15000</v>
      </c>
      <c r="I40" s="798">
        <f t="shared" si="7"/>
        <v>15000</v>
      </c>
      <c r="J40" s="798">
        <f t="shared" si="7"/>
        <v>15000</v>
      </c>
      <c r="K40" s="798">
        <f t="shared" si="7"/>
        <v>15000</v>
      </c>
      <c r="L40" s="798">
        <f t="shared" si="7"/>
        <v>15000</v>
      </c>
      <c r="M40" s="604"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6" t="s">
        <v>189</v>
      </c>
      <c r="E44" s="3"/>
      <c r="F44" s="3"/>
      <c r="G44" s="3"/>
      <c r="H44" s="3"/>
      <c r="I44" s="3"/>
      <c r="J44" s="3"/>
      <c r="K44" s="3"/>
      <c r="L44" s="3"/>
      <c r="M44" s="3"/>
      <c r="N44" s="6"/>
      <c r="O44" s="22"/>
    </row>
    <row r="45" spans="2:15" ht="13.15" customHeight="1" x14ac:dyDescent="0.2">
      <c r="B45" s="210"/>
      <c r="C45" s="213"/>
      <c r="D45" s="1" t="s">
        <v>181</v>
      </c>
      <c r="E45" s="3"/>
      <c r="F45" s="1002">
        <f>F12+F23-F34</f>
        <v>0</v>
      </c>
      <c r="G45" s="1002">
        <f t="shared" ref="G45:L45" si="8">G12+G23-G34</f>
        <v>0</v>
      </c>
      <c r="H45" s="1002">
        <f t="shared" si="8"/>
        <v>0</v>
      </c>
      <c r="I45" s="1002">
        <f t="shared" si="8"/>
        <v>0</v>
      </c>
      <c r="J45" s="1002">
        <f t="shared" si="8"/>
        <v>0</v>
      </c>
      <c r="K45" s="1002">
        <f t="shared" si="8"/>
        <v>0</v>
      </c>
      <c r="L45" s="1002">
        <f t="shared" si="8"/>
        <v>0</v>
      </c>
      <c r="M45" s="1002" t="e">
        <f>M12+M23-M34-#REF!</f>
        <v>#REF!</v>
      </c>
      <c r="N45" s="6"/>
      <c r="O45" s="22"/>
    </row>
    <row r="46" spans="2:15" ht="13.15" customHeight="1" x14ac:dyDescent="0.2">
      <c r="B46" s="210"/>
      <c r="C46" s="213"/>
      <c r="D46" s="1" t="s">
        <v>182</v>
      </c>
      <c r="E46" s="3"/>
      <c r="F46" s="1002">
        <f t="shared" ref="F46:L50" si="9">F13+F24-F35</f>
        <v>0</v>
      </c>
      <c r="G46" s="1002">
        <f t="shared" si="9"/>
        <v>0</v>
      </c>
      <c r="H46" s="1002">
        <f t="shared" si="9"/>
        <v>0</v>
      </c>
      <c r="I46" s="1002">
        <f t="shared" si="9"/>
        <v>0</v>
      </c>
      <c r="J46" s="1002">
        <f t="shared" si="9"/>
        <v>0</v>
      </c>
      <c r="K46" s="1002">
        <f t="shared" si="9"/>
        <v>0</v>
      </c>
      <c r="L46" s="1002">
        <f t="shared" si="9"/>
        <v>0</v>
      </c>
      <c r="M46" s="1002" t="e">
        <f>M13+M24-M35-#REF!</f>
        <v>#REF!</v>
      </c>
      <c r="N46" s="6"/>
      <c r="O46" s="22"/>
    </row>
    <row r="47" spans="2:15" ht="13.15" customHeight="1" x14ac:dyDescent="0.2">
      <c r="B47" s="210"/>
      <c r="C47" s="213"/>
      <c r="D47" s="215" t="s">
        <v>183</v>
      </c>
      <c r="E47" s="3"/>
      <c r="F47" s="1002">
        <f t="shared" si="9"/>
        <v>30000</v>
      </c>
      <c r="G47" s="1002">
        <f t="shared" si="9"/>
        <v>15000</v>
      </c>
      <c r="H47" s="1002">
        <f t="shared" si="9"/>
        <v>0</v>
      </c>
      <c r="I47" s="1002">
        <f t="shared" si="9"/>
        <v>60000</v>
      </c>
      <c r="J47" s="1002">
        <f t="shared" si="9"/>
        <v>45000</v>
      </c>
      <c r="K47" s="1002">
        <f t="shared" si="9"/>
        <v>30000</v>
      </c>
      <c r="L47" s="1002">
        <f t="shared" si="9"/>
        <v>15000</v>
      </c>
      <c r="M47" s="1002" t="e">
        <f>M14+M25-M36-#REF!</f>
        <v>#REF!</v>
      </c>
      <c r="N47" s="6"/>
      <c r="O47" s="22"/>
    </row>
    <row r="48" spans="2:15" ht="13.15" customHeight="1" x14ac:dyDescent="0.2">
      <c r="B48" s="210"/>
      <c r="C48" s="213"/>
      <c r="D48" s="215" t="s">
        <v>184</v>
      </c>
      <c r="E48" s="3"/>
      <c r="F48" s="1002">
        <f t="shared" si="9"/>
        <v>0</v>
      </c>
      <c r="G48" s="1002">
        <f t="shared" si="9"/>
        <v>0</v>
      </c>
      <c r="H48" s="1002">
        <f t="shared" si="9"/>
        <v>0</v>
      </c>
      <c r="I48" s="1002">
        <f t="shared" si="9"/>
        <v>0</v>
      </c>
      <c r="J48" s="1002">
        <f t="shared" si="9"/>
        <v>0</v>
      </c>
      <c r="K48" s="1002">
        <f t="shared" si="9"/>
        <v>0</v>
      </c>
      <c r="L48" s="1002">
        <f t="shared" si="9"/>
        <v>0</v>
      </c>
      <c r="M48" s="1002" t="e">
        <f>M15+M26-M37-#REF!</f>
        <v>#REF!</v>
      </c>
      <c r="N48" s="6"/>
      <c r="O48" s="22"/>
    </row>
    <row r="49" spans="2:15" ht="13.15" customHeight="1" x14ac:dyDescent="0.2">
      <c r="B49" s="210"/>
      <c r="C49" s="213"/>
      <c r="D49" s="1" t="s">
        <v>185</v>
      </c>
      <c r="E49" s="3"/>
      <c r="F49" s="1002">
        <f t="shared" si="9"/>
        <v>0</v>
      </c>
      <c r="G49" s="1002">
        <f t="shared" si="9"/>
        <v>0</v>
      </c>
      <c r="H49" s="1002">
        <f t="shared" si="9"/>
        <v>0</v>
      </c>
      <c r="I49" s="1002">
        <f t="shared" si="9"/>
        <v>0</v>
      </c>
      <c r="J49" s="1002">
        <f t="shared" si="9"/>
        <v>0</v>
      </c>
      <c r="K49" s="1002">
        <f t="shared" si="9"/>
        <v>0</v>
      </c>
      <c r="L49" s="1002">
        <f t="shared" si="9"/>
        <v>0</v>
      </c>
      <c r="M49" s="1002" t="e">
        <f>M16+M27-M38-#REF!</f>
        <v>#REF!</v>
      </c>
      <c r="N49" s="6"/>
      <c r="O49" s="22"/>
    </row>
    <row r="50" spans="2:15" ht="13.15" customHeight="1" x14ac:dyDescent="0.2">
      <c r="B50" s="210"/>
      <c r="C50" s="213"/>
      <c r="D50" s="1" t="s">
        <v>186</v>
      </c>
      <c r="E50" s="3"/>
      <c r="F50" s="1002">
        <f t="shared" si="9"/>
        <v>0</v>
      </c>
      <c r="G50" s="1002">
        <f t="shared" si="9"/>
        <v>0</v>
      </c>
      <c r="H50" s="1002">
        <f t="shared" si="9"/>
        <v>0</v>
      </c>
      <c r="I50" s="1002">
        <f t="shared" si="9"/>
        <v>0</v>
      </c>
      <c r="J50" s="1002">
        <f t="shared" si="9"/>
        <v>0</v>
      </c>
      <c r="K50" s="1002">
        <f t="shared" si="9"/>
        <v>0</v>
      </c>
      <c r="L50" s="1002">
        <f t="shared" si="9"/>
        <v>0</v>
      </c>
      <c r="M50" s="1002" t="e">
        <f>M17+M28-M39-#REF!</f>
        <v>#REF!</v>
      </c>
      <c r="N50" s="6"/>
      <c r="O50" s="22"/>
    </row>
    <row r="51" spans="2:15" ht="13.15" customHeight="1" x14ac:dyDescent="0.2">
      <c r="B51" s="225"/>
      <c r="C51" s="226"/>
      <c r="D51" s="686" t="s">
        <v>141</v>
      </c>
      <c r="E51" s="29"/>
      <c r="F51" s="769">
        <f t="shared" ref="F51:M51" si="10">SUM(F45:F50)</f>
        <v>30000</v>
      </c>
      <c r="G51" s="769">
        <f t="shared" si="10"/>
        <v>15000</v>
      </c>
      <c r="H51" s="769">
        <f t="shared" si="10"/>
        <v>0</v>
      </c>
      <c r="I51" s="769">
        <f t="shared" si="10"/>
        <v>60000</v>
      </c>
      <c r="J51" s="769">
        <f t="shared" si="10"/>
        <v>45000</v>
      </c>
      <c r="K51" s="769">
        <f t="shared" si="10"/>
        <v>30000</v>
      </c>
      <c r="L51" s="769">
        <f t="shared" si="10"/>
        <v>15000</v>
      </c>
      <c r="M51" s="769"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84"/>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WFUs0Dm0Pm1VkwVY6NtwjgA+GhUIykalNXECeglDZOdaCXnHRluLxcGUXz8p2bhOu0fAa27DhxKH+6vCdVROFw==" saltValue="TZ4C+PHhB80621IQUE0agA=="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04"/>
  <sheetViews>
    <sheetView zoomScale="85" zoomScaleNormal="85"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11" width="14.7109375" style="34"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190</v>
      </c>
      <c r="D4" s="16"/>
      <c r="E4" s="228"/>
      <c r="F4" s="228"/>
      <c r="G4" s="228"/>
      <c r="H4" s="228"/>
      <c r="I4" s="228"/>
      <c r="J4" s="228"/>
      <c r="K4" s="228"/>
      <c r="L4" s="228"/>
      <c r="M4" s="228"/>
      <c r="N4" s="156"/>
    </row>
    <row r="5" spans="2:14" ht="13.15" customHeight="1" x14ac:dyDescent="0.3">
      <c r="B5" s="177"/>
      <c r="C5" s="96" t="str">
        <f>+geg!H9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83"/>
      <c r="E8" s="178"/>
      <c r="F8" s="993">
        <f>tab!D4</f>
        <v>2019</v>
      </c>
      <c r="G8" s="993">
        <f>tab!E4</f>
        <v>2020</v>
      </c>
      <c r="H8" s="993">
        <f>tab!F4</f>
        <v>2021</v>
      </c>
      <c r="I8" s="993">
        <f>tab!G4</f>
        <v>2022</v>
      </c>
      <c r="J8" s="993">
        <f>tab!H4</f>
        <v>2023</v>
      </c>
      <c r="K8" s="993">
        <f>tab!I4</f>
        <v>2024</v>
      </c>
      <c r="L8" s="993">
        <f>+tab!I4</f>
        <v>2024</v>
      </c>
      <c r="M8" s="993"/>
      <c r="N8" s="1199"/>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5" t="s">
        <v>191</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03" t="s">
        <v>192</v>
      </c>
      <c r="E13" s="233"/>
      <c r="F13" s="3"/>
      <c r="G13" s="3"/>
      <c r="H13" s="3"/>
      <c r="I13" s="3"/>
      <c r="J13" s="6"/>
      <c r="K13" s="6"/>
      <c r="L13" s="6"/>
      <c r="N13" s="22"/>
    </row>
    <row r="14" spans="2:14" ht="13.15" customHeight="1" x14ac:dyDescent="0.2">
      <c r="B14" s="18"/>
      <c r="C14" s="31"/>
      <c r="D14" s="1" t="s">
        <v>193</v>
      </c>
      <c r="E14" s="3"/>
      <c r="F14" s="1078">
        <v>0</v>
      </c>
      <c r="G14" s="1079">
        <f>SUM(baten!H186:'baten'!H191)+SUM(baten!H201:'baten'!H204)-(baten!H192+baten!H205)</f>
        <v>3588510.3255000003</v>
      </c>
      <c r="H14" s="1079">
        <f>SUM(baten!I186:'baten'!I191)+SUM(baten!I201:'baten'!I204)-(baten!I192+baten!I205)</f>
        <v>4003480.8286000001</v>
      </c>
      <c r="I14" s="1079">
        <f>SUM(baten!J186:'baten'!J191)+SUM(baten!J201:'baten'!J204)-(baten!J192+baten!J205)</f>
        <v>4091474.0391666666</v>
      </c>
      <c r="J14" s="1079">
        <f>SUM(baten!K186:'baten'!K191)+SUM(baten!K201:'baten'!K204)-(baten!K192+baten!K205)</f>
        <v>4109620.0291666668</v>
      </c>
      <c r="K14" s="1079">
        <f>SUM(baten!L186:'baten'!L191)+SUM(baten!L201:'baten'!L204)-(baten!L192+baten!L205)</f>
        <v>4127766.0191666665</v>
      </c>
      <c r="L14" s="1079">
        <f>SUM(baten!M186:'baten'!M191)+SUM(baten!M201:'baten'!M204)-(baten!M192+baten!M205)</f>
        <v>0</v>
      </c>
      <c r="N14" s="22"/>
    </row>
    <row r="15" spans="2:14" ht="13.15" customHeight="1" x14ac:dyDescent="0.2">
      <c r="B15" s="18"/>
      <c r="C15" s="31"/>
      <c r="D15" s="1" t="s">
        <v>194</v>
      </c>
      <c r="E15" s="3"/>
      <c r="F15" s="1078">
        <v>0</v>
      </c>
      <c r="G15" s="1080">
        <f>+baten!H193</f>
        <v>5910.6133333333337</v>
      </c>
      <c r="H15" s="1080">
        <f>+baten!I193</f>
        <v>0</v>
      </c>
      <c r="I15" s="1080">
        <f>+baten!J193</f>
        <v>0</v>
      </c>
      <c r="J15" s="1080">
        <f>+baten!K193</f>
        <v>0</v>
      </c>
      <c r="K15" s="1080">
        <f>+baten!L193</f>
        <v>0</v>
      </c>
      <c r="L15" s="1080">
        <f>+baten!M193</f>
        <v>0</v>
      </c>
      <c r="N15" s="22"/>
    </row>
    <row r="16" spans="2:14" ht="13.15" customHeight="1" x14ac:dyDescent="0.2">
      <c r="B16" s="18"/>
      <c r="C16" s="31"/>
      <c r="D16" s="1" t="s">
        <v>195</v>
      </c>
      <c r="E16" s="3"/>
      <c r="F16" s="1078">
        <v>0</v>
      </c>
      <c r="G16" s="1079">
        <v>0</v>
      </c>
      <c r="H16" s="1079">
        <v>0</v>
      </c>
      <c r="I16" s="1079">
        <v>0</v>
      </c>
      <c r="J16" s="1079">
        <v>0</v>
      </c>
      <c r="K16" s="1079">
        <v>0</v>
      </c>
      <c r="L16" s="1079">
        <v>0</v>
      </c>
      <c r="N16" s="22"/>
    </row>
    <row r="17" spans="2:14" ht="13.15" customHeight="1" x14ac:dyDescent="0.2">
      <c r="B17" s="18"/>
      <c r="C17" s="31"/>
      <c r="D17" s="1" t="s">
        <v>196</v>
      </c>
      <c r="E17" s="3"/>
      <c r="F17" s="1078">
        <v>0</v>
      </c>
      <c r="G17" s="1079">
        <f>+baten!H195</f>
        <v>0</v>
      </c>
      <c r="H17" s="1079">
        <f>+baten!I195</f>
        <v>0</v>
      </c>
      <c r="I17" s="1079">
        <f>+baten!J195</f>
        <v>0</v>
      </c>
      <c r="J17" s="1079">
        <f>+baten!K195</f>
        <v>0</v>
      </c>
      <c r="K17" s="1079">
        <f>+baten!L195</f>
        <v>0</v>
      </c>
      <c r="L17" s="1079">
        <f>+baten!M195</f>
        <v>0</v>
      </c>
      <c r="N17" s="22"/>
    </row>
    <row r="18" spans="2:14" ht="13.15" customHeight="1" x14ac:dyDescent="0.2">
      <c r="B18" s="18"/>
      <c r="C18" s="31"/>
      <c r="D18" s="1" t="s">
        <v>197</v>
      </c>
      <c r="E18" s="3"/>
      <c r="F18" s="1078">
        <v>0</v>
      </c>
      <c r="G18" s="1079">
        <f>+baten!H194</f>
        <v>20736.466666666667</v>
      </c>
      <c r="H18" s="1079">
        <f>+baten!I194</f>
        <v>29031.053333333333</v>
      </c>
      <c r="I18" s="1079">
        <f>+baten!J194</f>
        <v>0</v>
      </c>
      <c r="J18" s="1079">
        <f>+baten!K194</f>
        <v>0</v>
      </c>
      <c r="K18" s="1079">
        <f>+baten!L194</f>
        <v>0</v>
      </c>
      <c r="L18" s="1079">
        <f>+baten!M194</f>
        <v>0</v>
      </c>
      <c r="N18" s="22"/>
    </row>
    <row r="19" spans="2:14" ht="13.15" customHeight="1" x14ac:dyDescent="0.2">
      <c r="B19" s="18"/>
      <c r="C19" s="31"/>
      <c r="D19" s="28"/>
      <c r="E19" s="29"/>
      <c r="F19" s="1081">
        <f t="shared" ref="F19:K19" si="0">SUM(F14:F18)</f>
        <v>0</v>
      </c>
      <c r="G19" s="1081">
        <f t="shared" si="0"/>
        <v>3615157.4055000003</v>
      </c>
      <c r="H19" s="1081">
        <f t="shared" si="0"/>
        <v>4032511.8819333334</v>
      </c>
      <c r="I19" s="1081">
        <f t="shared" si="0"/>
        <v>4091474.0391666666</v>
      </c>
      <c r="J19" s="1081">
        <f t="shared" si="0"/>
        <v>4109620.0291666668</v>
      </c>
      <c r="K19" s="1081">
        <f t="shared" si="0"/>
        <v>4127766.0191666665</v>
      </c>
      <c r="L19" s="1081">
        <f>SUM(L14:L18)</f>
        <v>0</v>
      </c>
      <c r="N19" s="22"/>
    </row>
    <row r="20" spans="2:14" ht="13.15" customHeight="1" x14ac:dyDescent="0.2">
      <c r="B20" s="234"/>
      <c r="C20" s="235"/>
      <c r="D20" s="1003" t="s">
        <v>198</v>
      </c>
      <c r="E20" s="29"/>
      <c r="F20" s="1082"/>
      <c r="G20" s="1082"/>
      <c r="H20" s="1082"/>
      <c r="I20" s="1082"/>
      <c r="J20" s="1083"/>
      <c r="K20" s="1083"/>
      <c r="L20" s="1083"/>
      <c r="N20" s="22"/>
    </row>
    <row r="21" spans="2:14" ht="13.15" customHeight="1" x14ac:dyDescent="0.2">
      <c r="B21" s="18"/>
      <c r="C21" s="31"/>
      <c r="D21" s="236" t="s">
        <v>201</v>
      </c>
      <c r="E21" s="219"/>
      <c r="F21" s="1084">
        <v>0</v>
      </c>
      <c r="G21" s="1080">
        <f>+lasten!J150+lasten!J151</f>
        <v>221756.52920000005</v>
      </c>
      <c r="H21" s="1080">
        <f>+lasten!K150+lasten!K151</f>
        <v>218099.20000000001</v>
      </c>
      <c r="I21" s="1080">
        <f>+lasten!L150+lasten!L151</f>
        <v>224529.60000000003</v>
      </c>
      <c r="J21" s="1080">
        <f>+lasten!M150+lasten!M151</f>
        <v>231070.40000000002</v>
      </c>
      <c r="K21" s="1080">
        <f>+lasten!N150+lasten!N151</f>
        <v>234912.00000000003</v>
      </c>
      <c r="L21" s="1080" t="e">
        <f>+lasten!#REF!+lasten!#REF!</f>
        <v>#REF!</v>
      </c>
      <c r="N21" s="22"/>
    </row>
    <row r="22" spans="2:14" ht="13.15" customHeight="1" x14ac:dyDescent="0.2">
      <c r="B22" s="18"/>
      <c r="C22" s="31"/>
      <c r="D22" s="3" t="s">
        <v>202</v>
      </c>
      <c r="E22" s="3"/>
      <c r="F22" s="1084">
        <v>0</v>
      </c>
      <c r="G22" s="1085">
        <f>lasten!J152</f>
        <v>15000</v>
      </c>
      <c r="H22" s="1085">
        <f>lasten!K152</f>
        <v>15000</v>
      </c>
      <c r="I22" s="1085">
        <f>lasten!L152</f>
        <v>15000</v>
      </c>
      <c r="J22" s="1085">
        <f>lasten!M152</f>
        <v>15000</v>
      </c>
      <c r="K22" s="1085">
        <f>lasten!N152</f>
        <v>15000</v>
      </c>
      <c r="L22" s="1085" t="e">
        <f>lasten!#REF!</f>
        <v>#REF!</v>
      </c>
      <c r="N22" s="22"/>
    </row>
    <row r="23" spans="2:14" ht="13.15" customHeight="1" x14ac:dyDescent="0.2">
      <c r="B23" s="18"/>
      <c r="C23" s="31"/>
      <c r="D23" s="3" t="s">
        <v>203</v>
      </c>
      <c r="E23" s="3"/>
      <c r="F23" s="1084">
        <v>0</v>
      </c>
      <c r="G23" s="1085">
        <f>lasten!J153</f>
        <v>0</v>
      </c>
      <c r="H23" s="1085">
        <f>lasten!K153</f>
        <v>0</v>
      </c>
      <c r="I23" s="1085">
        <f>lasten!L153</f>
        <v>0</v>
      </c>
      <c r="J23" s="1085">
        <f>lasten!M153</f>
        <v>0</v>
      </c>
      <c r="K23" s="1085">
        <f>lasten!N153</f>
        <v>0</v>
      </c>
      <c r="L23" s="1085" t="e">
        <f>lasten!#REF!</f>
        <v>#REF!</v>
      </c>
      <c r="N23" s="22"/>
    </row>
    <row r="24" spans="2:14" ht="13.15" customHeight="1" x14ac:dyDescent="0.2">
      <c r="B24" s="18"/>
      <c r="C24" s="31"/>
      <c r="D24" s="3" t="s">
        <v>204</v>
      </c>
      <c r="E24" s="3"/>
      <c r="F24" s="1084">
        <v>0</v>
      </c>
      <c r="G24" s="1085">
        <f>lasten!J154</f>
        <v>0</v>
      </c>
      <c r="H24" s="1085">
        <f>lasten!K154</f>
        <v>0</v>
      </c>
      <c r="I24" s="1085">
        <f>lasten!L154</f>
        <v>0</v>
      </c>
      <c r="J24" s="1085">
        <f>lasten!M154</f>
        <v>0</v>
      </c>
      <c r="K24" s="1085">
        <f>lasten!N154</f>
        <v>0</v>
      </c>
      <c r="L24" s="1085" t="e">
        <f>lasten!#REF!</f>
        <v>#REF!</v>
      </c>
      <c r="N24" s="22"/>
    </row>
    <row r="25" spans="2:14" ht="13.15" customHeight="1" x14ac:dyDescent="0.2">
      <c r="B25" s="18"/>
      <c r="C25" s="31"/>
      <c r="D25" s="28"/>
      <c r="E25" s="3"/>
      <c r="F25" s="1081">
        <f t="shared" ref="F25:K25" si="1">SUM(F21:F24)</f>
        <v>0</v>
      </c>
      <c r="G25" s="1081">
        <f t="shared" si="1"/>
        <v>236756.52920000005</v>
      </c>
      <c r="H25" s="1081">
        <f t="shared" si="1"/>
        <v>233099.2</v>
      </c>
      <c r="I25" s="1081">
        <f t="shared" si="1"/>
        <v>239529.60000000003</v>
      </c>
      <c r="J25" s="1081">
        <f t="shared" si="1"/>
        <v>246070.40000000002</v>
      </c>
      <c r="K25" s="1081">
        <f t="shared" si="1"/>
        <v>249912.00000000003</v>
      </c>
      <c r="L25" s="1081" t="e">
        <f>SUM(L21:L24)</f>
        <v>#REF!</v>
      </c>
      <c r="N25" s="22"/>
    </row>
    <row r="26" spans="2:14" ht="13.15" customHeight="1" x14ac:dyDescent="0.2">
      <c r="B26" s="18"/>
      <c r="C26" s="31"/>
      <c r="D26" s="237"/>
      <c r="E26" s="219"/>
      <c r="F26" s="1086"/>
      <c r="G26" s="1086"/>
      <c r="H26" s="1086"/>
      <c r="I26" s="1086"/>
      <c r="J26" s="1087"/>
      <c r="K26" s="1087"/>
      <c r="L26" s="1087"/>
      <c r="N26" s="22"/>
    </row>
    <row r="27" spans="2:14" ht="13.15" customHeight="1" x14ac:dyDescent="0.2">
      <c r="B27" s="222"/>
      <c r="C27" s="27"/>
      <c r="D27" s="686" t="s">
        <v>205</v>
      </c>
      <c r="E27" s="219"/>
      <c r="F27" s="1088">
        <f t="shared" ref="F27:L27" si="2">F19-F25</f>
        <v>0</v>
      </c>
      <c r="G27" s="1088">
        <f t="shared" si="2"/>
        <v>3378400.8763000001</v>
      </c>
      <c r="H27" s="1088">
        <f t="shared" si="2"/>
        <v>3799412.6819333332</v>
      </c>
      <c r="I27" s="1088">
        <f t="shared" si="2"/>
        <v>3851944.4391666665</v>
      </c>
      <c r="J27" s="1088">
        <f t="shared" si="2"/>
        <v>3863549.6291666669</v>
      </c>
      <c r="K27" s="1088">
        <f t="shared" si="2"/>
        <v>3877854.0191666665</v>
      </c>
      <c r="L27" s="1088" t="e">
        <f t="shared" si="2"/>
        <v>#REF!</v>
      </c>
      <c r="N27" s="22"/>
    </row>
    <row r="28" spans="2:14" ht="13.15" customHeight="1" x14ac:dyDescent="0.2">
      <c r="B28" s="18"/>
      <c r="C28" s="36"/>
      <c r="D28" s="238"/>
      <c r="E28" s="239"/>
      <c r="F28" s="1089"/>
      <c r="G28" s="1089"/>
      <c r="H28" s="1089"/>
      <c r="I28" s="1089"/>
      <c r="J28" s="1090"/>
      <c r="K28" s="1090"/>
      <c r="L28" s="1090"/>
      <c r="N28" s="22"/>
    </row>
    <row r="29" spans="2:14" ht="13.15" customHeight="1" x14ac:dyDescent="0.2">
      <c r="B29" s="18"/>
      <c r="C29" s="20"/>
      <c r="D29" s="197"/>
      <c r="E29" s="240"/>
      <c r="F29" s="1091"/>
      <c r="G29" s="1091"/>
      <c r="H29" s="1091"/>
      <c r="I29" s="1091"/>
      <c r="J29" s="1091"/>
      <c r="K29" s="1091"/>
      <c r="L29" s="1091"/>
      <c r="M29" s="20"/>
      <c r="N29" s="22"/>
    </row>
    <row r="30" spans="2:14" ht="13.15" customHeight="1" x14ac:dyDescent="0.2">
      <c r="B30" s="18"/>
      <c r="C30" s="23"/>
      <c r="D30" s="200"/>
      <c r="E30" s="241"/>
      <c r="F30" s="1092"/>
      <c r="G30" s="1092"/>
      <c r="H30" s="1092"/>
      <c r="I30" s="1092"/>
      <c r="J30" s="1093"/>
      <c r="K30" s="1093"/>
      <c r="L30" s="1093"/>
      <c r="N30" s="22"/>
    </row>
    <row r="31" spans="2:14" ht="13.15" customHeight="1" x14ac:dyDescent="0.2">
      <c r="B31" s="18"/>
      <c r="C31" s="31"/>
      <c r="D31" s="686" t="s">
        <v>206</v>
      </c>
      <c r="E31" s="219"/>
      <c r="F31" s="1094"/>
      <c r="G31" s="1094"/>
      <c r="H31" s="1094"/>
      <c r="I31" s="1094"/>
      <c r="J31" s="1095"/>
      <c r="K31" s="1095"/>
      <c r="L31" s="1095"/>
      <c r="N31" s="22"/>
    </row>
    <row r="32" spans="2:14" ht="13.15" customHeight="1" x14ac:dyDescent="0.2">
      <c r="B32" s="18"/>
      <c r="C32" s="31"/>
      <c r="D32" s="205"/>
      <c r="E32" s="219"/>
      <c r="F32" s="1094"/>
      <c r="G32" s="1094"/>
      <c r="H32" s="1094"/>
      <c r="I32" s="1094"/>
      <c r="J32" s="1095"/>
      <c r="K32" s="1095"/>
      <c r="L32" s="1095"/>
      <c r="N32" s="22"/>
    </row>
    <row r="33" spans="2:14" ht="13.15" customHeight="1" x14ac:dyDescent="0.2">
      <c r="B33" s="18"/>
      <c r="C33" s="31"/>
      <c r="D33" s="1" t="s">
        <v>207</v>
      </c>
      <c r="E33" s="219"/>
      <c r="F33" s="1078">
        <v>0</v>
      </c>
      <c r="G33" s="1078">
        <v>0</v>
      </c>
      <c r="H33" s="1078">
        <v>0</v>
      </c>
      <c r="I33" s="1078">
        <v>0</v>
      </c>
      <c r="J33" s="1078">
        <v>0</v>
      </c>
      <c r="K33" s="1078">
        <v>0</v>
      </c>
      <c r="L33" s="1078">
        <v>0</v>
      </c>
      <c r="N33" s="22"/>
    </row>
    <row r="34" spans="2:14" ht="13.15" customHeight="1" x14ac:dyDescent="0.2">
      <c r="B34" s="18"/>
      <c r="C34" s="31"/>
      <c r="D34" s="1" t="s">
        <v>208</v>
      </c>
      <c r="E34" s="219"/>
      <c r="F34" s="1078">
        <v>0</v>
      </c>
      <c r="G34" s="1078">
        <v>0</v>
      </c>
      <c r="H34" s="1078">
        <v>0</v>
      </c>
      <c r="I34" s="1078">
        <v>0</v>
      </c>
      <c r="J34" s="1078">
        <v>0</v>
      </c>
      <c r="K34" s="1078">
        <v>0</v>
      </c>
      <c r="L34" s="1078">
        <v>0</v>
      </c>
      <c r="N34" s="22"/>
    </row>
    <row r="35" spans="2:14" ht="13.15" customHeight="1" x14ac:dyDescent="0.2">
      <c r="B35" s="18"/>
      <c r="C35" s="31"/>
      <c r="D35" s="1"/>
      <c r="E35" s="219"/>
      <c r="F35" s="1094"/>
      <c r="G35" s="1094"/>
      <c r="H35" s="1094"/>
      <c r="I35" s="1094"/>
      <c r="J35" s="1094"/>
      <c r="K35" s="1095"/>
      <c r="L35" s="1095"/>
      <c r="N35" s="22"/>
    </row>
    <row r="36" spans="2:14" s="35" customFormat="1" ht="13.15" customHeight="1" x14ac:dyDescent="0.2">
      <c r="B36" s="222"/>
      <c r="C36" s="27"/>
      <c r="D36" s="686" t="s">
        <v>209</v>
      </c>
      <c r="E36" s="29"/>
      <c r="F36" s="1088">
        <f t="shared" ref="F36:K36" si="3">F33-F34</f>
        <v>0</v>
      </c>
      <c r="G36" s="1088">
        <f t="shared" si="3"/>
        <v>0</v>
      </c>
      <c r="H36" s="1088">
        <f t="shared" si="3"/>
        <v>0</v>
      </c>
      <c r="I36" s="1088">
        <f t="shared" si="3"/>
        <v>0</v>
      </c>
      <c r="J36" s="1088">
        <f t="shared" si="3"/>
        <v>0</v>
      </c>
      <c r="K36" s="1088">
        <f t="shared" si="3"/>
        <v>0</v>
      </c>
      <c r="L36" s="1088">
        <f>L33-L34</f>
        <v>0</v>
      </c>
      <c r="N36" s="224"/>
    </row>
    <row r="37" spans="2:14" ht="13.15" customHeight="1" x14ac:dyDescent="0.2">
      <c r="B37" s="18"/>
      <c r="C37" s="31"/>
      <c r="D37" s="1"/>
      <c r="E37" s="219"/>
      <c r="F37" s="1094"/>
      <c r="G37" s="1094"/>
      <c r="H37" s="1094"/>
      <c r="I37" s="1094"/>
      <c r="J37" s="1095"/>
      <c r="K37" s="1095"/>
      <c r="L37" s="1095"/>
      <c r="N37" s="22"/>
    </row>
    <row r="38" spans="2:14" ht="13.15" customHeight="1" x14ac:dyDescent="0.2">
      <c r="B38" s="18"/>
      <c r="C38" s="20"/>
      <c r="D38" s="197"/>
      <c r="E38" s="240"/>
      <c r="F38" s="1091"/>
      <c r="G38" s="1091"/>
      <c r="H38" s="1091"/>
      <c r="I38" s="1091"/>
      <c r="J38" s="1091"/>
      <c r="K38" s="1091"/>
      <c r="L38" s="1091"/>
      <c r="M38" s="20"/>
      <c r="N38" s="22"/>
    </row>
    <row r="39" spans="2:14" ht="13.15" customHeight="1" x14ac:dyDescent="0.2">
      <c r="B39" s="18"/>
      <c r="C39" s="31"/>
      <c r="D39" s="1"/>
      <c r="E39" s="219"/>
      <c r="F39" s="1094"/>
      <c r="G39" s="1094"/>
      <c r="H39" s="1094"/>
      <c r="I39" s="1094"/>
      <c r="J39" s="1095"/>
      <c r="K39" s="1095"/>
      <c r="L39" s="1095"/>
      <c r="N39" s="22"/>
    </row>
    <row r="40" spans="2:14" s="35" customFormat="1" ht="13.15" customHeight="1" x14ac:dyDescent="0.2">
      <c r="B40" s="222"/>
      <c r="C40" s="27"/>
      <c r="D40" s="686" t="s">
        <v>210</v>
      </c>
      <c r="E40" s="29"/>
      <c r="F40" s="1088">
        <f t="shared" ref="F40:K40" si="4">F27+F36</f>
        <v>0</v>
      </c>
      <c r="G40" s="1088">
        <f t="shared" si="4"/>
        <v>3378400.8763000001</v>
      </c>
      <c r="H40" s="1088">
        <f t="shared" si="4"/>
        <v>3799412.6819333332</v>
      </c>
      <c r="I40" s="1088">
        <f t="shared" si="4"/>
        <v>3851944.4391666665</v>
      </c>
      <c r="J40" s="1088">
        <f t="shared" si="4"/>
        <v>3863549.6291666669</v>
      </c>
      <c r="K40" s="1088">
        <f t="shared" si="4"/>
        <v>3877854.0191666665</v>
      </c>
      <c r="L40" s="1088" t="e">
        <f>L27+L36</f>
        <v>#REF!</v>
      </c>
      <c r="N40" s="224"/>
    </row>
    <row r="41" spans="2:14" ht="13.15" customHeight="1" x14ac:dyDescent="0.2">
      <c r="B41" s="18"/>
      <c r="C41" s="31"/>
      <c r="D41" s="1"/>
      <c r="E41" s="219"/>
      <c r="F41" s="1094"/>
      <c r="G41" s="1094"/>
      <c r="H41" s="1094"/>
      <c r="I41" s="1094"/>
      <c r="J41" s="1095"/>
      <c r="K41" s="1095"/>
      <c r="L41" s="1095"/>
      <c r="N41" s="22"/>
    </row>
    <row r="42" spans="2:14" ht="13.15" customHeight="1" x14ac:dyDescent="0.2">
      <c r="B42" s="18"/>
      <c r="C42" s="20"/>
      <c r="D42" s="197"/>
      <c r="E42" s="240"/>
      <c r="F42" s="1091"/>
      <c r="G42" s="1091"/>
      <c r="H42" s="1091"/>
      <c r="I42" s="1091"/>
      <c r="J42" s="1091"/>
      <c r="K42" s="1091"/>
      <c r="L42" s="1091"/>
      <c r="M42" s="20"/>
      <c r="N42" s="22"/>
    </row>
    <row r="43" spans="2:14" ht="13.15" customHeight="1" x14ac:dyDescent="0.2">
      <c r="B43" s="18"/>
      <c r="C43" s="20"/>
      <c r="D43" s="197"/>
      <c r="E43" s="240"/>
      <c r="F43" s="1091"/>
      <c r="G43" s="1091"/>
      <c r="H43" s="1091"/>
      <c r="I43" s="1091"/>
      <c r="J43" s="1091"/>
      <c r="K43" s="1091"/>
      <c r="L43" s="1091"/>
      <c r="M43" s="20"/>
      <c r="N43" s="22"/>
    </row>
    <row r="44" spans="2:14" ht="13.15" customHeight="1" x14ac:dyDescent="0.2">
      <c r="B44" s="18"/>
      <c r="C44" s="31"/>
      <c r="D44" s="3"/>
      <c r="E44" s="3"/>
      <c r="F44" s="1096"/>
      <c r="G44" s="1096"/>
      <c r="H44" s="1096"/>
      <c r="I44" s="1096"/>
      <c r="J44" s="1097"/>
      <c r="K44" s="1097"/>
      <c r="L44" s="1097"/>
      <c r="N44" s="22"/>
    </row>
    <row r="45" spans="2:14" ht="13.15" customHeight="1" x14ac:dyDescent="0.2">
      <c r="B45" s="18"/>
      <c r="C45" s="31"/>
      <c r="D45" s="535" t="s">
        <v>211</v>
      </c>
      <c r="E45" s="3"/>
      <c r="F45" s="1096"/>
      <c r="G45" s="1096"/>
      <c r="H45" s="1096"/>
      <c r="I45" s="1096"/>
      <c r="J45" s="1097"/>
      <c r="K45" s="1097"/>
      <c r="L45" s="1097"/>
      <c r="N45" s="22"/>
    </row>
    <row r="46" spans="2:14" ht="13.15" customHeight="1" x14ac:dyDescent="0.2">
      <c r="B46" s="18"/>
      <c r="C46" s="31"/>
      <c r="D46" s="3"/>
      <c r="E46" s="3"/>
      <c r="F46" s="1096"/>
      <c r="G46" s="1096"/>
      <c r="H46" s="1096"/>
      <c r="I46" s="1096"/>
      <c r="J46" s="1097"/>
      <c r="K46" s="1097"/>
      <c r="L46" s="1097"/>
      <c r="N46" s="22"/>
    </row>
    <row r="47" spans="2:14" ht="13.15" customHeight="1" x14ac:dyDescent="0.2">
      <c r="B47" s="18"/>
      <c r="C47" s="31"/>
      <c r="D47" s="3" t="s">
        <v>212</v>
      </c>
      <c r="E47" s="3"/>
      <c r="F47" s="1078">
        <v>0</v>
      </c>
      <c r="G47" s="1098">
        <f>5/12*baten!G46+7/12*baten!H46</f>
        <v>0</v>
      </c>
      <c r="H47" s="1098">
        <f>5/12*baten!H46+7/12*baten!I46</f>
        <v>0</v>
      </c>
      <c r="I47" s="1098">
        <f>5/12*baten!I46+7/12*baten!J46</f>
        <v>0</v>
      </c>
      <c r="J47" s="1098">
        <f>5/12*baten!J46+7/12*baten!K46</f>
        <v>0</v>
      </c>
      <c r="K47" s="1098">
        <f>5/12*baten!K46+7/12*baten!L46</f>
        <v>0</v>
      </c>
      <c r="L47" s="1098" t="e">
        <f>5/12*baten!M46+7/12*baten!#REF!</f>
        <v>#REF!</v>
      </c>
      <c r="N47" s="22"/>
    </row>
    <row r="48" spans="2:14" ht="13.15" customHeight="1" x14ac:dyDescent="0.2">
      <c r="B48" s="18"/>
      <c r="C48" s="31"/>
      <c r="D48" s="3" t="s">
        <v>213</v>
      </c>
      <c r="E48" s="3"/>
      <c r="F48" s="1078">
        <v>0</v>
      </c>
      <c r="G48" s="1098">
        <f>+baten!H132</f>
        <v>0</v>
      </c>
      <c r="H48" s="1098">
        <f>+baten!I132</f>
        <v>0</v>
      </c>
      <c r="I48" s="1098">
        <f>+baten!J132</f>
        <v>0</v>
      </c>
      <c r="J48" s="1098">
        <f>+baten!K132</f>
        <v>0</v>
      </c>
      <c r="K48" s="1098">
        <f>+baten!L132</f>
        <v>0</v>
      </c>
      <c r="L48" s="1098" t="e">
        <f>+baten!#REF!</f>
        <v>#REF!</v>
      </c>
      <c r="N48" s="22"/>
    </row>
    <row r="49" spans="2:14" ht="13.15" customHeight="1" x14ac:dyDescent="0.2">
      <c r="B49" s="18"/>
      <c r="C49" s="31"/>
      <c r="D49" s="29"/>
      <c r="E49" s="3"/>
      <c r="F49" s="958">
        <f t="shared" ref="F49:L49" si="5">SUM(F47:F48)</f>
        <v>0</v>
      </c>
      <c r="G49" s="958">
        <f t="shared" si="5"/>
        <v>0</v>
      </c>
      <c r="H49" s="958">
        <f t="shared" si="5"/>
        <v>0</v>
      </c>
      <c r="I49" s="958">
        <f t="shared" si="5"/>
        <v>0</v>
      </c>
      <c r="J49" s="958">
        <f t="shared" si="5"/>
        <v>0</v>
      </c>
      <c r="K49" s="958">
        <f t="shared" si="5"/>
        <v>0</v>
      </c>
      <c r="L49" s="958" t="e">
        <f t="shared" si="5"/>
        <v>#REF!</v>
      </c>
      <c r="N49" s="22"/>
    </row>
    <row r="50" spans="2:14" ht="13.15" customHeight="1" x14ac:dyDescent="0.2">
      <c r="B50" s="18"/>
      <c r="C50" s="36"/>
      <c r="D50" s="191"/>
      <c r="E50" s="191"/>
      <c r="F50" s="1122"/>
      <c r="G50" s="1122"/>
      <c r="H50" s="1122"/>
      <c r="I50" s="1122"/>
      <c r="J50" s="1123"/>
      <c r="K50" s="1123"/>
      <c r="L50" s="1123"/>
      <c r="N50" s="22"/>
    </row>
    <row r="51" spans="2:14" ht="13.15" customHeight="1" x14ac:dyDescent="0.2">
      <c r="B51" s="18"/>
      <c r="C51" s="20"/>
      <c r="D51" s="244"/>
      <c r="E51" s="20"/>
      <c r="F51" s="1124"/>
      <c r="G51" s="1124"/>
      <c r="H51" s="1124"/>
      <c r="I51" s="1124"/>
      <c r="J51" s="1124"/>
      <c r="K51" s="1124"/>
      <c r="L51" s="1124"/>
      <c r="M51" s="20"/>
      <c r="N51" s="22"/>
    </row>
    <row r="52" spans="2:14" ht="13.15" customHeight="1" x14ac:dyDescent="0.2">
      <c r="B52" s="39"/>
      <c r="C52" s="40"/>
      <c r="D52" s="246"/>
      <c r="E52" s="40"/>
      <c r="F52" s="1125"/>
      <c r="G52" s="1125"/>
      <c r="H52" s="1125"/>
      <c r="I52" s="1125"/>
      <c r="J52" s="1125"/>
      <c r="K52" s="1125"/>
      <c r="L52" s="1125"/>
      <c r="M52" s="40"/>
      <c r="N52" s="43"/>
    </row>
    <row r="53" spans="2:14" ht="13.15" customHeight="1" x14ac:dyDescent="0.2">
      <c r="D53" s="188"/>
      <c r="F53" s="1126"/>
      <c r="G53" s="1126"/>
      <c r="H53" s="1126"/>
      <c r="I53" s="1126"/>
      <c r="J53" s="1126"/>
      <c r="K53" s="1126"/>
    </row>
    <row r="54" spans="2:14" ht="13.15" hidden="1" customHeight="1" x14ac:dyDescent="0.2">
      <c r="B54" s="20"/>
      <c r="C54" s="20"/>
      <c r="D54" s="20"/>
      <c r="E54" s="20"/>
      <c r="F54" s="1127"/>
      <c r="G54" s="1127"/>
      <c r="H54" s="1127"/>
      <c r="I54" s="1127"/>
      <c r="J54" s="1127"/>
      <c r="K54" s="1127"/>
      <c r="L54" s="20"/>
    </row>
    <row r="55" spans="2:14" ht="13.15" hidden="1" customHeight="1" x14ac:dyDescent="0.2">
      <c r="B55" s="20"/>
      <c r="C55" s="20"/>
      <c r="D55" s="20"/>
      <c r="E55" s="20"/>
      <c r="F55" s="1127"/>
      <c r="G55" s="1127"/>
      <c r="H55" s="1127"/>
      <c r="I55" s="1127"/>
      <c r="J55" s="1127"/>
      <c r="K55" s="1127"/>
      <c r="L55" s="20"/>
    </row>
    <row r="56" spans="2:14" s="155" customFormat="1" ht="16.899999999999999" hidden="1" customHeight="1" x14ac:dyDescent="0.3">
      <c r="B56" s="16"/>
      <c r="C56" s="358" t="s">
        <v>530</v>
      </c>
      <c r="D56" s="16"/>
      <c r="E56" s="228"/>
      <c r="F56" s="1128"/>
      <c r="G56" s="1128"/>
      <c r="H56" s="1128"/>
      <c r="I56" s="1128"/>
      <c r="J56" s="1128"/>
      <c r="K56" s="1128"/>
      <c r="L56" s="228"/>
    </row>
    <row r="57" spans="2:14" ht="13.15" hidden="1" customHeight="1" x14ac:dyDescent="0.3">
      <c r="B57" s="181"/>
      <c r="C57" s="96" t="str">
        <f>C5</f>
        <v>M.L. Kingschool</v>
      </c>
      <c r="D57" s="181"/>
      <c r="E57" s="20"/>
      <c r="F57" s="1127"/>
      <c r="G57" s="1127"/>
      <c r="H57" s="1127"/>
      <c r="I57" s="1127"/>
      <c r="J57" s="1127"/>
      <c r="K57" s="1127"/>
      <c r="L57" s="20"/>
    </row>
    <row r="58" spans="2:14" ht="13.15" hidden="1" customHeight="1" x14ac:dyDescent="0.2">
      <c r="B58" s="20"/>
      <c r="C58" s="20"/>
      <c r="D58" s="20"/>
      <c r="E58" s="20"/>
      <c r="F58" s="1127"/>
      <c r="G58" s="1127"/>
      <c r="H58" s="1127"/>
      <c r="I58" s="1127"/>
      <c r="J58" s="1127"/>
      <c r="K58" s="1127"/>
      <c r="L58" s="20"/>
    </row>
    <row r="59" spans="2:14" ht="13.15" hidden="1" customHeight="1" x14ac:dyDescent="0.2">
      <c r="B59" s="20"/>
      <c r="C59" s="20"/>
      <c r="D59" s="20"/>
      <c r="E59" s="20"/>
      <c r="F59" s="1127"/>
      <c r="G59" s="1127"/>
      <c r="H59" s="1127"/>
      <c r="I59" s="1127"/>
      <c r="J59" s="1127"/>
      <c r="K59" s="1127"/>
      <c r="L59" s="20"/>
    </row>
    <row r="60" spans="2:14" ht="13.15" hidden="1" customHeight="1" x14ac:dyDescent="0.2">
      <c r="B60" s="20"/>
      <c r="C60" s="20"/>
      <c r="D60" s="983"/>
      <c r="E60" s="178"/>
      <c r="F60" s="1129"/>
      <c r="G60" s="1129" t="str">
        <f>+tab!C2</f>
        <v>2018/19</v>
      </c>
      <c r="H60" s="1129" t="str">
        <f>+tab!D2</f>
        <v>2019/20</v>
      </c>
      <c r="I60" s="1129" t="str">
        <f>+tab!E2</f>
        <v>2020/21</v>
      </c>
      <c r="J60" s="1129" t="str">
        <f>+tab!F2</f>
        <v>2021/22</v>
      </c>
      <c r="K60" s="1129"/>
      <c r="L60" s="230"/>
    </row>
    <row r="61" spans="2:14" ht="13.15" hidden="1" customHeight="1" x14ac:dyDescent="0.2">
      <c r="B61" s="20"/>
      <c r="C61" s="20"/>
      <c r="D61" s="20"/>
      <c r="E61" s="178"/>
      <c r="F61" s="1130"/>
      <c r="G61" s="1130"/>
      <c r="H61" s="1130"/>
      <c r="I61" s="1130"/>
      <c r="J61" s="1130"/>
      <c r="K61" s="1130"/>
      <c r="L61" s="230"/>
    </row>
    <row r="62" spans="2:14" ht="13.15" hidden="1" customHeight="1" x14ac:dyDescent="0.2">
      <c r="B62" s="20"/>
      <c r="C62" s="23"/>
      <c r="D62" s="24"/>
      <c r="E62" s="232"/>
      <c r="F62" s="1131"/>
      <c r="G62" s="1131"/>
      <c r="H62" s="1131"/>
      <c r="I62" s="1131"/>
      <c r="J62" s="1132"/>
      <c r="K62" s="1132"/>
      <c r="L62" s="230"/>
    </row>
    <row r="63" spans="2:14" ht="13.15" hidden="1" customHeight="1" x14ac:dyDescent="0.2">
      <c r="B63" s="20"/>
      <c r="C63" s="31"/>
      <c r="D63" s="535" t="s">
        <v>191</v>
      </c>
      <c r="E63" s="233"/>
      <c r="F63" s="1133"/>
      <c r="G63" s="1133"/>
      <c r="H63" s="1133"/>
      <c r="I63" s="1133"/>
      <c r="J63" s="1134"/>
      <c r="K63" s="1134"/>
      <c r="L63" s="230"/>
    </row>
    <row r="64" spans="2:14" ht="13.15" hidden="1" customHeight="1" x14ac:dyDescent="0.2">
      <c r="B64" s="20"/>
      <c r="C64" s="31"/>
      <c r="D64" s="3"/>
      <c r="E64" s="233"/>
      <c r="F64" s="1133"/>
      <c r="G64" s="1133"/>
      <c r="H64" s="1133"/>
      <c r="I64" s="1133"/>
      <c r="J64" s="1134"/>
      <c r="K64" s="1134"/>
      <c r="L64" s="230"/>
    </row>
    <row r="65" spans="2:12" ht="13.15" hidden="1" customHeight="1" x14ac:dyDescent="0.2">
      <c r="B65" s="20"/>
      <c r="C65" s="31"/>
      <c r="D65" s="1003" t="s">
        <v>192</v>
      </c>
      <c r="E65" s="233"/>
      <c r="F65" s="1133"/>
      <c r="G65" s="1133"/>
      <c r="H65" s="1133"/>
      <c r="I65" s="1133"/>
      <c r="J65" s="1134"/>
      <c r="K65" s="1134"/>
      <c r="L65" s="230"/>
    </row>
    <row r="66" spans="2:12" ht="13.15" hidden="1" customHeight="1" x14ac:dyDescent="0.2">
      <c r="B66" s="20"/>
      <c r="C66" s="31"/>
      <c r="D66" s="1" t="s">
        <v>193</v>
      </c>
      <c r="E66" s="3"/>
      <c r="F66" s="1133"/>
      <c r="G66" s="1079">
        <f>SUM(baten!I216:I221)-baten!I222+SUM(baten!I231:I234)-baten!I235</f>
        <v>3974927.9442666667</v>
      </c>
      <c r="H66" s="1079">
        <f>SUM(baten!J216:J221)-baten!J222+SUM(baten!J231:J234)-baten!J235</f>
        <v>4083913.21</v>
      </c>
      <c r="I66" s="1079">
        <f>SUM(baten!K216:K221)-baten!K222+SUM(baten!K231:K234)-baten!K235</f>
        <v>4102059.1999999997</v>
      </c>
      <c r="J66" s="1079" t="e">
        <f>SUM(baten!#REF!)-baten!#REF!+SUM(baten!#REF!)-baten!#REF!</f>
        <v>#REF!</v>
      </c>
      <c r="K66" s="1192"/>
      <c r="L66" s="20"/>
    </row>
    <row r="67" spans="2:12" ht="13.15" hidden="1" customHeight="1" x14ac:dyDescent="0.2">
      <c r="B67" s="20"/>
      <c r="C67" s="31"/>
      <c r="D67" s="1" t="s">
        <v>194</v>
      </c>
      <c r="E67" s="3"/>
      <c r="F67" s="1133"/>
      <c r="G67" s="1080">
        <f>+baten!I223</f>
        <v>0</v>
      </c>
      <c r="H67" s="1080">
        <f>+baten!J223</f>
        <v>0</v>
      </c>
      <c r="I67" s="1080">
        <f>+baten!K223</f>
        <v>0</v>
      </c>
      <c r="J67" s="1080" t="e">
        <f>+baten!#REF!</f>
        <v>#REF!</v>
      </c>
      <c r="K67" s="1193"/>
      <c r="L67" s="20"/>
    </row>
    <row r="68" spans="2:12" ht="13.15" hidden="1" customHeight="1" x14ac:dyDescent="0.2">
      <c r="B68" s="20"/>
      <c r="C68" s="31"/>
      <c r="D68" s="1" t="s">
        <v>195</v>
      </c>
      <c r="E68" s="3"/>
      <c r="F68" s="1133"/>
      <c r="G68" s="1079">
        <v>0</v>
      </c>
      <c r="H68" s="1079">
        <v>0</v>
      </c>
      <c r="I68" s="1079">
        <v>0</v>
      </c>
      <c r="J68" s="1079">
        <v>0</v>
      </c>
      <c r="K68" s="1192"/>
      <c r="L68" s="20"/>
    </row>
    <row r="69" spans="2:12" ht="13.15" hidden="1" customHeight="1" x14ac:dyDescent="0.2">
      <c r="B69" s="20"/>
      <c r="C69" s="31"/>
      <c r="D69" s="1" t="s">
        <v>196</v>
      </c>
      <c r="E69" s="3"/>
      <c r="F69" s="1133"/>
      <c r="G69" s="1079">
        <f>+baten!I224</f>
        <v>49767.519999999997</v>
      </c>
      <c r="H69" s="1079">
        <f>+baten!J224</f>
        <v>0</v>
      </c>
      <c r="I69" s="1079">
        <f>+baten!K224</f>
        <v>0</v>
      </c>
      <c r="J69" s="1079" t="e">
        <f>+baten!#REF!</f>
        <v>#REF!</v>
      </c>
      <c r="K69" s="1192"/>
      <c r="L69" s="20"/>
    </row>
    <row r="70" spans="2:12" ht="13.15" hidden="1" customHeight="1" x14ac:dyDescent="0.2">
      <c r="B70" s="20"/>
      <c r="C70" s="31"/>
      <c r="D70" s="1" t="s">
        <v>197</v>
      </c>
      <c r="E70" s="3"/>
      <c r="F70" s="1133"/>
      <c r="G70" s="1079">
        <f>+baten!I225</f>
        <v>0</v>
      </c>
      <c r="H70" s="1079">
        <f>+baten!J225</f>
        <v>0</v>
      </c>
      <c r="I70" s="1079">
        <f>+baten!K225</f>
        <v>0</v>
      </c>
      <c r="J70" s="1079" t="e">
        <f>+baten!#REF!</f>
        <v>#REF!</v>
      </c>
      <c r="K70" s="1192"/>
      <c r="L70" s="20"/>
    </row>
    <row r="71" spans="2:12" ht="13.15" hidden="1" customHeight="1" x14ac:dyDescent="0.2">
      <c r="B71" s="20"/>
      <c r="C71" s="31"/>
      <c r="D71" s="28"/>
      <c r="E71" s="29"/>
      <c r="F71" s="1133"/>
      <c r="G71" s="1081">
        <f>SUM(G66:G70)</f>
        <v>4024695.4642666667</v>
      </c>
      <c r="H71" s="1081">
        <f>SUM(H66:H70)</f>
        <v>4083913.21</v>
      </c>
      <c r="I71" s="1081">
        <f>SUM(I66:I70)</f>
        <v>4102059.1999999997</v>
      </c>
      <c r="J71" s="1081" t="e">
        <f>SUM(J66:J70)</f>
        <v>#REF!</v>
      </c>
      <c r="K71" s="1194"/>
      <c r="L71" s="20"/>
    </row>
    <row r="72" spans="2:12" ht="13.15" hidden="1" customHeight="1" x14ac:dyDescent="0.2">
      <c r="B72" s="252"/>
      <c r="C72" s="235"/>
      <c r="D72" s="1003" t="s">
        <v>198</v>
      </c>
      <c r="E72" s="29"/>
      <c r="F72" s="1133"/>
      <c r="G72" s="1082"/>
      <c r="H72" s="1082"/>
      <c r="I72" s="1082"/>
      <c r="J72" s="1083"/>
      <c r="K72" s="1083"/>
      <c r="L72" s="20"/>
    </row>
    <row r="73" spans="2:12" ht="13.15" hidden="1" customHeight="1" x14ac:dyDescent="0.2">
      <c r="B73" s="20"/>
      <c r="C73" s="31"/>
      <c r="D73" s="236" t="s">
        <v>201</v>
      </c>
      <c r="E73" s="219"/>
      <c r="F73" s="1133"/>
      <c r="G73" s="1080">
        <f>+lasten!J17+lasten!J42</f>
        <v>210830.52920000002</v>
      </c>
      <c r="H73" s="1080">
        <f>+lasten!K17+lasten!K42</f>
        <v>215443.20000000001</v>
      </c>
      <c r="I73" s="1080">
        <f>+lasten!L17+lasten!L42</f>
        <v>221817.60000000003</v>
      </c>
      <c r="J73" s="1080">
        <f>+lasten!M17+lasten!M42</f>
        <v>228326.40000000002</v>
      </c>
      <c r="K73" s="1193"/>
      <c r="L73" s="20"/>
    </row>
    <row r="74" spans="2:12" ht="13.15" hidden="1" customHeight="1" x14ac:dyDescent="0.2">
      <c r="B74" s="20"/>
      <c r="C74" s="31"/>
      <c r="D74" s="3" t="s">
        <v>202</v>
      </c>
      <c r="E74" s="3"/>
      <c r="F74" s="1133"/>
      <c r="G74" s="1080">
        <f>+lasten!J168</f>
        <v>15000</v>
      </c>
      <c r="H74" s="1080">
        <f>+lasten!K168</f>
        <v>15000</v>
      </c>
      <c r="I74" s="1080">
        <f>+lasten!L168</f>
        <v>15000</v>
      </c>
      <c r="J74" s="1080" t="e">
        <f>+lasten!#REF!</f>
        <v>#REF!</v>
      </c>
      <c r="K74" s="1193"/>
      <c r="L74" s="20"/>
    </row>
    <row r="75" spans="2:12" ht="13.15" hidden="1" customHeight="1" x14ac:dyDescent="0.2">
      <c r="B75" s="20"/>
      <c r="C75" s="31"/>
      <c r="D75" s="3" t="s">
        <v>203</v>
      </c>
      <c r="E75" s="3"/>
      <c r="F75" s="1133"/>
      <c r="G75" s="1080">
        <f>+lasten!J169</f>
        <v>0</v>
      </c>
      <c r="H75" s="1080">
        <f>+lasten!K169</f>
        <v>0</v>
      </c>
      <c r="I75" s="1080">
        <f>+lasten!L169</f>
        <v>0</v>
      </c>
      <c r="J75" s="1080" t="e">
        <f>+lasten!#REF!</f>
        <v>#REF!</v>
      </c>
      <c r="K75" s="1193"/>
      <c r="L75" s="20"/>
    </row>
    <row r="76" spans="2:12" ht="13.15" hidden="1" customHeight="1" x14ac:dyDescent="0.2">
      <c r="B76" s="20"/>
      <c r="C76" s="31"/>
      <c r="D76" s="3" t="s">
        <v>204</v>
      </c>
      <c r="E76" s="3"/>
      <c r="F76" s="1133"/>
      <c r="G76" s="1080">
        <f>+lasten!J170</f>
        <v>0</v>
      </c>
      <c r="H76" s="1080">
        <f>+lasten!K170</f>
        <v>0</v>
      </c>
      <c r="I76" s="1080">
        <f>+lasten!L170</f>
        <v>0</v>
      </c>
      <c r="J76" s="1080" t="e">
        <f>+lasten!#REF!</f>
        <v>#REF!</v>
      </c>
      <c r="K76" s="1193"/>
      <c r="L76" s="20"/>
    </row>
    <row r="77" spans="2:12" ht="13.15" hidden="1" customHeight="1" x14ac:dyDescent="0.2">
      <c r="B77" s="20"/>
      <c r="C77" s="31"/>
      <c r="D77" s="28"/>
      <c r="E77" s="3"/>
      <c r="F77" s="1133"/>
      <c r="G77" s="1081">
        <f>SUM(G73:G76)</f>
        <v>225830.52920000002</v>
      </c>
      <c r="H77" s="1081">
        <f>SUM(H73:H76)</f>
        <v>230443.2</v>
      </c>
      <c r="I77" s="1081">
        <f>SUM(I73:I76)</f>
        <v>236817.60000000003</v>
      </c>
      <c r="J77" s="1081" t="e">
        <f>SUM(J73:J76)</f>
        <v>#REF!</v>
      </c>
      <c r="K77" s="1194"/>
      <c r="L77" s="20"/>
    </row>
    <row r="78" spans="2:12" ht="13.15" hidden="1" customHeight="1" x14ac:dyDescent="0.2">
      <c r="B78" s="20"/>
      <c r="C78" s="31"/>
      <c r="D78" s="237"/>
      <c r="E78" s="219"/>
      <c r="F78" s="1133"/>
      <c r="G78" s="1086"/>
      <c r="H78" s="1086"/>
      <c r="I78" s="1086"/>
      <c r="J78" s="1087"/>
      <c r="K78" s="1087"/>
      <c r="L78" s="20"/>
    </row>
    <row r="79" spans="2:12" ht="13.15" hidden="1" customHeight="1" x14ac:dyDescent="0.2">
      <c r="B79" s="193"/>
      <c r="C79" s="27"/>
      <c r="D79" s="686" t="s">
        <v>205</v>
      </c>
      <c r="E79" s="219"/>
      <c r="F79" s="1133"/>
      <c r="G79" s="1088">
        <f>G71-G77</f>
        <v>3798864.9350666665</v>
      </c>
      <c r="H79" s="1088">
        <f>H71-H77</f>
        <v>3853470.01</v>
      </c>
      <c r="I79" s="1088">
        <f>I71-I77</f>
        <v>3865241.5999999996</v>
      </c>
      <c r="J79" s="1088" t="e">
        <f>J71-J77</f>
        <v>#REF!</v>
      </c>
      <c r="K79" s="1195"/>
      <c r="L79" s="20"/>
    </row>
    <row r="80" spans="2:12" ht="13.15" hidden="1" customHeight="1" x14ac:dyDescent="0.2">
      <c r="B80" s="20"/>
      <c r="C80" s="36"/>
      <c r="D80" s="238"/>
      <c r="E80" s="239"/>
      <c r="F80" s="1133"/>
      <c r="G80" s="1089"/>
      <c r="H80" s="1089"/>
      <c r="I80" s="1089"/>
      <c r="J80" s="1090"/>
      <c r="K80" s="1090"/>
      <c r="L80" s="20"/>
    </row>
    <row r="81" spans="2:12" ht="13.15" hidden="1" customHeight="1" x14ac:dyDescent="0.2">
      <c r="B81" s="20"/>
      <c r="C81" s="20"/>
      <c r="D81" s="197"/>
      <c r="E81" s="240"/>
      <c r="F81" s="1135"/>
      <c r="G81" s="1091"/>
      <c r="H81" s="1091"/>
      <c r="I81" s="1091"/>
      <c r="J81" s="1091"/>
      <c r="K81" s="1091"/>
      <c r="L81" s="20"/>
    </row>
    <row r="82" spans="2:12" ht="13.15" hidden="1" customHeight="1" x14ac:dyDescent="0.2">
      <c r="B82" s="20"/>
      <c r="C82" s="23"/>
      <c r="D82" s="200"/>
      <c r="E82" s="241"/>
      <c r="F82" s="1133"/>
      <c r="G82" s="1092"/>
      <c r="H82" s="1092"/>
      <c r="I82" s="1092"/>
      <c r="J82" s="1093"/>
      <c r="K82" s="1093"/>
      <c r="L82" s="20"/>
    </row>
    <row r="83" spans="2:12" ht="13.15" hidden="1" customHeight="1" x14ac:dyDescent="0.2">
      <c r="B83" s="20"/>
      <c r="C83" s="31"/>
      <c r="D83" s="686" t="s">
        <v>206</v>
      </c>
      <c r="E83" s="219"/>
      <c r="F83" s="1133"/>
      <c r="G83" s="1094"/>
      <c r="H83" s="1094"/>
      <c r="I83" s="1094"/>
      <c r="J83" s="1095"/>
      <c r="K83" s="1095"/>
      <c r="L83" s="20"/>
    </row>
    <row r="84" spans="2:12" ht="13.15" hidden="1" customHeight="1" x14ac:dyDescent="0.2">
      <c r="B84" s="20"/>
      <c r="C84" s="31"/>
      <c r="D84" s="205"/>
      <c r="E84" s="219"/>
      <c r="F84" s="1133"/>
      <c r="G84" s="1094"/>
      <c r="H84" s="1094"/>
      <c r="I84" s="1094"/>
      <c r="J84" s="1095"/>
      <c r="K84" s="1095"/>
      <c r="L84" s="20"/>
    </row>
    <row r="85" spans="2:12" ht="13.15" hidden="1" customHeight="1" x14ac:dyDescent="0.2">
      <c r="B85" s="20"/>
      <c r="C85" s="31"/>
      <c r="D85" s="1" t="s">
        <v>207</v>
      </c>
      <c r="E85" s="219"/>
      <c r="F85" s="1133"/>
      <c r="G85" s="1078">
        <v>0</v>
      </c>
      <c r="H85" s="1078">
        <v>0</v>
      </c>
      <c r="I85" s="1078">
        <v>0</v>
      </c>
      <c r="J85" s="1078">
        <v>0</v>
      </c>
      <c r="K85" s="1196"/>
      <c r="L85" s="20"/>
    </row>
    <row r="86" spans="2:12" ht="13.15" hidden="1" customHeight="1" x14ac:dyDescent="0.2">
      <c r="B86" s="20"/>
      <c r="C86" s="31"/>
      <c r="D86" s="1" t="s">
        <v>208</v>
      </c>
      <c r="E86" s="219"/>
      <c r="F86" s="1133"/>
      <c r="G86" s="1078">
        <v>0</v>
      </c>
      <c r="H86" s="1078">
        <v>0</v>
      </c>
      <c r="I86" s="1078">
        <v>0</v>
      </c>
      <c r="J86" s="1078">
        <v>0</v>
      </c>
      <c r="K86" s="1196"/>
      <c r="L86" s="20"/>
    </row>
    <row r="87" spans="2:12" ht="13.15" hidden="1" customHeight="1" x14ac:dyDescent="0.2">
      <c r="B87" s="20"/>
      <c r="C87" s="31"/>
      <c r="D87" s="1"/>
      <c r="E87" s="219"/>
      <c r="F87" s="1133"/>
      <c r="G87" s="1094"/>
      <c r="H87" s="1094"/>
      <c r="I87" s="1094"/>
      <c r="J87" s="1094"/>
      <c r="K87" s="1095"/>
      <c r="L87" s="20"/>
    </row>
    <row r="88" spans="2:12" ht="13.15" hidden="1" customHeight="1" x14ac:dyDescent="0.2">
      <c r="B88" s="193"/>
      <c r="C88" s="27"/>
      <c r="D88" s="28" t="s">
        <v>209</v>
      </c>
      <c r="E88" s="29"/>
      <c r="F88" s="1133"/>
      <c r="G88" s="1088">
        <f>G85-G86</f>
        <v>0</v>
      </c>
      <c r="H88" s="1088">
        <f>H85-H86</f>
        <v>0</v>
      </c>
      <c r="I88" s="1088">
        <f>I85-I86</f>
        <v>0</v>
      </c>
      <c r="J88" s="1088">
        <f>J85-J86</f>
        <v>0</v>
      </c>
      <c r="K88" s="1195"/>
      <c r="L88" s="193"/>
    </row>
    <row r="89" spans="2:12" ht="13.15" hidden="1" customHeight="1" x14ac:dyDescent="0.2">
      <c r="B89" s="20"/>
      <c r="C89" s="31"/>
      <c r="D89" s="1"/>
      <c r="E89" s="219"/>
      <c r="F89" s="1133"/>
      <c r="G89" s="1094"/>
      <c r="H89" s="1094"/>
      <c r="I89" s="1094"/>
      <c r="J89" s="1095"/>
      <c r="K89" s="1095"/>
      <c r="L89" s="20"/>
    </row>
    <row r="90" spans="2:12" ht="13.15" hidden="1" customHeight="1" x14ac:dyDescent="0.2">
      <c r="B90" s="20"/>
      <c r="C90" s="20"/>
      <c r="D90" s="197"/>
      <c r="E90" s="240"/>
      <c r="F90" s="1135"/>
      <c r="G90" s="1091"/>
      <c r="H90" s="1091"/>
      <c r="I90" s="1091"/>
      <c r="J90" s="1091"/>
      <c r="K90" s="1091"/>
      <c r="L90" s="20"/>
    </row>
    <row r="91" spans="2:12" ht="13.15" hidden="1" customHeight="1" x14ac:dyDescent="0.2">
      <c r="B91" s="20"/>
      <c r="C91" s="31"/>
      <c r="D91" s="1"/>
      <c r="E91" s="219"/>
      <c r="F91" s="1133"/>
      <c r="G91" s="1094"/>
      <c r="H91" s="1094"/>
      <c r="I91" s="1094"/>
      <c r="J91" s="1095"/>
      <c r="K91" s="1095"/>
      <c r="L91" s="20"/>
    </row>
    <row r="92" spans="2:12" ht="13.15" hidden="1" customHeight="1" x14ac:dyDescent="0.2">
      <c r="B92" s="193"/>
      <c r="C92" s="27"/>
      <c r="D92" s="686" t="s">
        <v>210</v>
      </c>
      <c r="E92" s="29"/>
      <c r="F92" s="1133"/>
      <c r="G92" s="1088">
        <f>G79+G88</f>
        <v>3798864.9350666665</v>
      </c>
      <c r="H92" s="1088">
        <f>H79+H88</f>
        <v>3853470.01</v>
      </c>
      <c r="I92" s="1088">
        <f>I79+I88</f>
        <v>3865241.5999999996</v>
      </c>
      <c r="J92" s="1088" t="e">
        <f>J79+J88</f>
        <v>#REF!</v>
      </c>
      <c r="K92" s="1195"/>
      <c r="L92" s="193"/>
    </row>
    <row r="93" spans="2:12" ht="13.15" hidden="1" customHeight="1" x14ac:dyDescent="0.2">
      <c r="B93" s="20"/>
      <c r="C93" s="31"/>
      <c r="D93" s="1"/>
      <c r="E93" s="219"/>
      <c r="F93" s="1133"/>
      <c r="G93" s="1094"/>
      <c r="H93" s="1094"/>
      <c r="I93" s="1094"/>
      <c r="J93" s="1095"/>
      <c r="K93" s="1095"/>
      <c r="L93" s="20"/>
    </row>
    <row r="94" spans="2:12" ht="13.15" hidden="1" customHeight="1" x14ac:dyDescent="0.2">
      <c r="B94" s="20"/>
      <c r="C94" s="20"/>
      <c r="D94" s="197"/>
      <c r="E94" s="240"/>
      <c r="F94" s="1135"/>
      <c r="G94" s="1091"/>
      <c r="H94" s="1091"/>
      <c r="I94" s="1091"/>
      <c r="J94" s="1091"/>
      <c r="K94" s="1091"/>
      <c r="L94" s="20"/>
    </row>
    <row r="95" spans="2:12" ht="13.15" hidden="1" customHeight="1" x14ac:dyDescent="0.2">
      <c r="B95" s="20"/>
      <c r="C95" s="20"/>
      <c r="D95" s="197"/>
      <c r="E95" s="240"/>
      <c r="F95" s="1135"/>
      <c r="G95" s="1091"/>
      <c r="H95" s="1091"/>
      <c r="I95" s="1091"/>
      <c r="J95" s="1091"/>
      <c r="K95" s="1091"/>
      <c r="L95" s="20"/>
    </row>
    <row r="96" spans="2:12" ht="13.15" hidden="1" customHeight="1" x14ac:dyDescent="0.2">
      <c r="B96" s="20"/>
      <c r="C96" s="31"/>
      <c r="D96" s="3"/>
      <c r="E96" s="3"/>
      <c r="F96" s="1133"/>
      <c r="G96" s="1096"/>
      <c r="H96" s="1096"/>
      <c r="I96" s="1096"/>
      <c r="J96" s="1097"/>
      <c r="K96" s="1097"/>
      <c r="L96" s="20"/>
    </row>
    <row r="97" spans="2:12" ht="13.15" hidden="1" customHeight="1" x14ac:dyDescent="0.2">
      <c r="B97" s="20"/>
      <c r="C97" s="31"/>
      <c r="D97" s="535" t="s">
        <v>211</v>
      </c>
      <c r="E97" s="3"/>
      <c r="F97" s="1133"/>
      <c r="G97" s="1096"/>
      <c r="H97" s="1096"/>
      <c r="I97" s="1096"/>
      <c r="J97" s="1097"/>
      <c r="K97" s="1097"/>
      <c r="L97" s="20"/>
    </row>
    <row r="98" spans="2:12" ht="13.15" hidden="1" customHeight="1" x14ac:dyDescent="0.2">
      <c r="B98" s="20"/>
      <c r="C98" s="31"/>
      <c r="D98" s="3"/>
      <c r="E98" s="3"/>
      <c r="F98" s="1133"/>
      <c r="G98" s="1096"/>
      <c r="H98" s="1096"/>
      <c r="I98" s="1096"/>
      <c r="J98" s="1097"/>
      <c r="K98" s="1097"/>
      <c r="L98" s="20"/>
    </row>
    <row r="99" spans="2:12" ht="13.15" hidden="1" customHeight="1" x14ac:dyDescent="0.2">
      <c r="B99" s="20"/>
      <c r="C99" s="31"/>
      <c r="D99" s="3" t="s">
        <v>212</v>
      </c>
      <c r="E99" s="3"/>
      <c r="F99" s="1133"/>
      <c r="G99" s="1098">
        <f>+baten!I222</f>
        <v>0</v>
      </c>
      <c r="H99" s="1098">
        <f>+baten!J222</f>
        <v>0</v>
      </c>
      <c r="I99" s="1098">
        <f>+baten!K222</f>
        <v>0</v>
      </c>
      <c r="J99" s="1098" t="e">
        <f>+baten!#REF!</f>
        <v>#REF!</v>
      </c>
      <c r="K99" s="1197"/>
      <c r="L99" s="20"/>
    </row>
    <row r="100" spans="2:12" ht="13.15" hidden="1" customHeight="1" x14ac:dyDescent="0.2">
      <c r="B100" s="20"/>
      <c r="C100" s="31"/>
      <c r="D100" s="3" t="s">
        <v>213</v>
      </c>
      <c r="E100" s="3"/>
      <c r="F100" s="1133"/>
      <c r="G100" s="1098">
        <f>+baten!I235</f>
        <v>0</v>
      </c>
      <c r="H100" s="1098">
        <f>+baten!J235</f>
        <v>0</v>
      </c>
      <c r="I100" s="1098">
        <f>+baten!K235</f>
        <v>0</v>
      </c>
      <c r="J100" s="1098" t="e">
        <f>+baten!#REF!</f>
        <v>#REF!</v>
      </c>
      <c r="K100" s="1197"/>
      <c r="L100" s="20"/>
    </row>
    <row r="101" spans="2:12" ht="13.15" hidden="1" customHeight="1" x14ac:dyDescent="0.2">
      <c r="B101" s="20"/>
      <c r="C101" s="31"/>
      <c r="D101" s="29"/>
      <c r="E101" s="3"/>
      <c r="F101" s="1133"/>
      <c r="G101" s="958">
        <f>SUM(G99:G100)</f>
        <v>0</v>
      </c>
      <c r="H101" s="958">
        <f>SUM(H99:H100)</f>
        <v>0</v>
      </c>
      <c r="I101" s="958">
        <f>SUM(I99:I100)</f>
        <v>0</v>
      </c>
      <c r="J101" s="958" t="e">
        <f>SUM(J99:J100)</f>
        <v>#REF!</v>
      </c>
      <c r="K101" s="1198"/>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9DdFN9yyZYScUjE6OTC+uOv66ME/v38WdW5EVpv4sktZMgKAfMJlSUrnxY883/9KZAlTKr65JBrCi4KmMUX2aw==" saltValue="03nHDza+XhBWSOzjRglleg=="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28" customWidth="1"/>
    <col min="2" max="3" width="2.7109375" style="628" customWidth="1"/>
    <col min="4" max="4" width="40.7109375" style="628" customWidth="1"/>
    <col min="5" max="5" width="2.7109375" style="628" customWidth="1"/>
    <col min="6" max="6" width="14.85546875" style="628" hidden="1" customWidth="1"/>
    <col min="7" max="7" width="14.85546875" style="628" customWidth="1"/>
    <col min="8" max="11" width="14.85546875" style="633" customWidth="1"/>
    <col min="12" max="12" width="14.85546875" style="633" hidden="1" customWidth="1"/>
    <col min="13" max="13" width="2.7109375" style="633" customWidth="1"/>
    <col min="14" max="14" width="2.7109375" style="628" customWidth="1"/>
    <col min="15" max="15" width="11.42578125" style="629" customWidth="1"/>
    <col min="16" max="16" width="33.7109375" style="628" customWidth="1"/>
    <col min="17" max="17" width="2.5703125" style="628" customWidth="1"/>
    <col min="18" max="22" width="10.7109375" style="628" customWidth="1"/>
    <col min="23" max="23" width="2.7109375" style="628" customWidth="1"/>
    <col min="24" max="16384" width="9.140625" style="628"/>
  </cols>
  <sheetData>
    <row r="2" spans="2:18" x14ac:dyDescent="0.2">
      <c r="B2" s="1004"/>
      <c r="C2" s="1005"/>
      <c r="D2" s="1005"/>
      <c r="E2" s="1005"/>
      <c r="F2" s="1005"/>
      <c r="G2" s="1005"/>
      <c r="H2" s="1006"/>
      <c r="I2" s="1006"/>
      <c r="J2" s="1006"/>
      <c r="K2" s="1006"/>
      <c r="L2" s="1006"/>
      <c r="M2" s="1006"/>
      <c r="N2" s="1007"/>
    </row>
    <row r="3" spans="2:18" x14ac:dyDescent="0.2">
      <c r="B3" s="625"/>
      <c r="C3" s="623"/>
      <c r="D3" s="623"/>
      <c r="E3" s="623"/>
      <c r="F3" s="623"/>
      <c r="G3" s="623"/>
      <c r="H3" s="626"/>
      <c r="I3" s="626"/>
      <c r="J3" s="626"/>
      <c r="K3" s="626"/>
      <c r="L3" s="626"/>
      <c r="M3" s="626"/>
      <c r="N3" s="627"/>
    </row>
    <row r="4" spans="2:18" ht="18.75" x14ac:dyDescent="0.3">
      <c r="B4" s="1008"/>
      <c r="C4" s="358" t="s">
        <v>214</v>
      </c>
      <c r="D4" s="623"/>
      <c r="E4" s="623"/>
      <c r="F4" s="623"/>
      <c r="G4" s="623"/>
      <c r="H4" s="626"/>
      <c r="I4" s="626"/>
      <c r="J4" s="626"/>
      <c r="K4" s="626"/>
      <c r="L4" s="626"/>
      <c r="M4" s="626"/>
      <c r="N4" s="627"/>
    </row>
    <row r="5" spans="2:18" ht="18.75" x14ac:dyDescent="0.3">
      <c r="B5" s="1008"/>
      <c r="C5" s="624" t="str">
        <f>+geg!H9</f>
        <v>M.L. Kingschool</v>
      </c>
      <c r="D5" s="623"/>
      <c r="E5" s="623"/>
      <c r="F5" s="623"/>
      <c r="G5" s="623"/>
      <c r="H5" s="626"/>
      <c r="I5" s="626"/>
      <c r="J5" s="626"/>
      <c r="K5" s="626"/>
      <c r="L5" s="626"/>
      <c r="M5" s="626"/>
      <c r="N5" s="627"/>
    </row>
    <row r="6" spans="2:18" x14ac:dyDescent="0.2">
      <c r="B6" s="1009"/>
      <c r="C6" s="1010"/>
      <c r="D6" s="623"/>
      <c r="E6" s="623"/>
      <c r="F6" s="623"/>
      <c r="G6" s="623"/>
      <c r="H6" s="626"/>
      <c r="I6" s="626"/>
      <c r="J6" s="626"/>
      <c r="K6" s="626"/>
      <c r="L6" s="626"/>
      <c r="M6" s="626"/>
      <c r="N6" s="627"/>
    </row>
    <row r="7" spans="2:18" x14ac:dyDescent="0.2">
      <c r="B7" s="1009"/>
      <c r="C7" s="1010"/>
      <c r="D7" s="623"/>
      <c r="E7" s="623"/>
      <c r="F7" s="623"/>
      <c r="G7" s="623"/>
      <c r="H7" s="626"/>
      <c r="I7" s="626"/>
      <c r="J7" s="626"/>
      <c r="K7" s="626"/>
      <c r="L7" s="626"/>
      <c r="M7" s="626"/>
      <c r="N7" s="627"/>
    </row>
    <row r="8" spans="2:18" ht="13.15" customHeight="1" x14ac:dyDescent="0.2">
      <c r="B8" s="1011"/>
      <c r="C8" s="987"/>
      <c r="D8" s="623"/>
      <c r="E8" s="623"/>
      <c r="F8" s="993">
        <f>tab!D4</f>
        <v>2019</v>
      </c>
      <c r="G8" s="993">
        <f>tab!E4</f>
        <v>2020</v>
      </c>
      <c r="H8" s="993">
        <f>tab!F4</f>
        <v>2021</v>
      </c>
      <c r="I8" s="993">
        <f>tab!G4</f>
        <v>2022</v>
      </c>
      <c r="J8" s="993">
        <f>tab!H4</f>
        <v>2023</v>
      </c>
      <c r="K8" s="993">
        <f>tab!I4</f>
        <v>2024</v>
      </c>
      <c r="L8" s="993">
        <f>tab!J4</f>
        <v>2025</v>
      </c>
      <c r="M8" s="1261"/>
      <c r="N8" s="627"/>
      <c r="O8" s="628"/>
    </row>
    <row r="9" spans="2:18" ht="13.15" customHeight="1" x14ac:dyDescent="0.2">
      <c r="B9" s="1011"/>
      <c r="C9" s="987"/>
      <c r="D9" s="623"/>
      <c r="E9" s="623"/>
      <c r="F9" s="623"/>
      <c r="G9" s="623"/>
      <c r="H9" s="986"/>
      <c r="I9" s="986"/>
      <c r="J9" s="986"/>
      <c r="K9" s="986"/>
      <c r="L9" s="986"/>
      <c r="M9" s="986"/>
      <c r="N9" s="627"/>
    </row>
    <row r="10" spans="2:18" ht="13.15" customHeight="1" x14ac:dyDescent="0.2">
      <c r="B10" s="1011"/>
      <c r="C10" s="1012"/>
      <c r="D10" s="631"/>
      <c r="E10" s="631"/>
      <c r="F10" s="1099"/>
      <c r="G10" s="1099"/>
      <c r="H10" s="1100"/>
      <c r="I10" s="1100"/>
      <c r="J10" s="1100"/>
      <c r="K10" s="1100"/>
      <c r="L10" s="1013"/>
      <c r="M10" s="1013"/>
      <c r="N10" s="627"/>
    </row>
    <row r="11" spans="2:18" ht="13.15" customHeight="1" x14ac:dyDescent="0.2">
      <c r="B11" s="625"/>
      <c r="C11" s="634"/>
      <c r="D11" s="535" t="s">
        <v>215</v>
      </c>
      <c r="E11" s="503"/>
      <c r="F11" s="1101"/>
      <c r="G11" s="1101"/>
      <c r="H11" s="1102"/>
      <c r="I11" s="1102"/>
      <c r="J11" s="1102"/>
      <c r="K11" s="1102"/>
      <c r="L11" s="1015"/>
      <c r="M11" s="1015"/>
      <c r="N11" s="627"/>
    </row>
    <row r="12" spans="2:18" ht="13.15" customHeight="1" x14ac:dyDescent="0.2">
      <c r="B12" s="625"/>
      <c r="C12" s="634"/>
      <c r="D12" s="3"/>
      <c r="E12" s="503"/>
      <c r="F12" s="1101"/>
      <c r="G12" s="1101"/>
      <c r="H12" s="1101"/>
      <c r="I12" s="1101"/>
      <c r="J12" s="1101"/>
      <c r="K12" s="1101"/>
      <c r="L12" s="1016"/>
      <c r="M12" s="1016"/>
      <c r="N12" s="1017"/>
      <c r="O12" s="1018"/>
      <c r="P12" s="633"/>
      <c r="Q12" s="633"/>
      <c r="R12" s="633"/>
    </row>
    <row r="13" spans="2:18" ht="13.15" customHeight="1" x14ac:dyDescent="0.2">
      <c r="B13" s="625"/>
      <c r="C13" s="634"/>
      <c r="D13" s="1019" t="s">
        <v>216</v>
      </c>
      <c r="E13" s="503"/>
      <c r="F13" s="1101"/>
      <c r="G13" s="1101"/>
      <c r="H13" s="1101"/>
      <c r="I13" s="1101"/>
      <c r="J13" s="1101"/>
      <c r="K13" s="1101"/>
      <c r="L13" s="1016"/>
      <c r="M13" s="1016"/>
      <c r="N13" s="627"/>
    </row>
    <row r="14" spans="2:18" ht="13.15" customHeight="1" x14ac:dyDescent="0.2">
      <c r="B14" s="625"/>
      <c r="C14" s="634"/>
      <c r="D14" s="503" t="s">
        <v>531</v>
      </c>
      <c r="E14" s="503"/>
      <c r="F14" s="1103">
        <v>0</v>
      </c>
      <c r="G14" s="1103">
        <v>0</v>
      </c>
      <c r="H14" s="1104">
        <f>G14</f>
        <v>0</v>
      </c>
      <c r="I14" s="1104">
        <f>H14</f>
        <v>0</v>
      </c>
      <c r="J14" s="1104">
        <f>I14</f>
        <v>0</v>
      </c>
      <c r="K14" s="1104">
        <f>J14</f>
        <v>0</v>
      </c>
      <c r="L14" s="1021">
        <f>K14</f>
        <v>0</v>
      </c>
      <c r="M14" s="1020"/>
      <c r="N14" s="627"/>
    </row>
    <row r="15" spans="2:18" ht="13.15" customHeight="1" x14ac:dyDescent="0.2">
      <c r="B15" s="625"/>
      <c r="C15" s="634"/>
      <c r="D15" s="503" t="s">
        <v>532</v>
      </c>
      <c r="E15" s="503"/>
      <c r="F15" s="1300">
        <v>0</v>
      </c>
      <c r="G15" s="1300">
        <v>0</v>
      </c>
      <c r="H15" s="1105">
        <f>act!G18</f>
        <v>30000</v>
      </c>
      <c r="I15" s="1105">
        <f>act!H18</f>
        <v>15000</v>
      </c>
      <c r="J15" s="1105">
        <f>act!J18</f>
        <v>60000</v>
      </c>
      <c r="K15" s="1105">
        <f>act!K18</f>
        <v>45000</v>
      </c>
      <c r="L15" s="1105">
        <f>act!L18</f>
        <v>30000</v>
      </c>
      <c r="M15" s="1020"/>
      <c r="N15" s="627"/>
    </row>
    <row r="16" spans="2:18" ht="13.15" customHeight="1" x14ac:dyDescent="0.2">
      <c r="B16" s="625"/>
      <c r="C16" s="634"/>
      <c r="D16" s="503" t="s">
        <v>533</v>
      </c>
      <c r="E16" s="503"/>
      <c r="F16" s="1104">
        <v>0</v>
      </c>
      <c r="G16" s="1104">
        <v>0</v>
      </c>
      <c r="H16" s="1104">
        <f>G16</f>
        <v>0</v>
      </c>
      <c r="I16" s="1104">
        <f>H16</f>
        <v>0</v>
      </c>
      <c r="J16" s="1104">
        <f>I16</f>
        <v>0</v>
      </c>
      <c r="K16" s="1104">
        <f>J16</f>
        <v>0</v>
      </c>
      <c r="L16" s="1021">
        <f>K16</f>
        <v>0</v>
      </c>
      <c r="M16" s="1020"/>
      <c r="N16" s="627"/>
    </row>
    <row r="17" spans="2:22" ht="13.15" customHeight="1" x14ac:dyDescent="0.2">
      <c r="B17" s="625"/>
      <c r="C17" s="634"/>
      <c r="D17" s="632"/>
      <c r="E17" s="503"/>
      <c r="F17" s="1106">
        <f t="shared" ref="F17:L17" si="0">SUM(F14:F16)</f>
        <v>0</v>
      </c>
      <c r="G17" s="1106">
        <f t="shared" si="0"/>
        <v>0</v>
      </c>
      <c r="H17" s="1106">
        <f t="shared" si="0"/>
        <v>30000</v>
      </c>
      <c r="I17" s="1106">
        <f t="shared" si="0"/>
        <v>15000</v>
      </c>
      <c r="J17" s="1106">
        <f t="shared" si="0"/>
        <v>60000</v>
      </c>
      <c r="K17" s="1106">
        <f t="shared" si="0"/>
        <v>45000</v>
      </c>
      <c r="L17" s="1048">
        <f t="shared" si="0"/>
        <v>30000</v>
      </c>
      <c r="M17" s="1022"/>
      <c r="N17" s="627"/>
    </row>
    <row r="18" spans="2:22" ht="13.15" customHeight="1" x14ac:dyDescent="0.2">
      <c r="B18" s="625"/>
      <c r="C18" s="634"/>
      <c r="D18" s="1019" t="s">
        <v>217</v>
      </c>
      <c r="E18" s="503"/>
      <c r="F18" s="1107"/>
      <c r="G18" s="1107"/>
      <c r="H18" s="1107"/>
      <c r="I18" s="1107"/>
      <c r="J18" s="1107"/>
      <c r="K18" s="1107"/>
      <c r="L18" s="1020"/>
      <c r="M18" s="1020"/>
      <c r="N18" s="627"/>
    </row>
    <row r="19" spans="2:22" ht="13.15" customHeight="1" x14ac:dyDescent="0.2">
      <c r="B19" s="625"/>
      <c r="C19" s="634"/>
      <c r="D19" s="503" t="s">
        <v>534</v>
      </c>
      <c r="E19" s="503"/>
      <c r="F19" s="1104">
        <v>0</v>
      </c>
      <c r="G19" s="1104">
        <v>0</v>
      </c>
      <c r="H19" s="1104">
        <v>0</v>
      </c>
      <c r="I19" s="1104">
        <f>H19</f>
        <v>0</v>
      </c>
      <c r="J19" s="1104">
        <f>I19</f>
        <v>0</v>
      </c>
      <c r="K19" s="1104">
        <f>J19</f>
        <v>0</v>
      </c>
      <c r="L19" s="1021">
        <f>K19</f>
        <v>0</v>
      </c>
      <c r="M19" s="1020"/>
      <c r="N19" s="627"/>
    </row>
    <row r="20" spans="2:22" ht="13.15" customHeight="1" x14ac:dyDescent="0.2">
      <c r="B20" s="625"/>
      <c r="C20" s="634"/>
      <c r="D20" s="503" t="s">
        <v>535</v>
      </c>
      <c r="E20" s="503"/>
      <c r="F20" s="1104">
        <v>0</v>
      </c>
      <c r="G20" s="1104">
        <v>0</v>
      </c>
      <c r="H20" s="1104">
        <v>0</v>
      </c>
      <c r="I20" s="1104">
        <f t="shared" ref="I20:K21" si="1">H20</f>
        <v>0</v>
      </c>
      <c r="J20" s="1104">
        <f t="shared" si="1"/>
        <v>0</v>
      </c>
      <c r="K20" s="1104">
        <f t="shared" si="1"/>
        <v>0</v>
      </c>
      <c r="L20" s="1021">
        <f>K20</f>
        <v>0</v>
      </c>
      <c r="M20" s="1020"/>
      <c r="N20" s="627"/>
    </row>
    <row r="21" spans="2:22" ht="13.15" customHeight="1" x14ac:dyDescent="0.2">
      <c r="B21" s="625"/>
      <c r="C21" s="634"/>
      <c r="D21" s="503" t="s">
        <v>536</v>
      </c>
      <c r="E21" s="503"/>
      <c r="F21" s="1104">
        <v>0</v>
      </c>
      <c r="G21" s="1104">
        <v>0</v>
      </c>
      <c r="H21" s="1104">
        <v>0</v>
      </c>
      <c r="I21" s="1104">
        <f t="shared" si="1"/>
        <v>0</v>
      </c>
      <c r="J21" s="1104">
        <f t="shared" si="1"/>
        <v>0</v>
      </c>
      <c r="K21" s="1104">
        <f t="shared" si="1"/>
        <v>0</v>
      </c>
      <c r="L21" s="1021">
        <f>K21</f>
        <v>0</v>
      </c>
      <c r="M21" s="1020"/>
      <c r="N21" s="627"/>
    </row>
    <row r="22" spans="2:22" ht="13.15" customHeight="1" x14ac:dyDescent="0.2">
      <c r="B22" s="625"/>
      <c r="C22" s="634"/>
      <c r="D22" s="503" t="s">
        <v>537</v>
      </c>
      <c r="E22" s="503"/>
      <c r="F22" s="1108">
        <v>0</v>
      </c>
      <c r="G22" s="1300">
        <v>0</v>
      </c>
      <c r="H22" s="1105">
        <f t="shared" ref="H22:L22" si="2">H57-(H17+(SUM(H19:H21)))</f>
        <v>3348400.8763000001</v>
      </c>
      <c r="I22" s="1105">
        <f t="shared" si="2"/>
        <v>7162813.5582333338</v>
      </c>
      <c r="J22" s="1105">
        <f t="shared" si="2"/>
        <v>10969757.997400001</v>
      </c>
      <c r="K22" s="1105">
        <f t="shared" si="2"/>
        <v>14848307.626566667</v>
      </c>
      <c r="L22" s="1105">
        <f t="shared" si="2"/>
        <v>18741161.645733334</v>
      </c>
      <c r="M22" s="1020"/>
      <c r="N22" s="627"/>
    </row>
    <row r="23" spans="2:22" ht="13.15" customHeight="1" x14ac:dyDescent="0.2">
      <c r="B23" s="625"/>
      <c r="C23" s="634"/>
      <c r="D23" s="632"/>
      <c r="E23" s="503"/>
      <c r="F23" s="1106">
        <f>SUM(F19:F22)</f>
        <v>0</v>
      </c>
      <c r="G23" s="1106">
        <f t="shared" ref="G23:L23" si="3">SUM(G19:G22)</f>
        <v>0</v>
      </c>
      <c r="H23" s="1106">
        <f t="shared" si="3"/>
        <v>3348400.8763000001</v>
      </c>
      <c r="I23" s="1106">
        <f t="shared" si="3"/>
        <v>7162813.5582333338</v>
      </c>
      <c r="J23" s="1106">
        <f t="shared" si="3"/>
        <v>10969757.997400001</v>
      </c>
      <c r="K23" s="1106">
        <f t="shared" si="3"/>
        <v>14848307.626566667</v>
      </c>
      <c r="L23" s="1048">
        <f t="shared" si="3"/>
        <v>18741161.645733334</v>
      </c>
      <c r="M23" s="1022"/>
      <c r="N23" s="627"/>
    </row>
    <row r="24" spans="2:22" ht="13.15" customHeight="1" x14ac:dyDescent="0.2">
      <c r="B24" s="625"/>
      <c r="C24" s="634"/>
      <c r="D24" s="503"/>
      <c r="E24" s="503"/>
      <c r="F24" s="1101"/>
      <c r="G24" s="1101"/>
      <c r="H24" s="1101"/>
      <c r="I24" s="1101"/>
      <c r="J24" s="1101"/>
      <c r="K24" s="1101"/>
      <c r="L24" s="1016"/>
      <c r="M24" s="1016"/>
      <c r="N24" s="627"/>
    </row>
    <row r="25" spans="2:22" ht="13.15" customHeight="1" x14ac:dyDescent="0.2">
      <c r="B25" s="625"/>
      <c r="C25" s="634"/>
      <c r="D25" s="632" t="s">
        <v>218</v>
      </c>
      <c r="E25" s="1023"/>
      <c r="F25" s="1109">
        <f>F17+F23</f>
        <v>0</v>
      </c>
      <c r="G25" s="1109">
        <f t="shared" ref="G25:L25" si="4">G17+G23</f>
        <v>0</v>
      </c>
      <c r="H25" s="1109">
        <f t="shared" si="4"/>
        <v>3378400.8763000001</v>
      </c>
      <c r="I25" s="1109">
        <f t="shared" si="4"/>
        <v>7177813.5582333338</v>
      </c>
      <c r="J25" s="1109">
        <f t="shared" si="4"/>
        <v>11029757.997400001</v>
      </c>
      <c r="K25" s="1109">
        <f t="shared" si="4"/>
        <v>14893307.626566667</v>
      </c>
      <c r="L25" s="1047">
        <f t="shared" si="4"/>
        <v>18771161.645733334</v>
      </c>
      <c r="M25" s="1022"/>
      <c r="N25" s="627"/>
    </row>
    <row r="26" spans="2:22" ht="13.15" customHeight="1" x14ac:dyDescent="0.2">
      <c r="B26" s="625"/>
      <c r="C26" s="1024"/>
      <c r="D26" s="1025"/>
      <c r="E26" s="1026"/>
      <c r="F26" s="1110"/>
      <c r="G26" s="1110"/>
      <c r="H26" s="1110"/>
      <c r="I26" s="1110"/>
      <c r="J26" s="1110"/>
      <c r="K26" s="1110"/>
      <c r="L26" s="1027"/>
      <c r="M26" s="1027"/>
      <c r="N26" s="627"/>
      <c r="P26" s="1028"/>
      <c r="R26" s="1029"/>
      <c r="S26" s="1029"/>
      <c r="T26" s="1029"/>
      <c r="U26" s="1029"/>
      <c r="V26" s="1029"/>
    </row>
    <row r="27" spans="2:22" ht="13.15" customHeight="1" x14ac:dyDescent="0.2">
      <c r="B27" s="625"/>
      <c r="C27" s="623"/>
      <c r="D27" s="623"/>
      <c r="E27" s="1030"/>
      <c r="F27" s="1111"/>
      <c r="G27" s="1111"/>
      <c r="H27" s="1111"/>
      <c r="I27" s="1111"/>
      <c r="J27" s="1111"/>
      <c r="K27" s="1111"/>
      <c r="L27" s="1031"/>
      <c r="M27" s="626"/>
      <c r="N27" s="627"/>
      <c r="P27" s="1028"/>
      <c r="R27" s="1029"/>
      <c r="S27" s="1029"/>
      <c r="T27" s="1029"/>
      <c r="U27" s="1029"/>
      <c r="V27" s="1029"/>
    </row>
    <row r="28" spans="2:22" ht="13.15" customHeight="1" x14ac:dyDescent="0.2">
      <c r="B28" s="625"/>
      <c r="C28" s="630"/>
      <c r="D28" s="631"/>
      <c r="E28" s="1032"/>
      <c r="F28" s="1112"/>
      <c r="G28" s="1112"/>
      <c r="H28" s="1112"/>
      <c r="I28" s="1112"/>
      <c r="J28" s="1112"/>
      <c r="K28" s="1112"/>
      <c r="L28" s="1033"/>
      <c r="M28" s="1033"/>
      <c r="N28" s="627"/>
      <c r="P28" s="1028"/>
      <c r="R28" s="1029"/>
      <c r="S28" s="1029"/>
      <c r="T28" s="1029"/>
      <c r="U28" s="1029"/>
      <c r="V28" s="1029"/>
    </row>
    <row r="29" spans="2:22" ht="13.15" customHeight="1" x14ac:dyDescent="0.2">
      <c r="B29" s="625"/>
      <c r="C29" s="634"/>
      <c r="D29" s="535" t="s">
        <v>219</v>
      </c>
      <c r="E29" s="503"/>
      <c r="F29" s="1107"/>
      <c r="G29" s="1107"/>
      <c r="H29" s="1107"/>
      <c r="I29" s="1107"/>
      <c r="J29" s="1107"/>
      <c r="K29" s="1107"/>
      <c r="L29" s="1034"/>
      <c r="M29" s="1034"/>
      <c r="N29" s="627"/>
      <c r="P29" s="1028"/>
      <c r="R29" s="1029"/>
      <c r="S29" s="1029"/>
      <c r="T29" s="1029"/>
      <c r="U29" s="1029"/>
      <c r="V29" s="1029"/>
    </row>
    <row r="30" spans="2:22" ht="13.15" customHeight="1" x14ac:dyDescent="0.2">
      <c r="B30" s="1035"/>
      <c r="C30" s="1036"/>
      <c r="D30" s="3"/>
      <c r="E30" s="1023"/>
      <c r="F30" s="1107"/>
      <c r="G30" s="1107"/>
      <c r="H30" s="1107"/>
      <c r="I30" s="1107"/>
      <c r="J30" s="1107"/>
      <c r="K30" s="1107"/>
      <c r="L30" s="1034"/>
      <c r="M30" s="1034"/>
      <c r="N30" s="627"/>
      <c r="P30" s="1028"/>
      <c r="R30" s="1029"/>
      <c r="S30" s="1029"/>
      <c r="T30" s="1029"/>
      <c r="U30" s="1029"/>
      <c r="V30" s="1029"/>
    </row>
    <row r="31" spans="2:22" ht="13.15" customHeight="1" x14ac:dyDescent="0.2">
      <c r="B31" s="1035"/>
      <c r="C31" s="1036"/>
      <c r="D31" s="503" t="s">
        <v>538</v>
      </c>
      <c r="E31" s="1023"/>
      <c r="F31" s="1107"/>
      <c r="G31" s="1107"/>
      <c r="H31" s="1107"/>
      <c r="I31" s="1107"/>
      <c r="J31" s="1107"/>
      <c r="K31" s="1107"/>
      <c r="L31" s="1034"/>
      <c r="M31" s="1034"/>
      <c r="N31" s="627"/>
      <c r="P31" s="1028"/>
      <c r="R31" s="1029"/>
      <c r="S31" s="1029"/>
      <c r="T31" s="1029"/>
      <c r="U31" s="1029"/>
      <c r="V31" s="1029"/>
    </row>
    <row r="32" spans="2:22" ht="13.15" customHeight="1" x14ac:dyDescent="0.2">
      <c r="B32" s="1035"/>
      <c r="C32" s="1036"/>
      <c r="D32" s="503" t="s">
        <v>220</v>
      </c>
      <c r="E32" s="1023"/>
      <c r="F32" s="1113">
        <f>F25-(F33+F34+F35+F42+F46+F55)</f>
        <v>0</v>
      </c>
      <c r="G32" s="1300">
        <v>0</v>
      </c>
      <c r="H32" s="1105">
        <f>G36+begr!G40-SUM(H33:H35)</f>
        <v>3378400.8763000001</v>
      </c>
      <c r="I32" s="1105">
        <f>H36+begr!H40-SUM(I33:I35)</f>
        <v>7177813.5582333338</v>
      </c>
      <c r="J32" s="1105">
        <f>I36+begr!I40-SUM(J33:J35)</f>
        <v>11029757.997400001</v>
      </c>
      <c r="K32" s="1105">
        <f>J36+begr!J40-SUM(K33:K35)</f>
        <v>14893307.626566667</v>
      </c>
      <c r="L32" s="1049">
        <f>K36+begr!K40-SUM(L33:L35)</f>
        <v>18771161.645733334</v>
      </c>
      <c r="M32" s="1034"/>
      <c r="N32" s="627"/>
      <c r="P32" s="1028"/>
      <c r="R32" s="1029"/>
      <c r="S32" s="1029"/>
      <c r="T32" s="1029"/>
      <c r="U32" s="1029"/>
      <c r="V32" s="1029"/>
    </row>
    <row r="33" spans="2:22" ht="13.15" customHeight="1" x14ac:dyDescent="0.2">
      <c r="B33" s="1035"/>
      <c r="C33" s="1036"/>
      <c r="D33" s="1052" t="s">
        <v>221</v>
      </c>
      <c r="E33" s="1023"/>
      <c r="F33" s="1104">
        <v>0</v>
      </c>
      <c r="G33" s="1104">
        <v>0</v>
      </c>
      <c r="H33" s="1104">
        <v>0</v>
      </c>
      <c r="I33" s="1104">
        <f t="shared" ref="I33:K35" si="5">H33</f>
        <v>0</v>
      </c>
      <c r="J33" s="1104">
        <f t="shared" si="5"/>
        <v>0</v>
      </c>
      <c r="K33" s="1104">
        <f t="shared" si="5"/>
        <v>0</v>
      </c>
      <c r="L33" s="1021">
        <f>K33</f>
        <v>0</v>
      </c>
      <c r="M33" s="1034"/>
      <c r="N33" s="627"/>
      <c r="P33" s="1028"/>
      <c r="R33" s="1029"/>
      <c r="S33" s="1029"/>
      <c r="T33" s="1029"/>
      <c r="U33" s="1029"/>
      <c r="V33" s="1029"/>
    </row>
    <row r="34" spans="2:22" ht="13.15" customHeight="1" x14ac:dyDescent="0.2">
      <c r="B34" s="1035"/>
      <c r="C34" s="1036"/>
      <c r="D34" s="1052" t="s">
        <v>222</v>
      </c>
      <c r="E34" s="1023"/>
      <c r="F34" s="1104">
        <v>0</v>
      </c>
      <c r="G34" s="1104">
        <v>0</v>
      </c>
      <c r="H34" s="1104">
        <v>0</v>
      </c>
      <c r="I34" s="1104">
        <f t="shared" si="5"/>
        <v>0</v>
      </c>
      <c r="J34" s="1104">
        <f t="shared" si="5"/>
        <v>0</v>
      </c>
      <c r="K34" s="1104">
        <f t="shared" si="5"/>
        <v>0</v>
      </c>
      <c r="L34" s="1021">
        <f>K34</f>
        <v>0</v>
      </c>
      <c r="M34" s="1034"/>
      <c r="N34" s="627"/>
      <c r="P34" s="1028"/>
      <c r="R34" s="1029"/>
      <c r="S34" s="1029"/>
      <c r="T34" s="1029"/>
      <c r="U34" s="1029"/>
      <c r="V34" s="1029"/>
    </row>
    <row r="35" spans="2:22" ht="13.15" customHeight="1" x14ac:dyDescent="0.2">
      <c r="B35" s="1035"/>
      <c r="C35" s="1036"/>
      <c r="D35" s="1052" t="s">
        <v>223</v>
      </c>
      <c r="E35" s="1023"/>
      <c r="F35" s="1104">
        <v>0</v>
      </c>
      <c r="G35" s="1104">
        <v>0</v>
      </c>
      <c r="H35" s="1104">
        <v>0</v>
      </c>
      <c r="I35" s="1104">
        <f t="shared" si="5"/>
        <v>0</v>
      </c>
      <c r="J35" s="1104">
        <f t="shared" si="5"/>
        <v>0</v>
      </c>
      <c r="K35" s="1104">
        <f t="shared" si="5"/>
        <v>0</v>
      </c>
      <c r="L35" s="1021">
        <f>K35</f>
        <v>0</v>
      </c>
      <c r="M35" s="1034"/>
      <c r="N35" s="627"/>
      <c r="P35" s="1028"/>
      <c r="R35" s="1029"/>
      <c r="S35" s="1029"/>
      <c r="T35" s="1029"/>
      <c r="U35" s="1029"/>
      <c r="V35" s="1029"/>
    </row>
    <row r="36" spans="2:22" ht="13.15" customHeight="1" x14ac:dyDescent="0.2">
      <c r="B36" s="625"/>
      <c r="C36" s="634"/>
      <c r="D36" s="1014"/>
      <c r="E36" s="503"/>
      <c r="F36" s="1106">
        <f t="shared" ref="F36:L36" si="6">SUM(F32:F35)</f>
        <v>0</v>
      </c>
      <c r="G36" s="1106">
        <f t="shared" si="6"/>
        <v>0</v>
      </c>
      <c r="H36" s="1106">
        <f t="shared" si="6"/>
        <v>3378400.8763000001</v>
      </c>
      <c r="I36" s="1106">
        <f t="shared" si="6"/>
        <v>7177813.5582333338</v>
      </c>
      <c r="J36" s="1106">
        <f t="shared" si="6"/>
        <v>11029757.997400001</v>
      </c>
      <c r="K36" s="1106">
        <f t="shared" si="6"/>
        <v>14893307.626566667</v>
      </c>
      <c r="L36" s="1048">
        <f t="shared" si="6"/>
        <v>18771161.645733334</v>
      </c>
      <c r="M36" s="1022"/>
      <c r="N36" s="627"/>
    </row>
    <row r="37" spans="2:22" ht="13.15" customHeight="1" x14ac:dyDescent="0.2">
      <c r="B37" s="625"/>
      <c r="C37" s="634"/>
      <c r="D37" s="503" t="s">
        <v>539</v>
      </c>
      <c r="E37" s="503"/>
      <c r="F37" s="1101"/>
      <c r="G37" s="1101"/>
      <c r="H37" s="1101"/>
      <c r="I37" s="1101"/>
      <c r="J37" s="1101"/>
      <c r="K37" s="1101"/>
      <c r="L37" s="1016"/>
      <c r="M37" s="1016"/>
      <c r="N37" s="627"/>
    </row>
    <row r="38" spans="2:22" ht="13.15" customHeight="1" x14ac:dyDescent="0.2">
      <c r="B38" s="625"/>
      <c r="C38" s="634"/>
      <c r="D38" s="503" t="s">
        <v>540</v>
      </c>
      <c r="E38" s="503"/>
      <c r="F38" s="1105">
        <f>mop!G16</f>
        <v>0</v>
      </c>
      <c r="G38" s="1324">
        <v>0</v>
      </c>
      <c r="H38" s="1105">
        <f>mop!I16</f>
        <v>0</v>
      </c>
      <c r="I38" s="1105">
        <f>mop!J16</f>
        <v>0</v>
      </c>
      <c r="J38" s="1105">
        <f>mop!K16</f>
        <v>0</v>
      </c>
      <c r="K38" s="1105">
        <f>mop!L16</f>
        <v>0</v>
      </c>
      <c r="L38" s="1105">
        <f>mop!M16</f>
        <v>0</v>
      </c>
      <c r="M38" s="1020"/>
      <c r="N38" s="627"/>
    </row>
    <row r="39" spans="2:22" ht="13.15" customHeight="1" x14ac:dyDescent="0.2">
      <c r="B39" s="625"/>
      <c r="C39" s="634"/>
      <c r="D39" s="503" t="s">
        <v>481</v>
      </c>
      <c r="E39" s="503"/>
      <c r="F39" s="1104">
        <v>0</v>
      </c>
      <c r="G39" s="1104">
        <v>0</v>
      </c>
      <c r="H39" s="1104">
        <f t="shared" ref="H39:L41" si="7">G39</f>
        <v>0</v>
      </c>
      <c r="I39" s="1104">
        <f t="shared" si="7"/>
        <v>0</v>
      </c>
      <c r="J39" s="1104">
        <f t="shared" si="7"/>
        <v>0</v>
      </c>
      <c r="K39" s="1104">
        <f t="shared" si="7"/>
        <v>0</v>
      </c>
      <c r="L39" s="1021">
        <f t="shared" si="7"/>
        <v>0</v>
      </c>
      <c r="M39" s="1020"/>
      <c r="N39" s="627"/>
    </row>
    <row r="40" spans="2:22" ht="13.15" customHeight="1" x14ac:dyDescent="0.2">
      <c r="B40" s="625"/>
      <c r="C40" s="634"/>
      <c r="D40" s="503" t="s">
        <v>482</v>
      </c>
      <c r="E40" s="503"/>
      <c r="F40" s="1104">
        <v>0</v>
      </c>
      <c r="G40" s="1104">
        <v>0</v>
      </c>
      <c r="H40" s="1104">
        <f t="shared" si="7"/>
        <v>0</v>
      </c>
      <c r="I40" s="1104">
        <f t="shared" si="7"/>
        <v>0</v>
      </c>
      <c r="J40" s="1104">
        <f t="shared" si="7"/>
        <v>0</v>
      </c>
      <c r="K40" s="1104">
        <f t="shared" si="7"/>
        <v>0</v>
      </c>
      <c r="L40" s="1021">
        <f t="shared" si="7"/>
        <v>0</v>
      </c>
      <c r="M40" s="1020"/>
      <c r="N40" s="627"/>
    </row>
    <row r="41" spans="2:22" ht="13.15" customHeight="1" x14ac:dyDescent="0.2">
      <c r="B41" s="625"/>
      <c r="C41" s="634"/>
      <c r="D41" s="503" t="s">
        <v>541</v>
      </c>
      <c r="E41" s="503"/>
      <c r="F41" s="1104">
        <v>0</v>
      </c>
      <c r="G41" s="1104">
        <v>0</v>
      </c>
      <c r="H41" s="1104">
        <f t="shared" si="7"/>
        <v>0</v>
      </c>
      <c r="I41" s="1104">
        <f t="shared" si="7"/>
        <v>0</v>
      </c>
      <c r="J41" s="1104">
        <f t="shared" si="7"/>
        <v>0</v>
      </c>
      <c r="K41" s="1104">
        <f t="shared" si="7"/>
        <v>0</v>
      </c>
      <c r="L41" s="1021">
        <f t="shared" si="7"/>
        <v>0</v>
      </c>
      <c r="M41" s="1020"/>
      <c r="N41" s="627"/>
    </row>
    <row r="42" spans="2:22" ht="13.15" customHeight="1" x14ac:dyDescent="0.2">
      <c r="B42" s="625"/>
      <c r="C42" s="634"/>
      <c r="D42" s="1014"/>
      <c r="E42" s="503"/>
      <c r="F42" s="1106">
        <f>SUM(F38:F41)</f>
        <v>0</v>
      </c>
      <c r="G42" s="1106">
        <f t="shared" ref="G42:L42" si="8">SUM(G38:G41)</f>
        <v>0</v>
      </c>
      <c r="H42" s="1106">
        <f t="shared" si="8"/>
        <v>0</v>
      </c>
      <c r="I42" s="1106">
        <f t="shared" si="8"/>
        <v>0</v>
      </c>
      <c r="J42" s="1106">
        <f t="shared" si="8"/>
        <v>0</v>
      </c>
      <c r="K42" s="1106">
        <f t="shared" si="8"/>
        <v>0</v>
      </c>
      <c r="L42" s="1048">
        <f t="shared" si="8"/>
        <v>0</v>
      </c>
      <c r="M42" s="1022"/>
      <c r="N42" s="627"/>
    </row>
    <row r="43" spans="2:22" ht="13.15" customHeight="1" x14ac:dyDescent="0.2">
      <c r="B43" s="625"/>
      <c r="C43" s="634"/>
      <c r="D43" s="503" t="s">
        <v>542</v>
      </c>
      <c r="E43" s="503"/>
      <c r="F43" s="1107"/>
      <c r="G43" s="1107"/>
      <c r="H43" s="1107"/>
      <c r="I43" s="1107"/>
      <c r="J43" s="1107"/>
      <c r="K43" s="1107"/>
      <c r="L43" s="1020"/>
      <c r="M43" s="1020"/>
      <c r="N43" s="627"/>
    </row>
    <row r="44" spans="2:22" ht="13.15" customHeight="1" x14ac:dyDescent="0.2">
      <c r="B44" s="625"/>
      <c r="C44" s="634"/>
      <c r="D44" s="503" t="s">
        <v>226</v>
      </c>
      <c r="E44" s="503"/>
      <c r="F44" s="1104">
        <v>0</v>
      </c>
      <c r="G44" s="1104">
        <v>0</v>
      </c>
      <c r="H44" s="1104">
        <f t="shared" ref="H44:L45" si="9">G44</f>
        <v>0</v>
      </c>
      <c r="I44" s="1104">
        <f t="shared" si="9"/>
        <v>0</v>
      </c>
      <c r="J44" s="1104">
        <f t="shared" si="9"/>
        <v>0</v>
      </c>
      <c r="K44" s="1104">
        <f t="shared" si="9"/>
        <v>0</v>
      </c>
      <c r="L44" s="1021">
        <f t="shared" si="9"/>
        <v>0</v>
      </c>
      <c r="M44" s="1020"/>
      <c r="N44" s="627"/>
    </row>
    <row r="45" spans="2:22" ht="13.15" customHeight="1" x14ac:dyDescent="0.2">
      <c r="B45" s="625"/>
      <c r="C45" s="634"/>
      <c r="D45" s="503" t="s">
        <v>227</v>
      </c>
      <c r="E45" s="503"/>
      <c r="F45" s="1104">
        <v>0</v>
      </c>
      <c r="G45" s="1104">
        <v>0</v>
      </c>
      <c r="H45" s="1104">
        <f t="shared" si="9"/>
        <v>0</v>
      </c>
      <c r="I45" s="1104">
        <f t="shared" si="9"/>
        <v>0</v>
      </c>
      <c r="J45" s="1104">
        <f t="shared" si="9"/>
        <v>0</v>
      </c>
      <c r="K45" s="1104">
        <f t="shared" si="9"/>
        <v>0</v>
      </c>
      <c r="L45" s="1021">
        <f t="shared" si="9"/>
        <v>0</v>
      </c>
      <c r="M45" s="1020"/>
      <c r="N45" s="627"/>
    </row>
    <row r="46" spans="2:22" ht="13.15" customHeight="1" x14ac:dyDescent="0.2">
      <c r="B46" s="625"/>
      <c r="C46" s="634"/>
      <c r="D46" s="632"/>
      <c r="E46" s="503"/>
      <c r="F46" s="1106">
        <f>SUM(F44:F45)</f>
        <v>0</v>
      </c>
      <c r="G46" s="1106">
        <f t="shared" ref="G46:L46" si="10">SUM(G44:G45)</f>
        <v>0</v>
      </c>
      <c r="H46" s="1106">
        <f t="shared" si="10"/>
        <v>0</v>
      </c>
      <c r="I46" s="1106">
        <f t="shared" si="10"/>
        <v>0</v>
      </c>
      <c r="J46" s="1106">
        <f t="shared" si="10"/>
        <v>0</v>
      </c>
      <c r="K46" s="1106">
        <f t="shared" si="10"/>
        <v>0</v>
      </c>
      <c r="L46" s="1048">
        <f t="shared" si="10"/>
        <v>0</v>
      </c>
      <c r="M46" s="1022"/>
      <c r="N46" s="627"/>
    </row>
    <row r="47" spans="2:22" ht="13.15" customHeight="1" x14ac:dyDescent="0.2">
      <c r="B47" s="625"/>
      <c r="C47" s="634"/>
      <c r="D47" s="503" t="s">
        <v>543</v>
      </c>
      <c r="E47" s="503"/>
      <c r="F47" s="1107"/>
      <c r="G47" s="1107"/>
      <c r="H47" s="1107"/>
      <c r="I47" s="1107"/>
      <c r="J47" s="1107"/>
      <c r="K47" s="1107"/>
      <c r="L47" s="1020"/>
      <c r="M47" s="1020"/>
      <c r="N47" s="627"/>
    </row>
    <row r="48" spans="2:22" ht="13.15" customHeight="1" x14ac:dyDescent="0.2">
      <c r="B48" s="625"/>
      <c r="C48" s="634"/>
      <c r="D48" s="503" t="s">
        <v>226</v>
      </c>
      <c r="E48" s="503"/>
      <c r="F48" s="1104">
        <v>0</v>
      </c>
      <c r="G48" s="1104">
        <v>0</v>
      </c>
      <c r="H48" s="1104">
        <f>G48</f>
        <v>0</v>
      </c>
      <c r="I48" s="1104">
        <f>H48</f>
        <v>0</v>
      </c>
      <c r="J48" s="1104">
        <f t="shared" ref="J48:K54" si="11">I48</f>
        <v>0</v>
      </c>
      <c r="K48" s="1104">
        <f t="shared" si="11"/>
        <v>0</v>
      </c>
      <c r="L48" s="1021">
        <f t="shared" ref="L48:L54" si="12">K48</f>
        <v>0</v>
      </c>
      <c r="M48" s="1020"/>
      <c r="N48" s="627"/>
    </row>
    <row r="49" spans="2:15" ht="13.15" customHeight="1" x14ac:dyDescent="0.2">
      <c r="B49" s="625"/>
      <c r="C49" s="634"/>
      <c r="D49" s="503" t="s">
        <v>229</v>
      </c>
      <c r="E49" s="503"/>
      <c r="F49" s="1104">
        <v>0</v>
      </c>
      <c r="G49" s="1104">
        <v>0</v>
      </c>
      <c r="H49" s="1104">
        <f t="shared" ref="H49:H54" si="13">G49</f>
        <v>0</v>
      </c>
      <c r="I49" s="1104">
        <f t="shared" ref="I49:I54" si="14">H49</f>
        <v>0</v>
      </c>
      <c r="J49" s="1104">
        <f t="shared" si="11"/>
        <v>0</v>
      </c>
      <c r="K49" s="1104">
        <f t="shared" si="11"/>
        <v>0</v>
      </c>
      <c r="L49" s="1021">
        <f t="shared" si="12"/>
        <v>0</v>
      </c>
      <c r="M49" s="1020"/>
      <c r="N49" s="627"/>
    </row>
    <row r="50" spans="2:15" ht="13.15" customHeight="1" x14ac:dyDescent="0.2">
      <c r="B50" s="625"/>
      <c r="C50" s="634"/>
      <c r="D50" s="503" t="s">
        <v>230</v>
      </c>
      <c r="E50" s="503"/>
      <c r="F50" s="1104">
        <v>0</v>
      </c>
      <c r="G50" s="1104">
        <v>0</v>
      </c>
      <c r="H50" s="1104">
        <f t="shared" si="13"/>
        <v>0</v>
      </c>
      <c r="I50" s="1104">
        <f t="shared" si="14"/>
        <v>0</v>
      </c>
      <c r="J50" s="1104">
        <f t="shared" si="11"/>
        <v>0</v>
      </c>
      <c r="K50" s="1104">
        <f t="shared" si="11"/>
        <v>0</v>
      </c>
      <c r="L50" s="1021">
        <f t="shared" si="12"/>
        <v>0</v>
      </c>
      <c r="M50" s="1020"/>
      <c r="N50" s="627"/>
      <c r="O50" s="628"/>
    </row>
    <row r="51" spans="2:15" ht="13.15" customHeight="1" x14ac:dyDescent="0.2">
      <c r="B51" s="625"/>
      <c r="C51" s="634"/>
      <c r="D51" s="503" t="s">
        <v>231</v>
      </c>
      <c r="E51" s="503"/>
      <c r="F51" s="1104">
        <v>0</v>
      </c>
      <c r="G51" s="1104">
        <v>0</v>
      </c>
      <c r="H51" s="1104">
        <f t="shared" si="13"/>
        <v>0</v>
      </c>
      <c r="I51" s="1104">
        <f>H51</f>
        <v>0</v>
      </c>
      <c r="J51" s="1104">
        <f t="shared" si="11"/>
        <v>0</v>
      </c>
      <c r="K51" s="1104">
        <f t="shared" si="11"/>
        <v>0</v>
      </c>
      <c r="L51" s="1021">
        <f t="shared" si="12"/>
        <v>0</v>
      </c>
      <c r="M51" s="1020"/>
      <c r="N51" s="627"/>
      <c r="O51" s="628"/>
    </row>
    <row r="52" spans="2:15" ht="13.15" customHeight="1" x14ac:dyDescent="0.2">
      <c r="B52" s="625"/>
      <c r="C52" s="634"/>
      <c r="D52" s="503" t="s">
        <v>232</v>
      </c>
      <c r="E52" s="503"/>
      <c r="F52" s="1104">
        <v>0</v>
      </c>
      <c r="G52" s="1104">
        <v>0</v>
      </c>
      <c r="H52" s="1104">
        <f t="shared" si="13"/>
        <v>0</v>
      </c>
      <c r="I52" s="1104">
        <f t="shared" si="14"/>
        <v>0</v>
      </c>
      <c r="J52" s="1104">
        <f t="shared" si="11"/>
        <v>0</v>
      </c>
      <c r="K52" s="1104">
        <f t="shared" si="11"/>
        <v>0</v>
      </c>
      <c r="L52" s="1021">
        <f t="shared" si="12"/>
        <v>0</v>
      </c>
      <c r="M52" s="1020"/>
      <c r="N52" s="627"/>
      <c r="O52" s="628"/>
    </row>
    <row r="53" spans="2:15" ht="13.15" customHeight="1" x14ac:dyDescent="0.2">
      <c r="B53" s="625"/>
      <c r="C53" s="634"/>
      <c r="D53" s="503" t="s">
        <v>233</v>
      </c>
      <c r="E53" s="503"/>
      <c r="F53" s="1104">
        <v>0</v>
      </c>
      <c r="G53" s="1104">
        <v>0</v>
      </c>
      <c r="H53" s="1104">
        <f t="shared" si="13"/>
        <v>0</v>
      </c>
      <c r="I53" s="1104">
        <f t="shared" si="14"/>
        <v>0</v>
      </c>
      <c r="J53" s="1104">
        <f t="shared" si="11"/>
        <v>0</v>
      </c>
      <c r="K53" s="1104">
        <f t="shared" si="11"/>
        <v>0</v>
      </c>
      <c r="L53" s="1021">
        <f t="shared" si="12"/>
        <v>0</v>
      </c>
      <c r="M53" s="1020"/>
      <c r="N53" s="627"/>
      <c r="O53" s="628"/>
    </row>
    <row r="54" spans="2:15" ht="13.15" customHeight="1" x14ac:dyDescent="0.2">
      <c r="B54" s="625"/>
      <c r="C54" s="634"/>
      <c r="D54" s="503" t="s">
        <v>234</v>
      </c>
      <c r="E54" s="503"/>
      <c r="F54" s="1104">
        <v>0</v>
      </c>
      <c r="G54" s="1104">
        <v>0</v>
      </c>
      <c r="H54" s="1104">
        <f t="shared" si="13"/>
        <v>0</v>
      </c>
      <c r="I54" s="1104">
        <f t="shared" si="14"/>
        <v>0</v>
      </c>
      <c r="J54" s="1104">
        <f t="shared" si="11"/>
        <v>0</v>
      </c>
      <c r="K54" s="1104">
        <f t="shared" si="11"/>
        <v>0</v>
      </c>
      <c r="L54" s="1021">
        <f t="shared" si="12"/>
        <v>0</v>
      </c>
      <c r="M54" s="1020"/>
      <c r="N54" s="627"/>
      <c r="O54" s="628"/>
    </row>
    <row r="55" spans="2:15" ht="13.15" customHeight="1" x14ac:dyDescent="0.2">
      <c r="B55" s="625"/>
      <c r="C55" s="634"/>
      <c r="D55" s="632"/>
      <c r="E55" s="503"/>
      <c r="F55" s="1106">
        <f>SUM(F48:F54)</f>
        <v>0</v>
      </c>
      <c r="G55" s="1106">
        <f t="shared" ref="G55:L55" si="15">SUM(G48:G54)</f>
        <v>0</v>
      </c>
      <c r="H55" s="1106">
        <f t="shared" si="15"/>
        <v>0</v>
      </c>
      <c r="I55" s="1106">
        <f t="shared" si="15"/>
        <v>0</v>
      </c>
      <c r="J55" s="1106">
        <f t="shared" si="15"/>
        <v>0</v>
      </c>
      <c r="K55" s="1106">
        <f t="shared" si="15"/>
        <v>0</v>
      </c>
      <c r="L55" s="1048">
        <f t="shared" si="15"/>
        <v>0</v>
      </c>
      <c r="M55" s="1022"/>
      <c r="N55" s="627"/>
      <c r="O55" s="628"/>
    </row>
    <row r="56" spans="2:15" ht="13.15" customHeight="1" x14ac:dyDescent="0.2">
      <c r="B56" s="625"/>
      <c r="C56" s="634"/>
      <c r="D56" s="503"/>
      <c r="E56" s="503"/>
      <c r="F56" s="1101"/>
      <c r="G56" s="1101"/>
      <c r="H56" s="1101"/>
      <c r="I56" s="1101"/>
      <c r="J56" s="1101"/>
      <c r="K56" s="1101"/>
      <c r="L56" s="1016"/>
      <c r="M56" s="1016"/>
      <c r="N56" s="627"/>
      <c r="O56" s="628"/>
    </row>
    <row r="57" spans="2:15" ht="13.15" customHeight="1" x14ac:dyDescent="0.2">
      <c r="B57" s="625"/>
      <c r="C57" s="634"/>
      <c r="D57" s="686" t="s">
        <v>235</v>
      </c>
      <c r="E57" s="503"/>
      <c r="F57" s="1109">
        <f>F36+F42+F46+F55</f>
        <v>0</v>
      </c>
      <c r="G57" s="1109">
        <f t="shared" ref="G57:L57" si="16">G36+G42+G46+G55</f>
        <v>0</v>
      </c>
      <c r="H57" s="1109">
        <f t="shared" si="16"/>
        <v>3378400.8763000001</v>
      </c>
      <c r="I57" s="1109">
        <f t="shared" si="16"/>
        <v>7177813.5582333338</v>
      </c>
      <c r="J57" s="1109">
        <f t="shared" si="16"/>
        <v>11029757.997400001</v>
      </c>
      <c r="K57" s="1109">
        <f t="shared" si="16"/>
        <v>14893307.626566667</v>
      </c>
      <c r="L57" s="1047">
        <f t="shared" si="16"/>
        <v>18771161.645733334</v>
      </c>
      <c r="M57" s="1022"/>
      <c r="N57" s="627"/>
      <c r="O57" s="628"/>
    </row>
    <row r="58" spans="2:15" ht="13.15" customHeight="1" x14ac:dyDescent="0.2">
      <c r="B58" s="625"/>
      <c r="C58" s="1024"/>
      <c r="D58" s="1037"/>
      <c r="E58" s="1025"/>
      <c r="F58" s="1038"/>
      <c r="G58" s="1038"/>
      <c r="H58" s="1038"/>
      <c r="I58" s="1038"/>
      <c r="J58" s="1038"/>
      <c r="K58" s="1038"/>
      <c r="L58" s="1039"/>
      <c r="M58" s="1039"/>
      <c r="N58" s="627"/>
      <c r="O58" s="628"/>
    </row>
    <row r="59" spans="2:15" ht="13.15" customHeight="1" x14ac:dyDescent="0.2">
      <c r="B59" s="625"/>
      <c r="C59" s="623"/>
      <c r="D59" s="985"/>
      <c r="E59" s="623"/>
      <c r="F59" s="623"/>
      <c r="G59" s="623"/>
      <c r="H59" s="1040"/>
      <c r="I59" s="1040"/>
      <c r="J59" s="1040"/>
      <c r="K59" s="1040"/>
      <c r="L59" s="1040"/>
      <c r="M59" s="1040"/>
      <c r="N59" s="627"/>
      <c r="O59" s="628"/>
    </row>
    <row r="60" spans="2:15" ht="13.15" customHeight="1" x14ac:dyDescent="0.25">
      <c r="B60" s="1041"/>
      <c r="C60" s="1042"/>
      <c r="D60" s="1043"/>
      <c r="E60" s="1042"/>
      <c r="F60" s="1042"/>
      <c r="G60" s="1042"/>
      <c r="H60" s="1044"/>
      <c r="I60" s="1044"/>
      <c r="J60" s="1044"/>
      <c r="K60" s="1044"/>
      <c r="L60" s="1044"/>
      <c r="M60" s="1045"/>
      <c r="N60" s="1046"/>
      <c r="O60" s="628"/>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pOgEeC3GZBYNXC2DCmw0+aIoKbFJTKe2/skDEi/jOC6xkbFnoO3A48Xhba/KNfOeOCLv2yYhnaM7q38RZCwUtg==" saltValue="5XoQDKda+zEbdOaz2lt+6g=="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55"/>
  <sheetViews>
    <sheetView zoomScale="85" zoomScaleNormal="85" workbookViewId="0">
      <selection activeCell="B2" sqref="B2"/>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10" width="13.85546875" style="256" customWidth="1"/>
    <col min="11" max="11" width="13.85546875" style="256" hidden="1"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236</v>
      </c>
      <c r="D4" s="20"/>
      <c r="E4" s="21"/>
      <c r="F4" s="260"/>
      <c r="G4" s="260"/>
      <c r="H4" s="21"/>
      <c r="I4" s="21"/>
      <c r="J4" s="21"/>
      <c r="K4" s="21"/>
      <c r="L4" s="21"/>
      <c r="M4" s="22"/>
    </row>
    <row r="5" spans="2:14" s="263" customFormat="1" ht="18.75" x14ac:dyDescent="0.3">
      <c r="B5" s="258"/>
      <c r="C5" s="194" t="str">
        <f>+geg!H9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993">
        <f>+tab!E4</f>
        <v>2020</v>
      </c>
      <c r="G8" s="993">
        <f>F8+1</f>
        <v>2021</v>
      </c>
      <c r="H8" s="993">
        <f t="shared" ref="H8:K8" si="0">G8+1</f>
        <v>2022</v>
      </c>
      <c r="I8" s="993">
        <f t="shared" si="0"/>
        <v>2023</v>
      </c>
      <c r="J8" s="993">
        <f t="shared" si="0"/>
        <v>2024</v>
      </c>
      <c r="K8" s="993">
        <f t="shared" si="0"/>
        <v>2025</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5" t="s">
        <v>237</v>
      </c>
      <c r="E11" s="30"/>
      <c r="F11" s="959">
        <f>bal!F22</f>
        <v>0</v>
      </c>
      <c r="G11" s="959">
        <f>bal!G22</f>
        <v>0</v>
      </c>
      <c r="H11" s="959">
        <f>bal!H22</f>
        <v>3348400.8763000001</v>
      </c>
      <c r="I11" s="959">
        <f>bal!I22</f>
        <v>7162813.5582333338</v>
      </c>
      <c r="J11" s="959">
        <f>bal!J22</f>
        <v>10969757.997400001</v>
      </c>
      <c r="K11" s="959">
        <f>bal!K22</f>
        <v>14848307.626566667</v>
      </c>
      <c r="L11" s="266"/>
      <c r="M11" s="224"/>
      <c r="N11" s="267"/>
    </row>
    <row r="12" spans="2:14" ht="13.7" customHeight="1" x14ac:dyDescent="0.2">
      <c r="B12" s="18"/>
      <c r="C12" s="36"/>
      <c r="D12" s="191"/>
      <c r="E12" s="129"/>
      <c r="F12" s="1114"/>
      <c r="G12" s="1114"/>
      <c r="H12" s="1114"/>
      <c r="I12" s="1114"/>
      <c r="J12" s="1114"/>
      <c r="K12" s="1114"/>
      <c r="L12" s="248"/>
      <c r="M12" s="22"/>
    </row>
    <row r="13" spans="2:14" ht="13.7" customHeight="1" x14ac:dyDescent="0.2">
      <c r="B13" s="18"/>
      <c r="C13" s="20"/>
      <c r="D13" s="20"/>
      <c r="E13" s="21"/>
      <c r="F13" s="1115"/>
      <c r="G13" s="1115"/>
      <c r="H13" s="1115"/>
      <c r="I13" s="1115"/>
      <c r="J13" s="1115"/>
      <c r="K13" s="1115"/>
      <c r="L13" s="21"/>
      <c r="M13" s="22"/>
    </row>
    <row r="14" spans="2:14" ht="13.7" customHeight="1" x14ac:dyDescent="0.2">
      <c r="B14" s="18"/>
      <c r="C14" s="23"/>
      <c r="D14" s="24"/>
      <c r="E14" s="25"/>
      <c r="F14" s="1116"/>
      <c r="G14" s="1116"/>
      <c r="H14" s="1116"/>
      <c r="I14" s="1116"/>
      <c r="J14" s="1116"/>
      <c r="K14" s="1116"/>
      <c r="L14" s="265"/>
      <c r="M14" s="22"/>
    </row>
    <row r="15" spans="2:14" ht="13.7" customHeight="1" x14ac:dyDescent="0.2">
      <c r="B15" s="18"/>
      <c r="C15" s="31"/>
      <c r="D15" s="535" t="s">
        <v>238</v>
      </c>
      <c r="E15" s="32"/>
      <c r="F15" s="1117"/>
      <c r="G15" s="1117"/>
      <c r="H15" s="1117"/>
      <c r="I15" s="1117"/>
      <c r="J15" s="1117"/>
      <c r="K15" s="1117"/>
      <c r="L15" s="157"/>
      <c r="M15" s="22"/>
    </row>
    <row r="16" spans="2:14" ht="13.7" customHeight="1" x14ac:dyDescent="0.2">
      <c r="B16" s="18"/>
      <c r="C16" s="31"/>
      <c r="D16" s="29"/>
      <c r="E16" s="32"/>
      <c r="F16" s="1117"/>
      <c r="G16" s="1117"/>
      <c r="H16" s="1117"/>
      <c r="I16" s="1117"/>
      <c r="J16" s="1117"/>
      <c r="K16" s="1117"/>
      <c r="L16" s="157"/>
      <c r="M16" s="22"/>
    </row>
    <row r="17" spans="2:14" ht="13.7" customHeight="1" x14ac:dyDescent="0.2">
      <c r="B17" s="18"/>
      <c r="C17" s="31"/>
      <c r="D17" s="3" t="s">
        <v>210</v>
      </c>
      <c r="E17" s="32"/>
      <c r="F17" s="1079">
        <f>begr!F40</f>
        <v>0</v>
      </c>
      <c r="G17" s="1079">
        <f>begr!G40</f>
        <v>3378400.8763000001</v>
      </c>
      <c r="H17" s="1079">
        <f>begr!H40</f>
        <v>3799412.6819333332</v>
      </c>
      <c r="I17" s="1079">
        <f>begr!I40</f>
        <v>3851944.4391666665</v>
      </c>
      <c r="J17" s="1079">
        <f>begr!J40</f>
        <v>3863549.6291666669</v>
      </c>
      <c r="K17" s="1079">
        <f>begr!K40</f>
        <v>3877854.0191666665</v>
      </c>
      <c r="L17" s="157"/>
      <c r="M17" s="22"/>
      <c r="N17" s="255"/>
    </row>
    <row r="18" spans="2:14" ht="13.7" customHeight="1" x14ac:dyDescent="0.2">
      <c r="B18" s="18"/>
      <c r="C18" s="31"/>
      <c r="D18" s="3"/>
      <c r="E18" s="32"/>
      <c r="F18" s="1117"/>
      <c r="G18" s="1117"/>
      <c r="H18" s="1117"/>
      <c r="I18" s="1117"/>
      <c r="J18" s="1117"/>
      <c r="K18" s="1117"/>
      <c r="L18" s="157"/>
      <c r="M18" s="22"/>
      <c r="N18" s="255"/>
    </row>
    <row r="19" spans="2:14" ht="13.7" customHeight="1" x14ac:dyDescent="0.2">
      <c r="B19" s="18"/>
      <c r="C19" s="31"/>
      <c r="D19" s="3" t="s">
        <v>188</v>
      </c>
      <c r="E19" s="32"/>
      <c r="F19" s="957">
        <v>0</v>
      </c>
      <c r="G19" s="957">
        <f>act!G40</f>
        <v>15000</v>
      </c>
      <c r="H19" s="957">
        <f>act!H40</f>
        <v>15000</v>
      </c>
      <c r="I19" s="957">
        <f>act!I40</f>
        <v>15000</v>
      </c>
      <c r="J19" s="957">
        <f>act!J40</f>
        <v>15000</v>
      </c>
      <c r="K19" s="957">
        <f>act!K40</f>
        <v>15000</v>
      </c>
      <c r="L19" s="157"/>
      <c r="M19" s="22"/>
      <c r="N19" s="255"/>
    </row>
    <row r="20" spans="2:14" ht="13.7" customHeight="1" x14ac:dyDescent="0.2">
      <c r="B20" s="18"/>
      <c r="C20" s="31"/>
      <c r="D20" s="3"/>
      <c r="E20" s="32"/>
      <c r="F20" s="1117"/>
      <c r="G20" s="1117"/>
      <c r="H20" s="1117"/>
      <c r="I20" s="1117"/>
      <c r="J20" s="1117"/>
      <c r="K20" s="1117"/>
      <c r="L20" s="157"/>
      <c r="M20" s="22"/>
      <c r="N20" s="255"/>
    </row>
    <row r="21" spans="2:14" ht="13.7" customHeight="1" x14ac:dyDescent="0.2">
      <c r="B21" s="18"/>
      <c r="C21" s="31"/>
      <c r="D21" s="219" t="s">
        <v>239</v>
      </c>
      <c r="E21" s="32"/>
      <c r="F21" s="1117"/>
      <c r="G21" s="1117"/>
      <c r="H21" s="1117"/>
      <c r="I21" s="1117"/>
      <c r="J21" s="1117"/>
      <c r="K21" s="1117"/>
      <c r="L21" s="157"/>
      <c r="M21" s="22"/>
      <c r="N21" s="255"/>
    </row>
    <row r="22" spans="2:14" ht="13.7" customHeight="1" x14ac:dyDescent="0.2">
      <c r="B22" s="18"/>
      <c r="C22" s="31"/>
      <c r="D22" s="3" t="s">
        <v>240</v>
      </c>
      <c r="E22" s="32"/>
      <c r="F22" s="957">
        <f>+bal!F19-bal!G19</f>
        <v>0</v>
      </c>
      <c r="G22" s="957">
        <f>+bal!G19-bal!H19</f>
        <v>0</v>
      </c>
      <c r="H22" s="957">
        <f>+bal!H19-bal!I19</f>
        <v>0</v>
      </c>
      <c r="I22" s="957">
        <f>+bal!I19-bal!J19</f>
        <v>0</v>
      </c>
      <c r="J22" s="957">
        <f>+bal!J19-bal!K19</f>
        <v>0</v>
      </c>
      <c r="K22" s="957">
        <f>+bal!K19-bal!L19</f>
        <v>0</v>
      </c>
      <c r="L22" s="157"/>
      <c r="M22" s="22"/>
      <c r="N22" s="255"/>
    </row>
    <row r="23" spans="2:14" ht="13.7" customHeight="1" x14ac:dyDescent="0.2">
      <c r="B23" s="18"/>
      <c r="C23" s="31"/>
      <c r="D23" s="3" t="s">
        <v>241</v>
      </c>
      <c r="E23" s="32"/>
      <c r="F23" s="957">
        <f>+bal!F20-bal!G20</f>
        <v>0</v>
      </c>
      <c r="G23" s="957">
        <f>+bal!G20-bal!H20</f>
        <v>0</v>
      </c>
      <c r="H23" s="957">
        <f>+bal!H20-bal!I20</f>
        <v>0</v>
      </c>
      <c r="I23" s="957">
        <f>+bal!I20-bal!J20</f>
        <v>0</v>
      </c>
      <c r="J23" s="957">
        <f>+bal!J20-bal!K20</f>
        <v>0</v>
      </c>
      <c r="K23" s="957">
        <f>+bal!K20-bal!L20</f>
        <v>0</v>
      </c>
      <c r="L23" s="157"/>
      <c r="M23" s="22"/>
      <c r="N23" s="255"/>
    </row>
    <row r="24" spans="2:14" ht="13.7" customHeight="1" x14ac:dyDescent="0.2">
      <c r="B24" s="18"/>
      <c r="C24" s="31"/>
      <c r="D24" s="3" t="s">
        <v>242</v>
      </c>
      <c r="E24" s="32"/>
      <c r="F24" s="957">
        <f>+bal!F21-bal!G21</f>
        <v>0</v>
      </c>
      <c r="G24" s="957">
        <f>+bal!G21-bal!H21</f>
        <v>0</v>
      </c>
      <c r="H24" s="957">
        <f>+bal!H21-bal!I21</f>
        <v>0</v>
      </c>
      <c r="I24" s="957">
        <f>+bal!I21-bal!J21</f>
        <v>0</v>
      </c>
      <c r="J24" s="957">
        <f>+bal!J21-bal!K21</f>
        <v>0</v>
      </c>
      <c r="K24" s="957">
        <f>+bal!K21-bal!L21</f>
        <v>0</v>
      </c>
      <c r="L24" s="157"/>
      <c r="M24" s="22"/>
      <c r="N24" s="255"/>
    </row>
    <row r="25" spans="2:14" ht="13.7" customHeight="1" x14ac:dyDescent="0.2">
      <c r="B25" s="18"/>
      <c r="C25" s="31"/>
      <c r="D25" s="3" t="s">
        <v>243</v>
      </c>
      <c r="E25" s="32"/>
      <c r="F25" s="957">
        <f>bal!G55-bal!F55</f>
        <v>0</v>
      </c>
      <c r="G25" s="957">
        <f>bal!H55-bal!G55</f>
        <v>0</v>
      </c>
      <c r="H25" s="957">
        <f>bal!I55-bal!H55</f>
        <v>0</v>
      </c>
      <c r="I25" s="957">
        <f>bal!J55-bal!I55</f>
        <v>0</v>
      </c>
      <c r="J25" s="957">
        <f>bal!K55-bal!J55</f>
        <v>0</v>
      </c>
      <c r="K25" s="957">
        <f>bal!L55-bal!K55</f>
        <v>0</v>
      </c>
      <c r="L25" s="157"/>
      <c r="M25" s="22"/>
      <c r="N25" s="255"/>
    </row>
    <row r="26" spans="2:14" ht="13.7" customHeight="1" x14ac:dyDescent="0.2">
      <c r="B26" s="18"/>
      <c r="C26" s="31"/>
      <c r="D26" s="3"/>
      <c r="E26" s="32"/>
      <c r="F26" s="1118">
        <f t="shared" ref="F26:K26" si="1">SUM(F22:F25)</f>
        <v>0</v>
      </c>
      <c r="G26" s="1118">
        <f t="shared" si="1"/>
        <v>0</v>
      </c>
      <c r="H26" s="1118">
        <f t="shared" si="1"/>
        <v>0</v>
      </c>
      <c r="I26" s="1118">
        <f t="shared" si="1"/>
        <v>0</v>
      </c>
      <c r="J26" s="1118">
        <f t="shared" si="1"/>
        <v>0</v>
      </c>
      <c r="K26" s="1118">
        <f t="shared" si="1"/>
        <v>0</v>
      </c>
      <c r="L26" s="157"/>
      <c r="M26" s="22"/>
      <c r="N26" s="255"/>
    </row>
    <row r="27" spans="2:14" ht="13.7" customHeight="1" x14ac:dyDescent="0.2">
      <c r="B27" s="18"/>
      <c r="C27" s="31"/>
      <c r="D27" s="269"/>
      <c r="E27" s="32"/>
      <c r="F27" s="1117"/>
      <c r="G27" s="1117"/>
      <c r="H27" s="1117"/>
      <c r="I27" s="1117"/>
      <c r="J27" s="1117"/>
      <c r="K27" s="1117"/>
      <c r="L27" s="157"/>
      <c r="M27" s="22"/>
      <c r="N27" s="255"/>
    </row>
    <row r="28" spans="2:14" ht="13.7" customHeight="1" x14ac:dyDescent="0.2">
      <c r="B28" s="18"/>
      <c r="C28" s="31"/>
      <c r="D28" s="3" t="s">
        <v>244</v>
      </c>
      <c r="E28" s="32"/>
      <c r="F28" s="957">
        <f>+bal!G42-bal!F42</f>
        <v>0</v>
      </c>
      <c r="G28" s="957">
        <f>+bal!H42-bal!G42</f>
        <v>0</v>
      </c>
      <c r="H28" s="957">
        <f>+bal!I42-bal!H42</f>
        <v>0</v>
      </c>
      <c r="I28" s="957">
        <f>+bal!J42-bal!I42</f>
        <v>0</v>
      </c>
      <c r="J28" s="957">
        <f>+bal!K42-bal!J42</f>
        <v>0</v>
      </c>
      <c r="K28" s="957">
        <f>+bal!L42-bal!K42</f>
        <v>0</v>
      </c>
      <c r="L28" s="157"/>
      <c r="M28" s="22"/>
      <c r="N28" s="255"/>
    </row>
    <row r="29" spans="2:14" ht="13.7" customHeight="1" x14ac:dyDescent="0.2">
      <c r="B29" s="18"/>
      <c r="C29" s="31"/>
      <c r="D29" s="3"/>
      <c r="E29" s="32"/>
      <c r="F29" s="1117"/>
      <c r="G29" s="1117"/>
      <c r="H29" s="1117"/>
      <c r="I29" s="1117"/>
      <c r="J29" s="1117"/>
      <c r="K29" s="1117"/>
      <c r="L29" s="157"/>
      <c r="M29" s="22"/>
      <c r="N29" s="255"/>
    </row>
    <row r="30" spans="2:14" ht="13.7" customHeight="1" x14ac:dyDescent="0.2">
      <c r="B30" s="18"/>
      <c r="C30" s="31"/>
      <c r="D30" s="535" t="s">
        <v>141</v>
      </c>
      <c r="E30" s="32"/>
      <c r="F30" s="959">
        <f>F17+F19+F26+F28</f>
        <v>0</v>
      </c>
      <c r="G30" s="959">
        <f t="shared" ref="G30:K30" si="2">G17+G19+G26+G28</f>
        <v>3393400.8763000001</v>
      </c>
      <c r="H30" s="959">
        <f t="shared" si="2"/>
        <v>3814412.6819333332</v>
      </c>
      <c r="I30" s="959">
        <f t="shared" si="2"/>
        <v>3866944.4391666665</v>
      </c>
      <c r="J30" s="959">
        <f t="shared" si="2"/>
        <v>3878549.6291666669</v>
      </c>
      <c r="K30" s="959">
        <f t="shared" si="2"/>
        <v>3892854.0191666665</v>
      </c>
      <c r="L30" s="157"/>
      <c r="M30" s="22"/>
      <c r="N30" s="255"/>
    </row>
    <row r="31" spans="2:14" ht="13.7" customHeight="1" x14ac:dyDescent="0.2">
      <c r="B31" s="18"/>
      <c r="C31" s="31"/>
      <c r="D31" s="3"/>
      <c r="E31" s="32"/>
      <c r="F31" s="1117"/>
      <c r="G31" s="1117"/>
      <c r="H31" s="1117"/>
      <c r="I31" s="1117"/>
      <c r="J31" s="1117"/>
      <c r="K31" s="1117"/>
      <c r="L31" s="157"/>
      <c r="M31" s="22"/>
      <c r="N31" s="255"/>
    </row>
    <row r="32" spans="2:14" ht="13.7" customHeight="1" x14ac:dyDescent="0.2">
      <c r="B32" s="18"/>
      <c r="C32" s="20"/>
      <c r="D32" s="20"/>
      <c r="E32" s="21"/>
      <c r="F32" s="1115"/>
      <c r="G32" s="1115"/>
      <c r="H32" s="1115"/>
      <c r="I32" s="1115"/>
      <c r="J32" s="1115"/>
      <c r="K32" s="1115"/>
      <c r="L32" s="21"/>
      <c r="M32" s="22"/>
      <c r="N32" s="255"/>
    </row>
    <row r="33" spans="2:14" ht="13.7" customHeight="1" x14ac:dyDescent="0.2">
      <c r="B33" s="18"/>
      <c r="C33" s="31"/>
      <c r="D33" s="3"/>
      <c r="E33" s="32"/>
      <c r="F33" s="1117"/>
      <c r="G33" s="1117"/>
      <c r="H33" s="1117"/>
      <c r="I33" s="1117"/>
      <c r="J33" s="1117"/>
      <c r="K33" s="1117"/>
      <c r="L33" s="157"/>
      <c r="M33" s="22"/>
      <c r="N33" s="255"/>
    </row>
    <row r="34" spans="2:14" ht="13.7" customHeight="1" x14ac:dyDescent="0.2">
      <c r="B34" s="18"/>
      <c r="C34" s="31"/>
      <c r="D34" s="535" t="s">
        <v>245</v>
      </c>
      <c r="E34" s="32"/>
      <c r="F34" s="1117"/>
      <c r="G34" s="1117"/>
      <c r="H34" s="1117"/>
      <c r="I34" s="1117"/>
      <c r="J34" s="1117"/>
      <c r="K34" s="1117"/>
      <c r="L34" s="157"/>
      <c r="M34" s="22"/>
      <c r="N34" s="255"/>
    </row>
    <row r="35" spans="2:14" ht="13.7" customHeight="1" x14ac:dyDescent="0.2">
      <c r="B35" s="18"/>
      <c r="C35" s="31"/>
      <c r="D35" s="29"/>
      <c r="E35" s="32"/>
      <c r="F35" s="1117"/>
      <c r="G35" s="1117"/>
      <c r="H35" s="1117"/>
      <c r="I35" s="1117"/>
      <c r="J35" s="1117"/>
      <c r="K35" s="1117"/>
      <c r="L35" s="157"/>
      <c r="M35" s="22"/>
      <c r="N35" s="255"/>
    </row>
    <row r="36" spans="2:14" ht="13.7" customHeight="1" x14ac:dyDescent="0.2">
      <c r="B36" s="18"/>
      <c r="C36" s="31"/>
      <c r="D36" s="3" t="s">
        <v>246</v>
      </c>
      <c r="E36" s="32"/>
      <c r="F36" s="957">
        <f>+bal!G14-bal!F14</f>
        <v>0</v>
      </c>
      <c r="G36" s="957">
        <f>+bal!H14-bal!G14</f>
        <v>0</v>
      </c>
      <c r="H36" s="957">
        <f>+bal!I14-bal!H14</f>
        <v>0</v>
      </c>
      <c r="I36" s="957">
        <f>+bal!J14-bal!I14</f>
        <v>0</v>
      </c>
      <c r="J36" s="957">
        <f>+bal!K14-bal!J14</f>
        <v>0</v>
      </c>
      <c r="K36" s="957">
        <f>+bal!L14-bal!K14</f>
        <v>0</v>
      </c>
      <c r="L36" s="157"/>
      <c r="M36" s="22"/>
      <c r="N36" s="255"/>
    </row>
    <row r="37" spans="2:14" ht="13.7" customHeight="1" x14ac:dyDescent="0.2">
      <c r="B37" s="18"/>
      <c r="C37" s="31"/>
      <c r="D37" s="3" t="s">
        <v>247</v>
      </c>
      <c r="E37" s="32"/>
      <c r="F37" s="957">
        <f>act!F29</f>
        <v>0</v>
      </c>
      <c r="G37" s="957">
        <f>act!G29</f>
        <v>0</v>
      </c>
      <c r="H37" s="957">
        <f>act!H29</f>
        <v>0</v>
      </c>
      <c r="I37" s="957">
        <f>act!I29</f>
        <v>75000</v>
      </c>
      <c r="J37" s="957">
        <f>act!J29</f>
        <v>0</v>
      </c>
      <c r="K37" s="957">
        <f>act!K29</f>
        <v>0</v>
      </c>
      <c r="L37" s="157"/>
      <c r="M37" s="22"/>
      <c r="N37" s="255"/>
    </row>
    <row r="38" spans="2:14" ht="13.7" customHeight="1" x14ac:dyDescent="0.2">
      <c r="B38" s="18"/>
      <c r="C38" s="31"/>
      <c r="D38" s="3" t="s">
        <v>248</v>
      </c>
      <c r="E38" s="32"/>
      <c r="F38" s="957">
        <f>+bal!G16-bal!F16</f>
        <v>0</v>
      </c>
      <c r="G38" s="957">
        <f>+bal!H16-bal!G16</f>
        <v>0</v>
      </c>
      <c r="H38" s="957">
        <f>+bal!I16-bal!H16</f>
        <v>0</v>
      </c>
      <c r="I38" s="957">
        <f>+bal!J16-bal!I16</f>
        <v>0</v>
      </c>
      <c r="J38" s="957">
        <f>+bal!K16-bal!J16</f>
        <v>0</v>
      </c>
      <c r="K38" s="957">
        <f>+bal!L16-bal!K16</f>
        <v>0</v>
      </c>
      <c r="L38" s="157"/>
      <c r="M38" s="22"/>
      <c r="N38" s="255"/>
    </row>
    <row r="39" spans="2:14" ht="13.7" customHeight="1" x14ac:dyDescent="0.2">
      <c r="B39" s="18"/>
      <c r="C39" s="31"/>
      <c r="D39" s="3"/>
      <c r="E39" s="32"/>
      <c r="F39" s="1117"/>
      <c r="G39" s="1117"/>
      <c r="H39" s="1117"/>
      <c r="I39" s="1117"/>
      <c r="J39" s="1117"/>
      <c r="K39" s="1117"/>
      <c r="L39" s="157"/>
      <c r="M39" s="22"/>
      <c r="N39" s="255"/>
    </row>
    <row r="40" spans="2:14" ht="13.7" customHeight="1" x14ac:dyDescent="0.2">
      <c r="B40" s="18"/>
      <c r="C40" s="31"/>
      <c r="D40" s="535" t="s">
        <v>141</v>
      </c>
      <c r="E40" s="32"/>
      <c r="F40" s="1119">
        <f t="shared" ref="F40:K40" si="3">SUM(F36:F38)</f>
        <v>0</v>
      </c>
      <c r="G40" s="1119">
        <f t="shared" si="3"/>
        <v>0</v>
      </c>
      <c r="H40" s="1119">
        <f t="shared" si="3"/>
        <v>0</v>
      </c>
      <c r="I40" s="1119">
        <f t="shared" si="3"/>
        <v>75000</v>
      </c>
      <c r="J40" s="1119">
        <f t="shared" si="3"/>
        <v>0</v>
      </c>
      <c r="K40" s="1119">
        <f t="shared" si="3"/>
        <v>0</v>
      </c>
      <c r="L40" s="157"/>
      <c r="M40" s="22"/>
      <c r="N40" s="255"/>
    </row>
    <row r="41" spans="2:14" ht="13.7" customHeight="1" x14ac:dyDescent="0.2">
      <c r="B41" s="18"/>
      <c r="C41" s="31"/>
      <c r="D41" s="3"/>
      <c r="E41" s="32"/>
      <c r="F41" s="1117"/>
      <c r="G41" s="1117"/>
      <c r="H41" s="1117"/>
      <c r="I41" s="1117"/>
      <c r="J41" s="1117"/>
      <c r="K41" s="1117"/>
      <c r="L41" s="157"/>
      <c r="M41" s="22"/>
      <c r="N41" s="255"/>
    </row>
    <row r="42" spans="2:14" ht="13.7" customHeight="1" x14ac:dyDescent="0.2">
      <c r="B42" s="18"/>
      <c r="C42" s="20"/>
      <c r="D42" s="20"/>
      <c r="E42" s="21"/>
      <c r="F42" s="1115"/>
      <c r="G42" s="1115"/>
      <c r="H42" s="1115"/>
      <c r="I42" s="1115"/>
      <c r="J42" s="1115"/>
      <c r="K42" s="1115"/>
      <c r="L42" s="21"/>
      <c r="M42" s="22"/>
      <c r="N42" s="255"/>
    </row>
    <row r="43" spans="2:14" ht="13.7" customHeight="1" x14ac:dyDescent="0.2">
      <c r="B43" s="18"/>
      <c r="C43" s="31"/>
      <c r="D43" s="3"/>
      <c r="E43" s="32"/>
      <c r="F43" s="1117"/>
      <c r="G43" s="1117"/>
      <c r="H43" s="1117"/>
      <c r="I43" s="1117"/>
      <c r="J43" s="1117"/>
      <c r="K43" s="1117"/>
      <c r="L43" s="157"/>
      <c r="M43" s="22"/>
      <c r="N43" s="255"/>
    </row>
    <row r="44" spans="2:14" ht="13.7" customHeight="1" x14ac:dyDescent="0.2">
      <c r="B44" s="18"/>
      <c r="C44" s="31"/>
      <c r="D44" s="535" t="s">
        <v>249</v>
      </c>
      <c r="E44" s="32"/>
      <c r="F44" s="959">
        <f>+bal!G46-bal!F46</f>
        <v>0</v>
      </c>
      <c r="G44" s="959">
        <f>+bal!H46-bal!G46</f>
        <v>0</v>
      </c>
      <c r="H44" s="959">
        <f>+bal!I46-bal!H46</f>
        <v>0</v>
      </c>
      <c r="I44" s="959">
        <f>+bal!J46-bal!I46</f>
        <v>0</v>
      </c>
      <c r="J44" s="959">
        <f>+bal!K46-bal!J46</f>
        <v>0</v>
      </c>
      <c r="K44" s="959">
        <f>+bal!L46-bal!K46</f>
        <v>0</v>
      </c>
      <c r="L44" s="157"/>
      <c r="M44" s="22"/>
      <c r="N44" s="255"/>
    </row>
    <row r="45" spans="2:14" ht="13.7" customHeight="1" x14ac:dyDescent="0.2">
      <c r="B45" s="18"/>
      <c r="C45" s="31"/>
      <c r="D45" s="29"/>
      <c r="E45" s="32"/>
      <c r="F45" s="1117"/>
      <c r="G45" s="1117"/>
      <c r="H45" s="1117"/>
      <c r="I45" s="1117"/>
      <c r="J45" s="1117"/>
      <c r="K45" s="1117"/>
      <c r="L45" s="157"/>
      <c r="M45" s="22"/>
      <c r="N45" s="255"/>
    </row>
    <row r="46" spans="2:14" ht="13.7" customHeight="1" x14ac:dyDescent="0.2">
      <c r="B46" s="18"/>
      <c r="C46" s="20"/>
      <c r="D46" s="20"/>
      <c r="E46" s="21"/>
      <c r="F46" s="1115"/>
      <c r="G46" s="1115"/>
      <c r="H46" s="1115"/>
      <c r="I46" s="1115"/>
      <c r="J46" s="1115"/>
      <c r="K46" s="1115"/>
      <c r="L46" s="21"/>
      <c r="M46" s="22"/>
      <c r="N46" s="255"/>
    </row>
    <row r="47" spans="2:14" ht="13.7" customHeight="1" x14ac:dyDescent="0.2">
      <c r="B47" s="18"/>
      <c r="C47" s="31"/>
      <c r="D47" s="3"/>
      <c r="E47" s="32"/>
      <c r="F47" s="1117"/>
      <c r="G47" s="1117"/>
      <c r="H47" s="1117"/>
      <c r="I47" s="1117"/>
      <c r="J47" s="1117"/>
      <c r="K47" s="1117"/>
      <c r="L47" s="157"/>
      <c r="M47" s="22"/>
      <c r="N47" s="255"/>
    </row>
    <row r="48" spans="2:14" ht="13.7" customHeight="1" x14ac:dyDescent="0.2">
      <c r="B48" s="18"/>
      <c r="C48" s="31"/>
      <c r="D48" s="686" t="s">
        <v>250</v>
      </c>
      <c r="E48" s="32"/>
      <c r="F48" s="959">
        <f t="shared" ref="F48:K48" si="4">ROUND((F30-F40+F44),0)</f>
        <v>0</v>
      </c>
      <c r="G48" s="959">
        <f t="shared" si="4"/>
        <v>3393401</v>
      </c>
      <c r="H48" s="959">
        <f t="shared" si="4"/>
        <v>3814413</v>
      </c>
      <c r="I48" s="959">
        <f t="shared" si="4"/>
        <v>3791944</v>
      </c>
      <c r="J48" s="959">
        <f t="shared" si="4"/>
        <v>3878550</v>
      </c>
      <c r="K48" s="959">
        <f t="shared" si="4"/>
        <v>3892854</v>
      </c>
      <c r="L48" s="157"/>
      <c r="M48" s="22"/>
      <c r="N48" s="255"/>
    </row>
    <row r="49" spans="2:14" ht="13.7" customHeight="1" x14ac:dyDescent="0.2">
      <c r="B49" s="18"/>
      <c r="C49" s="31"/>
      <c r="D49" s="205" t="s">
        <v>251</v>
      </c>
      <c r="E49" s="32"/>
      <c r="F49" s="1120">
        <f>+bal!G22-bal!F22</f>
        <v>0</v>
      </c>
      <c r="G49" s="1120">
        <f>+bal!H22-bal!G22</f>
        <v>3348400.8763000001</v>
      </c>
      <c r="H49" s="1120">
        <f>+bal!I22-bal!H22</f>
        <v>3814412.6819333336</v>
      </c>
      <c r="I49" s="1120">
        <f>+bal!J22-bal!I22</f>
        <v>3806944.4391666669</v>
      </c>
      <c r="J49" s="1120">
        <f>+bal!K22-bal!J22</f>
        <v>3878549.6291666664</v>
      </c>
      <c r="K49" s="1120">
        <f>+bal!L22-bal!K22</f>
        <v>3892854.019166667</v>
      </c>
      <c r="L49" s="157"/>
      <c r="M49" s="22"/>
    </row>
    <row r="50" spans="2:14" ht="13.7" customHeight="1" x14ac:dyDescent="0.2">
      <c r="B50" s="18"/>
      <c r="C50" s="31"/>
      <c r="D50" s="3"/>
      <c r="E50" s="32"/>
      <c r="F50" s="1117"/>
      <c r="G50" s="1117"/>
      <c r="H50" s="1117"/>
      <c r="I50" s="1117"/>
      <c r="J50" s="1117"/>
      <c r="K50" s="1117"/>
      <c r="L50" s="157"/>
      <c r="M50" s="22"/>
    </row>
    <row r="51" spans="2:14" s="268" customFormat="1" ht="13.7" customHeight="1" x14ac:dyDescent="0.2">
      <c r="B51" s="222"/>
      <c r="C51" s="27"/>
      <c r="D51" s="535" t="s">
        <v>252</v>
      </c>
      <c r="E51" s="30"/>
      <c r="F51" s="958">
        <f>F11+F48</f>
        <v>0</v>
      </c>
      <c r="G51" s="958">
        <f t="shared" ref="G51:K51" si="5">G11+G48</f>
        <v>3393401</v>
      </c>
      <c r="H51" s="958">
        <f t="shared" si="5"/>
        <v>7162813.8762999997</v>
      </c>
      <c r="I51" s="958">
        <f t="shared" si="5"/>
        <v>10954757.558233334</v>
      </c>
      <c r="J51" s="958">
        <f t="shared" si="5"/>
        <v>14848307.997400001</v>
      </c>
      <c r="K51" s="958">
        <f t="shared" si="5"/>
        <v>18741161.626566667</v>
      </c>
      <c r="L51" s="266"/>
      <c r="M51" s="224"/>
      <c r="N51" s="267"/>
    </row>
    <row r="52" spans="2:14" s="268" customFormat="1" ht="13.7" customHeight="1" x14ac:dyDescent="0.2">
      <c r="B52" s="222"/>
      <c r="C52" s="27"/>
      <c r="D52" s="219" t="s">
        <v>253</v>
      </c>
      <c r="E52" s="30"/>
      <c r="F52" s="1054">
        <f>IF(bal!G55=0,0,bal!G23/bal!G55)</f>
        <v>0</v>
      </c>
      <c r="G52" s="1054">
        <f>ken!G14</f>
        <v>0</v>
      </c>
      <c r="H52" s="1054">
        <f>ken!H14</f>
        <v>0</v>
      </c>
      <c r="I52" s="1054">
        <f>ken!I14</f>
        <v>0</v>
      </c>
      <c r="J52" s="1054">
        <f>ken!J14</f>
        <v>0</v>
      </c>
      <c r="K52" s="1054">
        <f>ken!K14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84"/>
      <c r="M55" s="43"/>
    </row>
  </sheetData>
  <sheetProtection algorithmName="SHA-512" hashValue="+MUuTLey9nCZGTaEo6wh/xuvDPwzWyBfMDIQTqrkExF3rPmhHywFmjjWvRab7uHhj+WLEfPHJ3vE65txGZvl/g==" saltValue="fI3cz5Wu9jy77Y8uY3dkug=="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10" width="13.7109375" style="148"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254</v>
      </c>
      <c r="D4" s="1055"/>
      <c r="E4" s="17"/>
      <c r="F4" s="1056"/>
      <c r="G4" s="1056"/>
      <c r="H4" s="1056"/>
      <c r="I4" s="1056"/>
      <c r="J4" s="1056"/>
      <c r="K4" s="179"/>
    </row>
    <row r="5" spans="2:11" s="180" customFormat="1" ht="18.75" x14ac:dyDescent="0.3">
      <c r="B5" s="177"/>
      <c r="C5" s="96" t="str">
        <f>+geg!H9</f>
        <v>M.L. Kingschool</v>
      </c>
      <c r="D5" s="1055"/>
      <c r="E5" s="17"/>
      <c r="F5" s="1056"/>
      <c r="G5" s="1056"/>
      <c r="H5" s="1056"/>
      <c r="I5" s="1056"/>
      <c r="J5" s="1056"/>
      <c r="K5" s="179"/>
    </row>
    <row r="6" spans="2:11" x14ac:dyDescent="0.2">
      <c r="B6" s="18"/>
      <c r="C6" s="20"/>
      <c r="D6" s="272"/>
      <c r="E6" s="20"/>
      <c r="F6" s="162"/>
      <c r="G6" s="162"/>
      <c r="H6" s="162"/>
      <c r="I6" s="162"/>
      <c r="J6" s="162"/>
      <c r="K6" s="22"/>
    </row>
    <row r="7" spans="2:11" ht="13.15" customHeight="1" x14ac:dyDescent="0.2">
      <c r="B7" s="18"/>
      <c r="C7" s="20"/>
      <c r="D7" s="272"/>
      <c r="E7" s="20"/>
      <c r="F7" s="993">
        <f>+tab!D4</f>
        <v>2019</v>
      </c>
      <c r="G7" s="993">
        <f>+tab!E4</f>
        <v>2020</v>
      </c>
      <c r="H7" s="993">
        <f>+tab!F4</f>
        <v>2021</v>
      </c>
      <c r="I7" s="993">
        <f>+tab!G4</f>
        <v>2022</v>
      </c>
      <c r="J7" s="993">
        <f>+tab!H4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58" t="s">
        <v>268</v>
      </c>
      <c r="E10" s="3"/>
      <c r="F10" s="703">
        <f>F7</f>
        <v>2019</v>
      </c>
      <c r="G10" s="703">
        <f>G7</f>
        <v>2020</v>
      </c>
      <c r="H10" s="703">
        <f>H7</f>
        <v>2021</v>
      </c>
      <c r="I10" s="703">
        <f>I7</f>
        <v>2022</v>
      </c>
      <c r="J10" s="703">
        <f>J7</f>
        <v>2023</v>
      </c>
      <c r="K10" s="22"/>
    </row>
    <row r="11" spans="2:11" ht="13.15" hidden="1" customHeight="1" x14ac:dyDescent="0.2">
      <c r="B11" s="18"/>
      <c r="C11" s="31"/>
      <c r="D11" s="279" t="s">
        <v>483</v>
      </c>
      <c r="E11" s="3"/>
      <c r="F11" s="1061">
        <f>IF(begr!H19=0,0,bal!I25/(begr!H19+begr!H33))</f>
        <v>1.7799857181802099</v>
      </c>
      <c r="G11" s="1061">
        <f>IF(begr!I19=0,0,bal!J25/(begr!I19+begr!I33))</f>
        <v>2.6957907814677209</v>
      </c>
      <c r="H11" s="1061">
        <f>IF(begr!J19=0,0,bal!K25/(begr!J19+begr!J33))</f>
        <v>3.6240108625289809</v>
      </c>
      <c r="I11" s="1061">
        <f>IF(begr!K19=0,0,bal!L25/(begr!K19+begr!K33))</f>
        <v>4.5475352911410774</v>
      </c>
      <c r="J11" s="1061">
        <f>IF(begr!L19=0,0,bal!M25/(begr!L19+begr!L33))</f>
        <v>0</v>
      </c>
      <c r="K11" s="22"/>
    </row>
    <row r="12" spans="2:11" ht="13.15" customHeight="1" x14ac:dyDescent="0.2">
      <c r="B12" s="18"/>
      <c r="C12" s="31"/>
      <c r="D12" s="279" t="s">
        <v>486</v>
      </c>
      <c r="E12" s="3"/>
      <c r="F12" s="1061">
        <f>IF(bal!F25=0,0,bal!F36/bal!F25)</f>
        <v>0</v>
      </c>
      <c r="G12" s="1061">
        <f>IF(bal!G25=0,0,bal!G36/bal!G25)</f>
        <v>0</v>
      </c>
      <c r="H12" s="1061">
        <f>IF(bal!H25=0,0,bal!H36/bal!H25)</f>
        <v>1</v>
      </c>
      <c r="I12" s="1061">
        <f>IF(bal!I25=0,0,bal!I36/bal!I25)</f>
        <v>1</v>
      </c>
      <c r="J12" s="1061">
        <f>IF(bal!J25=0,0,bal!J36/bal!J25)</f>
        <v>1</v>
      </c>
      <c r="K12" s="22"/>
    </row>
    <row r="13" spans="2:11" ht="13.15" customHeight="1" x14ac:dyDescent="0.2">
      <c r="B13" s="18"/>
      <c r="C13" s="31"/>
      <c r="D13" s="279" t="s">
        <v>487</v>
      </c>
      <c r="E13" s="3"/>
      <c r="F13" s="1061">
        <f>IF(bal!F25=0,0,(bal!F36+bal!F42)/bal!F25)</f>
        <v>0</v>
      </c>
      <c r="G13" s="1061">
        <f>IF(bal!G25=0,0,(bal!G36+bal!G42)/bal!G25)</f>
        <v>0</v>
      </c>
      <c r="H13" s="1061">
        <f>IF(bal!H25=0,0,(bal!H36+bal!H42)/bal!H25)</f>
        <v>1</v>
      </c>
      <c r="I13" s="1061">
        <f>IF(bal!I25=0,0,(bal!I36+bal!I42)/bal!I25)</f>
        <v>1</v>
      </c>
      <c r="J13" s="1061">
        <f>IF(bal!J25=0,0,(bal!J36+bal!J42)/bal!J25)</f>
        <v>1</v>
      </c>
      <c r="K13" s="22"/>
    </row>
    <row r="14" spans="2:11" ht="13.15" customHeight="1" x14ac:dyDescent="0.2">
      <c r="B14" s="18"/>
      <c r="C14" s="31"/>
      <c r="D14" s="279" t="s">
        <v>488</v>
      </c>
      <c r="E14" s="3"/>
      <c r="F14" s="1061">
        <f>IF(bal!F55=0,0,bal!F23/bal!F55)</f>
        <v>0</v>
      </c>
      <c r="G14" s="1061">
        <f>IF(bal!G55=0,0,bal!G23/bal!G55)</f>
        <v>0</v>
      </c>
      <c r="H14" s="1061">
        <f>IF(bal!H55=0,0,bal!H23/bal!H55)</f>
        <v>0</v>
      </c>
      <c r="I14" s="1061">
        <f>IF(bal!I55=0,0,bal!I23/bal!I55)</f>
        <v>0</v>
      </c>
      <c r="J14" s="1061">
        <f>IF(bal!J55=0,0,bal!J23/bal!J55)</f>
        <v>0</v>
      </c>
      <c r="K14" s="22"/>
    </row>
    <row r="15" spans="2:11" ht="13.15" customHeight="1" x14ac:dyDescent="0.2">
      <c r="B15" s="18"/>
      <c r="C15" s="31"/>
      <c r="D15" s="279" t="s">
        <v>560</v>
      </c>
      <c r="E15" s="3"/>
      <c r="F15" s="1061">
        <f>IF(begr!F14=0,0,(bal!F36-bal!F17)/begr!F14)</f>
        <v>0</v>
      </c>
      <c r="G15" s="1061">
        <f>IF(begr!G14=0,0,(bal!G36-bal!G17)/begr!G14)</f>
        <v>0</v>
      </c>
      <c r="H15" s="1061">
        <f>IF(begr!H14=0,0,(bal!H36-bal!H17)/begr!H14)</f>
        <v>0.83637240183086414</v>
      </c>
      <c r="I15" s="1061">
        <f>IF(begr!I14=0,0,(bal!I36-bal!I17)/begr!I14)</f>
        <v>1.7506682163116509</v>
      </c>
      <c r="J15" s="1061">
        <f>IF(begr!J14=0,0,(bal!J36-bal!J17)/begr!J14)</f>
        <v>2.6692876517891624</v>
      </c>
      <c r="K15" s="22"/>
    </row>
    <row r="16" spans="2:11" ht="13.15" customHeight="1" x14ac:dyDescent="0.2">
      <c r="B16" s="18"/>
      <c r="C16" s="31"/>
      <c r="D16" s="279" t="s">
        <v>561</v>
      </c>
      <c r="E16" s="3"/>
      <c r="F16" s="1061" t="e">
        <f>bal!F36/(begr!F19+begr!F33)</f>
        <v>#DIV/0!</v>
      </c>
      <c r="G16" s="1061">
        <f>bal!G36/(begr!G19+begr!G33)</f>
        <v>0</v>
      </c>
      <c r="H16" s="1061">
        <f>bal!H36/(begr!H19+begr!H33)</f>
        <v>0.83779068114742206</v>
      </c>
      <c r="I16" s="1061">
        <f>bal!I36/(begr!I19+begr!I33)</f>
        <v>1.7543343766872046</v>
      </c>
      <c r="J16" s="1061">
        <f>bal!J36/(begr!J19+begr!J33)</f>
        <v>2.6838875416997063</v>
      </c>
      <c r="K16" s="22"/>
    </row>
    <row r="17" spans="2:11" ht="13.15" customHeight="1" x14ac:dyDescent="0.2">
      <c r="B17" s="18"/>
      <c r="C17" s="31"/>
      <c r="D17" s="279" t="s">
        <v>489</v>
      </c>
      <c r="E17" s="3"/>
      <c r="F17" s="1061">
        <f>IF(begr!F19=0,0,begr!F27/begr!F19)</f>
        <v>0</v>
      </c>
      <c r="G17" s="1061">
        <f>IF(begr!G19=0,0,begr!G27/begr!G19)</f>
        <v>0.93451003576225877</v>
      </c>
      <c r="H17" s="1061">
        <f>IF(begr!H19=0,0,begr!H27/begr!H19)</f>
        <v>0.94219503703278762</v>
      </c>
      <c r="I17" s="1061">
        <f>IF(begr!I19=0,0,begr!I27/begr!I19)</f>
        <v>0.94145640478051607</v>
      </c>
      <c r="J17" s="1061">
        <f>IF(begr!J19=0,0,begr!J27/begr!J19)</f>
        <v>0.94012332082927452</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58" t="s">
        <v>490</v>
      </c>
      <c r="E21" s="3"/>
      <c r="F21" s="703">
        <f>F7</f>
        <v>2019</v>
      </c>
      <c r="G21" s="703">
        <f>G7</f>
        <v>2020</v>
      </c>
      <c r="H21" s="703">
        <f>H7</f>
        <v>2021</v>
      </c>
      <c r="I21" s="703">
        <f>I7</f>
        <v>2022</v>
      </c>
      <c r="J21" s="703">
        <f>J7</f>
        <v>2023</v>
      </c>
      <c r="K21" s="22"/>
    </row>
    <row r="22" spans="2:11" ht="13.15" customHeight="1" x14ac:dyDescent="0.2">
      <c r="B22" s="18"/>
      <c r="C22" s="31"/>
      <c r="D22" s="279" t="s">
        <v>491</v>
      </c>
      <c r="E22" s="3"/>
      <c r="F22" s="1061">
        <f>IF($F$32=0,0,begr!F14/F$32)</f>
        <v>0</v>
      </c>
      <c r="G22" s="1061">
        <f>IF($F$32=0,0,begr!G14/G$32)</f>
        <v>0</v>
      </c>
      <c r="H22" s="1061">
        <f>IF($F$32=0,0,begr!H14/H$32)</f>
        <v>0</v>
      </c>
      <c r="I22" s="1061">
        <f>IF($F$32=0,0,begr!I14/I$32)</f>
        <v>0</v>
      </c>
      <c r="J22" s="1061">
        <f>IF($F$32=0,0,begr!J14/J$32)</f>
        <v>0</v>
      </c>
      <c r="K22" s="22"/>
    </row>
    <row r="23" spans="2:11" ht="13.15" customHeight="1" x14ac:dyDescent="0.2">
      <c r="B23" s="18"/>
      <c r="C23" s="31"/>
      <c r="D23" s="279" t="s">
        <v>492</v>
      </c>
      <c r="E23" s="3"/>
      <c r="F23" s="1061">
        <f>IF($F$32=0,0,begr!F15/F$32)</f>
        <v>0</v>
      </c>
      <c r="G23" s="1061">
        <f>IF($F$32=0,0,begr!G15/G$32)</f>
        <v>0</v>
      </c>
      <c r="H23" s="1061">
        <f>IF($F$32=0,0,begr!H15/H$32)</f>
        <v>0</v>
      </c>
      <c r="I23" s="1061">
        <f>IF($F$32=0,0,begr!I15/I$32)</f>
        <v>0</v>
      </c>
      <c r="J23" s="1061">
        <f>IF($F$32=0,0,begr!J15/J$32)</f>
        <v>0</v>
      </c>
      <c r="K23" s="22"/>
    </row>
    <row r="24" spans="2:11" ht="13.15" customHeight="1" x14ac:dyDescent="0.2">
      <c r="B24" s="18"/>
      <c r="C24" s="31"/>
      <c r="D24" s="279" t="s">
        <v>493</v>
      </c>
      <c r="E24" s="3"/>
      <c r="F24" s="1061">
        <f>IF($F$32=0,0,begr!F18/F$32)</f>
        <v>0</v>
      </c>
      <c r="G24" s="1061">
        <f>IF($F$32=0,0,begr!G18/G$32)</f>
        <v>0</v>
      </c>
      <c r="H24" s="1061">
        <f>IF($F$32=0,0,begr!H18/H$32)</f>
        <v>0</v>
      </c>
      <c r="I24" s="1061">
        <f>IF($F$32=0,0,begr!I18/I$32)</f>
        <v>0</v>
      </c>
      <c r="J24" s="1061">
        <f>IF($F$32=0,0,begr!J18/J$32)</f>
        <v>0</v>
      </c>
      <c r="K24" s="22"/>
    </row>
    <row r="25" spans="2:11" ht="13.15" customHeight="1" x14ac:dyDescent="0.2">
      <c r="B25" s="18"/>
      <c r="C25" s="31"/>
      <c r="D25" s="279" t="s">
        <v>494</v>
      </c>
      <c r="E25" s="3"/>
      <c r="F25" s="1061">
        <f>IF($F$32=0,0,begr!F21/F$32)</f>
        <v>0</v>
      </c>
      <c r="G25" s="1061">
        <f>IF($F$32=0,0,begr!G21/G$32)</f>
        <v>0</v>
      </c>
      <c r="H25" s="1061">
        <f>IF($F$32=0,0,begr!H21/H$32)</f>
        <v>0</v>
      </c>
      <c r="I25" s="1061">
        <f>IF($F$32=0,0,begr!I21/I$32)</f>
        <v>0</v>
      </c>
      <c r="J25" s="1061">
        <f>IF($F$32=0,0,begr!J21/J$32)</f>
        <v>0</v>
      </c>
      <c r="K25" s="22"/>
    </row>
    <row r="26" spans="2:11" ht="13.15" customHeight="1" x14ac:dyDescent="0.2">
      <c r="B26" s="18"/>
      <c r="C26" s="31"/>
      <c r="D26" s="279" t="s">
        <v>495</v>
      </c>
      <c r="E26" s="3"/>
      <c r="F26" s="1061">
        <f>IF(begr!$F$14=0,0,F32/begr!F$14)</f>
        <v>0</v>
      </c>
      <c r="G26" s="1061">
        <f>IF(begr!$F$14=0,0,G32/begr!G$14)</f>
        <v>0</v>
      </c>
      <c r="H26" s="1061">
        <f>IF(begr!$F$14=0,0,H32/begr!H$14)</f>
        <v>0</v>
      </c>
      <c r="I26" s="1061">
        <f>IF(begr!$F$14=0,0,I32/begr!I$14)</f>
        <v>0</v>
      </c>
      <c r="J26" s="1061">
        <f>IF(begr!$F$14=0,0,J32/begr!J$14)</f>
        <v>0</v>
      </c>
      <c r="K26" s="22"/>
    </row>
    <row r="27" spans="2:11" ht="13.15" customHeight="1" x14ac:dyDescent="0.2">
      <c r="B27" s="18"/>
      <c r="C27" s="31"/>
      <c r="D27" s="279" t="s">
        <v>496</v>
      </c>
      <c r="E27" s="3"/>
      <c r="F27" s="1061">
        <f>IF(begr!$F$14=0,0,(begr!F25+begr!F34)/begr!F$14)</f>
        <v>0</v>
      </c>
      <c r="G27" s="1061">
        <f>IF(begr!$F$14=0,0,(begr!G25+begr!G34)/begr!G$14)</f>
        <v>0</v>
      </c>
      <c r="H27" s="1061">
        <f>IF(begr!$F$14=0,0,(begr!H25+begr!H34)/begr!H$14)</f>
        <v>0</v>
      </c>
      <c r="I27" s="1061">
        <f>IF(begr!$F$14=0,0,(begr!I25+begr!I34)/begr!I$14)</f>
        <v>0</v>
      </c>
      <c r="J27" s="1061">
        <f>IF(begr!$F$14=0,0,(begr!J25+begr!J34)/begr!J$14)</f>
        <v>0</v>
      </c>
      <c r="K27" s="22"/>
    </row>
    <row r="28" spans="2:11" ht="13.15" customHeight="1" x14ac:dyDescent="0.2">
      <c r="B28" s="18"/>
      <c r="C28" s="31"/>
      <c r="D28" s="279" t="s">
        <v>497</v>
      </c>
      <c r="E28" s="3"/>
      <c r="F28" s="1061">
        <f>IF(begr!$F$14=0,0,begr!F21/begr!F$14)</f>
        <v>0</v>
      </c>
      <c r="G28" s="1061">
        <f>IF(begr!$F$14=0,0,begr!G21/begr!G$14)</f>
        <v>0</v>
      </c>
      <c r="H28" s="1061">
        <f>IF(begr!$F$14=0,0,begr!H21/begr!H$14)</f>
        <v>0</v>
      </c>
      <c r="I28" s="1061">
        <f>IF(begr!$F$14=0,0,begr!I21/begr!I$14)</f>
        <v>0</v>
      </c>
      <c r="J28" s="1061">
        <f>IF(begr!$F$14=0,0,begr!J21/begr!J$14)</f>
        <v>0</v>
      </c>
      <c r="K28" s="22"/>
    </row>
    <row r="29" spans="2:11" ht="13.15" customHeight="1" x14ac:dyDescent="0.2">
      <c r="B29" s="18"/>
      <c r="C29" s="31"/>
      <c r="D29" s="279" t="s">
        <v>519</v>
      </c>
      <c r="E29" s="3"/>
      <c r="F29" s="1061">
        <f>IF(begr!$F$14=0,0,SUM(begr!F22:F24)/begr!F$14)</f>
        <v>0</v>
      </c>
      <c r="G29" s="1061">
        <f>IF(begr!$F$14=0,0,SUM(begr!G22:G24)/begr!G$14)</f>
        <v>0</v>
      </c>
      <c r="H29" s="1061">
        <f>IF(begr!$F$14=0,0,SUM(begr!H22:H24)/begr!H$14)</f>
        <v>0</v>
      </c>
      <c r="I29" s="1061">
        <f>IF(begr!$F$14=0,0,SUM(begr!I22:I24)/begr!I$14)</f>
        <v>0</v>
      </c>
      <c r="J29" s="1061">
        <f>IF(begr!$F$14=0,0,SUM(begr!J22:J24)/begr!J$14)</f>
        <v>0</v>
      </c>
      <c r="K29" s="22"/>
    </row>
    <row r="30" spans="2:11" ht="13.15" customHeight="1" x14ac:dyDescent="0.2">
      <c r="B30" s="18"/>
      <c r="C30" s="31"/>
      <c r="D30" s="279" t="s">
        <v>498</v>
      </c>
      <c r="E30" s="3"/>
      <c r="F30" s="1061">
        <f>IF(F32=0,0,act!F29/ken!F32)</f>
        <v>0</v>
      </c>
      <c r="G30" s="1061">
        <f>IF(G32=0,0,act!G29/ken!G32)</f>
        <v>0</v>
      </c>
      <c r="H30" s="1061">
        <f>IF(H32=0,0,act!H29/ken!H32)</f>
        <v>0</v>
      </c>
      <c r="I30" s="1061">
        <f>IF(I32=0,0,act!I29/ken!I32)</f>
        <v>1.8330801877769136E-2</v>
      </c>
      <c r="J30" s="1061">
        <f>IF(J32=0,0,act!J29/ken!J32)</f>
        <v>0</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521</v>
      </c>
      <c r="E32" s="3"/>
      <c r="F32" s="957">
        <f>begr!F19+begr!F33</f>
        <v>0</v>
      </c>
      <c r="G32" s="957">
        <f>begr!G19+begr!G33</f>
        <v>3615157.4055000003</v>
      </c>
      <c r="H32" s="957">
        <f>begr!H19+begr!H33</f>
        <v>4032511.8819333334</v>
      </c>
      <c r="I32" s="957">
        <f>begr!I19+begr!I33</f>
        <v>4091474.0391666666</v>
      </c>
      <c r="J32" s="957">
        <f>begr!J19+begr!J33</f>
        <v>4109620.0291666668</v>
      </c>
      <c r="K32" s="22"/>
    </row>
    <row r="33" spans="2:11" ht="13.15" customHeight="1" x14ac:dyDescent="0.2">
      <c r="B33" s="18"/>
      <c r="C33" s="31"/>
      <c r="D33" s="279" t="s">
        <v>499</v>
      </c>
      <c r="E33" s="3"/>
      <c r="F33" s="957">
        <f>IF(geg!G49=0,0,7/12*(baten!F21+baten!F30)+5/12*(baten!G21+baten!G30))/geg!G49</f>
        <v>156.81333333333333</v>
      </c>
      <c r="G33" s="957">
        <f>IF(geg!H49=0,0,7/12*(baten!G21+baten!G30)+5/12*(baten!H21+baten!H30))/geg!H49</f>
        <v>539.42885416666661</v>
      </c>
      <c r="H33" s="957">
        <f>IF(geg!I49=0,0,7/12*(baten!H21+baten!H30)+5/12*(baten!I21+baten!I30))/geg!I49</f>
        <v>772.2011904761905</v>
      </c>
      <c r="I33" s="957">
        <f>IF(geg!J49=0,0,7/12*(baten!I21+baten!I30)+5/12*(baten!J21+baten!J30))/geg!J49</f>
        <v>832.92702380952392</v>
      </c>
      <c r="J33" s="957">
        <f>IF(geg!K49=0,0,7/12*(baten!J21+baten!J30)+5/12*(baten!K21+baten!K30))/geg!K49</f>
        <v>844.96273809523836</v>
      </c>
      <c r="K33" s="22"/>
    </row>
    <row r="34" spans="2:11" ht="13.15" customHeight="1" x14ac:dyDescent="0.2">
      <c r="B34" s="18"/>
      <c r="C34" s="31"/>
      <c r="D34" s="279" t="s">
        <v>500</v>
      </c>
      <c r="E34" s="3"/>
      <c r="F34" s="957">
        <f>IF(geg!G49=0,0,(baten!G188+baten!G203))/geg!G49</f>
        <v>0</v>
      </c>
      <c r="G34" s="957">
        <f>IF(geg!H49=0,0,(baten!H188+baten!H203))/geg!H49</f>
        <v>668.51888731060615</v>
      </c>
      <c r="H34" s="957">
        <f>IF(geg!I49=0,0,(baten!I188+baten!I203))/geg!I49</f>
        <v>663.80426445578235</v>
      </c>
      <c r="I34" s="957">
        <f>IF(geg!J49=0,0,(baten!J188+baten!J203))/geg!J49</f>
        <v>398.99852040816336</v>
      </c>
      <c r="J34" s="957">
        <f>IF(geg!K49=0,0,(baten!K188+baten!K203))/geg!K49</f>
        <v>398.99852040816336</v>
      </c>
      <c r="K34" s="22"/>
    </row>
    <row r="35" spans="2:11" ht="13.15" customHeight="1" x14ac:dyDescent="0.2">
      <c r="B35" s="18"/>
      <c r="C35" s="31"/>
      <c r="D35" s="279" t="s">
        <v>503</v>
      </c>
      <c r="E35" s="3"/>
      <c r="F35" s="957">
        <f>IF(F63=0,0,lasten!I150/ken!F63)</f>
        <v>67705.333333333328</v>
      </c>
      <c r="G35" s="957">
        <f>IF(G63=0,0,lasten!J150/ken!G63)</f>
        <v>70627.200000000012</v>
      </c>
      <c r="H35" s="957">
        <f>IF(H63=0,0,lasten!K150/ken!H63)</f>
        <v>72699.733333333337</v>
      </c>
      <c r="I35" s="957">
        <f>IF(I63=0,0,lasten!L150/ken!I63)</f>
        <v>74843.200000000012</v>
      </c>
      <c r="J35" s="957">
        <f>IF(J63=0,0,lasten!M150/ken!J63)</f>
        <v>77023.466666666674</v>
      </c>
      <c r="K35" s="22"/>
    </row>
    <row r="36" spans="2:11" ht="13.15" customHeight="1" x14ac:dyDescent="0.2">
      <c r="B36" s="18"/>
      <c r="C36" s="31"/>
      <c r="D36" s="279" t="s">
        <v>502</v>
      </c>
      <c r="E36" s="3"/>
      <c r="F36" s="957">
        <f>7/12*(dir!R31+dir!R58+op!R116+obp!R65)+5/12*(dir!R85+op!R228+obp!R127)</f>
        <v>4384.1095706918495</v>
      </c>
      <c r="G36" s="957">
        <f>7/12*(dir!R85+op!R228+obp!R127)+5/12*(dir!R112+op!R340+obp!R189)</f>
        <v>5108.6582278481019</v>
      </c>
      <c r="H36" s="957">
        <f>7/12*(dir!R112+op!R340+obp!R189)+5/12*(dir!R139+op!R452+obp!R251)</f>
        <v>5258.5702230259194</v>
      </c>
      <c r="I36" s="957">
        <f>7/12*(dir!R139+op!R452+obp!R251)+5/12*(dir!R166+op!R564+obp!R313)</f>
        <v>5413.6130198915016</v>
      </c>
      <c r="J36" s="957">
        <f>7/12*(dir!R166+op!R564+obp!R313)+5/12*(dir!R193+op!R676+obp!R375)</f>
        <v>5571.3176612417128</v>
      </c>
      <c r="K36" s="22"/>
    </row>
    <row r="37" spans="2:11" ht="13.15" customHeight="1" x14ac:dyDescent="0.2">
      <c r="B37" s="18"/>
      <c r="C37" s="31"/>
      <c r="D37" s="279" t="s">
        <v>501</v>
      </c>
      <c r="E37" s="3"/>
      <c r="F37" s="1062">
        <f>7/12*(dir!P58+op!P116+obp!P65)+5/12*(dir!P85+op!P228+obp!P127)</f>
        <v>110.27777777777777</v>
      </c>
      <c r="G37" s="1062">
        <f>7/12*(dir!P85+op!P228+obp!P127)+5/12*(dir!P112+op!P340+obp!P189)</f>
        <v>120</v>
      </c>
      <c r="H37" s="1062">
        <f>7/12*(dir!P112+op!P340+obp!P189)+5/12*(dir!P139+op!P452+obp!P251)</f>
        <v>120</v>
      </c>
      <c r="I37" s="1062">
        <f>7/12*(dir!P139+op!P452+obp!P251)+5/12*(dir!P166+op!P564+obp!P313)</f>
        <v>120</v>
      </c>
      <c r="J37" s="1001">
        <f>7/12*(dir!P166+op!P564+obp!P313)+5/12*(dir!P193+op!P676+obp!P375)</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58" t="s">
        <v>504</v>
      </c>
      <c r="E41" s="3"/>
      <c r="F41" s="1059">
        <f>F7</f>
        <v>2019</v>
      </c>
      <c r="G41" s="1059">
        <f>G7</f>
        <v>2020</v>
      </c>
      <c r="H41" s="1059">
        <f>H7</f>
        <v>2021</v>
      </c>
      <c r="I41" s="1059">
        <f>I7</f>
        <v>2022</v>
      </c>
      <c r="J41" s="1059">
        <f>J7</f>
        <v>2023</v>
      </c>
      <c r="K41" s="22"/>
    </row>
    <row r="42" spans="2:11" ht="13.15" customHeight="1" x14ac:dyDescent="0.2">
      <c r="B42" s="18"/>
      <c r="C42" s="31"/>
      <c r="D42" s="279" t="s">
        <v>505</v>
      </c>
      <c r="E42" s="3"/>
      <c r="F42" s="805">
        <f>geg!G49/ken!G63</f>
        <v>53.333333333333336</v>
      </c>
      <c r="G42" s="805">
        <f>geg!H49/ken!H63</f>
        <v>58.666666666666664</v>
      </c>
      <c r="H42" s="805">
        <f>geg!I49/ken!I63</f>
        <v>65.333333333333329</v>
      </c>
      <c r="I42" s="805">
        <f>geg!J49/ken!J63</f>
        <v>65.333333333333329</v>
      </c>
      <c r="J42" s="805">
        <f>geg!K49/ken!J63</f>
        <v>65.333333333333329</v>
      </c>
      <c r="K42" s="22"/>
    </row>
    <row r="43" spans="2:11" ht="13.15" customHeight="1" x14ac:dyDescent="0.2">
      <c r="B43" s="18"/>
      <c r="C43" s="31"/>
      <c r="D43" s="279" t="s">
        <v>506</v>
      </c>
      <c r="E43" s="3"/>
      <c r="F43" s="805">
        <f>IF(geg!G49=0,0,geg!G49/ken!G60)</f>
        <v>160</v>
      </c>
      <c r="G43" s="805">
        <f>IF(geg!H49=0,0,geg!H49/ken!H60)</f>
        <v>176</v>
      </c>
      <c r="H43" s="805">
        <f>IF(geg!I49=0,0,geg!I49/ken!I60)</f>
        <v>196</v>
      </c>
      <c r="I43" s="805">
        <f>IF(geg!J49=0,0,geg!J49/ken!J60)</f>
        <v>196</v>
      </c>
      <c r="J43" s="805">
        <f>IF(geg!K49=0,0,geg!K49/ken!J60)</f>
        <v>196</v>
      </c>
      <c r="K43" s="22"/>
    </row>
    <row r="44" spans="2:11" ht="13.15" customHeight="1" x14ac:dyDescent="0.2">
      <c r="B44" s="18"/>
      <c r="C44" s="31"/>
      <c r="D44" s="279" t="s">
        <v>507</v>
      </c>
      <c r="E44" s="3"/>
      <c r="F44" s="805">
        <f>IF(geg!G49=0,0,geg!G49/ken!J61)</f>
        <v>160</v>
      </c>
      <c r="G44" s="805">
        <f>IF(geg!H49=0,0,geg!H49/ken!H61)</f>
        <v>176</v>
      </c>
      <c r="H44" s="805">
        <f>IF(geg!I49=0,0,geg!I49/ken!I61)</f>
        <v>196</v>
      </c>
      <c r="I44" s="805">
        <f>IF(geg!J49=0,0,geg!J49/ken!J61)</f>
        <v>196</v>
      </c>
      <c r="J44" s="805">
        <f>IF(geg!K49=0,0,geg!K49/ken!J61)</f>
        <v>196</v>
      </c>
      <c r="K44" s="22"/>
    </row>
    <row r="45" spans="2:11" ht="13.15" customHeight="1" x14ac:dyDescent="0.2">
      <c r="B45" s="18"/>
      <c r="C45" s="31"/>
      <c r="D45" s="279" t="s">
        <v>508</v>
      </c>
      <c r="E45" s="3"/>
      <c r="F45" s="805">
        <f>IF(geg!G49=0,0,geg!G49/ken!J62)</f>
        <v>160</v>
      </c>
      <c r="G45" s="805">
        <f>IF(geg!H49=0,0,geg!H49/ken!H62)</f>
        <v>176</v>
      </c>
      <c r="H45" s="805">
        <f>IF(geg!I49=0,0,geg!I49/ken!I62)</f>
        <v>196</v>
      </c>
      <c r="I45" s="805">
        <f>IF(geg!J49=0,0,geg!J49/ken!J62)</f>
        <v>196</v>
      </c>
      <c r="J45" s="805">
        <f>IF(geg!K49=0,0,geg!K49/ken!J62)</f>
        <v>196</v>
      </c>
      <c r="K45" s="22"/>
    </row>
    <row r="46" spans="2:11" ht="13.15" customHeight="1" x14ac:dyDescent="0.2">
      <c r="B46" s="18"/>
      <c r="C46" s="31"/>
      <c r="D46" s="279" t="s">
        <v>509</v>
      </c>
      <c r="E46" s="3"/>
      <c r="F46" s="957">
        <f>IF(geg!G49=0,0,begr!F19/geg!G49)</f>
        <v>0</v>
      </c>
      <c r="G46" s="957">
        <f>IF(geg!H49=0,0,begr!G19/geg!H49)</f>
        <v>20540.667076704547</v>
      </c>
      <c r="H46" s="957">
        <f>IF(geg!I49=0,0,begr!H19/geg!I49)</f>
        <v>20574.04021394558</v>
      </c>
      <c r="I46" s="957">
        <f>IF(geg!J49=0,0,begr!I19/geg!J49)</f>
        <v>20874.867546768706</v>
      </c>
      <c r="J46" s="957">
        <f>IF(geg!K49=0,0,begr!J19/geg!K49)</f>
        <v>20967.44912840136</v>
      </c>
      <c r="K46" s="22"/>
    </row>
    <row r="47" spans="2:11" ht="13.15" customHeight="1" x14ac:dyDescent="0.2">
      <c r="B47" s="18"/>
      <c r="C47" s="31"/>
      <c r="D47" s="279" t="s">
        <v>510</v>
      </c>
      <c r="E47" s="3"/>
      <c r="F47" s="957">
        <f>IF(geg!G49=0,0,begr!F25/geg!G49)</f>
        <v>0</v>
      </c>
      <c r="G47" s="957">
        <f>IF(geg!H49=0,0,begr!G25/geg!H49)</f>
        <v>1345.2075522727275</v>
      </c>
      <c r="H47" s="957">
        <f>IF(geg!I49=0,0,begr!H25/geg!I49)</f>
        <v>1189.2816326530613</v>
      </c>
      <c r="I47" s="957">
        <f>IF(geg!J49=0,0,begr!I25/geg!J49)</f>
        <v>1222.0897959183676</v>
      </c>
      <c r="J47" s="957">
        <f>IF(geg!K49=0,0,begr!J25/geg!K49)</f>
        <v>1255.461224489796</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269</v>
      </c>
      <c r="E49" s="3"/>
      <c r="F49" s="805">
        <f>IF(lasten!I155=0,0,lasten!I155/lasten!I158)</f>
        <v>0.38079849281527139</v>
      </c>
      <c r="G49" s="805">
        <f>IF(lasten!J155=0,0,lasten!J155/lasten!J158)</f>
        <v>0.38236449035687864</v>
      </c>
      <c r="H49" s="805">
        <f>IF(lasten!K155=0,0,lasten!K155/lasten!K158)</f>
        <v>0.38314308351429083</v>
      </c>
      <c r="I49" s="805">
        <f>IF(lasten!L155=0,0,lasten!L155/lasten!L158)</f>
        <v>0.38385673871061987</v>
      </c>
      <c r="J49" s="805">
        <f>IF(lasten!M155=0,0,lasten!M155/lasten!M158)</f>
        <v>0.38467930119998056</v>
      </c>
      <c r="K49" s="22"/>
    </row>
    <row r="50" spans="2:11" ht="13.15" customHeight="1" x14ac:dyDescent="0.2">
      <c r="B50" s="18"/>
      <c r="C50" s="282"/>
      <c r="D50" s="279" t="s">
        <v>270</v>
      </c>
      <c r="E50" s="3"/>
      <c r="F50" s="805">
        <f>IF(lasten!I156=0,0,lasten!I156/lasten!I158)</f>
        <v>0.34135305277115874</v>
      </c>
      <c r="G50" s="805">
        <f>IF(lasten!J156=0,0,lasten!J156/lasten!J158)</f>
        <v>0.34181354114750878</v>
      </c>
      <c r="H50" s="805">
        <f>IF(lasten!K156=0,0,lasten!K156/lasten!K158)</f>
        <v>0.34329332707318505</v>
      </c>
      <c r="I50" s="805">
        <f>IF(lasten!L156=0,0,lasten!L156/lasten!L158)</f>
        <v>0.34477057813312811</v>
      </c>
      <c r="J50" s="805">
        <f>IF(lasten!M156=0,0,lasten!M156/lasten!M158)</f>
        <v>0.34631869767828327</v>
      </c>
      <c r="K50" s="22"/>
    </row>
    <row r="51" spans="2:11" ht="13.15" customHeight="1" x14ac:dyDescent="0.2">
      <c r="B51" s="18"/>
      <c r="C51" s="282"/>
      <c r="D51" s="279" t="s">
        <v>520</v>
      </c>
      <c r="E51" s="3"/>
      <c r="F51" s="805">
        <f>IF(lasten!I157=0,0,lasten!I157/lasten!I158)</f>
        <v>0.27784845441356998</v>
      </c>
      <c r="G51" s="805">
        <f>IF(lasten!J157=0,0,lasten!J157/lasten!J158)</f>
        <v>0.27582196849561269</v>
      </c>
      <c r="H51" s="805">
        <f>IF(lasten!K157=0,0,lasten!K157/lasten!K158)</f>
        <v>0.27356358941252418</v>
      </c>
      <c r="I51" s="805">
        <f>IF(lasten!L157=0,0,lasten!L157/lasten!L158)</f>
        <v>0.27137268315625201</v>
      </c>
      <c r="J51" s="805">
        <f>IF(lasten!M157=0,0,lasten!M157/lasten!M158)</f>
        <v>0.26900200112173606</v>
      </c>
      <c r="K51" s="22"/>
    </row>
    <row r="52" spans="2:11" ht="13.15" customHeight="1" x14ac:dyDescent="0.2">
      <c r="B52" s="18"/>
      <c r="C52" s="282"/>
      <c r="D52" s="279" t="s">
        <v>367</v>
      </c>
      <c r="E52" s="1"/>
      <c r="F52" s="1063">
        <f>geg!G26/geg!G40</f>
        <v>0.11874999999999999</v>
      </c>
      <c r="G52" s="1063">
        <f>geg!H26/geg!H40</f>
        <v>0.16477272727272727</v>
      </c>
      <c r="H52" s="1063">
        <f>geg!I26/geg!I40</f>
        <v>0.18367346938775511</v>
      </c>
      <c r="I52" s="1063">
        <f>geg!J26/geg!J40</f>
        <v>0.18367346938775511</v>
      </c>
      <c r="J52" s="1063">
        <f>geg!K26/geg!K40</f>
        <v>0.18367346938775511</v>
      </c>
      <c r="K52" s="22"/>
    </row>
    <row r="53" spans="2:11" ht="13.15" customHeight="1" x14ac:dyDescent="0.2">
      <c r="B53" s="18"/>
      <c r="C53" s="282"/>
      <c r="D53" s="279" t="s">
        <v>368</v>
      </c>
      <c r="E53" s="3"/>
      <c r="F53" s="1063">
        <f>geg!G31/geg!G40</f>
        <v>0.41249999999999998</v>
      </c>
      <c r="G53" s="1063">
        <f>geg!H31/geg!H40</f>
        <v>0.36931818181818182</v>
      </c>
      <c r="H53" s="1063">
        <f>geg!I31/geg!I40</f>
        <v>0.35204081632653061</v>
      </c>
      <c r="I53" s="1063">
        <f>geg!J31/geg!J40</f>
        <v>0.35204081632653061</v>
      </c>
      <c r="J53" s="1063">
        <f>geg!K31/geg!K40</f>
        <v>0.35204081632653061</v>
      </c>
      <c r="K53" s="22"/>
    </row>
    <row r="54" spans="2:11" ht="13.15" customHeight="1" x14ac:dyDescent="0.2">
      <c r="B54" s="18"/>
      <c r="C54" s="36"/>
      <c r="D54" s="279" t="s">
        <v>366</v>
      </c>
      <c r="E54" s="191"/>
      <c r="F54" s="1064">
        <f>geg!G36/geg!G40</f>
        <v>0.46875</v>
      </c>
      <c r="G54" s="1064">
        <f>geg!H36/geg!H40</f>
        <v>0.46590909090909088</v>
      </c>
      <c r="H54" s="1064">
        <f>geg!I36/geg!I40</f>
        <v>0.4642857142857143</v>
      </c>
      <c r="I54" s="1064">
        <f>geg!J36/geg!J40</f>
        <v>0.4642857142857143</v>
      </c>
      <c r="J54" s="1064">
        <f>geg!K36/geg!K40</f>
        <v>0.4642857142857143</v>
      </c>
      <c r="K54" s="22"/>
    </row>
    <row r="55" spans="2:11" ht="13.15" customHeight="1" x14ac:dyDescent="0.2">
      <c r="B55" s="18"/>
      <c r="C55" s="282"/>
      <c r="D55" s="279" t="s">
        <v>271</v>
      </c>
      <c r="E55" s="3"/>
      <c r="F55" s="767">
        <f>IF(geg!G40=0,0,F127/geg!G40)</f>
        <v>483.41416666666663</v>
      </c>
      <c r="G55" s="767">
        <f>IF(geg!H40=0,0,G127/geg!H40)</f>
        <v>460.31818181818193</v>
      </c>
      <c r="H55" s="767">
        <f>IF(geg!I40=0,0,H127/geg!I40)</f>
        <v>426.34285714285727</v>
      </c>
      <c r="I55" s="767">
        <f>IF(geg!J40=0,0,I127/geg!J40)</f>
        <v>439.730612244898</v>
      </c>
      <c r="J55" s="767">
        <f>IF(geg!K40=0,0,J127/geg!K40)</f>
        <v>453.51020408163265</v>
      </c>
      <c r="K55" s="22"/>
    </row>
    <row r="56" spans="2:11" ht="13.15" customHeight="1" x14ac:dyDescent="0.2">
      <c r="B56" s="18"/>
      <c r="C56" s="282"/>
      <c r="D56" s="279" t="s">
        <v>272</v>
      </c>
      <c r="E56" s="3"/>
      <c r="F56" s="767">
        <f>IF(geg!G40=0,0,F128/geg!G40)</f>
        <v>433.33916666666676</v>
      </c>
      <c r="G56" s="767">
        <f>IF(geg!H40=0,0,G128/geg!H40)</f>
        <v>411.5</v>
      </c>
      <c r="H56" s="767">
        <f>IF(geg!I40=0,0,H128/geg!I40)</f>
        <v>382</v>
      </c>
      <c r="I56" s="767">
        <f>IF(geg!J40=0,0,I128/geg!J40)</f>
        <v>394.95510204081637</v>
      </c>
      <c r="J56" s="767">
        <f>IF(geg!K40=0,0,J128/geg!K40)</f>
        <v>408.28571428571428</v>
      </c>
      <c r="K56" s="22"/>
    </row>
    <row r="57" spans="2:11" ht="13.15" customHeight="1" x14ac:dyDescent="0.2">
      <c r="B57" s="18"/>
      <c r="C57" s="282"/>
      <c r="D57" s="279" t="s">
        <v>513</v>
      </c>
      <c r="E57" s="3"/>
      <c r="F57" s="767">
        <f>IF(geg!G40=0,0,F129/geg!G40)</f>
        <v>352.72166666666669</v>
      </c>
      <c r="G57" s="767">
        <f>IF(geg!H40=0,0,G129/geg!H40)</f>
        <v>332.05454545454546</v>
      </c>
      <c r="H57" s="767">
        <f>IF(geg!I40=0,0,H129/geg!I40)</f>
        <v>304.40816326530614</v>
      </c>
      <c r="I57" s="767">
        <f>IF(geg!J40=0,0,I129/geg!J40)</f>
        <v>310.87346938775516</v>
      </c>
      <c r="J57" s="767">
        <f>IF(geg!K40=0,0,J129/geg!K40)</f>
        <v>317.13469387755106</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58" t="s">
        <v>511</v>
      </c>
      <c r="E59" s="3"/>
      <c r="F59" s="1060" t="s">
        <v>49</v>
      </c>
      <c r="G59" s="1060" t="s">
        <v>587</v>
      </c>
      <c r="H59" s="1060" t="s">
        <v>588</v>
      </c>
      <c r="I59" s="1060" t="s">
        <v>589</v>
      </c>
      <c r="J59" s="1060" t="s">
        <v>621</v>
      </c>
      <c r="K59" s="22"/>
    </row>
    <row r="60" spans="2:11" ht="13.15" customHeight="1" x14ac:dyDescent="0.2">
      <c r="B60" s="18"/>
      <c r="C60" s="31"/>
      <c r="D60" s="279" t="s">
        <v>265</v>
      </c>
      <c r="E60" s="3"/>
      <c r="F60" s="805">
        <f>dir!J58</f>
        <v>1</v>
      </c>
      <c r="G60" s="805">
        <f>dir!J85</f>
        <v>1</v>
      </c>
      <c r="H60" s="805">
        <f>dir!J112</f>
        <v>1</v>
      </c>
      <c r="I60" s="805">
        <f>dir!J139</f>
        <v>1</v>
      </c>
      <c r="J60" s="805">
        <f>7/12*dir!J166+5/12*dir!J193</f>
        <v>1</v>
      </c>
      <c r="K60" s="22"/>
    </row>
    <row r="61" spans="2:11" ht="13.15" customHeight="1" x14ac:dyDescent="0.2">
      <c r="B61" s="18"/>
      <c r="C61" s="31"/>
      <c r="D61" s="279" t="s">
        <v>281</v>
      </c>
      <c r="E61" s="3"/>
      <c r="F61" s="805">
        <f>op!J116</f>
        <v>1</v>
      </c>
      <c r="G61" s="805">
        <f>op!J228</f>
        <v>1</v>
      </c>
      <c r="H61" s="805">
        <f>op!J340</f>
        <v>1</v>
      </c>
      <c r="I61" s="805">
        <f>op!J452</f>
        <v>1</v>
      </c>
      <c r="J61" s="805">
        <f>7/12*op!J564+5/12*op!J676</f>
        <v>1</v>
      </c>
      <c r="K61" s="22"/>
    </row>
    <row r="62" spans="2:11" ht="13.15" customHeight="1" x14ac:dyDescent="0.2">
      <c r="B62" s="18"/>
      <c r="C62" s="31"/>
      <c r="D62" s="279" t="s">
        <v>512</v>
      </c>
      <c r="E62" s="3"/>
      <c r="F62" s="805">
        <f>obp!J65</f>
        <v>1</v>
      </c>
      <c r="G62" s="805">
        <f>obp!J127</f>
        <v>1</v>
      </c>
      <c r="H62" s="805">
        <f>obp!J189</f>
        <v>1</v>
      </c>
      <c r="I62" s="805">
        <f>obp!J251</f>
        <v>1</v>
      </c>
      <c r="J62" s="805">
        <f>7/12*obp!J313+5/12*obp!J375</f>
        <v>1</v>
      </c>
      <c r="K62" s="22"/>
    </row>
    <row r="63" spans="2:11" ht="13.15" customHeight="1" x14ac:dyDescent="0.2">
      <c r="B63" s="18"/>
      <c r="C63" s="31"/>
      <c r="D63" s="279" t="s">
        <v>141</v>
      </c>
      <c r="E63" s="3"/>
      <c r="F63" s="805">
        <f>SUM(F60:F62)</f>
        <v>3</v>
      </c>
      <c r="G63" s="805">
        <f>SUM(G60:G62)</f>
        <v>3</v>
      </c>
      <c r="H63" s="805">
        <f>SUM(H60:H62)</f>
        <v>3</v>
      </c>
      <c r="I63" s="805">
        <f>SUM(I60:I62)</f>
        <v>3</v>
      </c>
      <c r="J63" s="805">
        <f>SUM(J60:J62)</f>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58" t="s">
        <v>273</v>
      </c>
      <c r="E67" s="281"/>
      <c r="F67" s="1059">
        <f>F7</f>
        <v>2019</v>
      </c>
      <c r="G67" s="1059">
        <f>G7</f>
        <v>2020</v>
      </c>
      <c r="H67" s="1059">
        <f>H7</f>
        <v>2021</v>
      </c>
      <c r="I67" s="1059">
        <f>I7</f>
        <v>2022</v>
      </c>
      <c r="J67" s="1059">
        <f>J7</f>
        <v>2023</v>
      </c>
      <c r="K67" s="22"/>
    </row>
    <row r="68" spans="2:11" ht="13.15" customHeight="1" x14ac:dyDescent="0.2">
      <c r="B68" s="18"/>
      <c r="C68" s="31"/>
      <c r="D68" s="279" t="s">
        <v>515</v>
      </c>
      <c r="E68" s="3"/>
      <c r="F68" s="805">
        <f>IF(geg!$G$49=0,0,+geg!H49/geg!$G$49)</f>
        <v>1.1000000000000001</v>
      </c>
      <c r="G68" s="805">
        <f>IF(geg!$I$49=0,0,+geg!I49/geg!$I$49)</f>
        <v>1</v>
      </c>
      <c r="H68" s="805">
        <f>IF(geg!$I$49=0,0,+geg!J49/geg!$I$49)</f>
        <v>1</v>
      </c>
      <c r="I68" s="805">
        <f>IF(geg!$I$49=0,0,+geg!K49/geg!$I$49)</f>
        <v>1</v>
      </c>
      <c r="J68" s="805">
        <f>IF(geg!$I$49=0,0,+geg!L49/geg!$I$49)</f>
        <v>1</v>
      </c>
      <c r="K68" s="22"/>
    </row>
    <row r="69" spans="2:11" ht="13.15" customHeight="1" x14ac:dyDescent="0.2">
      <c r="B69" s="18"/>
      <c r="C69" s="31"/>
      <c r="D69" s="279" t="s">
        <v>514</v>
      </c>
      <c r="E69" s="3"/>
      <c r="F69" s="805">
        <f>IF($G63=0,0,G63/$G63)</f>
        <v>1</v>
      </c>
      <c r="G69" s="805">
        <f>IF($G63=0,0,G63/$G63)</f>
        <v>1</v>
      </c>
      <c r="H69" s="805">
        <f t="shared" ref="H69:J69" si="0">IF($G63=0,0,H63/$G63)</f>
        <v>1</v>
      </c>
      <c r="I69" s="805">
        <f t="shared" si="0"/>
        <v>1</v>
      </c>
      <c r="J69" s="805">
        <f t="shared" si="0"/>
        <v>1</v>
      </c>
      <c r="K69" s="22"/>
    </row>
    <row r="70" spans="2:11" ht="13.15" customHeight="1" x14ac:dyDescent="0.2">
      <c r="B70" s="18"/>
      <c r="C70" s="31"/>
      <c r="D70" s="279" t="s">
        <v>274</v>
      </c>
      <c r="E70" s="3"/>
      <c r="F70" s="805">
        <f>IF($F32=0,0,+F32/$F32)</f>
        <v>0</v>
      </c>
      <c r="G70" s="805">
        <f>IF($G32=0,0,+G32/$G32)</f>
        <v>1</v>
      </c>
      <c r="H70" s="805">
        <f>IF($G32=0,0,+H32/$G32)</f>
        <v>1.1154457274248644</v>
      </c>
      <c r="I70" s="805">
        <f>IF($G32=0,0,+I32/$G32)</f>
        <v>1.1317554342010148</v>
      </c>
      <c r="J70" s="805">
        <f>IF($G32=0,0,+J32/$G32)</f>
        <v>1.1367748532648689</v>
      </c>
      <c r="K70" s="22"/>
    </row>
    <row r="71" spans="2:11" ht="13.15" customHeight="1" x14ac:dyDescent="0.2">
      <c r="B71" s="18"/>
      <c r="C71" s="31"/>
      <c r="D71" s="279" t="s">
        <v>275</v>
      </c>
      <c r="E71" s="3"/>
      <c r="F71" s="805">
        <f>IF(begr!$G14=0,0,begr!F14/begr!$G14)</f>
        <v>0</v>
      </c>
      <c r="G71" s="805">
        <f>IF(begr!$G14=0,0,begr!G14/begr!$G14)</f>
        <v>1</v>
      </c>
      <c r="H71" s="805">
        <f>IF(begr!$G14=0,0,begr!H14/begr!$G14)</f>
        <v>1.1156386537754159</v>
      </c>
      <c r="I71" s="805">
        <f>IF(begr!$G14=0,0,begr!I14/begr!$G14)</f>
        <v>1.1401594723282806</v>
      </c>
      <c r="J71" s="805">
        <f>IF(begr!$G14=0,0,begr!J14/begr!$G14)</f>
        <v>1.1452161639228553</v>
      </c>
      <c r="K71" s="22"/>
    </row>
    <row r="72" spans="2:11" ht="13.15" customHeight="1" x14ac:dyDescent="0.2">
      <c r="B72" s="18"/>
      <c r="C72" s="31"/>
      <c r="D72" s="279" t="s">
        <v>276</v>
      </c>
      <c r="E72" s="3"/>
      <c r="F72" s="805">
        <f>IF(begr!$G15=0,0,begr!F15/begr!$G15)</f>
        <v>0</v>
      </c>
      <c r="G72" s="805">
        <f>IF(begr!$G15=0,0,begr!G15/begr!$G15)</f>
        <v>1</v>
      </c>
      <c r="H72" s="805">
        <f>IF(begr!$G15=0,0,begr!H15/begr!$G15)</f>
        <v>0</v>
      </c>
      <c r="I72" s="805">
        <f>IF(begr!$G15=0,0,begr!I15/begr!$G15)</f>
        <v>0</v>
      </c>
      <c r="J72" s="805">
        <f>IF(begr!$G15=0,0,begr!J15/begr!$G15)</f>
        <v>0</v>
      </c>
      <c r="K72" s="22"/>
    </row>
    <row r="73" spans="2:11" ht="13.15" customHeight="1" x14ac:dyDescent="0.2">
      <c r="B73" s="18"/>
      <c r="C73" s="31"/>
      <c r="D73" s="279" t="s">
        <v>277</v>
      </c>
      <c r="E73" s="3"/>
      <c r="F73" s="805">
        <f>IF(begr!$G18=0,0,begr!F18/begr!$G18)</f>
        <v>0</v>
      </c>
      <c r="G73" s="805">
        <f>IF(begr!$G18=0,0,begr!G18/begr!$G18)</f>
        <v>1</v>
      </c>
      <c r="H73" s="805">
        <f>IF(begr!$G18=0,0,begr!H18/begr!$G18)</f>
        <v>1.4</v>
      </c>
      <c r="I73" s="805">
        <f>IF(begr!$G18=0,0,begr!I18/begr!$G18)</f>
        <v>0</v>
      </c>
      <c r="J73" s="805">
        <f>IF(begr!$G18=0,0,begr!J18/begr!$G18)</f>
        <v>0</v>
      </c>
      <c r="K73" s="22"/>
    </row>
    <row r="74" spans="2:11" ht="13.15" customHeight="1" x14ac:dyDescent="0.2">
      <c r="B74" s="18"/>
      <c r="C74" s="31"/>
      <c r="D74" s="279" t="s">
        <v>278</v>
      </c>
      <c r="E74" s="3"/>
      <c r="F74" s="805">
        <f>IF((begr!$G25+begr!$G34)=0,0,(begr!H25+begr!H34)/(begr!$G25+begr!$G34))</f>
        <v>0.98455236181929962</v>
      </c>
      <c r="G74" s="805">
        <f>IF((begr!$G25+begr!$G34)=0,0,(begr!G25+begr!G34)/(begr!$G25+begr!$G34))</f>
        <v>1</v>
      </c>
      <c r="H74" s="805">
        <f>IF((begr!$G25+begr!$G34)=0,0,(begr!H25+begr!H34)/(begr!$G25+begr!$G34))</f>
        <v>0.98455236181929962</v>
      </c>
      <c r="I74" s="805">
        <f>IF((begr!$G25+begr!$G34)=0,0,(begr!I25+begr!I34)/(begr!$G25+begr!$G34))</f>
        <v>1.0117127532210841</v>
      </c>
      <c r="J74" s="805">
        <f>IF((begr!$G25+begr!$G34)=0,0,(begr!J25+begr!J34)/(begr!$G25+begr!$G34))</f>
        <v>1.0393394464409136</v>
      </c>
      <c r="K74" s="22"/>
    </row>
    <row r="75" spans="2:11" ht="13.15" customHeight="1" x14ac:dyDescent="0.2">
      <c r="B75" s="18"/>
      <c r="C75" s="31"/>
      <c r="D75" s="279" t="s">
        <v>516</v>
      </c>
      <c r="E75" s="3"/>
      <c r="F75" s="805">
        <f>lasten!I158/lasten!$I158</f>
        <v>1</v>
      </c>
      <c r="G75" s="805">
        <f>lasten!J158/lasten!$J158</f>
        <v>1</v>
      </c>
      <c r="H75" s="805">
        <f>lasten!K158/lasten!$J158</f>
        <v>1.0293446906196668</v>
      </c>
      <c r="I75" s="805">
        <f>lasten!L158/lasten!$J158</f>
        <v>1.0596937157355808</v>
      </c>
      <c r="J75" s="805">
        <f>lasten!M158/lasten!$J158</f>
        <v>1.0905637865675926</v>
      </c>
      <c r="K75" s="22"/>
    </row>
    <row r="76" spans="2:11" ht="13.15" customHeight="1" x14ac:dyDescent="0.2">
      <c r="B76" s="18"/>
      <c r="C76" s="31"/>
      <c r="D76" s="279" t="s">
        <v>518</v>
      </c>
      <c r="E76" s="3"/>
      <c r="F76" s="805">
        <f>IF(SUM(lasten!$I150:$I151)=0,0,SUM(lasten!I150:I151)/SUM(lasten!$I150:$I151))</f>
        <v>1</v>
      </c>
      <c r="G76" s="805">
        <f>IF(SUM(lasten!$J150:$J151)=0,0,SUM(lasten!J150:J151)/SUM(lasten!$J150:$J151))</f>
        <v>1</v>
      </c>
      <c r="H76" s="805">
        <f>IF(SUM(lasten!$J150:$J151)=0,0,SUM(lasten!K150:K151)/SUM(lasten!$J150:$J151))</f>
        <v>0.98350745651911997</v>
      </c>
      <c r="I76" s="805">
        <f>IF(SUM(lasten!$J150:$J151)=0,0,SUM(lasten!L150:L151)/SUM(lasten!$J150:$J151))</f>
        <v>1.0125050243616456</v>
      </c>
      <c r="J76" s="805">
        <f>IF(SUM(lasten!$J150:$J151)=0,0,SUM(lasten!M150:M151)/SUM(lasten!$J150:$J151))</f>
        <v>1.0420004354938288</v>
      </c>
      <c r="K76" s="22"/>
    </row>
    <row r="77" spans="2:11" ht="13.15" customHeight="1" x14ac:dyDescent="0.2">
      <c r="B77" s="18"/>
      <c r="C77" s="31"/>
      <c r="D77" s="279" t="s">
        <v>279</v>
      </c>
      <c r="E77" s="3"/>
      <c r="F77" s="805">
        <f>IF(lasten!$I152=0,0,lasten!K152/lasten!$I152)</f>
        <v>1</v>
      </c>
      <c r="G77" s="805">
        <f>IF(lasten!$J152=0,0,lasten!J152/lasten!$J152)</f>
        <v>1</v>
      </c>
      <c r="H77" s="805">
        <f>IF(lasten!$J152=0,0,lasten!K152/lasten!$J152)</f>
        <v>1</v>
      </c>
      <c r="I77" s="805">
        <f>IF(lasten!$J152=0,0,lasten!L152/lasten!$J152)</f>
        <v>1</v>
      </c>
      <c r="J77" s="805">
        <f>IF(lasten!$J152=0,0,lasten!M152/lasten!$J152)</f>
        <v>1</v>
      </c>
      <c r="K77" s="22"/>
    </row>
    <row r="78" spans="2:11" ht="13.15" customHeight="1" x14ac:dyDescent="0.2">
      <c r="B78" s="18"/>
      <c r="C78" s="31"/>
      <c r="D78" s="279" t="s">
        <v>280</v>
      </c>
      <c r="E78" s="3"/>
      <c r="F78" s="805">
        <f>IF(lasten!$I153=0,0,lasten!K153/lasten!$I153)</f>
        <v>0</v>
      </c>
      <c r="G78" s="805">
        <f>IF(lasten!$J153=0,0,lasten!J153/lasten!$J153)</f>
        <v>0</v>
      </c>
      <c r="H78" s="805">
        <f>IF(lasten!$J153=0,0,lasten!K153/lasten!$J153)</f>
        <v>0</v>
      </c>
      <c r="I78" s="805">
        <f>IF(lasten!$J153=0,0,lasten!L153/lasten!$J153)</f>
        <v>0</v>
      </c>
      <c r="J78" s="805">
        <f>IF(lasten!$J153=0,0,lasten!M153/lasten!$J153)</f>
        <v>0</v>
      </c>
      <c r="K78" s="22"/>
    </row>
    <row r="79" spans="2:11" ht="13.15" customHeight="1" x14ac:dyDescent="0.2">
      <c r="B79" s="18"/>
      <c r="C79" s="31"/>
      <c r="D79" s="1" t="s">
        <v>517</v>
      </c>
      <c r="E79" s="3"/>
      <c r="F79" s="805">
        <f>IF(begr!$F24=0,0,begr!F24/begr!$F24)</f>
        <v>0</v>
      </c>
      <c r="G79" s="805">
        <f>IF(begr!$G24=0,0,begr!G24/begr!$G24)</f>
        <v>0</v>
      </c>
      <c r="H79" s="805">
        <f>IF(begr!$G24=0,0,begr!H24/begr!$G24)</f>
        <v>0</v>
      </c>
      <c r="I79" s="805">
        <f>IF(begr!$G24=0,0,begr!I24/begr!$G24)</f>
        <v>0</v>
      </c>
      <c r="J79" s="805">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57"/>
      <c r="B83" s="1057"/>
      <c r="C83" s="1057"/>
      <c r="D83" s="1057"/>
      <c r="E83" s="1057"/>
      <c r="F83" s="1057"/>
      <c r="G83" s="1057"/>
      <c r="H83" s="1057"/>
      <c r="I83" s="1057"/>
      <c r="J83" s="1057"/>
      <c r="K83" s="1057"/>
    </row>
    <row r="84" spans="1:25" ht="13.15" customHeight="1" x14ac:dyDescent="0.2">
      <c r="A84" s="1057"/>
      <c r="B84" s="1057"/>
      <c r="C84" s="1057"/>
      <c r="D84" s="1057"/>
      <c r="E84" s="1057"/>
      <c r="F84" s="1057"/>
      <c r="G84" s="1057"/>
      <c r="H84" s="1057"/>
      <c r="I84" s="1057"/>
      <c r="J84" s="1057"/>
      <c r="K84" s="1057"/>
    </row>
    <row r="85" spans="1:25" ht="13.15" customHeight="1" x14ac:dyDescent="0.2">
      <c r="M85" s="1057"/>
      <c r="N85" s="1057"/>
      <c r="O85" s="1057"/>
      <c r="P85" s="1057"/>
      <c r="Q85" s="1057"/>
      <c r="R85" s="1057"/>
      <c r="S85" s="1057"/>
      <c r="T85" s="1057"/>
      <c r="U85" s="1057"/>
      <c r="V85" s="1057"/>
      <c r="W85" s="1057"/>
      <c r="X85" s="1057"/>
      <c r="Y85" s="1057"/>
    </row>
    <row r="86" spans="1:25" ht="13.15" customHeight="1" x14ac:dyDescent="0.2">
      <c r="M86" s="1057"/>
      <c r="N86" s="1057"/>
      <c r="O86" s="1057"/>
      <c r="P86" s="1057"/>
      <c r="Q86" s="1057"/>
      <c r="R86" s="1057"/>
      <c r="S86" s="1057"/>
      <c r="T86" s="1057"/>
      <c r="U86" s="1057"/>
      <c r="V86" s="1057"/>
      <c r="W86" s="1057"/>
      <c r="X86" s="1057"/>
      <c r="Y86" s="1057"/>
    </row>
    <row r="87" spans="1:25" ht="13.15" customHeight="1" x14ac:dyDescent="0.2">
      <c r="M87" s="1057"/>
      <c r="N87" s="1057"/>
      <c r="O87" s="1057"/>
      <c r="P87" s="1057"/>
      <c r="Q87" s="1057"/>
      <c r="R87" s="1057"/>
      <c r="S87" s="1057"/>
      <c r="T87" s="1057"/>
      <c r="U87" s="1057"/>
      <c r="V87" s="1057"/>
      <c r="W87" s="1057"/>
      <c r="X87" s="1057"/>
      <c r="Y87" s="1057"/>
    </row>
    <row r="88" spans="1:25" ht="13.15" customHeight="1" x14ac:dyDescent="0.2">
      <c r="M88" s="1057"/>
      <c r="N88" s="1057"/>
      <c r="O88" s="1057"/>
      <c r="P88" s="1057"/>
      <c r="Q88" s="1057"/>
      <c r="R88" s="1057"/>
      <c r="S88" s="1057"/>
      <c r="T88" s="1057"/>
      <c r="U88" s="1057"/>
      <c r="V88" s="1057"/>
      <c r="W88" s="1057"/>
      <c r="X88" s="1057"/>
      <c r="Y88" s="1057"/>
    </row>
    <row r="89" spans="1:25" ht="13.15" customHeight="1" x14ac:dyDescent="0.2">
      <c r="M89" s="1057"/>
      <c r="N89" s="1057"/>
      <c r="O89" s="1057"/>
      <c r="P89" s="1057"/>
      <c r="Q89" s="1057"/>
      <c r="R89" s="1057"/>
      <c r="S89" s="1057"/>
      <c r="T89" s="1057"/>
      <c r="U89" s="1057"/>
      <c r="V89" s="1057"/>
      <c r="W89" s="1057"/>
      <c r="X89" s="1057"/>
      <c r="Y89" s="1057"/>
    </row>
    <row r="90" spans="1:25" ht="13.15" customHeight="1" x14ac:dyDescent="0.2">
      <c r="M90" s="1057"/>
      <c r="N90" s="1057"/>
      <c r="O90" s="1057"/>
      <c r="P90" s="1057"/>
      <c r="Q90" s="1057"/>
      <c r="R90" s="1057"/>
      <c r="S90" s="1057"/>
      <c r="T90" s="1057"/>
      <c r="U90" s="1057"/>
      <c r="V90" s="1057"/>
      <c r="W90" s="1057"/>
      <c r="X90" s="1057"/>
      <c r="Y90" s="1057"/>
    </row>
    <row r="91" spans="1:25" ht="13.15" customHeight="1" x14ac:dyDescent="0.2">
      <c r="M91" s="1057"/>
      <c r="N91" s="1057"/>
      <c r="O91" s="1057"/>
      <c r="P91" s="1057"/>
      <c r="Q91" s="1057"/>
      <c r="R91" s="1057"/>
      <c r="S91" s="1057"/>
      <c r="T91" s="1057"/>
      <c r="U91" s="1057"/>
      <c r="V91" s="1057"/>
      <c r="W91" s="1057"/>
      <c r="X91" s="1057"/>
      <c r="Y91" s="1057"/>
    </row>
    <row r="92" spans="1:25" ht="13.15" customHeight="1" x14ac:dyDescent="0.2">
      <c r="M92" s="1057"/>
      <c r="N92" s="1057"/>
      <c r="O92" s="1057"/>
      <c r="P92" s="1057"/>
      <c r="Q92" s="1057"/>
      <c r="R92" s="1057"/>
      <c r="S92" s="1057"/>
      <c r="T92" s="1057"/>
      <c r="U92" s="1057"/>
      <c r="V92" s="1057"/>
      <c r="W92" s="1057"/>
      <c r="X92" s="1057"/>
      <c r="Y92" s="1057"/>
    </row>
    <row r="93" spans="1:25" ht="13.15" customHeight="1" x14ac:dyDescent="0.2">
      <c r="M93" s="1057"/>
      <c r="N93" s="1057"/>
      <c r="O93" s="1057"/>
      <c r="P93" s="1057"/>
      <c r="Q93" s="1057"/>
      <c r="R93" s="1057"/>
      <c r="S93" s="1057"/>
      <c r="T93" s="1057"/>
      <c r="U93" s="1057"/>
      <c r="V93" s="1057"/>
      <c r="W93" s="1057"/>
      <c r="X93" s="1057"/>
      <c r="Y93" s="1057"/>
    </row>
    <row r="94" spans="1:25" ht="13.15" customHeight="1" x14ac:dyDescent="0.2">
      <c r="M94" s="1057"/>
      <c r="N94" s="1057"/>
      <c r="O94" s="1057"/>
      <c r="P94" s="1057"/>
      <c r="Q94" s="1057"/>
      <c r="R94" s="1057"/>
      <c r="S94" s="1057"/>
      <c r="T94" s="1057"/>
      <c r="U94" s="1057"/>
      <c r="V94" s="1057"/>
      <c r="W94" s="1057"/>
      <c r="X94" s="1057"/>
      <c r="Y94" s="1057"/>
    </row>
    <row r="95" spans="1:25" ht="13.15" customHeight="1" x14ac:dyDescent="0.2">
      <c r="M95" s="1057"/>
      <c r="N95" s="1057"/>
      <c r="O95" s="1057"/>
      <c r="P95" s="1057"/>
      <c r="Q95" s="1057"/>
      <c r="R95" s="1057"/>
      <c r="S95" s="1057"/>
      <c r="T95" s="1057"/>
      <c r="U95" s="1057"/>
      <c r="V95" s="1057"/>
      <c r="W95" s="1057"/>
      <c r="X95" s="1057"/>
      <c r="Y95" s="1057"/>
    </row>
    <row r="96" spans="1:25" ht="13.15" customHeight="1" x14ac:dyDescent="0.2">
      <c r="M96" s="1057"/>
      <c r="N96" s="1057"/>
      <c r="O96" s="1057"/>
      <c r="P96" s="1057"/>
      <c r="Q96" s="1057"/>
      <c r="R96" s="1057"/>
      <c r="S96" s="1057"/>
      <c r="T96" s="1057"/>
      <c r="U96" s="1057"/>
      <c r="V96" s="1057"/>
      <c r="W96" s="1057"/>
      <c r="X96" s="1057"/>
      <c r="Y96" s="1057"/>
    </row>
    <row r="97" spans="13:25" ht="13.15" customHeight="1" x14ac:dyDescent="0.2">
      <c r="M97" s="1057"/>
      <c r="N97" s="1057"/>
      <c r="O97" s="1057"/>
      <c r="P97" s="1057"/>
      <c r="Q97" s="1057"/>
      <c r="R97" s="1057"/>
      <c r="S97" s="1057"/>
      <c r="T97" s="1057"/>
      <c r="U97" s="1057"/>
      <c r="V97" s="1057"/>
      <c r="W97" s="1057"/>
      <c r="X97" s="1057"/>
      <c r="Y97" s="1057"/>
    </row>
    <row r="98" spans="13:25" ht="13.15" customHeight="1" x14ac:dyDescent="0.2">
      <c r="M98" s="1057"/>
      <c r="N98" s="1057"/>
      <c r="O98" s="1057"/>
      <c r="P98" s="1057"/>
      <c r="Q98" s="1057"/>
      <c r="R98" s="1057"/>
      <c r="S98" s="1057"/>
      <c r="T98" s="1057"/>
      <c r="U98" s="1057"/>
      <c r="V98" s="1057"/>
      <c r="W98" s="1057"/>
      <c r="X98" s="1057"/>
      <c r="Y98" s="1057"/>
    </row>
    <row r="99" spans="13:25" ht="13.15" customHeight="1" x14ac:dyDescent="0.2">
      <c r="M99" s="1057"/>
      <c r="N99" s="1057"/>
      <c r="O99" s="1057"/>
      <c r="P99" s="1057"/>
      <c r="Q99" s="1057"/>
      <c r="R99" s="1057"/>
      <c r="S99" s="1057"/>
      <c r="T99" s="1057"/>
      <c r="U99" s="1057"/>
      <c r="V99" s="1057"/>
      <c r="W99" s="1057"/>
      <c r="X99" s="1057"/>
      <c r="Y99" s="1057"/>
    </row>
    <row r="100" spans="13:25" ht="13.15" customHeight="1" x14ac:dyDescent="0.2">
      <c r="M100" s="1057"/>
      <c r="N100" s="1057"/>
      <c r="O100" s="1057"/>
      <c r="P100" s="1057"/>
      <c r="Q100" s="1057"/>
      <c r="R100" s="1057"/>
      <c r="S100" s="1057"/>
      <c r="T100" s="1057"/>
      <c r="U100" s="1057"/>
      <c r="V100" s="1057"/>
      <c r="W100" s="1057"/>
      <c r="X100" s="1057"/>
      <c r="Y100" s="1057"/>
    </row>
    <row r="101" spans="13:25" ht="13.15" customHeight="1" x14ac:dyDescent="0.2">
      <c r="M101" s="1057"/>
      <c r="N101" s="1057"/>
      <c r="O101" s="1057"/>
      <c r="P101" s="1057"/>
      <c r="Q101" s="1057"/>
      <c r="R101" s="1057"/>
      <c r="S101" s="1057"/>
      <c r="T101" s="1057"/>
      <c r="U101" s="1057"/>
      <c r="V101" s="1057"/>
      <c r="W101" s="1057"/>
      <c r="X101" s="1057"/>
      <c r="Y101" s="1057"/>
    </row>
    <row r="102" spans="13:25" ht="13.15" customHeight="1" x14ac:dyDescent="0.2">
      <c r="M102" s="1057"/>
      <c r="N102" s="1057"/>
      <c r="O102" s="1057"/>
      <c r="P102" s="1057"/>
      <c r="Q102" s="1057"/>
      <c r="R102" s="1057"/>
      <c r="S102" s="1057"/>
      <c r="T102" s="1057"/>
      <c r="U102" s="1057"/>
      <c r="V102" s="1057"/>
      <c r="W102" s="1057"/>
      <c r="X102" s="1057"/>
      <c r="Y102" s="1057"/>
    </row>
    <row r="103" spans="13:25" ht="13.15" customHeight="1" x14ac:dyDescent="0.2">
      <c r="M103" s="1057"/>
      <c r="N103" s="1057"/>
      <c r="O103" s="1057"/>
      <c r="P103" s="1057"/>
      <c r="Q103" s="1057"/>
      <c r="R103" s="1057"/>
      <c r="S103" s="1057"/>
      <c r="T103" s="1057"/>
      <c r="U103" s="1057"/>
      <c r="V103" s="1057"/>
      <c r="W103" s="1057"/>
      <c r="X103" s="1057"/>
      <c r="Y103" s="1057"/>
    </row>
    <row r="104" spans="13:25" ht="13.15" customHeight="1" x14ac:dyDescent="0.2">
      <c r="M104" s="1057"/>
      <c r="N104" s="1057"/>
      <c r="O104" s="1057"/>
      <c r="P104" s="1057"/>
      <c r="Q104" s="1057"/>
      <c r="R104" s="1057"/>
      <c r="S104" s="1057"/>
      <c r="T104" s="1057"/>
      <c r="U104" s="1057"/>
      <c r="V104" s="1057"/>
      <c r="W104" s="1057"/>
      <c r="X104" s="1057"/>
      <c r="Y104" s="1057"/>
    </row>
    <row r="105" spans="13:25" ht="13.15" customHeight="1" x14ac:dyDescent="0.2">
      <c r="M105" s="1057"/>
      <c r="N105" s="1057"/>
      <c r="O105" s="1057"/>
      <c r="P105" s="1057"/>
      <c r="Q105" s="1057"/>
      <c r="R105" s="1057"/>
      <c r="S105" s="1057"/>
      <c r="T105" s="1057"/>
      <c r="U105" s="1057"/>
      <c r="V105" s="1057"/>
      <c r="W105" s="1057"/>
      <c r="X105" s="1057"/>
      <c r="Y105" s="1057"/>
    </row>
    <row r="106" spans="13:25" ht="13.15" customHeight="1" x14ac:dyDescent="0.2">
      <c r="M106" s="1057"/>
      <c r="N106" s="1057"/>
      <c r="O106" s="1057"/>
      <c r="P106" s="1057"/>
      <c r="Q106" s="1057"/>
      <c r="R106" s="1057"/>
      <c r="S106" s="1057"/>
      <c r="T106" s="1057"/>
      <c r="U106" s="1057"/>
      <c r="V106" s="1057"/>
      <c r="W106" s="1057"/>
      <c r="X106" s="1057"/>
      <c r="Y106" s="1057"/>
    </row>
    <row r="107" spans="13:25" ht="13.15" customHeight="1" x14ac:dyDescent="0.2">
      <c r="M107" s="1057"/>
      <c r="N107" s="1057"/>
      <c r="O107" s="1057"/>
      <c r="P107" s="1057"/>
      <c r="Q107" s="1057"/>
      <c r="R107" s="1057"/>
      <c r="S107" s="1057"/>
      <c r="T107" s="1057"/>
      <c r="U107" s="1057"/>
      <c r="V107" s="1057"/>
      <c r="W107" s="1057"/>
      <c r="X107" s="1057"/>
      <c r="Y107" s="1057"/>
    </row>
    <row r="108" spans="13:25" ht="13.15" customHeight="1" x14ac:dyDescent="0.2">
      <c r="M108" s="1057"/>
      <c r="N108" s="1057"/>
      <c r="O108" s="1057"/>
      <c r="P108" s="1057"/>
      <c r="Q108" s="1057"/>
      <c r="R108" s="1057"/>
      <c r="S108" s="1057"/>
      <c r="T108" s="1057"/>
      <c r="U108" s="1057"/>
      <c r="V108" s="1057"/>
      <c r="W108" s="1057"/>
      <c r="X108" s="1057"/>
      <c r="Y108" s="1057"/>
    </row>
    <row r="109" spans="13:25" ht="13.15" customHeight="1" x14ac:dyDescent="0.2">
      <c r="M109" s="1057"/>
      <c r="N109" s="1057"/>
      <c r="O109" s="1057"/>
      <c r="P109" s="1057"/>
      <c r="Q109" s="1057"/>
      <c r="R109" s="1057"/>
      <c r="S109" s="1057"/>
      <c r="T109" s="1057"/>
      <c r="U109" s="1057"/>
      <c r="V109" s="1057"/>
      <c r="W109" s="1057"/>
      <c r="X109" s="1057"/>
      <c r="Y109" s="1057"/>
    </row>
    <row r="110" spans="13:25" ht="13.15" customHeight="1" x14ac:dyDescent="0.2">
      <c r="M110" s="1057"/>
      <c r="N110" s="1057"/>
      <c r="O110" s="1057"/>
      <c r="P110" s="1057"/>
      <c r="Q110" s="1057"/>
      <c r="R110" s="1057"/>
      <c r="S110" s="1057"/>
      <c r="T110" s="1057"/>
      <c r="U110" s="1057"/>
      <c r="V110" s="1057"/>
      <c r="W110" s="1057"/>
      <c r="X110" s="1057"/>
      <c r="Y110" s="1057"/>
    </row>
    <row r="111" spans="13:25" ht="13.15" customHeight="1" x14ac:dyDescent="0.2">
      <c r="M111" s="1057"/>
      <c r="N111" s="1057"/>
      <c r="O111" s="1057"/>
      <c r="P111" s="1057"/>
      <c r="Q111" s="1057"/>
      <c r="R111" s="1057"/>
      <c r="S111" s="1057"/>
      <c r="T111" s="1057"/>
      <c r="U111" s="1057"/>
      <c r="V111" s="1057"/>
      <c r="W111" s="1057"/>
      <c r="X111" s="1057"/>
      <c r="Y111" s="1057"/>
    </row>
    <row r="112" spans="13:25" ht="13.15" customHeight="1" x14ac:dyDescent="0.2">
      <c r="M112" s="1057"/>
      <c r="N112" s="1057"/>
      <c r="O112" s="1057"/>
      <c r="P112" s="1057"/>
      <c r="Q112" s="1057"/>
      <c r="R112" s="1057"/>
      <c r="S112" s="1057"/>
      <c r="T112" s="1057"/>
      <c r="U112" s="1057"/>
      <c r="V112" s="1057"/>
      <c r="W112" s="1057"/>
      <c r="X112" s="1057"/>
      <c r="Y112" s="1057"/>
    </row>
    <row r="113" spans="2:25" ht="13.15" customHeight="1" x14ac:dyDescent="0.2">
      <c r="F113" s="1221">
        <f>tab!D4</f>
        <v>2019</v>
      </c>
      <c r="G113" s="1221">
        <f>tab!E4</f>
        <v>2020</v>
      </c>
      <c r="H113" s="1221">
        <f>tab!F4</f>
        <v>2021</v>
      </c>
      <c r="I113" s="1221">
        <f>tab!G4</f>
        <v>2022</v>
      </c>
      <c r="J113" s="1221">
        <f>tab!H4</f>
        <v>2023</v>
      </c>
      <c r="K113" s="1245"/>
      <c r="M113" s="1057"/>
      <c r="N113" s="1057"/>
      <c r="O113" s="1057"/>
      <c r="P113" s="1057"/>
      <c r="Q113" s="1057"/>
      <c r="R113" s="1057"/>
      <c r="S113" s="1057"/>
      <c r="T113" s="1057"/>
      <c r="U113" s="1057"/>
      <c r="V113" s="1057"/>
      <c r="W113" s="1057"/>
      <c r="X113" s="1057"/>
      <c r="Y113" s="1057"/>
    </row>
    <row r="114" spans="2:25" ht="13.15" customHeight="1" x14ac:dyDescent="0.2">
      <c r="B114" s="303"/>
      <c r="C114" s="31"/>
      <c r="D114" s="219" t="s">
        <v>255</v>
      </c>
      <c r="E114" s="3"/>
      <c r="F114" s="32"/>
      <c r="G114" s="32"/>
      <c r="H114" s="32"/>
      <c r="I114" s="32"/>
      <c r="J114" s="32"/>
      <c r="K114" s="1245"/>
      <c r="M114" s="1057"/>
      <c r="N114" s="1057"/>
      <c r="O114" s="1057"/>
      <c r="P114" s="1057"/>
      <c r="Q114" s="1057"/>
      <c r="R114" s="1057"/>
      <c r="S114" s="1057"/>
      <c r="T114" s="1057"/>
      <c r="U114" s="1057"/>
      <c r="V114" s="1057"/>
      <c r="W114" s="1057"/>
      <c r="X114" s="1057"/>
      <c r="Y114" s="1057"/>
    </row>
    <row r="115" spans="2:25" ht="13.15" customHeight="1" x14ac:dyDescent="0.2">
      <c r="B115" s="303"/>
      <c r="C115" s="31"/>
      <c r="D115" s="3" t="s">
        <v>256</v>
      </c>
      <c r="E115" s="3"/>
      <c r="F115" s="122">
        <f>+begr!G19</f>
        <v>3615157.4055000003</v>
      </c>
      <c r="G115" s="122">
        <f>+begr!H19</f>
        <v>4032511.8819333334</v>
      </c>
      <c r="H115" s="122">
        <f>+begr!I19</f>
        <v>4091474.0391666666</v>
      </c>
      <c r="I115" s="122">
        <f>+begr!J19</f>
        <v>4109620.0291666668</v>
      </c>
      <c r="J115" s="122">
        <f>+begr!K19</f>
        <v>4127766.0191666665</v>
      </c>
      <c r="K115" s="1245"/>
      <c r="M115" s="1057"/>
      <c r="N115" s="1057"/>
      <c r="O115" s="1057"/>
      <c r="P115" s="1057"/>
      <c r="Q115" s="1057"/>
      <c r="R115" s="1057"/>
      <c r="S115" s="1057"/>
      <c r="T115" s="1057"/>
      <c r="U115" s="1057"/>
      <c r="V115" s="1057"/>
      <c r="W115" s="1057"/>
      <c r="X115" s="1057"/>
      <c r="Y115" s="1057"/>
    </row>
    <row r="116" spans="2:25" ht="13.15" customHeight="1" x14ac:dyDescent="0.2">
      <c r="B116" s="303"/>
      <c r="C116" s="31"/>
      <c r="D116" s="3" t="s">
        <v>257</v>
      </c>
      <c r="E116" s="3"/>
      <c r="F116" s="122">
        <f>+begr!G33</f>
        <v>0</v>
      </c>
      <c r="G116" s="122">
        <f>+begr!H33</f>
        <v>0</v>
      </c>
      <c r="H116" s="122">
        <f>+begr!I33</f>
        <v>0</v>
      </c>
      <c r="I116" s="122">
        <f>+begr!J33</f>
        <v>0</v>
      </c>
      <c r="J116" s="122">
        <f>+begr!K33</f>
        <v>0</v>
      </c>
      <c r="K116" s="1245"/>
      <c r="M116" s="1057"/>
      <c r="N116" s="1057"/>
      <c r="O116" s="1057"/>
      <c r="P116" s="1057"/>
      <c r="Q116" s="1057"/>
      <c r="R116" s="1057"/>
      <c r="S116" s="1057"/>
      <c r="T116" s="1057"/>
      <c r="U116" s="1057"/>
      <c r="V116" s="1057"/>
      <c r="W116" s="1057"/>
      <c r="X116" s="1057"/>
      <c r="Y116" s="1057"/>
    </row>
    <row r="117" spans="2:25" ht="13.15" customHeight="1" x14ac:dyDescent="0.2">
      <c r="B117" s="35"/>
      <c r="C117" s="31"/>
      <c r="D117" s="28" t="s">
        <v>141</v>
      </c>
      <c r="E117" s="3"/>
      <c r="F117" s="801">
        <f>SUM(F115:F116)</f>
        <v>3615157.4055000003</v>
      </c>
      <c r="G117" s="801">
        <f>SUM(G115:G116)</f>
        <v>4032511.8819333334</v>
      </c>
      <c r="H117" s="801">
        <f>SUM(H115:H116)</f>
        <v>4091474.0391666666</v>
      </c>
      <c r="I117" s="801">
        <f>SUM(I115:I116)</f>
        <v>4109620.0291666668</v>
      </c>
      <c r="J117" s="801">
        <f>SUM(J115:J116)</f>
        <v>4127766.0191666665</v>
      </c>
      <c r="K117" s="1245"/>
      <c r="M117" s="1057"/>
      <c r="N117" s="1057"/>
      <c r="O117" s="1057"/>
      <c r="P117" s="1057"/>
      <c r="Q117" s="1057"/>
      <c r="R117" s="1057"/>
      <c r="S117" s="1057"/>
      <c r="T117" s="1057"/>
      <c r="U117" s="1057"/>
      <c r="V117" s="1057"/>
      <c r="W117" s="1057"/>
      <c r="X117" s="1057"/>
      <c r="Y117" s="1057"/>
    </row>
    <row r="118" spans="2:25" ht="13.15" customHeight="1" x14ac:dyDescent="0.2">
      <c r="B118" s="303"/>
      <c r="C118" s="273"/>
      <c r="D118" s="205" t="s">
        <v>258</v>
      </c>
      <c r="E118" s="219"/>
      <c r="F118" s="114">
        <f>IF(geg!G49=0,0,F117/geg!G49)</f>
        <v>22594.733784375003</v>
      </c>
      <c r="G118" s="114">
        <f>IF(geg!H49=0,0,G117/geg!H49)</f>
        <v>22911.999329166665</v>
      </c>
      <c r="H118" s="114">
        <f>IF(geg!I49=0,0,H117/geg!I49)</f>
        <v>20874.867546768706</v>
      </c>
      <c r="I118" s="114">
        <f>IF(geg!J49=0,0,I117/geg!J49)</f>
        <v>20967.44912840136</v>
      </c>
      <c r="J118" s="114">
        <f>IF(geg!K49=0,0,J117/geg!K49)</f>
        <v>21060.030710034014</v>
      </c>
      <c r="K118" s="1245"/>
    </row>
    <row r="119" spans="2:25" ht="13.15" customHeight="1" x14ac:dyDescent="0.2">
      <c r="B119" s="303"/>
      <c r="C119" s="31"/>
      <c r="D119" s="29"/>
      <c r="E119" s="3"/>
      <c r="F119" s="247"/>
      <c r="G119" s="247"/>
      <c r="H119" s="247"/>
      <c r="I119" s="247"/>
      <c r="J119" s="247"/>
      <c r="K119" s="1245"/>
    </row>
    <row r="120" spans="2:25" ht="13.15" customHeight="1" x14ac:dyDescent="0.2">
      <c r="B120" s="303"/>
      <c r="C120" s="31"/>
      <c r="D120" s="219" t="s">
        <v>261</v>
      </c>
      <c r="E120" s="3"/>
      <c r="F120" s="1222">
        <f>tab!D4</f>
        <v>2019</v>
      </c>
      <c r="G120" s="1222">
        <f>tab!E4</f>
        <v>2020</v>
      </c>
      <c r="H120" s="1222">
        <f>tab!F4</f>
        <v>2021</v>
      </c>
      <c r="I120" s="1222">
        <f>tab!G4</f>
        <v>2022</v>
      </c>
      <c r="J120" s="1222">
        <f>tab!H4</f>
        <v>2023</v>
      </c>
      <c r="K120" s="1245"/>
    </row>
    <row r="121" spans="2:25" ht="13.15" customHeight="1" x14ac:dyDescent="0.2">
      <c r="B121" s="303"/>
      <c r="C121" s="31"/>
      <c r="D121" s="3" t="s">
        <v>262</v>
      </c>
      <c r="E121" s="3"/>
      <c r="F121" s="122">
        <f>+begr!G25</f>
        <v>236756.52920000005</v>
      </c>
      <c r="G121" s="122">
        <f>+begr!H25</f>
        <v>233099.2</v>
      </c>
      <c r="H121" s="122">
        <f>+begr!I25</f>
        <v>239529.60000000003</v>
      </c>
      <c r="I121" s="122">
        <f>+begr!J25</f>
        <v>246070.40000000002</v>
      </c>
      <c r="J121" s="122">
        <f>+begr!K25</f>
        <v>249912.00000000003</v>
      </c>
      <c r="K121" s="1245"/>
    </row>
    <row r="122" spans="2:25" ht="13.15" customHeight="1" x14ac:dyDescent="0.2">
      <c r="B122" s="303"/>
      <c r="C122" s="31"/>
      <c r="D122" s="3" t="s">
        <v>263</v>
      </c>
      <c r="E122" s="3"/>
      <c r="F122" s="122">
        <f>begr!G34</f>
        <v>0</v>
      </c>
      <c r="G122" s="122">
        <f>begr!H34</f>
        <v>0</v>
      </c>
      <c r="H122" s="122">
        <f>begr!I34</f>
        <v>0</v>
      </c>
      <c r="I122" s="122">
        <f>begr!J34</f>
        <v>0</v>
      </c>
      <c r="J122" s="122">
        <f>begr!K34</f>
        <v>0</v>
      </c>
      <c r="K122" s="1245"/>
    </row>
    <row r="123" spans="2:25" ht="13.15" customHeight="1" x14ac:dyDescent="0.2">
      <c r="B123" s="35"/>
      <c r="C123" s="31"/>
      <c r="D123" s="28" t="s">
        <v>141</v>
      </c>
      <c r="E123" s="3"/>
      <c r="F123" s="801">
        <f>SUM(F121:F122)</f>
        <v>236756.52920000005</v>
      </c>
      <c r="G123" s="801">
        <f>SUM(G121:G122)</f>
        <v>233099.2</v>
      </c>
      <c r="H123" s="801">
        <f>SUM(H121:H122)</f>
        <v>239529.60000000003</v>
      </c>
      <c r="I123" s="801">
        <f>SUM(I121:I122)</f>
        <v>246070.40000000002</v>
      </c>
      <c r="J123" s="801">
        <f>SUM(J121:J122)</f>
        <v>249912.00000000003</v>
      </c>
      <c r="K123" s="1245"/>
    </row>
    <row r="124" spans="2:25" ht="13.15" customHeight="1" x14ac:dyDescent="0.2">
      <c r="B124" s="303"/>
      <c r="C124" s="273"/>
      <c r="D124" s="205" t="s">
        <v>258</v>
      </c>
      <c r="E124" s="219"/>
      <c r="F124" s="114">
        <f>IF(geg!G49=0,0,F123/geg!G49)</f>
        <v>1479.7283075000003</v>
      </c>
      <c r="G124" s="114">
        <f>IF(geg!H49=0,0,G123/geg!H49)</f>
        <v>1324.4272727272728</v>
      </c>
      <c r="H124" s="114">
        <f>IF(geg!I49=0,0,H123/geg!I49)</f>
        <v>1222.0897959183676</v>
      </c>
      <c r="I124" s="114">
        <f>IF(geg!J49=0,0,I123/geg!J49)</f>
        <v>1255.461224489796</v>
      </c>
      <c r="J124" s="114">
        <f>IF(geg!K49=0,0,J123/geg!K49)</f>
        <v>1275.0612244897961</v>
      </c>
      <c r="K124" s="1245"/>
    </row>
    <row r="125" spans="2:25" ht="13.15" customHeight="1" x14ac:dyDescent="0.2">
      <c r="B125" s="303"/>
      <c r="C125" s="31"/>
      <c r="D125" s="3"/>
      <c r="E125" s="3"/>
      <c r="F125" s="32"/>
      <c r="G125" s="32"/>
      <c r="H125" s="32"/>
      <c r="I125" s="32"/>
      <c r="J125" s="32"/>
      <c r="K125" s="1245"/>
    </row>
    <row r="126" spans="2:25" ht="13.15" customHeight="1" x14ac:dyDescent="0.2">
      <c r="B126" s="303"/>
      <c r="C126" s="31"/>
      <c r="D126" s="219" t="s">
        <v>371</v>
      </c>
      <c r="E126" s="3"/>
      <c r="F126" s="32"/>
      <c r="G126" s="32"/>
      <c r="H126" s="32"/>
      <c r="I126" s="32"/>
      <c r="J126" s="32"/>
      <c r="K126" s="1245"/>
    </row>
    <row r="127" spans="2:25" ht="13.15" customHeight="1" x14ac:dyDescent="0.2">
      <c r="B127" s="303"/>
      <c r="C127" s="31"/>
      <c r="D127" s="3" t="s">
        <v>265</v>
      </c>
      <c r="E127" s="3"/>
      <c r="F127" s="122">
        <f>+lasten!I155</f>
        <v>77346.266666666663</v>
      </c>
      <c r="G127" s="122">
        <f>+lasten!J155</f>
        <v>81016.000000000015</v>
      </c>
      <c r="H127" s="122">
        <f>+lasten!K155</f>
        <v>83563.200000000026</v>
      </c>
      <c r="I127" s="122">
        <f>+lasten!L155</f>
        <v>86187.200000000012</v>
      </c>
      <c r="J127" s="122">
        <f>+lasten!M155</f>
        <v>88888</v>
      </c>
      <c r="K127" s="1245"/>
    </row>
    <row r="128" spans="2:25" ht="13.15" customHeight="1" x14ac:dyDescent="0.2">
      <c r="B128" s="303"/>
      <c r="C128" s="31"/>
      <c r="D128" s="3" t="s">
        <v>266</v>
      </c>
      <c r="E128" s="3"/>
      <c r="F128" s="122">
        <f>+lasten!I156</f>
        <v>69334.266666666677</v>
      </c>
      <c r="G128" s="122">
        <f>+lasten!J156</f>
        <v>72424</v>
      </c>
      <c r="H128" s="122">
        <f>+lasten!K156</f>
        <v>74872</v>
      </c>
      <c r="I128" s="122">
        <f>+lasten!L156</f>
        <v>77411.200000000012</v>
      </c>
      <c r="J128" s="122">
        <f>+lasten!M156</f>
        <v>80024</v>
      </c>
      <c r="K128" s="1245"/>
    </row>
    <row r="129" spans="2:25" ht="13.15" customHeight="1" x14ac:dyDescent="0.2">
      <c r="B129" s="303"/>
      <c r="C129" s="31"/>
      <c r="D129" s="3" t="s">
        <v>267</v>
      </c>
      <c r="E129" s="3"/>
      <c r="F129" s="122">
        <f>+lasten!I157</f>
        <v>56435.466666666674</v>
      </c>
      <c r="G129" s="122">
        <f>+lasten!J157</f>
        <v>58441.600000000006</v>
      </c>
      <c r="H129" s="122">
        <f>+lasten!K157</f>
        <v>59664</v>
      </c>
      <c r="I129" s="122">
        <f>+lasten!L157</f>
        <v>60931.200000000012</v>
      </c>
      <c r="J129" s="122">
        <f>+lasten!M157</f>
        <v>62158.400000000009</v>
      </c>
      <c r="K129" s="1245"/>
    </row>
    <row r="130" spans="2:25" ht="13.15" customHeight="1" x14ac:dyDescent="0.2">
      <c r="B130" s="35"/>
      <c r="C130" s="31"/>
      <c r="D130" s="28" t="s">
        <v>141</v>
      </c>
      <c r="E130" s="29"/>
      <c r="F130" s="801">
        <f>SUM(F127:F129)</f>
        <v>203116</v>
      </c>
      <c r="G130" s="801">
        <f>SUM(G127:G129)</f>
        <v>211881.60000000001</v>
      </c>
      <c r="H130" s="801">
        <f>SUM(H127:H129)</f>
        <v>218099.20000000001</v>
      </c>
      <c r="I130" s="801">
        <f>SUM(I127:I129)</f>
        <v>224529.60000000003</v>
      </c>
      <c r="J130" s="801">
        <f>SUM(J127:J129)</f>
        <v>231070.40000000002</v>
      </c>
      <c r="K130" s="1245"/>
    </row>
    <row r="131" spans="2:25" ht="13.15" customHeight="1" x14ac:dyDescent="0.2">
      <c r="B131" s="303"/>
      <c r="C131" s="273"/>
      <c r="D131" s="205" t="s">
        <v>258</v>
      </c>
      <c r="E131" s="219"/>
      <c r="F131" s="114">
        <f>IF(geg!G49=0,0,F130/geg!G49)</f>
        <v>1269.4749999999999</v>
      </c>
      <c r="G131" s="114">
        <f>IF(geg!H49=0,0,G130/geg!H49)</f>
        <v>1203.8727272727274</v>
      </c>
      <c r="H131" s="114">
        <f>IF(geg!I49=0,0,H130/geg!I49)</f>
        <v>1112.7510204081634</v>
      </c>
      <c r="I131" s="114">
        <f>IF(geg!J49=0,0,I130/geg!J49)</f>
        <v>1145.5591836734695</v>
      </c>
      <c r="J131" s="114">
        <f>IF(geg!K49=0,0,J130/geg!K49)</f>
        <v>1178.9306122448982</v>
      </c>
      <c r="K131" s="1245"/>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45"/>
      <c r="N132" s="76"/>
      <c r="O132" s="76"/>
      <c r="P132" s="76"/>
      <c r="Q132" s="76"/>
      <c r="R132" s="76"/>
      <c r="S132" s="76"/>
      <c r="T132" s="76"/>
      <c r="U132" s="76"/>
      <c r="V132" s="76"/>
      <c r="W132" s="76"/>
      <c r="X132" s="76"/>
      <c r="Y132" s="76"/>
    </row>
    <row r="133" spans="2:25" ht="13.15" customHeight="1" x14ac:dyDescent="0.2">
      <c r="B133" s="303"/>
      <c r="C133" s="31"/>
      <c r="D133" s="218" t="s">
        <v>525</v>
      </c>
      <c r="E133" s="3"/>
      <c r="F133" s="505">
        <f>baten!H188+baten!H203</f>
        <v>117659.32416666667</v>
      </c>
      <c r="G133" s="505">
        <f>baten!I188+baten!I203</f>
        <v>130105.63583333335</v>
      </c>
      <c r="H133" s="505">
        <f>baten!J188+baten!J203</f>
        <v>78203.710000000021</v>
      </c>
      <c r="I133" s="505">
        <f>baten!K188+baten!K203</f>
        <v>78203.710000000021</v>
      </c>
      <c r="J133" s="505">
        <f>baten!L188+baten!L203</f>
        <v>78203.710000000021</v>
      </c>
      <c r="K133" s="1245"/>
    </row>
    <row r="134" spans="2:25" ht="13.15" customHeight="1" x14ac:dyDescent="0.2">
      <c r="B134" s="303"/>
      <c r="C134" s="31"/>
      <c r="D134" s="205" t="s">
        <v>258</v>
      </c>
      <c r="E134" s="3"/>
      <c r="F134" s="114">
        <f>IF(geg!$G$49=0,0,F133/geg!$G$49)</f>
        <v>735.37077604166666</v>
      </c>
      <c r="G134" s="114">
        <f>IF(geg!$H$49=0,0,G133/geg!$H$49)</f>
        <v>739.23656723484862</v>
      </c>
      <c r="H134" s="114">
        <f>IF(geg!$H$49=0,0,H133/geg!$H$49)</f>
        <v>444.33926136363647</v>
      </c>
      <c r="I134" s="114">
        <f>IF(geg!$H$49=0,0,I133/geg!$H$49)</f>
        <v>444.33926136363647</v>
      </c>
      <c r="J134" s="114">
        <f>IF(geg!$H$49=0,0,J133/geg!$H$49)</f>
        <v>444.33926136363647</v>
      </c>
      <c r="K134" s="1245"/>
    </row>
    <row r="135" spans="2:25" ht="13.15" customHeight="1" x14ac:dyDescent="0.2">
      <c r="B135" s="303"/>
      <c r="C135" s="23"/>
      <c r="D135" s="277"/>
      <c r="E135" s="24"/>
      <c r="F135" s="278"/>
      <c r="G135" s="278"/>
      <c r="H135" s="278"/>
      <c r="I135" s="278"/>
      <c r="J135" s="278"/>
      <c r="K135" s="1245"/>
    </row>
    <row r="136" spans="2:25" ht="13.15" customHeight="1" x14ac:dyDescent="0.2">
      <c r="B136" s="303"/>
      <c r="C136" s="31"/>
      <c r="D136" s="219" t="s">
        <v>470</v>
      </c>
      <c r="E136" s="3"/>
      <c r="F136" s="504">
        <f>lasten!I159</f>
        <v>3881.358515839529</v>
      </c>
      <c r="G136" s="504">
        <f>lasten!J159</f>
        <v>4862.9375125577662</v>
      </c>
      <c r="H136" s="504">
        <f>lasten!K159</f>
        <v>5108.6582278481019</v>
      </c>
      <c r="I136" s="504">
        <f>lasten!L159</f>
        <v>5194.5316455696211</v>
      </c>
      <c r="J136" s="504">
        <f>lasten!M159</f>
        <v>5348.2242314647383</v>
      </c>
      <c r="K136" s="1245"/>
    </row>
    <row r="137" spans="2:25" ht="13.15" customHeight="1" x14ac:dyDescent="0.2">
      <c r="B137" s="303"/>
      <c r="C137" s="31"/>
      <c r="D137" s="205" t="s">
        <v>258</v>
      </c>
      <c r="E137" s="3"/>
      <c r="F137" s="114">
        <f>IF(geg!G49=0,0,F136/geg!G49)</f>
        <v>24.258490723997056</v>
      </c>
      <c r="G137" s="114">
        <f>IF(geg!H49=0,0,G136/geg!H49)</f>
        <v>27.6303267758964</v>
      </c>
      <c r="H137" s="114">
        <f>IF(geg!I49=0,0,H136/geg!I49)</f>
        <v>26.064582795143377</v>
      </c>
      <c r="I137" s="114">
        <f>IF(geg!J49=0,0,I136/geg!J49)</f>
        <v>26.502712477396027</v>
      </c>
      <c r="J137" s="114">
        <f>IF(geg!K49=0,0,J136/geg!K49)</f>
        <v>27.286858323799684</v>
      </c>
      <c r="K137" s="1245"/>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CC5h7HupATQQsr1/i4jnbGRGMbwfmYN1078Zu+WLd9h8Ag4uz2gz559Cgr9gNxzSuXStceD28JKAMs6WRHdd1A==" saltValue="dwqOqQUOztlMdvDWXWwLXQ=="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282</v>
      </c>
      <c r="D4" s="293"/>
      <c r="E4" s="293"/>
      <c r="F4" s="293"/>
      <c r="G4" s="293"/>
      <c r="H4" s="293"/>
      <c r="I4" s="293"/>
      <c r="J4" s="293"/>
      <c r="K4" s="293"/>
      <c r="L4" s="293"/>
      <c r="M4" s="293"/>
      <c r="N4" s="293"/>
      <c r="O4" s="293"/>
      <c r="P4" s="293"/>
      <c r="Q4" s="293"/>
      <c r="R4" s="294"/>
    </row>
    <row r="5" spans="2:18" s="295" customFormat="1" ht="18.75" x14ac:dyDescent="0.3">
      <c r="B5" s="292"/>
      <c r="C5" s="361" t="str">
        <f>+geg!H9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157</v>
      </c>
      <c r="R94" s="298"/>
    </row>
    <row r="171" spans="2:3" ht="18.75" x14ac:dyDescent="0.3">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9" width="13.42578125" style="34"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283</v>
      </c>
      <c r="D4" s="176"/>
      <c r="E4" s="14"/>
      <c r="F4" s="14"/>
      <c r="G4" s="14"/>
      <c r="H4" s="14"/>
      <c r="I4" s="14"/>
      <c r="J4" s="14"/>
      <c r="K4" s="15"/>
    </row>
    <row r="5" spans="2:11" ht="18.75" x14ac:dyDescent="0.3">
      <c r="B5" s="177"/>
      <c r="C5" s="96" t="str">
        <f>+geg!H9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63" t="s">
        <v>284</v>
      </c>
      <c r="E8" s="636"/>
      <c r="F8" s="636"/>
      <c r="G8" s="636"/>
      <c r="H8" s="636"/>
      <c r="I8" s="20"/>
      <c r="J8" s="20"/>
      <c r="K8" s="22"/>
    </row>
    <row r="9" spans="2:11" ht="13.15" customHeight="1" x14ac:dyDescent="0.2">
      <c r="B9" s="18"/>
      <c r="C9" s="20"/>
      <c r="D9" s="1053" t="s">
        <v>546</v>
      </c>
      <c r="E9" s="636"/>
      <c r="F9" s="1239"/>
      <c r="G9" s="1239"/>
      <c r="H9" s="1065"/>
      <c r="I9" s="300"/>
      <c r="J9" s="20"/>
      <c r="K9" s="22"/>
    </row>
    <row r="10" spans="2:11" ht="13.15" customHeight="1" x14ac:dyDescent="0.2">
      <c r="B10" s="18"/>
      <c r="C10" s="20"/>
      <c r="D10" s="1053" t="s">
        <v>285</v>
      </c>
      <c r="E10" s="636"/>
      <c r="F10" s="992"/>
      <c r="G10" s="992"/>
      <c r="H10" s="1065"/>
      <c r="I10" s="300"/>
      <c r="J10" s="20"/>
      <c r="K10" s="22"/>
    </row>
    <row r="11" spans="2:11" ht="13.15" customHeight="1" x14ac:dyDescent="0.2">
      <c r="B11" s="18"/>
      <c r="C11" s="20"/>
      <c r="D11" s="1066" t="s">
        <v>437</v>
      </c>
      <c r="E11" s="636"/>
      <c r="F11" s="992"/>
      <c r="G11" s="992"/>
      <c r="H11" s="1065"/>
      <c r="I11" s="300"/>
      <c r="J11" s="20"/>
      <c r="K11" s="22"/>
    </row>
    <row r="12" spans="2:11" ht="13.15" customHeight="1" x14ac:dyDescent="0.2">
      <c r="B12" s="18"/>
      <c r="C12" s="20"/>
      <c r="D12" s="1066" t="s">
        <v>286</v>
      </c>
      <c r="E12" s="636"/>
      <c r="F12" s="992"/>
      <c r="G12" s="992"/>
      <c r="H12" s="1065"/>
      <c r="I12" s="300"/>
      <c r="J12" s="20"/>
      <c r="K12" s="22"/>
    </row>
    <row r="13" spans="2:11" ht="13.15" customHeight="1" x14ac:dyDescent="0.2">
      <c r="B13" s="18"/>
      <c r="C13" s="20"/>
      <c r="D13" s="1066" t="s">
        <v>287</v>
      </c>
      <c r="E13" s="636"/>
      <c r="F13" s="992"/>
      <c r="G13" s="992"/>
      <c r="H13" s="1065"/>
      <c r="I13" s="300"/>
      <c r="J13" s="20"/>
      <c r="K13" s="22"/>
    </row>
    <row r="14" spans="2:11" ht="13.15" customHeight="1" x14ac:dyDescent="0.2">
      <c r="B14" s="18"/>
      <c r="C14" s="20"/>
      <c r="D14" s="1066"/>
      <c r="E14" s="1067"/>
      <c r="F14" s="993"/>
      <c r="G14" s="993"/>
      <c r="H14" s="993"/>
      <c r="I14" s="183"/>
      <c r="J14" s="230"/>
      <c r="K14" s="231"/>
    </row>
    <row r="15" spans="2:11" ht="13.15" customHeight="1" x14ac:dyDescent="0.2">
      <c r="B15" s="18"/>
      <c r="C15" s="20"/>
      <c r="D15" s="1066"/>
      <c r="E15" s="1067"/>
      <c r="F15" s="993"/>
      <c r="G15" s="993"/>
      <c r="H15" s="993"/>
      <c r="I15" s="183"/>
      <c r="J15" s="230"/>
      <c r="K15" s="231"/>
    </row>
    <row r="16" spans="2:11" s="138" customFormat="1" ht="13.15" customHeight="1" x14ac:dyDescent="0.2">
      <c r="B16" s="13"/>
      <c r="C16" s="14"/>
      <c r="D16" s="994" t="s">
        <v>51</v>
      </c>
      <c r="E16" s="1067"/>
      <c r="F16" s="993">
        <f>tab!E4</f>
        <v>2020</v>
      </c>
      <c r="G16" s="993">
        <f>tab!F4</f>
        <v>2021</v>
      </c>
      <c r="H16" s="993">
        <f>tab!G4</f>
        <v>2022</v>
      </c>
      <c r="I16" s="993">
        <f>tab!H4</f>
        <v>2023</v>
      </c>
      <c r="J16" s="301"/>
      <c r="K16" s="302"/>
    </row>
    <row r="17" spans="1:13" ht="13.15" customHeight="1" x14ac:dyDescent="0.2">
      <c r="B17" s="18"/>
      <c r="C17" s="20"/>
      <c r="D17" s="636"/>
      <c r="E17" s="1067"/>
      <c r="F17" s="636"/>
      <c r="G17" s="636"/>
      <c r="H17" s="636"/>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76</v>
      </c>
      <c r="E19" s="3"/>
      <c r="F19" s="1068" t="str">
        <f>+geg!H9</f>
        <v>M.L. Kingschool</v>
      </c>
      <c r="G19" s="1002"/>
      <c r="H19" s="1069"/>
      <c r="I19" s="1200"/>
      <c r="J19" s="6"/>
      <c r="K19" s="22"/>
      <c r="M19" s="71"/>
    </row>
    <row r="20" spans="1:13" ht="13.15" customHeight="1" x14ac:dyDescent="0.2">
      <c r="B20" s="18"/>
      <c r="C20" s="31"/>
      <c r="D20" s="1" t="s">
        <v>77</v>
      </c>
      <c r="E20" s="3"/>
      <c r="F20" s="1068" t="str">
        <f>+geg!H10</f>
        <v>15DZ</v>
      </c>
      <c r="G20" s="1002"/>
      <c r="H20" s="1069"/>
      <c r="I20" s="1200"/>
      <c r="J20" s="6"/>
      <c r="K20" s="22"/>
      <c r="M20" s="71"/>
    </row>
    <row r="21" spans="1:13" ht="13.15" customHeight="1" x14ac:dyDescent="0.2">
      <c r="B21" s="18"/>
      <c r="C21" s="31"/>
      <c r="D21" s="1" t="s">
        <v>288</v>
      </c>
      <c r="E21" s="3"/>
      <c r="F21" s="1243">
        <f ca="1">TODAY()</f>
        <v>44410</v>
      </c>
      <c r="G21" s="1002"/>
      <c r="H21" s="1069"/>
      <c r="I21" s="1200"/>
      <c r="J21" s="6"/>
      <c r="K21" s="22"/>
      <c r="M21" s="71"/>
    </row>
    <row r="22" spans="1:13" ht="13.15" customHeight="1" x14ac:dyDescent="0.2">
      <c r="A22" s="303"/>
      <c r="B22" s="249"/>
      <c r="C22" s="250"/>
      <c r="D22" s="1" t="s">
        <v>289</v>
      </c>
      <c r="E22" s="3"/>
      <c r="F22" s="1121">
        <f>begr!G14</f>
        <v>3588510.3255000003</v>
      </c>
      <c r="G22" s="1121">
        <f>begr!H14</f>
        <v>4003480.8286000001</v>
      </c>
      <c r="H22" s="1121">
        <f>begr!I14</f>
        <v>4091474.0391666666</v>
      </c>
      <c r="I22" s="1121">
        <f>begr!J14</f>
        <v>4109620.0291666668</v>
      </c>
      <c r="J22" s="304"/>
      <c r="K22" s="305"/>
      <c r="M22" s="71"/>
    </row>
    <row r="23" spans="1:13" ht="13.15" customHeight="1" x14ac:dyDescent="0.2">
      <c r="A23" s="303"/>
      <c r="B23" s="249"/>
      <c r="C23" s="250"/>
      <c r="D23" s="1" t="s">
        <v>290</v>
      </c>
      <c r="E23" s="281"/>
      <c r="F23" s="1121">
        <f>begr!G15</f>
        <v>5910.6133333333337</v>
      </c>
      <c r="G23" s="1121">
        <f>begr!H15</f>
        <v>0</v>
      </c>
      <c r="H23" s="1121">
        <f>begr!I15</f>
        <v>0</v>
      </c>
      <c r="I23" s="1121">
        <f>begr!J15</f>
        <v>0</v>
      </c>
      <c r="J23" s="304"/>
      <c r="K23" s="305"/>
      <c r="M23" s="71"/>
    </row>
    <row r="24" spans="1:13" ht="13.15" customHeight="1" x14ac:dyDescent="0.2">
      <c r="A24" s="303"/>
      <c r="B24" s="249"/>
      <c r="C24" s="250"/>
      <c r="D24" s="1" t="s">
        <v>291</v>
      </c>
      <c r="E24" s="281"/>
      <c r="F24" s="1121">
        <f>begr!G16</f>
        <v>0</v>
      </c>
      <c r="G24" s="1121">
        <f>begr!H16</f>
        <v>0</v>
      </c>
      <c r="H24" s="1121">
        <f>begr!I16</f>
        <v>0</v>
      </c>
      <c r="I24" s="1121">
        <f>begr!J16</f>
        <v>0</v>
      </c>
      <c r="J24" s="304"/>
      <c r="K24" s="305"/>
      <c r="M24" s="71"/>
    </row>
    <row r="25" spans="1:13" ht="13.15" customHeight="1" x14ac:dyDescent="0.2">
      <c r="A25" s="303"/>
      <c r="B25" s="249"/>
      <c r="C25" s="250"/>
      <c r="D25" s="1" t="s">
        <v>292</v>
      </c>
      <c r="E25" s="281"/>
      <c r="F25" s="1121">
        <f>begr!G17</f>
        <v>0</v>
      </c>
      <c r="G25" s="1121">
        <f>begr!H17</f>
        <v>0</v>
      </c>
      <c r="H25" s="1121">
        <f>begr!I17</f>
        <v>0</v>
      </c>
      <c r="I25" s="1121">
        <f>begr!J17</f>
        <v>0</v>
      </c>
      <c r="J25" s="304"/>
      <c r="K25" s="305"/>
      <c r="M25" s="71"/>
    </row>
    <row r="26" spans="1:13" ht="13.15" customHeight="1" x14ac:dyDescent="0.2">
      <c r="B26" s="18"/>
      <c r="C26" s="31"/>
      <c r="D26" s="3" t="s">
        <v>293</v>
      </c>
      <c r="E26" s="3"/>
      <c r="F26" s="1121">
        <f>begr!G18</f>
        <v>20736.466666666667</v>
      </c>
      <c r="G26" s="1121">
        <f>begr!H18</f>
        <v>29031.053333333333</v>
      </c>
      <c r="H26" s="1121">
        <f>begr!I18</f>
        <v>0</v>
      </c>
      <c r="I26" s="1121">
        <f>begr!J18</f>
        <v>0</v>
      </c>
      <c r="J26" s="6"/>
      <c r="K26" s="22"/>
    </row>
    <row r="27" spans="1:13" ht="13.15" customHeight="1" x14ac:dyDescent="0.2">
      <c r="B27" s="18"/>
      <c r="C27" s="31"/>
      <c r="D27" s="221" t="s">
        <v>199</v>
      </c>
      <c r="E27" s="3"/>
      <c r="F27" s="1121">
        <f>lasten!J150</f>
        <v>211881.60000000003</v>
      </c>
      <c r="G27" s="1121">
        <f>lasten!K150</f>
        <v>218099.20000000001</v>
      </c>
      <c r="H27" s="1121">
        <f>lasten!L150</f>
        <v>224529.60000000003</v>
      </c>
      <c r="I27" s="1121">
        <f>lasten!M150</f>
        <v>231070.40000000002</v>
      </c>
      <c r="J27" s="6"/>
      <c r="K27" s="22"/>
      <c r="M27" s="73"/>
    </row>
    <row r="28" spans="1:13" ht="13.15" customHeight="1" x14ac:dyDescent="0.2">
      <c r="B28" s="18"/>
      <c r="C28" s="31"/>
      <c r="D28" s="221" t="s">
        <v>200</v>
      </c>
      <c r="E28" s="3"/>
      <c r="F28" s="1121">
        <f>lasten!J151</f>
        <v>9874.9291999999987</v>
      </c>
      <c r="G28" s="1121">
        <f>lasten!K151</f>
        <v>0</v>
      </c>
      <c r="H28" s="1121">
        <f>lasten!L151</f>
        <v>0</v>
      </c>
      <c r="I28" s="1121">
        <f>lasten!M151</f>
        <v>0</v>
      </c>
      <c r="J28" s="6"/>
      <c r="K28" s="22"/>
      <c r="M28" s="73"/>
    </row>
    <row r="29" spans="1:13" ht="13.15" customHeight="1" x14ac:dyDescent="0.2">
      <c r="B29" s="18"/>
      <c r="C29" s="31"/>
      <c r="D29" s="3" t="s">
        <v>188</v>
      </c>
      <c r="E29" s="3"/>
      <c r="F29" s="1121">
        <f>begr!F22</f>
        <v>0</v>
      </c>
      <c r="G29" s="1121">
        <f>begr!G22</f>
        <v>15000</v>
      </c>
      <c r="H29" s="1121">
        <f>begr!H22</f>
        <v>15000</v>
      </c>
      <c r="I29" s="1121">
        <f>begr!I22</f>
        <v>15000</v>
      </c>
      <c r="J29" s="6"/>
      <c r="K29" s="22"/>
    </row>
    <row r="30" spans="1:13" ht="13.15" customHeight="1" x14ac:dyDescent="0.2">
      <c r="B30" s="18"/>
      <c r="C30" s="31"/>
      <c r="D30" s="3" t="s">
        <v>294</v>
      </c>
      <c r="E30" s="3"/>
      <c r="F30" s="1121">
        <f>begr!F23</f>
        <v>0</v>
      </c>
      <c r="G30" s="1121">
        <f>begr!G23</f>
        <v>0</v>
      </c>
      <c r="H30" s="1121">
        <f>begr!H23</f>
        <v>0</v>
      </c>
      <c r="I30" s="1121">
        <f>begr!I23</f>
        <v>0</v>
      </c>
      <c r="J30" s="6"/>
      <c r="K30" s="22"/>
    </row>
    <row r="31" spans="1:13" ht="13.15" customHeight="1" x14ac:dyDescent="0.2">
      <c r="B31" s="18"/>
      <c r="C31" s="31"/>
      <c r="D31" s="3" t="s">
        <v>295</v>
      </c>
      <c r="E31" s="3"/>
      <c r="F31" s="1121">
        <f>begr!F24</f>
        <v>0</v>
      </c>
      <c r="G31" s="1121">
        <f>begr!I24</f>
        <v>0</v>
      </c>
      <c r="H31" s="1121">
        <f>begr!J24</f>
        <v>0</v>
      </c>
      <c r="I31" s="1121">
        <f>begr!K24</f>
        <v>0</v>
      </c>
      <c r="J31" s="6"/>
      <c r="K31" s="22"/>
    </row>
    <row r="32" spans="1:13" ht="13.15" customHeight="1" x14ac:dyDescent="0.2">
      <c r="B32" s="18"/>
      <c r="C32" s="31"/>
      <c r="D32" s="1" t="s">
        <v>296</v>
      </c>
      <c r="E32" s="219"/>
      <c r="F32" s="1121">
        <f>+begr!F33</f>
        <v>0</v>
      </c>
      <c r="G32" s="1121">
        <f>+begr!G33</f>
        <v>0</v>
      </c>
      <c r="H32" s="1121">
        <f>+begr!H33</f>
        <v>0</v>
      </c>
      <c r="I32" s="1121">
        <f>+begr!I33</f>
        <v>0</v>
      </c>
      <c r="J32" s="6"/>
      <c r="K32" s="22"/>
      <c r="M32" s="71"/>
    </row>
    <row r="33" spans="2:13" ht="13.15" customHeight="1" x14ac:dyDescent="0.2">
      <c r="B33" s="18"/>
      <c r="C33" s="31"/>
      <c r="D33" s="1" t="s">
        <v>297</v>
      </c>
      <c r="E33" s="219"/>
      <c r="F33" s="1121">
        <f>+begr!F34</f>
        <v>0</v>
      </c>
      <c r="G33" s="1121">
        <f>+begr!G34</f>
        <v>0</v>
      </c>
      <c r="H33" s="1121">
        <f>+begr!H34</f>
        <v>0</v>
      </c>
      <c r="I33" s="1121">
        <f>+begr!I34</f>
        <v>0</v>
      </c>
      <c r="J33" s="6"/>
      <c r="K33" s="22"/>
      <c r="M33" s="71"/>
    </row>
    <row r="34" spans="2:13" ht="13.15" customHeight="1" x14ac:dyDescent="0.2">
      <c r="B34" s="18"/>
      <c r="C34" s="31"/>
      <c r="D34" s="1" t="s">
        <v>210</v>
      </c>
      <c r="E34" s="219"/>
      <c r="F34" s="1121">
        <f>begr!G40</f>
        <v>3378400.8763000001</v>
      </c>
      <c r="G34" s="1121">
        <f>begr!H40</f>
        <v>3799412.6819333332</v>
      </c>
      <c r="H34" s="1121">
        <f>begr!I40</f>
        <v>3851944.4391666665</v>
      </c>
      <c r="I34" s="1121">
        <f>begr!J40</f>
        <v>3863549.6291666669</v>
      </c>
      <c r="J34" s="6"/>
      <c r="K34" s="22"/>
      <c r="M34" s="71"/>
    </row>
    <row r="35" spans="2:13" ht="13.15" customHeight="1" x14ac:dyDescent="0.2">
      <c r="B35" s="18"/>
      <c r="C35" s="31"/>
      <c r="D35" s="3" t="s">
        <v>298</v>
      </c>
      <c r="E35" s="3"/>
      <c r="F35" s="1121">
        <f>bal!G17</f>
        <v>0</v>
      </c>
      <c r="G35" s="1121">
        <f>bal!H17</f>
        <v>30000</v>
      </c>
      <c r="H35" s="1121">
        <f>bal!I17</f>
        <v>15000</v>
      </c>
      <c r="I35" s="1121">
        <f>bal!J17</f>
        <v>60000</v>
      </c>
      <c r="J35" s="6"/>
      <c r="K35" s="22"/>
    </row>
    <row r="36" spans="2:13" ht="13.15" customHeight="1" x14ac:dyDescent="0.2">
      <c r="B36" s="18"/>
      <c r="C36" s="31"/>
      <c r="D36" s="3" t="s">
        <v>217</v>
      </c>
      <c r="E36" s="3"/>
      <c r="F36" s="1121">
        <f>bal!G23</f>
        <v>0</v>
      </c>
      <c r="G36" s="1121">
        <f>bal!H23</f>
        <v>3348400.8763000001</v>
      </c>
      <c r="H36" s="1121">
        <f>bal!I23</f>
        <v>7162813.5582333338</v>
      </c>
      <c r="I36" s="1121">
        <f>bal!J23</f>
        <v>10969757.997400001</v>
      </c>
      <c r="J36" s="6"/>
      <c r="K36" s="22"/>
    </row>
    <row r="37" spans="2:13" ht="13.15" customHeight="1" x14ac:dyDescent="0.2">
      <c r="B37" s="18"/>
      <c r="C37" s="31"/>
      <c r="D37" s="3" t="s">
        <v>299</v>
      </c>
      <c r="E37" s="3"/>
      <c r="F37" s="1121">
        <f>bal!G36</f>
        <v>0</v>
      </c>
      <c r="G37" s="1121">
        <f>bal!H36</f>
        <v>3378400.8763000001</v>
      </c>
      <c r="H37" s="1121">
        <f>bal!I36</f>
        <v>7177813.5582333338</v>
      </c>
      <c r="I37" s="1121">
        <f>bal!J36</f>
        <v>11029757.997400001</v>
      </c>
      <c r="J37" s="6"/>
      <c r="K37" s="22"/>
    </row>
    <row r="38" spans="2:13" ht="13.15" customHeight="1" x14ac:dyDescent="0.2">
      <c r="B38" s="18"/>
      <c r="C38" s="31"/>
      <c r="D38" s="3" t="s">
        <v>224</v>
      </c>
      <c r="E38" s="3"/>
      <c r="F38" s="1121">
        <f>bal!G42</f>
        <v>0</v>
      </c>
      <c r="G38" s="1121">
        <f>bal!H42</f>
        <v>0</v>
      </c>
      <c r="H38" s="1121">
        <f>bal!I42</f>
        <v>0</v>
      </c>
      <c r="I38" s="1121">
        <f>bal!J42</f>
        <v>0</v>
      </c>
      <c r="J38" s="6"/>
      <c r="K38" s="22"/>
    </row>
    <row r="39" spans="2:13" ht="13.15" customHeight="1" x14ac:dyDescent="0.2">
      <c r="B39" s="18"/>
      <c r="C39" s="31"/>
      <c r="D39" s="3" t="s">
        <v>225</v>
      </c>
      <c r="E39" s="3"/>
      <c r="F39" s="1121">
        <f>bal!G46</f>
        <v>0</v>
      </c>
      <c r="G39" s="1121">
        <f>bal!H46</f>
        <v>0</v>
      </c>
      <c r="H39" s="1121">
        <f>bal!I46</f>
        <v>0</v>
      </c>
      <c r="I39" s="1121">
        <f>bal!J46</f>
        <v>0</v>
      </c>
      <c r="J39" s="6"/>
      <c r="K39" s="22"/>
    </row>
    <row r="40" spans="2:13" ht="13.15" customHeight="1" x14ac:dyDescent="0.2">
      <c r="B40" s="18"/>
      <c r="C40" s="31"/>
      <c r="D40" s="3" t="s">
        <v>228</v>
      </c>
      <c r="E40" s="3"/>
      <c r="F40" s="1121">
        <f>bal!G55</f>
        <v>0</v>
      </c>
      <c r="G40" s="1121">
        <f>bal!H55</f>
        <v>0</v>
      </c>
      <c r="H40" s="1121">
        <f>bal!I55</f>
        <v>0</v>
      </c>
      <c r="I40" s="1121">
        <f>bal!J55</f>
        <v>0</v>
      </c>
      <c r="J40" s="6"/>
      <c r="K40" s="22"/>
    </row>
    <row r="41" spans="2:13" ht="13.15" customHeight="1" x14ac:dyDescent="0.2">
      <c r="B41" s="18"/>
      <c r="C41" s="31"/>
      <c r="D41" s="3" t="s">
        <v>300</v>
      </c>
      <c r="E41" s="3"/>
      <c r="F41" s="1062"/>
      <c r="G41" s="1062"/>
      <c r="H41" s="1062"/>
      <c r="I41" s="1062"/>
      <c r="J41" s="6"/>
      <c r="K41" s="22"/>
    </row>
    <row r="42" spans="2:13" ht="13.15" customHeight="1" x14ac:dyDescent="0.2">
      <c r="B42" s="18"/>
      <c r="C42" s="31"/>
      <c r="D42" s="3" t="s">
        <v>301</v>
      </c>
      <c r="E42" s="3"/>
      <c r="F42" s="1062"/>
      <c r="G42" s="1062"/>
      <c r="H42" s="1062"/>
      <c r="I42" s="1062"/>
      <c r="J42" s="6"/>
      <c r="K42" s="22"/>
    </row>
    <row r="43" spans="2:13" ht="13.15" customHeight="1" x14ac:dyDescent="0.2">
      <c r="B43" s="18"/>
      <c r="C43" s="31"/>
      <c r="D43" s="1" t="s">
        <v>302</v>
      </c>
      <c r="E43" s="3"/>
      <c r="F43" s="1062"/>
      <c r="G43" s="1062"/>
      <c r="H43" s="1062"/>
      <c r="I43" s="1062"/>
      <c r="J43" s="6"/>
      <c r="K43" s="22"/>
      <c r="M43" s="71"/>
    </row>
    <row r="44" spans="2:13" ht="13.15" customHeight="1" x14ac:dyDescent="0.2">
      <c r="B44" s="18"/>
      <c r="C44" s="31"/>
      <c r="D44" s="1" t="s">
        <v>303</v>
      </c>
      <c r="E44" s="3"/>
      <c r="F44" s="1062"/>
      <c r="G44" s="1062"/>
      <c r="H44" s="1062"/>
      <c r="I44" s="1062"/>
      <c r="J44" s="6"/>
      <c r="K44" s="22"/>
      <c r="M44" s="71"/>
    </row>
    <row r="45" spans="2:13" ht="13.15" customHeight="1" x14ac:dyDescent="0.2">
      <c r="B45" s="18"/>
      <c r="C45" s="31"/>
      <c r="D45" s="1" t="s">
        <v>304</v>
      </c>
      <c r="E45" s="3"/>
      <c r="F45" s="1062"/>
      <c r="G45" s="1062"/>
      <c r="H45" s="1062"/>
      <c r="I45" s="1062"/>
      <c r="J45" s="6"/>
      <c r="K45" s="22"/>
      <c r="M45" s="71"/>
    </row>
    <row r="46" spans="2:13" ht="13.15" customHeight="1" x14ac:dyDescent="0.2">
      <c r="B46" s="18"/>
      <c r="C46" s="31"/>
      <c r="D46" s="1" t="s">
        <v>522</v>
      </c>
      <c r="E46" s="3"/>
      <c r="F46" s="1062"/>
      <c r="G46" s="1062"/>
      <c r="H46" s="1062"/>
      <c r="I46" s="1062"/>
      <c r="J46" s="6"/>
      <c r="K46" s="22"/>
      <c r="M46" s="71"/>
    </row>
    <row r="47" spans="2:13" ht="13.15" customHeight="1" x14ac:dyDescent="0.2">
      <c r="B47" s="18"/>
      <c r="C47" s="31"/>
      <c r="D47" s="1" t="s">
        <v>373</v>
      </c>
      <c r="E47" s="3"/>
      <c r="F47" s="1062">
        <f>+geg!H26</f>
        <v>29</v>
      </c>
      <c r="G47" s="1062">
        <f>+geg!I26</f>
        <v>36</v>
      </c>
      <c r="H47" s="1062">
        <f>+geg!J26</f>
        <v>36</v>
      </c>
      <c r="I47" s="1062">
        <f>+geg!K26</f>
        <v>36</v>
      </c>
      <c r="J47" s="6"/>
      <c r="K47" s="22"/>
      <c r="M47" s="71"/>
    </row>
    <row r="48" spans="2:13" ht="13.15" customHeight="1" x14ac:dyDescent="0.2">
      <c r="B48" s="18"/>
      <c r="C48" s="31"/>
      <c r="D48" s="1" t="s">
        <v>374</v>
      </c>
      <c r="E48" s="3"/>
      <c r="F48" s="1062">
        <f>+geg!H31</f>
        <v>65</v>
      </c>
      <c r="G48" s="1062">
        <f>+geg!I31</f>
        <v>69</v>
      </c>
      <c r="H48" s="1062">
        <f>+geg!J31</f>
        <v>69</v>
      </c>
      <c r="I48" s="1062">
        <f>+geg!K31</f>
        <v>69</v>
      </c>
      <c r="J48" s="6"/>
      <c r="K48" s="22"/>
      <c r="M48" s="71"/>
    </row>
    <row r="49" spans="2:13" ht="13.15" customHeight="1" x14ac:dyDescent="0.2">
      <c r="B49" s="18"/>
      <c r="C49" s="31"/>
      <c r="D49" s="1" t="s">
        <v>375</v>
      </c>
      <c r="E49" s="3"/>
      <c r="F49" s="1062">
        <f>+geg!H36</f>
        <v>82</v>
      </c>
      <c r="G49" s="1062">
        <f>+geg!I36</f>
        <v>91</v>
      </c>
      <c r="H49" s="1062">
        <f>+geg!J36</f>
        <v>91</v>
      </c>
      <c r="I49" s="1062">
        <f>+geg!K36</f>
        <v>91</v>
      </c>
      <c r="J49" s="6"/>
      <c r="K49" s="22"/>
      <c r="M49" s="71"/>
    </row>
    <row r="50" spans="2:13" ht="13.15" customHeight="1" x14ac:dyDescent="0.2">
      <c r="B50" s="18"/>
      <c r="C50" s="31"/>
      <c r="D50" s="1" t="s">
        <v>305</v>
      </c>
      <c r="E50" s="3"/>
      <c r="F50" s="1062">
        <f>+geg!H41</f>
        <v>49</v>
      </c>
      <c r="G50" s="1062">
        <f>+geg!I41</f>
        <v>54</v>
      </c>
      <c r="H50" s="1062">
        <f>+geg!J41</f>
        <v>54</v>
      </c>
      <c r="I50" s="1062">
        <f>+geg!K41</f>
        <v>54</v>
      </c>
      <c r="J50" s="6"/>
      <c r="K50" s="22"/>
      <c r="M50" s="71"/>
    </row>
    <row r="51" spans="2:13" ht="13.15" customHeight="1" x14ac:dyDescent="0.2">
      <c r="B51" s="18"/>
      <c r="C51" s="31"/>
      <c r="D51" s="2" t="s">
        <v>306</v>
      </c>
      <c r="E51" s="3"/>
      <c r="F51" s="1062">
        <f>+geg!H38</f>
        <v>94</v>
      </c>
      <c r="G51" s="1062">
        <f>+geg!I38</f>
        <v>105</v>
      </c>
      <c r="H51" s="1062">
        <f>+geg!J38</f>
        <v>105</v>
      </c>
      <c r="I51" s="1062">
        <f>+geg!K38</f>
        <v>105</v>
      </c>
      <c r="J51" s="6"/>
      <c r="K51" s="22"/>
      <c r="M51" s="357"/>
    </row>
    <row r="52" spans="2:13" ht="13.15" customHeight="1" x14ac:dyDescent="0.2">
      <c r="B52" s="18"/>
      <c r="C52" s="31"/>
      <c r="D52" s="2" t="s">
        <v>307</v>
      </c>
      <c r="E52" s="3"/>
      <c r="F52" s="1062">
        <f>+geg!H39</f>
        <v>82</v>
      </c>
      <c r="G52" s="1062">
        <f>+geg!I39</f>
        <v>91</v>
      </c>
      <c r="H52" s="1062">
        <f>+geg!J39</f>
        <v>91</v>
      </c>
      <c r="I52" s="1062">
        <f>+geg!K39</f>
        <v>91</v>
      </c>
      <c r="J52" s="6"/>
      <c r="K52" s="22"/>
      <c r="M52" s="357"/>
    </row>
    <row r="53" spans="2:13" ht="13.15" customHeight="1" x14ac:dyDescent="0.2">
      <c r="B53" s="18"/>
      <c r="C53" s="31"/>
      <c r="D53" s="2" t="s">
        <v>472</v>
      </c>
      <c r="E53" s="3"/>
      <c r="F53" s="1062">
        <f>+geg!H46</f>
        <v>0</v>
      </c>
      <c r="G53" s="1062">
        <f>+geg!I46</f>
        <v>0</v>
      </c>
      <c r="H53" s="1062">
        <f>+geg!J46</f>
        <v>0</v>
      </c>
      <c r="I53" s="1062">
        <f>+geg!K46</f>
        <v>0</v>
      </c>
      <c r="J53" s="6"/>
      <c r="K53" s="22"/>
      <c r="M53" s="357"/>
    </row>
    <row r="54" spans="2:13" ht="13.15" customHeight="1" x14ac:dyDescent="0.2">
      <c r="B54" s="18"/>
      <c r="C54" s="31"/>
      <c r="D54" s="506" t="s">
        <v>485</v>
      </c>
      <c r="E54" s="3"/>
      <c r="F54" s="1062">
        <f>+geg!H44</f>
        <v>0</v>
      </c>
      <c r="G54" s="1062">
        <f>+geg!I44</f>
        <v>0</v>
      </c>
      <c r="H54" s="1062">
        <f>+geg!J44</f>
        <v>0</v>
      </c>
      <c r="I54" s="1062">
        <f>+geg!K44</f>
        <v>0</v>
      </c>
      <c r="J54" s="6"/>
      <c r="K54" s="22"/>
      <c r="M54" s="357"/>
    </row>
    <row r="55" spans="2:13" ht="13.15" customHeight="1" x14ac:dyDescent="0.2">
      <c r="B55" s="18"/>
      <c r="C55" s="31"/>
      <c r="D55" s="506" t="s">
        <v>484</v>
      </c>
      <c r="E55" s="3"/>
      <c r="F55" s="1062">
        <f>+geg!H45</f>
        <v>0</v>
      </c>
      <c r="G55" s="1062">
        <f>+geg!I45</f>
        <v>0</v>
      </c>
      <c r="H55" s="1062">
        <f>+geg!J45</f>
        <v>0</v>
      </c>
      <c r="I55" s="1062">
        <f>+geg!K45</f>
        <v>0</v>
      </c>
      <c r="J55" s="6"/>
      <c r="K55" s="22"/>
      <c r="M55" s="357"/>
    </row>
    <row r="56" spans="2:13" ht="13.15" customHeight="1" x14ac:dyDescent="0.2">
      <c r="B56" s="18"/>
      <c r="C56" s="31"/>
      <c r="D56" s="1" t="str">
        <f>+lasten!D159</f>
        <v>Kosten Duurzame inzetbaarheid</v>
      </c>
      <c r="E56" s="3"/>
      <c r="F56" s="1079">
        <f>+lasten!J159</f>
        <v>4862.9375125577662</v>
      </c>
      <c r="G56" s="1079">
        <f>+lasten!K159</f>
        <v>5108.6582278481019</v>
      </c>
      <c r="H56" s="1079">
        <f>+lasten!L159</f>
        <v>5194.5316455696211</v>
      </c>
      <c r="I56" s="1079">
        <f>+lasten!M159</f>
        <v>5348.2242314647383</v>
      </c>
      <c r="J56" s="6"/>
      <c r="K56" s="22"/>
      <c r="M56" s="71"/>
    </row>
    <row r="57" spans="2:13" ht="13.15" customHeight="1" x14ac:dyDescent="0.2">
      <c r="B57" s="18"/>
      <c r="C57" s="31"/>
      <c r="D57" s="1" t="s">
        <v>308</v>
      </c>
      <c r="E57" s="3"/>
      <c r="F57" s="1079">
        <f>+lasten!J161</f>
        <v>0</v>
      </c>
      <c r="G57" s="1079">
        <f>+lasten!K161</f>
        <v>0</v>
      </c>
      <c r="H57" s="1079">
        <f>+lasten!L161</f>
        <v>0</v>
      </c>
      <c r="I57" s="1079">
        <f>+lasten!M161</f>
        <v>0</v>
      </c>
      <c r="J57" s="6"/>
      <c r="K57" s="22"/>
      <c r="M57" s="71"/>
    </row>
    <row r="58" spans="2:13" ht="13.15" customHeight="1" x14ac:dyDescent="0.2">
      <c r="B58" s="18"/>
      <c r="C58" s="31"/>
      <c r="D58" s="3" t="s">
        <v>309</v>
      </c>
      <c r="E58" s="3"/>
      <c r="F58" s="1079">
        <f>+lasten!J160</f>
        <v>0</v>
      </c>
      <c r="G58" s="1079">
        <f>+lasten!K160</f>
        <v>0</v>
      </c>
      <c r="H58" s="1079">
        <f>+lasten!L160</f>
        <v>0</v>
      </c>
      <c r="I58" s="1079">
        <f>+lasten!M160</f>
        <v>0</v>
      </c>
      <c r="J58" s="6"/>
      <c r="K58" s="22"/>
    </row>
    <row r="59" spans="2:13" ht="13.15" customHeight="1" x14ac:dyDescent="0.2">
      <c r="B59" s="18"/>
      <c r="C59" s="31"/>
      <c r="D59" s="221" t="s">
        <v>310</v>
      </c>
      <c r="E59" s="3"/>
      <c r="F59" s="1070">
        <f>7/12*ken!F60+5/12*ken!G60</f>
        <v>1</v>
      </c>
      <c r="G59" s="1070">
        <f>7/12*ken!G60+5/12*ken!H60</f>
        <v>1</v>
      </c>
      <c r="H59" s="1070">
        <f>7/12*ken!H60+5/12*ken!I60</f>
        <v>1</v>
      </c>
      <c r="I59" s="1070">
        <f>7/12*ken!I60+5/12*ken!J60</f>
        <v>1</v>
      </c>
      <c r="J59" s="507"/>
      <c r="K59" s="22"/>
      <c r="M59" s="73"/>
    </row>
    <row r="60" spans="2:13" ht="13.15" customHeight="1" x14ac:dyDescent="0.2">
      <c r="B60" s="18"/>
      <c r="C60" s="31"/>
      <c r="D60" s="221" t="s">
        <v>311</v>
      </c>
      <c r="E60" s="3"/>
      <c r="F60" s="1070">
        <f>7/12*ken!F61+5/12*ken!G61</f>
        <v>1</v>
      </c>
      <c r="G60" s="1070">
        <f>7/12*ken!G61+5/12*ken!H61</f>
        <v>1</v>
      </c>
      <c r="H60" s="1070">
        <f>7/12*ken!H61+5/12*ken!I61</f>
        <v>1</v>
      </c>
      <c r="I60" s="1070">
        <f>7/12*ken!I61+5/12*ken!J61</f>
        <v>1</v>
      </c>
      <c r="J60" s="6"/>
      <c r="K60" s="22"/>
      <c r="M60" s="73"/>
    </row>
    <row r="61" spans="2:13" ht="13.15" customHeight="1" x14ac:dyDescent="0.2">
      <c r="B61" s="18"/>
      <c r="C61" s="31"/>
      <c r="D61" s="221" t="s">
        <v>312</v>
      </c>
      <c r="E61" s="3"/>
      <c r="F61" s="1070">
        <f>7/12*ken!F62+5/12*ken!G62</f>
        <v>1</v>
      </c>
      <c r="G61" s="1070">
        <f>7/12*ken!G62+5/12*ken!H62</f>
        <v>1</v>
      </c>
      <c r="H61" s="1070">
        <f>7/12*ken!H62+5/12*ken!I62</f>
        <v>1</v>
      </c>
      <c r="I61" s="1070">
        <f>7/12*ken!I62+5/12*ken!J62</f>
        <v>1</v>
      </c>
      <c r="J61" s="6"/>
      <c r="K61" s="22"/>
      <c r="M61" s="73"/>
    </row>
    <row r="62" spans="2:13" ht="13.15" customHeight="1" x14ac:dyDescent="0.2">
      <c r="B62" s="18"/>
      <c r="C62" s="31"/>
      <c r="D62" s="3" t="s">
        <v>313</v>
      </c>
      <c r="E62" s="3"/>
      <c r="F62" s="1079">
        <f>+baten!H192</f>
        <v>0</v>
      </c>
      <c r="G62" s="1079">
        <f>+baten!I192</f>
        <v>0</v>
      </c>
      <c r="H62" s="1079">
        <f>+baten!J192</f>
        <v>0</v>
      </c>
      <c r="I62" s="1079">
        <f>+baten!K192</f>
        <v>0</v>
      </c>
      <c r="J62" s="6"/>
      <c r="K62" s="22"/>
    </row>
    <row r="63" spans="2:13" ht="13.15" customHeight="1" x14ac:dyDescent="0.2">
      <c r="B63" s="18"/>
      <c r="C63" s="31"/>
      <c r="D63" s="3" t="s">
        <v>314</v>
      </c>
      <c r="E63" s="3"/>
      <c r="F63" s="1079">
        <f>+baten!H205</f>
        <v>0</v>
      </c>
      <c r="G63" s="1079">
        <f>+baten!I205</f>
        <v>0</v>
      </c>
      <c r="H63" s="1079">
        <f>+baten!J205</f>
        <v>0</v>
      </c>
      <c r="I63" s="1079">
        <f>+baten!K205</f>
        <v>0</v>
      </c>
      <c r="J63" s="6"/>
      <c r="K63" s="22"/>
    </row>
    <row r="64" spans="2:13" ht="13.15" customHeight="1" x14ac:dyDescent="0.2">
      <c r="B64" s="18"/>
      <c r="C64" s="31"/>
      <c r="D64" s="1" t="s">
        <v>315</v>
      </c>
      <c r="E64" s="3"/>
      <c r="F64" s="1079">
        <f>+act!G29</f>
        <v>0</v>
      </c>
      <c r="G64" s="1079">
        <f>+act!H29</f>
        <v>0</v>
      </c>
      <c r="H64" s="1079">
        <f>+act!I29</f>
        <v>75000</v>
      </c>
      <c r="I64" s="1079">
        <f>+act!J29</f>
        <v>0</v>
      </c>
      <c r="J64" s="6"/>
      <c r="K64" s="22"/>
      <c r="M64" s="71"/>
    </row>
    <row r="65" spans="2:13" ht="13.15" customHeight="1" x14ac:dyDescent="0.2">
      <c r="B65" s="18"/>
      <c r="C65" s="31"/>
      <c r="D65" s="1" t="s">
        <v>316</v>
      </c>
      <c r="E65" s="3"/>
      <c r="F65" s="1079">
        <f>+mop!G18</f>
        <v>0</v>
      </c>
      <c r="G65" s="1079">
        <f>+mop!H18</f>
        <v>0</v>
      </c>
      <c r="H65" s="1079">
        <f>+mop!I18</f>
        <v>0</v>
      </c>
      <c r="I65" s="1079">
        <f>+mop!J18</f>
        <v>0</v>
      </c>
      <c r="J65" s="6"/>
      <c r="K65" s="22"/>
      <c r="M65" s="71"/>
    </row>
    <row r="66" spans="2:13" ht="13.15" customHeight="1" x14ac:dyDescent="0.2">
      <c r="B66" s="18"/>
      <c r="C66" s="31"/>
      <c r="D66" s="1" t="s">
        <v>590</v>
      </c>
      <c r="E66" s="3"/>
      <c r="F66" s="1079">
        <f>begr!G19+begr!G33</f>
        <v>3615157.4055000003</v>
      </c>
      <c r="G66" s="1079">
        <f>begr!H19+begr!H33</f>
        <v>4032511.8819333334</v>
      </c>
      <c r="H66" s="1079">
        <f>begr!I19+begr!I33</f>
        <v>4091474.0391666666</v>
      </c>
      <c r="I66" s="1079">
        <f>begr!J19+begr!J33</f>
        <v>4109620.0291666668</v>
      </c>
      <c r="J66" s="6"/>
      <c r="K66" s="22"/>
      <c r="M66" s="71"/>
    </row>
    <row r="67" spans="2:13" s="311" customFormat="1" ht="13.15" customHeight="1" x14ac:dyDescent="0.2">
      <c r="B67" s="306"/>
      <c r="C67" s="307"/>
      <c r="D67" s="1" t="s">
        <v>523</v>
      </c>
      <c r="E67" s="308"/>
      <c r="F67" s="1079">
        <f>baten!H188+baten!H203</f>
        <v>117659.32416666667</v>
      </c>
      <c r="G67" s="1079">
        <f>baten!I188+baten!I203</f>
        <v>130105.63583333335</v>
      </c>
      <c r="H67" s="1079">
        <f>baten!J188+baten!J203</f>
        <v>78203.710000000021</v>
      </c>
      <c r="I67" s="1079">
        <f>baten!K188+baten!K203</f>
        <v>78203.710000000021</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atonl1NB7bdxaDXbR4SaeF26vfRWoay2NWfVgxWxCe2FKXErtneuPVZ126mbAr1k5Xtb9hkxbIvL9kzDcyR0ag==" saltValue="PSsx7T9OWtgDb0I5d96NK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W335"/>
  <sheetViews>
    <sheetView topLeftCell="B1" zoomScale="80" zoomScaleNormal="80" workbookViewId="0">
      <selection activeCell="B1" sqref="B1"/>
    </sheetView>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3" width="13" style="420" customWidth="1"/>
    <col min="14" max="16384" width="9.140625" style="420"/>
  </cols>
  <sheetData>
    <row r="2" spans="2:10" s="4" customFormat="1" x14ac:dyDescent="0.2">
      <c r="B2" s="4" t="s">
        <v>48</v>
      </c>
      <c r="C2" s="417" t="s">
        <v>617</v>
      </c>
      <c r="D2" s="417" t="s">
        <v>49</v>
      </c>
      <c r="E2" s="417" t="s">
        <v>72</v>
      </c>
      <c r="F2" s="417" t="s">
        <v>340</v>
      </c>
      <c r="G2" s="417" t="s">
        <v>342</v>
      </c>
      <c r="H2" s="417" t="s">
        <v>439</v>
      </c>
      <c r="I2" s="417" t="s">
        <v>572</v>
      </c>
      <c r="J2" s="417" t="s">
        <v>616</v>
      </c>
    </row>
    <row r="3" spans="2:10" s="4" customFormat="1" x14ac:dyDescent="0.2">
      <c r="B3" s="4" t="s">
        <v>50</v>
      </c>
      <c r="C3" s="418">
        <v>43009</v>
      </c>
      <c r="D3" s="418">
        <v>43374</v>
      </c>
      <c r="E3" s="418">
        <v>43739</v>
      </c>
      <c r="F3" s="418">
        <v>44105</v>
      </c>
      <c r="G3" s="418">
        <v>44470</v>
      </c>
      <c r="H3" s="418">
        <v>44835</v>
      </c>
      <c r="I3" s="418">
        <v>45200</v>
      </c>
      <c r="J3" s="418">
        <v>45566</v>
      </c>
    </row>
    <row r="4" spans="2:10" s="4" customFormat="1" x14ac:dyDescent="0.2">
      <c r="B4" s="4" t="s">
        <v>51</v>
      </c>
      <c r="C4" s="4">
        <v>2018</v>
      </c>
      <c r="D4" s="4">
        <v>2019</v>
      </c>
      <c r="E4" s="4">
        <v>2020</v>
      </c>
      <c r="F4" s="4">
        <v>2021</v>
      </c>
      <c r="G4" s="4">
        <v>2022</v>
      </c>
      <c r="H4" s="4">
        <v>2023</v>
      </c>
      <c r="I4" s="4">
        <v>2024</v>
      </c>
      <c r="J4" s="4">
        <v>2025</v>
      </c>
    </row>
    <row r="5" spans="2:10" s="4" customFormat="1" x14ac:dyDescent="0.2">
      <c r="B5" s="4" t="s">
        <v>82</v>
      </c>
      <c r="C5" s="418">
        <v>43497</v>
      </c>
      <c r="D5" s="418">
        <v>43862</v>
      </c>
      <c r="E5" s="418">
        <v>44228</v>
      </c>
      <c r="F5" s="418">
        <v>44593</v>
      </c>
      <c r="G5" s="418">
        <v>44958</v>
      </c>
      <c r="H5" s="418">
        <v>45323</v>
      </c>
      <c r="I5" s="418">
        <v>45689</v>
      </c>
      <c r="J5" s="418">
        <v>46054</v>
      </c>
    </row>
    <row r="7" spans="2:10" x14ac:dyDescent="0.2">
      <c r="B7" s="419" t="s">
        <v>52</v>
      </c>
      <c r="C7" s="419"/>
      <c r="D7" s="423"/>
    </row>
    <row r="8" spans="2:10" x14ac:dyDescent="0.2">
      <c r="B8" s="420" t="s">
        <v>53</v>
      </c>
      <c r="C8" s="421">
        <f>+C9+C12</f>
        <v>93509.97</v>
      </c>
      <c r="D8" s="421">
        <f>+D9+D12</f>
        <v>96797.72</v>
      </c>
      <c r="E8" s="421">
        <f>+E9+E12</f>
        <v>99852.540000000008</v>
      </c>
      <c r="F8" s="421">
        <f>+F9+F12</f>
        <v>100578.82</v>
      </c>
      <c r="I8" s="4"/>
      <c r="J8" s="4"/>
    </row>
    <row r="9" spans="2:10" x14ac:dyDescent="0.2">
      <c r="B9" s="420" t="s">
        <v>54</v>
      </c>
      <c r="C9" s="1246">
        <v>90720.97</v>
      </c>
      <c r="D9" s="1277">
        <v>93910.720000000001</v>
      </c>
      <c r="E9" s="1325">
        <v>96874.54</v>
      </c>
      <c r="F9" s="502">
        <v>97578.82</v>
      </c>
    </row>
    <row r="10" spans="2:10" x14ac:dyDescent="0.2">
      <c r="B10" s="420" t="s">
        <v>55</v>
      </c>
      <c r="C10" s="1246">
        <v>72532.25</v>
      </c>
      <c r="D10" s="1278">
        <v>75118.02</v>
      </c>
      <c r="E10" s="1325">
        <v>77488.740000000005</v>
      </c>
      <c r="F10" s="502">
        <v>78052.08</v>
      </c>
    </row>
    <row r="11" spans="2:10" x14ac:dyDescent="0.2">
      <c r="B11" s="420" t="s">
        <v>56</v>
      </c>
      <c r="C11" s="421">
        <f>+C9-C10</f>
        <v>18188.72</v>
      </c>
      <c r="D11" s="421">
        <f>+D9-D10</f>
        <v>18792.699999999997</v>
      </c>
      <c r="E11" s="421">
        <f>+E9-E10</f>
        <v>19385.799999999988</v>
      </c>
      <c r="F11" s="421">
        <f>+F9-F10</f>
        <v>19526.740000000005</v>
      </c>
      <c r="G11" s="422"/>
    </row>
    <row r="12" spans="2:10" x14ac:dyDescent="0.2">
      <c r="B12" s="420" t="s">
        <v>57</v>
      </c>
      <c r="C12" s="1247">
        <v>2789</v>
      </c>
      <c r="D12" s="1279">
        <v>2887</v>
      </c>
      <c r="E12" s="1326">
        <f>E13-E11</f>
        <v>2978.0000000000109</v>
      </c>
      <c r="F12" s="1333">
        <f>F13-F11</f>
        <v>2999.9999999999964</v>
      </c>
      <c r="G12" s="1246"/>
      <c r="H12" s="472"/>
      <c r="J12" s="422"/>
    </row>
    <row r="13" spans="2:10" x14ac:dyDescent="0.2">
      <c r="B13" s="420" t="s">
        <v>640</v>
      </c>
      <c r="C13" s="1247">
        <f>SUM(C11:C12)</f>
        <v>20977.72</v>
      </c>
      <c r="D13" s="1247">
        <v>21679.7</v>
      </c>
      <c r="E13" s="1247">
        <v>22363.8</v>
      </c>
      <c r="F13" s="1247">
        <v>22526.74</v>
      </c>
      <c r="G13" s="1246"/>
      <c r="H13" s="472"/>
      <c r="J13" s="422"/>
    </row>
    <row r="14" spans="2:10" x14ac:dyDescent="0.2">
      <c r="B14" s="420" t="s">
        <v>429</v>
      </c>
      <c r="C14" s="1246">
        <v>41371.279999999999</v>
      </c>
      <c r="D14" s="1277">
        <v>42825.89</v>
      </c>
      <c r="E14" s="1327">
        <v>44177.48</v>
      </c>
      <c r="F14" s="1274">
        <v>44498.65</v>
      </c>
      <c r="G14" s="44"/>
      <c r="H14" s="44"/>
    </row>
    <row r="15" spans="2:10" x14ac:dyDescent="0.2">
      <c r="B15" s="420" t="s">
        <v>58</v>
      </c>
      <c r="C15" s="1246">
        <v>25225.43</v>
      </c>
      <c r="D15" s="1246">
        <v>26124.720000000001</v>
      </c>
      <c r="E15" s="1325">
        <v>26902.6</v>
      </c>
      <c r="F15" s="1293">
        <v>27055.63</v>
      </c>
    </row>
    <row r="16" spans="2:10" x14ac:dyDescent="0.2">
      <c r="B16" s="420" t="s">
        <v>59</v>
      </c>
      <c r="C16" s="1246">
        <v>1142.68</v>
      </c>
      <c r="D16" s="1246">
        <v>1183.4100000000001</v>
      </c>
      <c r="E16" s="1325">
        <v>1218.6500000000001</v>
      </c>
      <c r="F16" s="1293">
        <v>1225.58</v>
      </c>
    </row>
    <row r="17" spans="2:13" x14ac:dyDescent="0.2">
      <c r="B17" s="423" t="s">
        <v>60</v>
      </c>
      <c r="C17" s="1246">
        <v>674.02</v>
      </c>
      <c r="D17" s="1246">
        <v>763.35</v>
      </c>
      <c r="E17" s="1325">
        <v>1059.98</v>
      </c>
      <c r="F17" s="1292">
        <v>1182.45</v>
      </c>
    </row>
    <row r="18" spans="2:13" x14ac:dyDescent="0.2">
      <c r="B18" s="423"/>
      <c r="C18" s="1246"/>
      <c r="D18" s="1246"/>
      <c r="E18" s="1328"/>
    </row>
    <row r="19" spans="2:13" x14ac:dyDescent="0.2">
      <c r="B19" s="420" t="s">
        <v>61</v>
      </c>
      <c r="C19" s="1248">
        <v>41.4</v>
      </c>
      <c r="D19" s="1248">
        <v>41.4</v>
      </c>
      <c r="E19" s="420">
        <v>41.51</v>
      </c>
      <c r="F19" s="420">
        <v>41.61</v>
      </c>
    </row>
    <row r="20" spans="2:13" x14ac:dyDescent="0.2">
      <c r="C20" s="423"/>
    </row>
    <row r="21" spans="2:13" x14ac:dyDescent="0.2">
      <c r="B21" s="1166" t="s">
        <v>559</v>
      </c>
      <c r="C21" s="1249"/>
      <c r="D21" s="1165"/>
      <c r="E21" s="1165"/>
      <c r="F21" s="1165"/>
      <c r="G21" s="1165"/>
    </row>
    <row r="22" spans="2:13" x14ac:dyDescent="0.2">
      <c r="B22" s="420" t="s">
        <v>550</v>
      </c>
      <c r="C22" s="1246">
        <v>10052.01</v>
      </c>
      <c r="D22" s="1246">
        <v>10407.959999999999</v>
      </c>
      <c r="E22" s="1325">
        <v>10736.44</v>
      </c>
      <c r="F22" s="502">
        <v>10814.49</v>
      </c>
      <c r="G22" s="422"/>
      <c r="H22" s="1167"/>
      <c r="I22" s="1167"/>
      <c r="J22" s="1167"/>
    </row>
    <row r="23" spans="2:13" x14ac:dyDescent="0.2">
      <c r="B23" s="420" t="s">
        <v>551</v>
      </c>
      <c r="C23" s="1250">
        <v>14635.78</v>
      </c>
      <c r="D23" s="1250">
        <v>15152.91</v>
      </c>
      <c r="E23" s="1330">
        <v>15631.14</v>
      </c>
      <c r="F23" s="1275">
        <v>15744.77</v>
      </c>
      <c r="G23" s="422"/>
      <c r="H23" s="1167"/>
      <c r="I23" s="1167"/>
      <c r="J23" s="1167"/>
    </row>
    <row r="24" spans="2:13" x14ac:dyDescent="0.2">
      <c r="B24" s="420" t="s">
        <v>552</v>
      </c>
      <c r="C24" s="1250">
        <v>22401.58</v>
      </c>
      <c r="D24" s="1250">
        <v>23194.32</v>
      </c>
      <c r="E24" s="1330">
        <v>23926.33</v>
      </c>
      <c r="F24" s="1275">
        <v>24100.27</v>
      </c>
      <c r="G24" s="422"/>
      <c r="H24" s="1167"/>
      <c r="I24" s="1167"/>
      <c r="J24" s="1167"/>
    </row>
    <row r="25" spans="2:13" x14ac:dyDescent="0.2">
      <c r="B25" s="420" t="s">
        <v>553</v>
      </c>
      <c r="C25" s="1246">
        <v>9198.81</v>
      </c>
      <c r="D25" s="1246">
        <v>9525.35</v>
      </c>
      <c r="E25" s="1325">
        <v>9825.9699999999993</v>
      </c>
      <c r="F25" s="502">
        <v>9897.4</v>
      </c>
      <c r="G25" s="422"/>
      <c r="H25" s="1167"/>
      <c r="I25" s="1167"/>
      <c r="J25" s="1167"/>
    </row>
    <row r="26" spans="2:13" x14ac:dyDescent="0.2">
      <c r="B26" s="420" t="s">
        <v>555</v>
      </c>
      <c r="C26" s="1250">
        <v>15883.33</v>
      </c>
      <c r="D26" s="1250">
        <v>16444.939999999999</v>
      </c>
      <c r="E26" s="1330">
        <v>16963.939999999999</v>
      </c>
      <c r="F26" s="1275">
        <v>17087.27</v>
      </c>
      <c r="G26" s="422"/>
      <c r="H26" s="1167"/>
      <c r="I26" s="1167"/>
      <c r="J26" s="1167"/>
    </row>
    <row r="27" spans="2:13" x14ac:dyDescent="0.2">
      <c r="B27" s="420" t="s">
        <v>554</v>
      </c>
      <c r="C27" s="1250">
        <v>23649.13</v>
      </c>
      <c r="D27" s="1250">
        <v>24486.35</v>
      </c>
      <c r="E27" s="1330">
        <v>25259.14</v>
      </c>
      <c r="F27" s="1275">
        <v>25442.77</v>
      </c>
      <c r="G27" s="422"/>
      <c r="H27" s="1167"/>
      <c r="I27" s="1167"/>
      <c r="J27" s="1167"/>
    </row>
    <row r="28" spans="2:13" x14ac:dyDescent="0.2">
      <c r="B28" s="420" t="s">
        <v>556</v>
      </c>
      <c r="C28" s="1246">
        <v>10273.66</v>
      </c>
      <c r="D28" s="1246">
        <v>10638.84</v>
      </c>
      <c r="E28" s="1325">
        <v>10974.61</v>
      </c>
      <c r="F28" s="502">
        <v>11054.4</v>
      </c>
      <c r="G28" s="422"/>
      <c r="H28" s="1167"/>
      <c r="I28" s="1167"/>
      <c r="J28" s="1167"/>
    </row>
    <row r="29" spans="2:13" x14ac:dyDescent="0.2">
      <c r="B29" s="420" t="s">
        <v>557</v>
      </c>
      <c r="C29" s="1250">
        <v>18040.75</v>
      </c>
      <c r="D29" s="1250">
        <v>18679.919999999998</v>
      </c>
      <c r="E29" s="1330">
        <v>19269.46</v>
      </c>
      <c r="F29" s="1275">
        <v>19409.55</v>
      </c>
      <c r="G29" s="422"/>
      <c r="H29" s="1167"/>
      <c r="I29" s="1167"/>
      <c r="J29" s="1167"/>
    </row>
    <row r="30" spans="2:13" x14ac:dyDescent="0.2">
      <c r="B30" s="420" t="s">
        <v>558</v>
      </c>
      <c r="C30" s="1250">
        <v>22354.59</v>
      </c>
      <c r="D30" s="1250">
        <v>23145.66</v>
      </c>
      <c r="E30" s="1330">
        <v>23876.15</v>
      </c>
      <c r="F30" s="1275">
        <v>24049.72</v>
      </c>
      <c r="G30" s="422"/>
      <c r="H30" s="1167"/>
      <c r="I30" s="1167"/>
      <c r="J30" s="1167"/>
    </row>
    <row r="31" spans="2:13" x14ac:dyDescent="0.2">
      <c r="D31" s="423"/>
      <c r="E31" s="423"/>
    </row>
    <row r="32" spans="2:13" x14ac:dyDescent="0.2">
      <c r="B32" s="466" t="s">
        <v>599</v>
      </c>
      <c r="C32" s="425"/>
      <c r="D32" s="425"/>
      <c r="E32" s="425"/>
      <c r="F32" s="425"/>
      <c r="G32" s="425"/>
      <c r="H32" s="425"/>
      <c r="I32" s="425"/>
      <c r="J32" s="425"/>
      <c r="K32" s="425"/>
      <c r="L32" s="425"/>
      <c r="M32" s="425"/>
    </row>
    <row r="33" spans="2:13" x14ac:dyDescent="0.2">
      <c r="B33" s="424" t="s">
        <v>21</v>
      </c>
      <c r="C33" s="425"/>
      <c r="D33" s="425"/>
      <c r="E33" s="425"/>
      <c r="F33" s="425"/>
      <c r="G33" s="425"/>
      <c r="H33" s="425"/>
      <c r="I33" s="425"/>
      <c r="J33" s="425"/>
      <c r="K33" s="425"/>
      <c r="L33" s="425"/>
      <c r="M33" s="425"/>
    </row>
    <row r="34" spans="2:13" x14ac:dyDescent="0.2">
      <c r="B34" s="426"/>
      <c r="C34" s="427" t="s">
        <v>22</v>
      </c>
      <c r="D34" s="428"/>
      <c r="E34" s="429" t="s">
        <v>23</v>
      </c>
      <c r="F34" s="427"/>
      <c r="G34" s="428"/>
      <c r="H34" s="429" t="s">
        <v>24</v>
      </c>
      <c r="I34" s="427"/>
      <c r="J34" s="428"/>
      <c r="K34" s="440" t="s">
        <v>25</v>
      </c>
      <c r="L34" s="427"/>
      <c r="M34" s="428"/>
    </row>
    <row r="35" spans="2:13" x14ac:dyDescent="0.2">
      <c r="B35" s="430"/>
      <c r="C35" s="431" t="s">
        <v>26</v>
      </c>
      <c r="D35" s="431" t="s">
        <v>27</v>
      </c>
      <c r="E35" s="432" t="s">
        <v>28</v>
      </c>
      <c r="F35" s="432" t="s">
        <v>29</v>
      </c>
      <c r="G35" s="431" t="s">
        <v>30</v>
      </c>
      <c r="H35" s="432" t="s">
        <v>28</v>
      </c>
      <c r="I35" s="432" t="s">
        <v>29</v>
      </c>
      <c r="J35" s="431" t="s">
        <v>30</v>
      </c>
      <c r="K35" s="468" t="s">
        <v>28</v>
      </c>
      <c r="L35" s="432" t="s">
        <v>29</v>
      </c>
      <c r="M35" s="431" t="s">
        <v>30</v>
      </c>
    </row>
    <row r="36" spans="2:13" x14ac:dyDescent="0.2">
      <c r="B36" s="433" t="s">
        <v>31</v>
      </c>
      <c r="C36" s="434">
        <v>1.1734</v>
      </c>
      <c r="D36" s="492">
        <f>ROUND(+C36*D$10,2)</f>
        <v>88143.48</v>
      </c>
      <c r="E36" s="435"/>
      <c r="F36" s="435"/>
      <c r="G36" s="434"/>
      <c r="H36" s="435"/>
      <c r="I36" s="435"/>
      <c r="J36" s="434"/>
      <c r="K36" s="433"/>
      <c r="L36" s="435"/>
      <c r="M36" s="434"/>
    </row>
    <row r="37" spans="2:13" x14ac:dyDescent="0.2">
      <c r="B37" s="433" t="s">
        <v>7</v>
      </c>
      <c r="C37" s="434">
        <v>5.6500000000000002E-2</v>
      </c>
      <c r="D37" s="492">
        <f>ROUND(+C37*D$10,2)</f>
        <v>4244.17</v>
      </c>
      <c r="E37" s="478">
        <v>6.3700000000000007E-2</v>
      </c>
      <c r="F37" s="478">
        <v>6.1600000000000002E-2</v>
      </c>
      <c r="G37" s="479">
        <v>0.13039999999999999</v>
      </c>
      <c r="H37" s="478">
        <v>0.11799999999999999</v>
      </c>
      <c r="I37" s="478">
        <v>0.22869999999999999</v>
      </c>
      <c r="J37" s="479">
        <v>0.28960000000000002</v>
      </c>
      <c r="K37" s="1168">
        <f>D$22-(E37*$D$10+H37*$D$14)</f>
        <v>569.48710599999868</v>
      </c>
      <c r="L37" s="1168">
        <f>D23-(F37*$D$10+I37*$D$14)</f>
        <v>731.35892500000045</v>
      </c>
      <c r="M37" s="1244">
        <f>D24-(G37*$D$10+J37*$D$14)</f>
        <v>996.55244799999855</v>
      </c>
    </row>
    <row r="38" spans="2:13" x14ac:dyDescent="0.2">
      <c r="B38" s="433" t="s">
        <v>477</v>
      </c>
      <c r="C38" s="434">
        <v>3.9300000000000002E-2</v>
      </c>
      <c r="D38" s="492">
        <f>ROUND(+C38*D$10,2)</f>
        <v>2952.14</v>
      </c>
      <c r="E38" s="478">
        <v>0.08</v>
      </c>
      <c r="F38" s="478">
        <v>7.8799999999999995E-2</v>
      </c>
      <c r="G38" s="479">
        <v>0.14760000000000001</v>
      </c>
      <c r="H38" s="478">
        <v>6.88E-2</v>
      </c>
      <c r="I38" s="478">
        <v>0.22869999999999999</v>
      </c>
      <c r="J38" s="479">
        <v>0.28960000000000002</v>
      </c>
      <c r="K38" s="1168">
        <f>D$25-(E38*$D$10+H38*$D$14)</f>
        <v>569.48716799999966</v>
      </c>
      <c r="L38" s="1168">
        <f>D26-(F38*$D$10+I38*$D$14)</f>
        <v>731.3589809999994</v>
      </c>
      <c r="M38" s="1244">
        <f>D27-(G38*$D$10+J38*$D$14)</f>
        <v>996.55250399999568</v>
      </c>
    </row>
    <row r="39" spans="2:13" x14ac:dyDescent="0.2">
      <c r="B39" s="433" t="s">
        <v>9</v>
      </c>
      <c r="C39" s="434">
        <v>7.6499999999999999E-2</v>
      </c>
      <c r="D39" s="492">
        <f>ROUND(+C39*D$10,2)</f>
        <v>5746.53</v>
      </c>
      <c r="E39" s="478">
        <v>0.10290000000000001</v>
      </c>
      <c r="F39" s="478">
        <v>0.12540000000000001</v>
      </c>
      <c r="G39" s="479">
        <v>0.12970000000000001</v>
      </c>
      <c r="H39" s="478">
        <v>5.2900000000000003E-2</v>
      </c>
      <c r="I39" s="478">
        <v>0.19620000000000001</v>
      </c>
      <c r="J39" s="479">
        <v>0.28920000000000001</v>
      </c>
      <c r="K39" s="1168">
        <f>D$28-(E39*$D$10+H39*$D$14)</f>
        <v>643.70616099999825</v>
      </c>
      <c r="L39" s="1168">
        <f>D29-(F39*$D$10+I39*$D$14)</f>
        <v>857.68067399999563</v>
      </c>
      <c r="M39" s="1244">
        <f>D30-(G39*$D$10+J39*$D$14)</f>
        <v>1017.6054179999992</v>
      </c>
    </row>
    <row r="40" spans="2:13" x14ac:dyDescent="0.2">
      <c r="B40" s="433" t="s">
        <v>344</v>
      </c>
      <c r="C40" s="434">
        <v>3.85E-2</v>
      </c>
      <c r="D40" s="492">
        <f>ROUND(+C40*D$10,2)</f>
        <v>2892.04</v>
      </c>
      <c r="E40" s="435"/>
      <c r="F40" s="435"/>
      <c r="G40" s="434"/>
      <c r="H40" s="435"/>
      <c r="I40" s="435"/>
      <c r="J40" s="434"/>
      <c r="K40" s="433"/>
      <c r="L40" s="435"/>
      <c r="M40" s="434"/>
    </row>
    <row r="41" spans="2:13" x14ac:dyDescent="0.2">
      <c r="B41" s="433" t="s">
        <v>10</v>
      </c>
      <c r="C41" s="434"/>
      <c r="D41" s="1280">
        <f>D17</f>
        <v>763.35</v>
      </c>
      <c r="E41" s="435"/>
      <c r="F41" s="435"/>
      <c r="G41" s="434"/>
      <c r="H41" s="435"/>
      <c r="I41" s="435"/>
      <c r="J41" s="434"/>
      <c r="K41" s="433"/>
      <c r="L41" s="435"/>
      <c r="M41" s="434"/>
    </row>
    <row r="42" spans="2:13" x14ac:dyDescent="0.2">
      <c r="B42" s="436" t="s">
        <v>343</v>
      </c>
      <c r="C42" s="437"/>
      <c r="D42" s="1281">
        <v>155.97999999999999</v>
      </c>
      <c r="E42" s="438"/>
      <c r="F42" s="438"/>
      <c r="G42" s="437"/>
      <c r="H42" s="438"/>
      <c r="I42" s="438"/>
      <c r="J42" s="437"/>
      <c r="K42" s="436"/>
      <c r="L42" s="438"/>
      <c r="M42" s="437"/>
    </row>
    <row r="43" spans="2:13" x14ac:dyDescent="0.2">
      <c r="B43" s="439" t="s">
        <v>644</v>
      </c>
      <c r="C43" s="425"/>
      <c r="D43" s="425"/>
      <c r="E43" s="425"/>
      <c r="F43" s="425"/>
      <c r="G43" s="425"/>
      <c r="H43" s="425"/>
      <c r="I43" s="425"/>
      <c r="J43" s="425"/>
      <c r="K43" s="425"/>
      <c r="L43" s="425"/>
      <c r="M43" s="425"/>
    </row>
    <row r="44" spans="2:13" x14ac:dyDescent="0.2">
      <c r="B44" s="426"/>
      <c r="C44" s="1350" t="s">
        <v>32</v>
      </c>
      <c r="D44" s="1351"/>
      <c r="E44" s="1228"/>
      <c r="F44" s="440" t="s">
        <v>33</v>
      </c>
      <c r="G44" s="441"/>
      <c r="H44" s="442"/>
      <c r="I44" s="425"/>
      <c r="J44" s="425"/>
      <c r="K44" s="425"/>
      <c r="L44" s="425"/>
      <c r="M44" s="425"/>
    </row>
    <row r="45" spans="2:13" x14ac:dyDescent="0.2">
      <c r="B45" s="443"/>
      <c r="C45" s="444" t="s">
        <v>34</v>
      </c>
      <c r="D45" s="445" t="s">
        <v>35</v>
      </c>
      <c r="E45" s="1268" t="s">
        <v>592</v>
      </c>
      <c r="F45" s="430" t="s">
        <v>28</v>
      </c>
      <c r="G45" s="446" t="s">
        <v>29</v>
      </c>
      <c r="H45" s="447" t="s">
        <v>30</v>
      </c>
      <c r="I45" s="425"/>
      <c r="J45" s="425"/>
      <c r="K45" s="425"/>
      <c r="L45" s="425"/>
      <c r="M45" s="425"/>
    </row>
    <row r="46" spans="2:13" x14ac:dyDescent="0.2">
      <c r="B46" s="448" t="s">
        <v>36</v>
      </c>
      <c r="C46" s="1271">
        <f>ROUND(+C36*$D$15,2)</f>
        <v>30654.75</v>
      </c>
      <c r="D46" s="1271">
        <f>ROUND(+C36*$D$16,2)</f>
        <v>1388.61</v>
      </c>
      <c r="E46" s="1271">
        <f>C36*$D$10</f>
        <v>88143.484668000005</v>
      </c>
      <c r="F46" s="433"/>
      <c r="G46" s="435"/>
      <c r="H46" s="434"/>
      <c r="I46" s="425"/>
      <c r="J46" s="425"/>
      <c r="K46" s="425"/>
      <c r="L46" s="425"/>
      <c r="M46" s="425"/>
    </row>
    <row r="47" spans="2:13" x14ac:dyDescent="0.2">
      <c r="B47" s="450" t="s">
        <v>7</v>
      </c>
      <c r="C47" s="449">
        <f>ROUND(+C37*$D$15,2)</f>
        <v>1476.05</v>
      </c>
      <c r="D47" s="449">
        <f>ROUND(+C37*$D$16,2)</f>
        <v>66.86</v>
      </c>
      <c r="E47" s="449">
        <f>C37*$D$10</f>
        <v>4244.16813</v>
      </c>
      <c r="F47" s="449">
        <f>D22</f>
        <v>10407.959999999999</v>
      </c>
      <c r="G47" s="449">
        <f t="shared" ref="F47:H49" si="0">+F37*$D$10+I37*$D$14+L37</f>
        <v>15152.91</v>
      </c>
      <c r="H47" s="449">
        <f t="shared" si="0"/>
        <v>23194.32</v>
      </c>
      <c r="I47" s="425"/>
      <c r="J47" s="425"/>
      <c r="K47" s="425"/>
      <c r="L47" s="425"/>
      <c r="M47" s="425"/>
    </row>
    <row r="48" spans="2:13" x14ac:dyDescent="0.2">
      <c r="B48" s="450" t="s">
        <v>477</v>
      </c>
      <c r="C48" s="449">
        <f>ROUND(+C38*$D$15,2)</f>
        <v>1026.7</v>
      </c>
      <c r="D48" s="449">
        <f>ROUND(+C38*$D$16,2)</f>
        <v>46.51</v>
      </c>
      <c r="E48" s="449">
        <f>C38*$D$10</f>
        <v>2952.1381860000001</v>
      </c>
      <c r="F48" s="449">
        <f t="shared" si="0"/>
        <v>9525.35</v>
      </c>
      <c r="G48" s="449">
        <f t="shared" si="0"/>
        <v>16444.939999999999</v>
      </c>
      <c r="H48" s="449">
        <f t="shared" si="0"/>
        <v>24486.35</v>
      </c>
      <c r="I48" s="425"/>
      <c r="J48" s="425"/>
      <c r="K48" s="425"/>
      <c r="L48" s="425"/>
      <c r="M48" s="425"/>
    </row>
    <row r="49" spans="2:13" x14ac:dyDescent="0.2">
      <c r="B49" s="450" t="s">
        <v>9</v>
      </c>
      <c r="C49" s="449">
        <f>ROUND(+C39*$D$15,2)</f>
        <v>1998.54</v>
      </c>
      <c r="D49" s="449">
        <f>ROUND(+C39*$D$16,2)</f>
        <v>90.53</v>
      </c>
      <c r="E49" s="449">
        <f>C39*$D$10</f>
        <v>5746.5285300000005</v>
      </c>
      <c r="F49" s="449">
        <f t="shared" si="0"/>
        <v>10638.84</v>
      </c>
      <c r="G49" s="449">
        <f t="shared" si="0"/>
        <v>18679.919999999998</v>
      </c>
      <c r="H49" s="449">
        <f t="shared" si="0"/>
        <v>23145.66</v>
      </c>
      <c r="I49" s="425"/>
      <c r="J49" s="425"/>
      <c r="K49" s="425"/>
      <c r="L49" s="425"/>
      <c r="M49" s="425"/>
    </row>
    <row r="50" spans="2:13" x14ac:dyDescent="0.2">
      <c r="B50" s="451" t="s">
        <v>344</v>
      </c>
      <c r="C50" s="452">
        <f>ROUND(+C40*$D$15,2)</f>
        <v>1005.8</v>
      </c>
      <c r="D50" s="452">
        <f>ROUND(+C40*$D$16,2)</f>
        <v>45.56</v>
      </c>
      <c r="E50" s="452">
        <f>C40*$D$10</f>
        <v>2892.0437700000002</v>
      </c>
      <c r="F50" s="452"/>
      <c r="G50" s="452"/>
      <c r="H50" s="452"/>
      <c r="I50" s="425"/>
      <c r="J50" s="425"/>
      <c r="K50" s="425"/>
      <c r="L50" s="425"/>
      <c r="M50" s="425"/>
    </row>
    <row r="51" spans="2:13" x14ac:dyDescent="0.2">
      <c r="B51" s="453" t="s">
        <v>408</v>
      </c>
      <c r="C51" s="454"/>
      <c r="D51" s="435"/>
      <c r="E51" s="425"/>
      <c r="F51" s="425"/>
      <c r="G51" s="425"/>
      <c r="H51" s="425"/>
      <c r="I51" s="425"/>
      <c r="J51" s="425"/>
      <c r="K51" s="425"/>
      <c r="L51" s="425"/>
      <c r="M51" s="425"/>
    </row>
    <row r="52" spans="2:13" x14ac:dyDescent="0.2">
      <c r="B52" s="455" t="s">
        <v>37</v>
      </c>
      <c r="C52" s="456" t="s">
        <v>38</v>
      </c>
      <c r="D52" s="432" t="s">
        <v>39</v>
      </c>
      <c r="E52" s="432" t="s">
        <v>40</v>
      </c>
      <c r="F52" s="431" t="s">
        <v>41</v>
      </c>
      <c r="G52" s="425"/>
      <c r="H52" s="457"/>
      <c r="I52" s="425"/>
      <c r="J52" s="425"/>
      <c r="K52" s="425"/>
      <c r="L52" s="425"/>
      <c r="M52" s="425"/>
    </row>
    <row r="53" spans="2:13" x14ac:dyDescent="0.2">
      <c r="B53" s="458" t="s">
        <v>568</v>
      </c>
      <c r="C53" s="459">
        <f>F13</f>
        <v>22526.74</v>
      </c>
      <c r="D53" s="459">
        <f>C53</f>
        <v>22526.74</v>
      </c>
      <c r="E53" s="459">
        <f>C54</f>
        <v>42053.48000000001</v>
      </c>
      <c r="F53" s="460">
        <f>E53</f>
        <v>42053.48000000001</v>
      </c>
      <c r="G53" s="425"/>
      <c r="H53" s="425"/>
      <c r="I53" s="425"/>
      <c r="J53" s="425"/>
      <c r="K53" s="425"/>
      <c r="L53" s="425"/>
      <c r="M53" s="425"/>
    </row>
    <row r="54" spans="2:13" x14ac:dyDescent="0.2">
      <c r="B54" s="461" t="s">
        <v>569</v>
      </c>
      <c r="C54" s="462">
        <f>F11+F13</f>
        <v>42053.48000000001</v>
      </c>
      <c r="D54" s="462">
        <f>2*F11+F13</f>
        <v>61580.220000000016</v>
      </c>
      <c r="E54" s="462">
        <f>E53</f>
        <v>42053.48000000001</v>
      </c>
      <c r="F54" s="463">
        <f>D54</f>
        <v>61580.220000000016</v>
      </c>
      <c r="G54" s="425"/>
      <c r="H54" s="425"/>
      <c r="I54" s="425"/>
      <c r="J54" s="425"/>
      <c r="K54" s="425"/>
      <c r="L54" s="425"/>
      <c r="M54" s="425"/>
    </row>
    <row r="55" spans="2:13" x14ac:dyDescent="0.2">
      <c r="B55" s="464"/>
      <c r="C55" s="454"/>
      <c r="D55" s="435"/>
      <c r="E55" s="425"/>
      <c r="F55" s="425"/>
      <c r="G55" s="425"/>
      <c r="H55" s="425"/>
      <c r="I55" s="425"/>
      <c r="J55" s="425"/>
      <c r="K55" s="425"/>
      <c r="L55" s="425"/>
      <c r="M55" s="425"/>
    </row>
    <row r="56" spans="2:13" x14ac:dyDescent="0.2">
      <c r="B56" s="466" t="s">
        <v>631</v>
      </c>
      <c r="C56" s="425"/>
      <c r="D56" s="425"/>
      <c r="E56" s="425"/>
      <c r="F56" s="425"/>
      <c r="G56" s="425"/>
      <c r="H56" s="425"/>
      <c r="I56" s="425"/>
      <c r="J56" s="425"/>
      <c r="K56" s="425"/>
      <c r="L56" s="425"/>
      <c r="M56" s="425"/>
    </row>
    <row r="57" spans="2:13" x14ac:dyDescent="0.2">
      <c r="B57" s="424" t="s">
        <v>21</v>
      </c>
      <c r="C57" s="425"/>
      <c r="D57" s="425"/>
      <c r="E57" s="425"/>
      <c r="F57" s="425"/>
      <c r="G57" s="425"/>
      <c r="H57" s="425"/>
      <c r="I57" s="425"/>
      <c r="J57" s="425"/>
      <c r="K57" s="425"/>
      <c r="L57" s="425"/>
      <c r="M57" s="425"/>
    </row>
    <row r="58" spans="2:13" x14ac:dyDescent="0.2">
      <c r="B58" s="426"/>
      <c r="C58" s="427" t="s">
        <v>22</v>
      </c>
      <c r="D58" s="428"/>
      <c r="E58" s="429" t="s">
        <v>23</v>
      </c>
      <c r="F58" s="427"/>
      <c r="G58" s="428"/>
      <c r="H58" s="429" t="s">
        <v>24</v>
      </c>
      <c r="I58" s="427"/>
      <c r="J58" s="428"/>
      <c r="K58" s="440" t="s">
        <v>25</v>
      </c>
      <c r="L58" s="427"/>
      <c r="M58" s="428"/>
    </row>
    <row r="59" spans="2:13" x14ac:dyDescent="0.2">
      <c r="B59" s="430"/>
      <c r="C59" s="431" t="s">
        <v>26</v>
      </c>
      <c r="D59" s="431" t="s">
        <v>27</v>
      </c>
      <c r="E59" s="432" t="s">
        <v>28</v>
      </c>
      <c r="F59" s="432" t="s">
        <v>29</v>
      </c>
      <c r="G59" s="431" t="s">
        <v>30</v>
      </c>
      <c r="H59" s="432" t="s">
        <v>28</v>
      </c>
      <c r="I59" s="432" t="s">
        <v>29</v>
      </c>
      <c r="J59" s="431" t="s">
        <v>30</v>
      </c>
      <c r="K59" s="468" t="s">
        <v>28</v>
      </c>
      <c r="L59" s="432" t="s">
        <v>29</v>
      </c>
      <c r="M59" s="431" t="s">
        <v>30</v>
      </c>
    </row>
    <row r="60" spans="2:13" x14ac:dyDescent="0.2">
      <c r="B60" s="433" t="s">
        <v>31</v>
      </c>
      <c r="C60" s="434">
        <v>1.1734</v>
      </c>
      <c r="D60" s="1276">
        <f>ROUND(+C60*E$10,2)</f>
        <v>90925.29</v>
      </c>
      <c r="E60" s="435"/>
      <c r="F60" s="435"/>
      <c r="G60" s="434"/>
      <c r="H60" s="435"/>
      <c r="I60" s="435"/>
      <c r="J60" s="434"/>
      <c r="K60" s="433"/>
      <c r="L60" s="435"/>
      <c r="M60" s="434"/>
    </row>
    <row r="61" spans="2:13" x14ac:dyDescent="0.2">
      <c r="B61" s="433" t="s">
        <v>7</v>
      </c>
      <c r="C61" s="434">
        <v>5.6500000000000002E-2</v>
      </c>
      <c r="D61" s="1276">
        <f>ROUND(+C61*E$10,2)</f>
        <v>4378.1099999999997</v>
      </c>
      <c r="E61" s="478">
        <v>6.3700000000000007E-2</v>
      </c>
      <c r="F61" s="478">
        <v>6.1600000000000002E-2</v>
      </c>
      <c r="G61" s="479">
        <v>0.13039999999999999</v>
      </c>
      <c r="H61" s="478">
        <v>0.11799999999999999</v>
      </c>
      <c r="I61" s="478">
        <v>0.22869999999999999</v>
      </c>
      <c r="J61" s="479">
        <v>0.28960000000000002</v>
      </c>
      <c r="K61" s="1168">
        <f>E$22-(E61*$E$10+H61*$E$14)</f>
        <v>587.46462199999951</v>
      </c>
      <c r="L61" s="1168">
        <f>E23-(F61*$E$10+I61*$E$14)</f>
        <v>754.44393999999738</v>
      </c>
      <c r="M61" s="1244">
        <f>E24-(G61*$E$10+J61*$E$14)</f>
        <v>1028.0000959999998</v>
      </c>
    </row>
    <row r="62" spans="2:13" x14ac:dyDescent="0.2">
      <c r="B62" s="433" t="s">
        <v>477</v>
      </c>
      <c r="C62" s="434">
        <v>3.9300000000000002E-2</v>
      </c>
      <c r="D62" s="1276">
        <f>ROUND(+C62*E$10,2)</f>
        <v>3045.31</v>
      </c>
      <c r="E62" s="478">
        <v>0.08</v>
      </c>
      <c r="F62" s="478">
        <v>7.8799999999999995E-2</v>
      </c>
      <c r="G62" s="479">
        <v>0.14760000000000001</v>
      </c>
      <c r="H62" s="478">
        <v>6.88E-2</v>
      </c>
      <c r="I62" s="478">
        <v>0.22869999999999999</v>
      </c>
      <c r="J62" s="479">
        <v>0.28960000000000002</v>
      </c>
      <c r="K62" s="1168">
        <f>E$25-(E62*$E$10+H62*$E$14)</f>
        <v>587.46017599999868</v>
      </c>
      <c r="L62" s="1168">
        <f>E26-(F62*$E$10+I62*$E$14)</f>
        <v>754.4376119999979</v>
      </c>
      <c r="M62" s="1244">
        <f>E27-(G62*$E$10+J62*$E$14)</f>
        <v>1028.003767999995</v>
      </c>
    </row>
    <row r="63" spans="2:13" x14ac:dyDescent="0.2">
      <c r="B63" s="433" t="s">
        <v>9</v>
      </c>
      <c r="C63" s="434">
        <v>7.6499999999999999E-2</v>
      </c>
      <c r="D63" s="1276">
        <f>ROUND(+C63*E$10,2)</f>
        <v>5927.89</v>
      </c>
      <c r="E63" s="478">
        <v>0.10290000000000001</v>
      </c>
      <c r="F63" s="478">
        <v>0.12540000000000001</v>
      </c>
      <c r="G63" s="479">
        <v>0.12970000000000001</v>
      </c>
      <c r="H63" s="478">
        <v>5.2900000000000003E-2</v>
      </c>
      <c r="I63" s="478">
        <v>0.19620000000000001</v>
      </c>
      <c r="J63" s="479">
        <v>0.28920000000000001</v>
      </c>
      <c r="K63" s="1168">
        <f>E$28-(E63*$E$10+H63*$E$14)</f>
        <v>664.0299619999987</v>
      </c>
      <c r="L63" s="1168">
        <f>E29-(F63*$E$10+I63*$E$14)</f>
        <v>884.75042799999574</v>
      </c>
      <c r="M63" s="1244">
        <f>E30-(G63*$E$10+J63*$E$14)</f>
        <v>1049.7332059999972</v>
      </c>
    </row>
    <row r="64" spans="2:13" x14ac:dyDescent="0.2">
      <c r="B64" s="433" t="s">
        <v>344</v>
      </c>
      <c r="C64" s="434">
        <v>3.85E-2</v>
      </c>
      <c r="D64" s="1276">
        <f>ROUND(+C64*E$10,2)</f>
        <v>2983.32</v>
      </c>
      <c r="E64" s="435"/>
      <c r="F64" s="435"/>
      <c r="G64" s="434"/>
      <c r="H64" s="435"/>
      <c r="I64" s="435"/>
      <c r="J64" s="434"/>
      <c r="K64" s="433"/>
      <c r="L64" s="435"/>
      <c r="M64" s="434"/>
    </row>
    <row r="65" spans="2:13" x14ac:dyDescent="0.2">
      <c r="B65" s="433" t="s">
        <v>10</v>
      </c>
      <c r="C65" s="434"/>
      <c r="D65" s="1280">
        <v>1059.98</v>
      </c>
      <c r="E65" s="435"/>
      <c r="F65" s="435"/>
      <c r="G65" s="434"/>
      <c r="H65" s="435"/>
      <c r="I65" s="435"/>
      <c r="J65" s="434"/>
      <c r="K65" s="433"/>
      <c r="L65" s="435"/>
      <c r="M65" s="434"/>
    </row>
    <row r="66" spans="2:13" x14ac:dyDescent="0.2">
      <c r="B66" s="436" t="s">
        <v>343</v>
      </c>
      <c r="C66" s="437"/>
      <c r="D66" s="1281">
        <v>160.9</v>
      </c>
      <c r="E66" s="438"/>
      <c r="F66" s="438"/>
      <c r="G66" s="437"/>
      <c r="H66" s="438"/>
      <c r="I66" s="438"/>
      <c r="J66" s="437"/>
      <c r="K66" s="436"/>
      <c r="L66" s="438"/>
      <c r="M66" s="437"/>
    </row>
    <row r="67" spans="2:13" x14ac:dyDescent="0.2">
      <c r="B67" s="439" t="s">
        <v>665</v>
      </c>
      <c r="C67" s="425"/>
      <c r="D67" s="425"/>
      <c r="E67" s="425"/>
      <c r="F67" s="425"/>
      <c r="G67" s="425"/>
      <c r="H67" s="425"/>
      <c r="I67" s="425"/>
      <c r="J67" s="425"/>
      <c r="K67" s="425"/>
      <c r="L67" s="425"/>
      <c r="M67" s="425"/>
    </row>
    <row r="68" spans="2:13" x14ac:dyDescent="0.2">
      <c r="B68" s="426"/>
      <c r="C68" s="1350" t="s">
        <v>32</v>
      </c>
      <c r="D68" s="1351"/>
      <c r="E68" s="1228"/>
      <c r="F68" s="440" t="s">
        <v>33</v>
      </c>
      <c r="G68" s="441"/>
      <c r="H68" s="442"/>
      <c r="I68" s="425"/>
      <c r="J68" s="425"/>
      <c r="K68" s="425"/>
      <c r="L68" s="425"/>
      <c r="M68" s="425"/>
    </row>
    <row r="69" spans="2:13" x14ac:dyDescent="0.2">
      <c r="B69" s="443"/>
      <c r="C69" s="444" t="s">
        <v>34</v>
      </c>
      <c r="D69" s="445" t="s">
        <v>35</v>
      </c>
      <c r="E69" s="1240" t="s">
        <v>592</v>
      </c>
      <c r="F69" s="430" t="s">
        <v>28</v>
      </c>
      <c r="G69" s="446" t="s">
        <v>29</v>
      </c>
      <c r="H69" s="447" t="s">
        <v>30</v>
      </c>
      <c r="I69" s="425"/>
      <c r="J69" s="425"/>
      <c r="K69" s="425"/>
      <c r="L69" s="425"/>
      <c r="M69" s="425"/>
    </row>
    <row r="70" spans="2:13" x14ac:dyDescent="0.2">
      <c r="B70" s="448" t="s">
        <v>36</v>
      </c>
      <c r="C70" s="1271">
        <f>ROUND(+C60*$E$15,2)</f>
        <v>31567.51</v>
      </c>
      <c r="D70" s="1271">
        <f>ROUND(+C60*$E$16,2)</f>
        <v>1429.96</v>
      </c>
      <c r="E70" s="1271">
        <f>C60*$E$10</f>
        <v>90925.287516000011</v>
      </c>
      <c r="F70" s="433"/>
      <c r="G70" s="435"/>
      <c r="H70" s="434"/>
      <c r="I70" s="425"/>
      <c r="J70" s="425"/>
      <c r="K70" s="425"/>
      <c r="L70" s="425"/>
      <c r="M70" s="425"/>
    </row>
    <row r="71" spans="2:13" x14ac:dyDescent="0.2">
      <c r="B71" s="450" t="s">
        <v>7</v>
      </c>
      <c r="C71" s="449">
        <f>ROUND(+C61*$E$15,2)</f>
        <v>1520</v>
      </c>
      <c r="D71" s="449">
        <f>ROUND(+C61*$E$16,2)</f>
        <v>68.849999999999994</v>
      </c>
      <c r="E71" s="449">
        <f>C61*$E$10</f>
        <v>4378.1138100000007</v>
      </c>
      <c r="F71" s="1329">
        <f t="shared" ref="F71:H73" si="1">+E61*$E$10+H61*$E$14+K61</f>
        <v>10736.44</v>
      </c>
      <c r="G71" s="1329">
        <f t="shared" si="1"/>
        <v>15631.14</v>
      </c>
      <c r="H71" s="1329">
        <f t="shared" si="1"/>
        <v>23926.33</v>
      </c>
      <c r="I71" s="425"/>
      <c r="J71" s="425"/>
      <c r="K71" s="425"/>
      <c r="L71" s="425"/>
      <c r="M71" s="425"/>
    </row>
    <row r="72" spans="2:13" x14ac:dyDescent="0.2">
      <c r="B72" s="450" t="s">
        <v>477</v>
      </c>
      <c r="C72" s="449">
        <f>ROUND(+C62*$E$15,2)</f>
        <v>1057.27</v>
      </c>
      <c r="D72" s="449">
        <f>ROUND(+C62*$E$16,2)</f>
        <v>47.89</v>
      </c>
      <c r="E72" s="449">
        <f>C62*$E$10</f>
        <v>3045.3074820000002</v>
      </c>
      <c r="F72" s="1329">
        <f t="shared" si="1"/>
        <v>9825.9699999999993</v>
      </c>
      <c r="G72" s="1329">
        <f t="shared" si="1"/>
        <v>16963.939999999999</v>
      </c>
      <c r="H72" s="1329">
        <f t="shared" si="1"/>
        <v>25259.14</v>
      </c>
      <c r="I72" s="425"/>
      <c r="J72" s="425"/>
      <c r="K72" s="425"/>
      <c r="L72" s="425"/>
      <c r="M72" s="425"/>
    </row>
    <row r="73" spans="2:13" x14ac:dyDescent="0.2">
      <c r="B73" s="450" t="s">
        <v>9</v>
      </c>
      <c r="C73" s="449">
        <f>ROUND(+C63*$E$15,2)</f>
        <v>2058.0500000000002</v>
      </c>
      <c r="D73" s="449">
        <f>ROUND(+C63*$E$16,2)</f>
        <v>93.23</v>
      </c>
      <c r="E73" s="449">
        <f>C63*$E$10</f>
        <v>5927.88861</v>
      </c>
      <c r="F73" s="1329">
        <f t="shared" si="1"/>
        <v>10974.61</v>
      </c>
      <c r="G73" s="1329">
        <f t="shared" si="1"/>
        <v>19269.46</v>
      </c>
      <c r="H73" s="1329">
        <f t="shared" si="1"/>
        <v>23876.15</v>
      </c>
      <c r="I73" s="425"/>
      <c r="J73" s="425"/>
      <c r="K73" s="425"/>
      <c r="L73" s="425"/>
      <c r="M73" s="425"/>
    </row>
    <row r="74" spans="2:13" x14ac:dyDescent="0.2">
      <c r="B74" s="451" t="s">
        <v>344</v>
      </c>
      <c r="C74" s="452">
        <f>ROUND(+C64*$E$15,2)</f>
        <v>1035.75</v>
      </c>
      <c r="D74" s="452">
        <f>ROUND(+C64*$E$16,2)</f>
        <v>46.92</v>
      </c>
      <c r="E74" s="452">
        <f>C64*$E$10</f>
        <v>2983.3164900000002</v>
      </c>
      <c r="F74" s="452"/>
      <c r="G74" s="452"/>
      <c r="H74" s="452"/>
      <c r="I74" s="425"/>
      <c r="J74" s="425"/>
      <c r="K74" s="425"/>
      <c r="L74" s="425"/>
      <c r="M74" s="425"/>
    </row>
    <row r="75" spans="2:13" x14ac:dyDescent="0.2">
      <c r="B75" s="453" t="s">
        <v>408</v>
      </c>
      <c r="C75" s="454"/>
      <c r="D75" s="435"/>
      <c r="E75" s="425"/>
      <c r="F75" s="425"/>
      <c r="G75" s="425"/>
      <c r="H75" s="425"/>
      <c r="I75" s="425"/>
      <c r="J75" s="425"/>
      <c r="K75" s="425"/>
      <c r="L75" s="425"/>
      <c r="M75" s="425"/>
    </row>
    <row r="76" spans="2:13" x14ac:dyDescent="0.2">
      <c r="B76" s="455" t="s">
        <v>37</v>
      </c>
      <c r="C76" s="456" t="s">
        <v>38</v>
      </c>
      <c r="D76" s="432" t="s">
        <v>39</v>
      </c>
      <c r="E76" s="432" t="s">
        <v>40</v>
      </c>
      <c r="F76" s="431" t="s">
        <v>41</v>
      </c>
      <c r="G76" s="425"/>
      <c r="H76" s="457"/>
      <c r="I76" s="425"/>
      <c r="J76" s="425"/>
      <c r="K76" s="425"/>
      <c r="L76" s="425"/>
      <c r="M76" s="425"/>
    </row>
    <row r="77" spans="2:13" x14ac:dyDescent="0.2">
      <c r="B77" s="458" t="s">
        <v>568</v>
      </c>
      <c r="C77" s="459">
        <f>E$11+E$12</f>
        <v>22363.8</v>
      </c>
      <c r="D77" s="459">
        <f>C77</f>
        <v>22363.8</v>
      </c>
      <c r="E77" s="459">
        <f>C78</f>
        <v>41749.599999999991</v>
      </c>
      <c r="F77" s="460">
        <f>E77</f>
        <v>41749.599999999991</v>
      </c>
      <c r="G77" s="425"/>
      <c r="H77" s="425"/>
      <c r="I77" s="425"/>
      <c r="J77" s="425"/>
      <c r="K77" s="425"/>
      <c r="L77" s="425"/>
      <c r="M77" s="425"/>
    </row>
    <row r="78" spans="2:13" x14ac:dyDescent="0.2">
      <c r="B78" s="461" t="s">
        <v>569</v>
      </c>
      <c r="C78" s="462">
        <f>+C$77+E$11</f>
        <v>41749.599999999991</v>
      </c>
      <c r="D78" s="462">
        <f>C78+E11</f>
        <v>61135.39999999998</v>
      </c>
      <c r="E78" s="462">
        <f>E77</f>
        <v>41749.599999999991</v>
      </c>
      <c r="F78" s="463">
        <f>D78</f>
        <v>61135.39999999998</v>
      </c>
      <c r="G78" s="425"/>
      <c r="H78" s="425"/>
      <c r="I78" s="425"/>
      <c r="J78" s="425"/>
      <c r="K78" s="425"/>
      <c r="L78" s="425"/>
      <c r="M78" s="425"/>
    </row>
    <row r="79" spans="2:13" x14ac:dyDescent="0.2">
      <c r="B79" s="464"/>
      <c r="C79" s="454"/>
      <c r="D79" s="435"/>
      <c r="E79" s="425"/>
      <c r="F79" s="425"/>
      <c r="G79" s="425"/>
      <c r="H79" s="425"/>
      <c r="I79" s="425"/>
      <c r="J79" s="425"/>
      <c r="K79" s="425"/>
      <c r="L79" s="425"/>
      <c r="M79" s="425"/>
    </row>
    <row r="80" spans="2:13" x14ac:dyDescent="0.2">
      <c r="B80" s="466" t="s">
        <v>651</v>
      </c>
      <c r="C80" s="425"/>
      <c r="D80" s="425"/>
      <c r="E80" s="425"/>
      <c r="F80" s="425"/>
      <c r="G80" s="425"/>
      <c r="H80" s="425"/>
      <c r="I80" s="425"/>
      <c r="J80" s="425"/>
      <c r="K80" s="425"/>
      <c r="L80" s="425"/>
      <c r="M80" s="425"/>
    </row>
    <row r="81" spans="2:13" x14ac:dyDescent="0.2">
      <c r="B81" s="424" t="s">
        <v>21</v>
      </c>
      <c r="C81" s="425"/>
      <c r="D81" s="425"/>
      <c r="E81" s="425"/>
      <c r="F81" s="425"/>
      <c r="G81" s="425"/>
      <c r="H81" s="425"/>
      <c r="I81" s="425"/>
      <c r="J81" s="425"/>
      <c r="K81" s="425"/>
      <c r="L81" s="425"/>
      <c r="M81" s="425"/>
    </row>
    <row r="82" spans="2:13" x14ac:dyDescent="0.2">
      <c r="B82" s="426"/>
      <c r="C82" s="427" t="s">
        <v>22</v>
      </c>
      <c r="D82" s="428"/>
      <c r="E82" s="429" t="s">
        <v>23</v>
      </c>
      <c r="F82" s="427"/>
      <c r="G82" s="428"/>
      <c r="H82" s="429" t="s">
        <v>24</v>
      </c>
      <c r="I82" s="427"/>
      <c r="J82" s="428"/>
      <c r="K82" s="440" t="s">
        <v>25</v>
      </c>
      <c r="L82" s="427"/>
      <c r="M82" s="428"/>
    </row>
    <row r="83" spans="2:13" x14ac:dyDescent="0.2">
      <c r="B83" s="430"/>
      <c r="C83" s="431" t="s">
        <v>26</v>
      </c>
      <c r="D83" s="431" t="s">
        <v>27</v>
      </c>
      <c r="E83" s="432" t="s">
        <v>28</v>
      </c>
      <c r="F83" s="432" t="s">
        <v>29</v>
      </c>
      <c r="G83" s="431" t="s">
        <v>30</v>
      </c>
      <c r="H83" s="432" t="s">
        <v>28</v>
      </c>
      <c r="I83" s="432" t="s">
        <v>29</v>
      </c>
      <c r="J83" s="431" t="s">
        <v>30</v>
      </c>
      <c r="K83" s="468" t="s">
        <v>28</v>
      </c>
      <c r="L83" s="432" t="s">
        <v>29</v>
      </c>
      <c r="M83" s="431" t="s">
        <v>30</v>
      </c>
    </row>
    <row r="84" spans="2:13" x14ac:dyDescent="0.2">
      <c r="B84" s="433" t="s">
        <v>31</v>
      </c>
      <c r="C84" s="434">
        <v>1.1734</v>
      </c>
      <c r="D84" s="1276">
        <f>ROUND(+C84*F$10,2)</f>
        <v>91586.31</v>
      </c>
      <c r="E84" s="435"/>
      <c r="F84" s="435"/>
      <c r="G84" s="434"/>
      <c r="H84" s="435"/>
      <c r="I84" s="435"/>
      <c r="J84" s="434"/>
      <c r="K84" s="433"/>
      <c r="L84" s="435"/>
      <c r="M84" s="434"/>
    </row>
    <row r="85" spans="2:13" x14ac:dyDescent="0.2">
      <c r="B85" s="433" t="s">
        <v>7</v>
      </c>
      <c r="C85" s="434">
        <v>5.6500000000000002E-2</v>
      </c>
      <c r="D85" s="1276">
        <f>ROUND(+C85*F$10,2)</f>
        <v>4409.9399999999996</v>
      </c>
      <c r="E85" s="478">
        <v>6.3700000000000007E-2</v>
      </c>
      <c r="F85" s="478">
        <v>6.1600000000000002E-2</v>
      </c>
      <c r="G85" s="479">
        <v>0.13039999999999999</v>
      </c>
      <c r="H85" s="478">
        <v>0.11799999999999999</v>
      </c>
      <c r="I85" s="478">
        <v>0.22869999999999999</v>
      </c>
      <c r="J85" s="479">
        <v>0.28960000000000002</v>
      </c>
      <c r="K85" s="1168">
        <f>F$22-($E85*$F$10+$H85*$F$14)</f>
        <v>591.7318039999991</v>
      </c>
      <c r="L85" s="1168">
        <f>F23-(F85*$F$10+I85*$F$14)</f>
        <v>759.92061699999977</v>
      </c>
      <c r="M85" s="1244">
        <f>F24-(G85*$F$10+J85*$F$14)</f>
        <v>1035.469728</v>
      </c>
    </row>
    <row r="86" spans="2:13" x14ac:dyDescent="0.2">
      <c r="B86" s="433" t="s">
        <v>477</v>
      </c>
      <c r="C86" s="434">
        <v>3.9300000000000002E-2</v>
      </c>
      <c r="D86" s="1276">
        <f>ROUND(+C86*F$10,2)</f>
        <v>3067.45</v>
      </c>
      <c r="E86" s="478">
        <v>0.08</v>
      </c>
      <c r="F86" s="478">
        <v>7.8799999999999995E-2</v>
      </c>
      <c r="G86" s="479">
        <v>0.14760000000000001</v>
      </c>
      <c r="H86" s="478">
        <v>6.88E-2</v>
      </c>
      <c r="I86" s="478">
        <v>0.22869999999999999</v>
      </c>
      <c r="J86" s="479">
        <v>0.28960000000000002</v>
      </c>
      <c r="K86" s="1168">
        <f>F$25-(E86*$F$10+H86*$F$14)</f>
        <v>591.72647999999936</v>
      </c>
      <c r="L86" s="1168">
        <f>F26-(F86*$F$10+I86*$F$14)</f>
        <v>759.92484100000001</v>
      </c>
      <c r="M86" s="1244">
        <f>F27-(G86*$F$10+J86*$F$14)</f>
        <v>1035.4739519999966</v>
      </c>
    </row>
    <row r="87" spans="2:13" x14ac:dyDescent="0.2">
      <c r="B87" s="433" t="s">
        <v>9</v>
      </c>
      <c r="C87" s="434">
        <v>7.6499999999999999E-2</v>
      </c>
      <c r="D87" s="1276">
        <f>ROUND(+C87*F$10,2)</f>
        <v>5970.98</v>
      </c>
      <c r="E87" s="478">
        <v>0.10290000000000001</v>
      </c>
      <c r="F87" s="478">
        <v>0.12540000000000001</v>
      </c>
      <c r="G87" s="479">
        <v>0.12970000000000001</v>
      </c>
      <c r="H87" s="478">
        <v>5.2900000000000003E-2</v>
      </c>
      <c r="I87" s="478">
        <v>0.19620000000000001</v>
      </c>
      <c r="J87" s="479">
        <v>0.28920000000000001</v>
      </c>
      <c r="K87" s="1168">
        <f>F$28-(E87*$F$10+H87*$F$14)</f>
        <v>668.86238299999786</v>
      </c>
      <c r="L87" s="1168">
        <f>F29-(F87*$F$10+I87*$F$14)</f>
        <v>891.18403799999578</v>
      </c>
      <c r="M87" s="1244">
        <f>F30-(G87*$F$10+J87*$F$14)</f>
        <v>1057.3556439999993</v>
      </c>
    </row>
    <row r="88" spans="2:13" x14ac:dyDescent="0.2">
      <c r="B88" s="433" t="s">
        <v>344</v>
      </c>
      <c r="C88" s="434">
        <v>3.85E-2</v>
      </c>
      <c r="D88" s="1276">
        <f>ROUND(+C88*F$10,2)</f>
        <v>3005.01</v>
      </c>
      <c r="E88" s="435"/>
      <c r="F88" s="435"/>
      <c r="G88" s="434"/>
      <c r="H88" s="435"/>
      <c r="I88" s="435"/>
      <c r="J88" s="434"/>
      <c r="K88" s="433"/>
      <c r="L88" s="435"/>
      <c r="M88" s="434"/>
    </row>
    <row r="89" spans="2:13" x14ac:dyDescent="0.2">
      <c r="B89" s="433" t="s">
        <v>10</v>
      </c>
      <c r="C89" s="434"/>
      <c r="D89" s="1251">
        <v>1182.45</v>
      </c>
      <c r="E89" s="435"/>
      <c r="F89" s="435"/>
      <c r="G89" s="434"/>
      <c r="H89" s="435"/>
      <c r="I89" s="435"/>
      <c r="J89" s="434"/>
      <c r="K89" s="433"/>
      <c r="L89" s="435"/>
      <c r="M89" s="434"/>
    </row>
    <row r="90" spans="2:13" x14ac:dyDescent="0.2">
      <c r="B90" s="436" t="s">
        <v>343</v>
      </c>
      <c r="C90" s="437"/>
      <c r="D90" s="1190">
        <v>162.07</v>
      </c>
      <c r="E90" s="438"/>
      <c r="F90" s="438"/>
      <c r="G90" s="437"/>
      <c r="H90" s="438"/>
      <c r="I90" s="438"/>
      <c r="J90" s="437"/>
      <c r="K90" s="436"/>
      <c r="L90" s="438"/>
      <c r="M90" s="437"/>
    </row>
    <row r="91" spans="2:13" x14ac:dyDescent="0.2">
      <c r="B91" s="439" t="s">
        <v>666</v>
      </c>
      <c r="C91" s="425"/>
      <c r="D91" s="425"/>
      <c r="E91" s="425"/>
      <c r="F91" s="425"/>
      <c r="G91" s="425"/>
      <c r="H91" s="425"/>
      <c r="I91" s="425"/>
      <c r="J91" s="425"/>
      <c r="K91" s="425"/>
      <c r="L91" s="425"/>
      <c r="M91" s="425"/>
    </row>
    <row r="92" spans="2:13" x14ac:dyDescent="0.2">
      <c r="B92" s="426"/>
      <c r="C92" s="1350" t="s">
        <v>32</v>
      </c>
      <c r="D92" s="1351"/>
      <c r="E92" s="1228"/>
      <c r="F92" s="440" t="s">
        <v>33</v>
      </c>
      <c r="G92" s="441"/>
      <c r="H92" s="442"/>
      <c r="I92" s="425"/>
      <c r="J92" s="425"/>
      <c r="K92" s="425"/>
      <c r="L92" s="425"/>
      <c r="M92" s="425"/>
    </row>
    <row r="93" spans="2:13" x14ac:dyDescent="0.2">
      <c r="B93" s="443"/>
      <c r="C93" s="444" t="s">
        <v>34</v>
      </c>
      <c r="D93" s="445" t="s">
        <v>35</v>
      </c>
      <c r="E93" s="1290" t="s">
        <v>592</v>
      </c>
      <c r="F93" s="430" t="s">
        <v>28</v>
      </c>
      <c r="G93" s="446" t="s">
        <v>29</v>
      </c>
      <c r="H93" s="447" t="s">
        <v>30</v>
      </c>
      <c r="I93" s="425"/>
      <c r="J93" s="425"/>
      <c r="K93" s="425"/>
      <c r="L93" s="425"/>
      <c r="M93" s="425"/>
    </row>
    <row r="94" spans="2:13" x14ac:dyDescent="0.2">
      <c r="B94" s="448" t="s">
        <v>36</v>
      </c>
      <c r="C94" s="1271">
        <f>ROUND(+C84*$F$15,2)</f>
        <v>31747.08</v>
      </c>
      <c r="D94" s="1271">
        <f>ROUND(+C84*$F$16,2)</f>
        <v>1438.1</v>
      </c>
      <c r="E94" s="1271">
        <f>C84*$F$10</f>
        <v>91586.310672000007</v>
      </c>
      <c r="F94" s="433"/>
      <c r="G94" s="435"/>
      <c r="H94" s="434"/>
      <c r="I94" s="425"/>
      <c r="J94" s="425"/>
      <c r="K94" s="425"/>
      <c r="L94" s="425"/>
      <c r="M94" s="425"/>
    </row>
    <row r="95" spans="2:13" x14ac:dyDescent="0.2">
      <c r="B95" s="450" t="s">
        <v>7</v>
      </c>
      <c r="C95" s="449">
        <f>ROUND(+C85*$F$15,2)</f>
        <v>1528.64</v>
      </c>
      <c r="D95" s="449">
        <f>ROUND(+C85*$F$16,2)</f>
        <v>69.25</v>
      </c>
      <c r="E95" s="449">
        <f>C85*$F$10</f>
        <v>4409.9425200000005</v>
      </c>
      <c r="F95" s="449">
        <f t="shared" ref="F95:H97" si="2">+E85*$F$10+H85*$F$14+K85</f>
        <v>10814.49</v>
      </c>
      <c r="G95" s="449">
        <f t="shared" si="2"/>
        <v>15744.77</v>
      </c>
      <c r="H95" s="449">
        <f t="shared" si="2"/>
        <v>24100.27</v>
      </c>
      <c r="I95" s="425"/>
      <c r="J95" s="425"/>
      <c r="K95" s="425"/>
      <c r="L95" s="425"/>
      <c r="M95" s="425"/>
    </row>
    <row r="96" spans="2:13" x14ac:dyDescent="0.2">
      <c r="B96" s="450" t="s">
        <v>477</v>
      </c>
      <c r="C96" s="449">
        <f>ROUND(+C86*$F$15,2)</f>
        <v>1063.29</v>
      </c>
      <c r="D96" s="449">
        <f>ROUND(+C86*$F$16,2)</f>
        <v>48.17</v>
      </c>
      <c r="E96" s="449">
        <f>C86*$F$10</f>
        <v>3067.4467440000003</v>
      </c>
      <c r="F96" s="449">
        <f t="shared" si="2"/>
        <v>9897.4</v>
      </c>
      <c r="G96" s="449">
        <f t="shared" si="2"/>
        <v>17087.27</v>
      </c>
      <c r="H96" s="449">
        <f t="shared" si="2"/>
        <v>25442.77</v>
      </c>
      <c r="I96" s="425"/>
      <c r="J96" s="425"/>
      <c r="K96" s="425"/>
      <c r="L96" s="425"/>
      <c r="M96" s="425"/>
    </row>
    <row r="97" spans="2:13" x14ac:dyDescent="0.2">
      <c r="B97" s="450" t="s">
        <v>9</v>
      </c>
      <c r="C97" s="449">
        <f>ROUND(+C87*$F$15,2)</f>
        <v>2069.7600000000002</v>
      </c>
      <c r="D97" s="449">
        <f>ROUND(+C87*$F$16,2)</f>
        <v>93.76</v>
      </c>
      <c r="E97" s="449">
        <f>C87*$F$10</f>
        <v>5970.9841200000001</v>
      </c>
      <c r="F97" s="449">
        <f>+E87*$F$10+H87*$F$14+K87</f>
        <v>11054.4</v>
      </c>
      <c r="G97" s="449">
        <f t="shared" si="2"/>
        <v>19409.55</v>
      </c>
      <c r="H97" s="449">
        <f t="shared" si="2"/>
        <v>24049.72</v>
      </c>
      <c r="I97" s="425"/>
      <c r="J97" s="425"/>
      <c r="K97" s="425"/>
      <c r="L97" s="425"/>
      <c r="M97" s="425"/>
    </row>
    <row r="98" spans="2:13" x14ac:dyDescent="0.2">
      <c r="B98" s="451" t="s">
        <v>344</v>
      </c>
      <c r="C98" s="452">
        <f>ROUND(+C88*$F$15,2)</f>
        <v>1041.6400000000001</v>
      </c>
      <c r="D98" s="452">
        <f>ROUND(+C88*$F$16,2)</f>
        <v>47.18</v>
      </c>
      <c r="E98" s="452">
        <f>C88*$F$10</f>
        <v>3005.0050799999999</v>
      </c>
      <c r="F98" s="452"/>
      <c r="G98" s="452"/>
      <c r="H98" s="452"/>
      <c r="I98" s="425"/>
      <c r="J98" s="425"/>
      <c r="K98" s="425"/>
      <c r="L98" s="425"/>
      <c r="M98" s="425"/>
    </row>
    <row r="99" spans="2:13" x14ac:dyDescent="0.2">
      <c r="B99" s="453" t="s">
        <v>408</v>
      </c>
      <c r="C99" s="454"/>
      <c r="D99" s="435"/>
      <c r="E99" s="425"/>
      <c r="F99" s="425"/>
      <c r="G99" s="425"/>
      <c r="H99" s="425"/>
      <c r="I99" s="425"/>
      <c r="J99" s="425"/>
      <c r="K99" s="425"/>
      <c r="L99" s="425"/>
      <c r="M99" s="425"/>
    </row>
    <row r="100" spans="2:13" x14ac:dyDescent="0.2">
      <c r="B100" s="455" t="s">
        <v>37</v>
      </c>
      <c r="C100" s="456" t="s">
        <v>38</v>
      </c>
      <c r="D100" s="432" t="s">
        <v>39</v>
      </c>
      <c r="E100" s="432" t="s">
        <v>40</v>
      </c>
      <c r="F100" s="431" t="s">
        <v>41</v>
      </c>
      <c r="G100" s="425"/>
      <c r="H100" s="457"/>
      <c r="I100" s="425"/>
      <c r="J100" s="425"/>
      <c r="K100" s="425"/>
      <c r="L100" s="425"/>
      <c r="M100" s="425"/>
    </row>
    <row r="101" spans="2:13" x14ac:dyDescent="0.2">
      <c r="B101" s="458" t="s">
        <v>568</v>
      </c>
      <c r="C101" s="459">
        <f>F$11+F$12</f>
        <v>22526.74</v>
      </c>
      <c r="D101" s="459">
        <f>C101</f>
        <v>22526.74</v>
      </c>
      <c r="E101" s="459">
        <f>C102</f>
        <v>42053.48000000001</v>
      </c>
      <c r="F101" s="460">
        <f>E101</f>
        <v>42053.48000000001</v>
      </c>
      <c r="G101" s="425"/>
      <c r="H101" s="425"/>
      <c r="I101" s="425"/>
      <c r="J101" s="425"/>
      <c r="K101" s="425"/>
      <c r="L101" s="425"/>
      <c r="M101" s="425"/>
    </row>
    <row r="102" spans="2:13" x14ac:dyDescent="0.2">
      <c r="B102" s="461" t="s">
        <v>569</v>
      </c>
      <c r="C102" s="462">
        <f>2*F11+F12</f>
        <v>42053.48000000001</v>
      </c>
      <c r="D102" s="462">
        <f>C102+F11</f>
        <v>61580.220000000016</v>
      </c>
      <c r="E102" s="462">
        <f>E101</f>
        <v>42053.48000000001</v>
      </c>
      <c r="F102" s="463">
        <f>D102</f>
        <v>61580.220000000016</v>
      </c>
      <c r="G102" s="425"/>
      <c r="H102" s="425"/>
      <c r="I102" s="425"/>
      <c r="J102" s="425"/>
      <c r="K102" s="425"/>
      <c r="L102" s="425"/>
      <c r="M102" s="425"/>
    </row>
    <row r="103" spans="2:13" x14ac:dyDescent="0.2">
      <c r="B103" s="1296"/>
      <c r="C103" s="459"/>
      <c r="D103" s="459"/>
      <c r="E103" s="459"/>
      <c r="F103" s="459"/>
      <c r="G103" s="425"/>
      <c r="H103" s="425"/>
      <c r="I103" s="425"/>
      <c r="J103" s="425"/>
      <c r="K103" s="425"/>
      <c r="L103" s="425"/>
      <c r="M103" s="425"/>
    </row>
    <row r="104" spans="2:13" x14ac:dyDescent="0.2">
      <c r="B104" s="1166" t="s">
        <v>634</v>
      </c>
      <c r="C104" s="420" t="s">
        <v>632</v>
      </c>
      <c r="D104" s="420" t="s">
        <v>633</v>
      </c>
      <c r="E104" s="420" t="s">
        <v>652</v>
      </c>
    </row>
    <row r="105" spans="2:13" x14ac:dyDescent="0.2">
      <c r="B105" s="420" t="s">
        <v>89</v>
      </c>
      <c r="C105" s="1277">
        <v>38520.519999999997</v>
      </c>
      <c r="D105" s="1277">
        <v>39736.230000000003</v>
      </c>
      <c r="E105" s="502">
        <v>40025.11</v>
      </c>
    </row>
    <row r="106" spans="2:13" x14ac:dyDescent="0.2">
      <c r="B106" s="420" t="s">
        <v>87</v>
      </c>
      <c r="C106" s="1277">
        <v>4384.17</v>
      </c>
      <c r="D106" s="1277">
        <v>4571.1899999999996</v>
      </c>
      <c r="E106" s="1292">
        <v>4629.1899999999996</v>
      </c>
      <c r="G106" s="472"/>
      <c r="H106" s="472"/>
    </row>
    <row r="107" spans="2:13" x14ac:dyDescent="0.2">
      <c r="B107" s="1166" t="s">
        <v>90</v>
      </c>
      <c r="C107" s="423"/>
      <c r="D107" s="423"/>
      <c r="G107" s="472"/>
      <c r="H107" s="472"/>
    </row>
    <row r="108" spans="2:13" x14ac:dyDescent="0.2">
      <c r="B108" s="420" t="s">
        <v>91</v>
      </c>
      <c r="C108" s="1277">
        <v>17148.72</v>
      </c>
      <c r="D108" s="1277">
        <v>17962.48</v>
      </c>
      <c r="E108" s="1292">
        <v>18207.830000000002</v>
      </c>
      <c r="G108" s="472"/>
      <c r="H108" s="472"/>
    </row>
    <row r="109" spans="2:13" x14ac:dyDescent="0.2">
      <c r="B109" s="420" t="s">
        <v>92</v>
      </c>
      <c r="C109" s="1277">
        <v>1880.11</v>
      </c>
      <c r="D109" s="1277">
        <v>1910.19</v>
      </c>
      <c r="E109" s="1292">
        <v>1933.11</v>
      </c>
      <c r="G109" s="472"/>
      <c r="H109" s="472"/>
    </row>
    <row r="110" spans="2:13" x14ac:dyDescent="0.2">
      <c r="C110" s="423"/>
    </row>
    <row r="111" spans="2:13" x14ac:dyDescent="0.2">
      <c r="B111" s="1166" t="s">
        <v>653</v>
      </c>
      <c r="C111" s="423"/>
      <c r="D111" s="420" t="s">
        <v>633</v>
      </c>
      <c r="E111" s="420" t="s">
        <v>652</v>
      </c>
    </row>
    <row r="112" spans="2:13" x14ac:dyDescent="0.2">
      <c r="B112" s="420" t="s">
        <v>654</v>
      </c>
      <c r="C112" s="423"/>
      <c r="D112" s="1331">
        <v>900</v>
      </c>
      <c r="E112" s="1323">
        <v>925</v>
      </c>
    </row>
    <row r="113" spans="2:9" x14ac:dyDescent="0.2">
      <c r="C113" s="423"/>
    </row>
    <row r="114" spans="2:9" x14ac:dyDescent="0.2">
      <c r="C114" s="423"/>
    </row>
    <row r="115" spans="2:9" x14ac:dyDescent="0.2">
      <c r="C115" s="423"/>
    </row>
    <row r="116" spans="2:9" x14ac:dyDescent="0.2">
      <c r="C116" s="423"/>
    </row>
    <row r="117" spans="2:9" x14ac:dyDescent="0.2">
      <c r="B117" s="45" t="s">
        <v>650</v>
      </c>
      <c r="C117" s="46"/>
      <c r="D117" s="47"/>
    </row>
    <row r="118" spans="2:9" x14ac:dyDescent="0.2">
      <c r="B118" s="48" t="s">
        <v>94</v>
      </c>
      <c r="C118" s="1277">
        <v>199.94</v>
      </c>
      <c r="D118" s="1277">
        <v>214.22</v>
      </c>
    </row>
    <row r="119" spans="2:9" x14ac:dyDescent="0.2">
      <c r="B119" s="420" t="s">
        <v>649</v>
      </c>
      <c r="E119" s="1292">
        <v>94.2</v>
      </c>
    </row>
    <row r="121" spans="2:9" x14ac:dyDescent="0.2">
      <c r="B121" s="1230" t="s">
        <v>641</v>
      </c>
      <c r="C121" s="1272"/>
      <c r="D121" s="1332">
        <v>282.77</v>
      </c>
      <c r="E121" s="465"/>
      <c r="F121" s="465"/>
    </row>
    <row r="122" spans="2:9" x14ac:dyDescent="0.2">
      <c r="E122" s="465"/>
      <c r="F122" s="465"/>
    </row>
    <row r="123" spans="2:9" x14ac:dyDescent="0.2">
      <c r="B123" s="466" t="s">
        <v>585</v>
      </c>
      <c r="C123" s="1201">
        <v>1.4999999999999999E-2</v>
      </c>
      <c r="D123" s="425"/>
      <c r="E123" s="425"/>
      <c r="F123" s="425"/>
      <c r="G123" s="425"/>
      <c r="H123" s="425"/>
      <c r="I123" s="425"/>
    </row>
    <row r="124" spans="2:9" x14ac:dyDescent="0.2">
      <c r="B124" s="1348" t="s">
        <v>42</v>
      </c>
      <c r="C124" s="1349"/>
      <c r="D124" s="1349"/>
      <c r="E124" s="1349"/>
      <c r="F124" s="467"/>
      <c r="G124" s="440" t="s">
        <v>43</v>
      </c>
      <c r="H124" s="441"/>
      <c r="I124" s="442"/>
    </row>
    <row r="125" spans="2:9" x14ac:dyDescent="0.2">
      <c r="B125" s="468" t="s">
        <v>44</v>
      </c>
      <c r="C125" s="432" t="s">
        <v>5</v>
      </c>
      <c r="D125" s="432" t="s">
        <v>12</v>
      </c>
      <c r="E125" s="432" t="s">
        <v>13</v>
      </c>
      <c r="F125" s="431" t="s">
        <v>97</v>
      </c>
      <c r="G125" s="443" t="s">
        <v>28</v>
      </c>
      <c r="H125" s="469" t="s">
        <v>29</v>
      </c>
      <c r="I125" s="470" t="s">
        <v>30</v>
      </c>
    </row>
    <row r="126" spans="2:9" x14ac:dyDescent="0.2">
      <c r="B126" s="471" t="s">
        <v>45</v>
      </c>
      <c r="C126" s="454">
        <v>19657.740000000002</v>
      </c>
      <c r="D126" s="454">
        <v>8486.2800000000007</v>
      </c>
      <c r="E126" s="454">
        <v>14974.52</v>
      </c>
      <c r="F126" s="454">
        <v>23460.800000000003</v>
      </c>
      <c r="G126" s="426"/>
      <c r="H126" s="427"/>
      <c r="I126" s="428"/>
    </row>
    <row r="127" spans="2:9" x14ac:dyDescent="0.2">
      <c r="B127" s="49" t="s">
        <v>46</v>
      </c>
      <c r="C127" s="454">
        <v>28102.93</v>
      </c>
      <c r="D127" s="454">
        <v>21231.69</v>
      </c>
      <c r="E127" s="454">
        <v>21140.720000000001</v>
      </c>
      <c r="F127" s="454">
        <v>42372.41</v>
      </c>
      <c r="G127" s="433"/>
      <c r="H127" s="435"/>
      <c r="I127" s="434"/>
    </row>
    <row r="128" spans="2:9" x14ac:dyDescent="0.2">
      <c r="B128" s="471" t="s">
        <v>81</v>
      </c>
      <c r="C128" s="454">
        <v>21603.65</v>
      </c>
      <c r="D128" s="454">
        <v>8980.65</v>
      </c>
      <c r="E128" s="454">
        <v>14008.59</v>
      </c>
      <c r="F128" s="454">
        <v>22989.239999999998</v>
      </c>
      <c r="G128" s="433"/>
      <c r="H128" s="435"/>
      <c r="I128" s="434"/>
    </row>
    <row r="129" spans="2:9" x14ac:dyDescent="0.2">
      <c r="B129" s="471" t="s">
        <v>83</v>
      </c>
      <c r="C129" s="454">
        <v>25546.22</v>
      </c>
      <c r="D129" s="454">
        <v>7505.2</v>
      </c>
      <c r="E129" s="454">
        <v>10325.6</v>
      </c>
      <c r="F129" s="454">
        <v>17830.8</v>
      </c>
      <c r="G129" s="433"/>
      <c r="H129" s="435"/>
      <c r="I129" s="434"/>
    </row>
    <row r="130" spans="2:9" x14ac:dyDescent="0.2">
      <c r="B130" s="49" t="s">
        <v>47</v>
      </c>
      <c r="C130" s="454">
        <v>20906.32</v>
      </c>
      <c r="D130" s="454">
        <v>10808.38</v>
      </c>
      <c r="E130" s="454">
        <v>13562.59</v>
      </c>
      <c r="F130" s="454">
        <v>24370.97</v>
      </c>
      <c r="G130" s="433"/>
      <c r="H130" s="435"/>
      <c r="I130" s="434"/>
    </row>
    <row r="131" spans="2:9" x14ac:dyDescent="0.2">
      <c r="B131" s="433" t="s">
        <v>425</v>
      </c>
      <c r="C131" s="477"/>
      <c r="D131" s="454">
        <v>4129.12</v>
      </c>
      <c r="E131" s="435"/>
      <c r="F131" s="434"/>
      <c r="G131" s="433"/>
      <c r="H131" s="435"/>
      <c r="I131" s="434"/>
    </row>
    <row r="132" spans="2:9" x14ac:dyDescent="0.2">
      <c r="B132" s="473" t="s">
        <v>7</v>
      </c>
      <c r="C132" s="454">
        <v>692.67</v>
      </c>
      <c r="D132" s="1142"/>
      <c r="E132" s="1142"/>
      <c r="F132" s="1143"/>
      <c r="G132" s="1203">
        <v>769.6</v>
      </c>
      <c r="H132" s="1203">
        <v>1258.58</v>
      </c>
      <c r="I132" s="1204">
        <v>1647.85</v>
      </c>
    </row>
    <row r="133" spans="2:9" x14ac:dyDescent="0.2">
      <c r="B133" s="473" t="s">
        <v>477</v>
      </c>
      <c r="C133" s="454">
        <v>609.14</v>
      </c>
      <c r="D133" s="1142"/>
      <c r="E133" s="1142"/>
      <c r="F133" s="1143"/>
      <c r="G133" s="1203">
        <v>855.16</v>
      </c>
      <c r="H133" s="1203">
        <v>1342.65</v>
      </c>
      <c r="I133" s="1204">
        <v>1641.21</v>
      </c>
    </row>
    <row r="134" spans="2:9" x14ac:dyDescent="0.2">
      <c r="B134" s="443" t="s">
        <v>9</v>
      </c>
      <c r="C134" s="1227">
        <v>1253.02</v>
      </c>
      <c r="D134" s="1144"/>
      <c r="E134" s="1144"/>
      <c r="F134" s="1145"/>
      <c r="G134" s="1205">
        <v>637.33000000000004</v>
      </c>
      <c r="H134" s="1205">
        <v>991.33</v>
      </c>
      <c r="I134" s="1206">
        <v>1149.42</v>
      </c>
    </row>
    <row r="135" spans="2:9" s="472" customFormat="1" ht="12.75" customHeight="1" x14ac:dyDescent="0.2"/>
    <row r="136" spans="2:9" x14ac:dyDescent="0.2">
      <c r="B136" s="466" t="s">
        <v>600</v>
      </c>
      <c r="C136" s="1201">
        <v>1.6E-2</v>
      </c>
      <c r="D136" s="425"/>
      <c r="E136" s="425"/>
      <c r="F136" s="425"/>
      <c r="G136" s="425"/>
      <c r="H136" s="425"/>
      <c r="I136" s="425"/>
    </row>
    <row r="137" spans="2:9" x14ac:dyDescent="0.2">
      <c r="B137" s="1348" t="s">
        <v>42</v>
      </c>
      <c r="C137" s="1349"/>
      <c r="D137" s="1349"/>
      <c r="E137" s="1349"/>
      <c r="F137" s="467"/>
      <c r="G137" s="440" t="s">
        <v>43</v>
      </c>
      <c r="H137" s="441"/>
      <c r="I137" s="442"/>
    </row>
    <row r="138" spans="2:9" x14ac:dyDescent="0.2">
      <c r="B138" s="468" t="s">
        <v>44</v>
      </c>
      <c r="C138" s="432" t="s">
        <v>5</v>
      </c>
      <c r="D138" s="432" t="s">
        <v>12</v>
      </c>
      <c r="E138" s="432" t="s">
        <v>13</v>
      </c>
      <c r="F138" s="431" t="s">
        <v>97</v>
      </c>
      <c r="G138" s="443" t="s">
        <v>28</v>
      </c>
      <c r="H138" s="469" t="s">
        <v>29</v>
      </c>
      <c r="I138" s="470" t="s">
        <v>30</v>
      </c>
    </row>
    <row r="139" spans="2:9" x14ac:dyDescent="0.2">
      <c r="B139" s="471" t="s">
        <v>45</v>
      </c>
      <c r="C139" s="454">
        <f>ROUND(+C126*(1+$C$136),2)</f>
        <v>19972.259999999998</v>
      </c>
      <c r="D139" s="454">
        <f>ROUND(+D126*(1+$C$136),2)</f>
        <v>8622.06</v>
      </c>
      <c r="E139" s="454">
        <f>ROUND(+E126*(1+$C$136),2)</f>
        <v>15214.11</v>
      </c>
      <c r="F139" s="454">
        <f>D139+E139</f>
        <v>23836.17</v>
      </c>
      <c r="G139" s="426"/>
      <c r="H139" s="427"/>
      <c r="I139" s="428"/>
    </row>
    <row r="140" spans="2:9" x14ac:dyDescent="0.2">
      <c r="B140" s="49" t="s">
        <v>46</v>
      </c>
      <c r="C140" s="454">
        <f t="shared" ref="C140:E143" si="3">ROUND(+C127*(1+$C$136),2)</f>
        <v>28552.58</v>
      </c>
      <c r="D140" s="454">
        <f t="shared" si="3"/>
        <v>21571.4</v>
      </c>
      <c r="E140" s="454">
        <f t="shared" si="3"/>
        <v>21478.97</v>
      </c>
      <c r="F140" s="454">
        <f>D140+E140</f>
        <v>43050.37</v>
      </c>
      <c r="G140" s="433"/>
      <c r="H140" s="435"/>
      <c r="I140" s="434"/>
    </row>
    <row r="141" spans="2:9" x14ac:dyDescent="0.2">
      <c r="B141" s="471" t="s">
        <v>81</v>
      </c>
      <c r="C141" s="454">
        <f t="shared" si="3"/>
        <v>21949.31</v>
      </c>
      <c r="D141" s="454">
        <f t="shared" si="3"/>
        <v>9124.34</v>
      </c>
      <c r="E141" s="454">
        <f t="shared" si="3"/>
        <v>14232.73</v>
      </c>
      <c r="F141" s="454">
        <f>D141+E141</f>
        <v>23357.07</v>
      </c>
      <c r="G141" s="433"/>
      <c r="H141" s="435"/>
      <c r="I141" s="434"/>
    </row>
    <row r="142" spans="2:9" x14ac:dyDescent="0.2">
      <c r="B142" s="471" t="s">
        <v>83</v>
      </c>
      <c r="C142" s="454">
        <f t="shared" si="3"/>
        <v>25954.959999999999</v>
      </c>
      <c r="D142" s="454">
        <f t="shared" si="3"/>
        <v>7625.28</v>
      </c>
      <c r="E142" s="454">
        <f t="shared" si="3"/>
        <v>10490.81</v>
      </c>
      <c r="F142" s="454">
        <f>D142+E142</f>
        <v>18116.09</v>
      </c>
      <c r="G142" s="433"/>
      <c r="H142" s="435"/>
      <c r="I142" s="434"/>
    </row>
    <row r="143" spans="2:9" x14ac:dyDescent="0.2">
      <c r="B143" s="49" t="s">
        <v>47</v>
      </c>
      <c r="C143" s="454">
        <f t="shared" si="3"/>
        <v>21240.82</v>
      </c>
      <c r="D143" s="454">
        <f t="shared" si="3"/>
        <v>10981.31</v>
      </c>
      <c r="E143" s="454">
        <f t="shared" si="3"/>
        <v>13779.59</v>
      </c>
      <c r="F143" s="454">
        <f>D143+E143</f>
        <v>24760.9</v>
      </c>
      <c r="G143" s="433"/>
      <c r="H143" s="435"/>
      <c r="I143" s="434"/>
    </row>
    <row r="144" spans="2:9" x14ac:dyDescent="0.2">
      <c r="B144" s="433" t="s">
        <v>425</v>
      </c>
      <c r="C144" s="477"/>
      <c r="D144" s="454">
        <f>ROUND(+D131*(1+$C$136),2)</f>
        <v>4195.1899999999996</v>
      </c>
      <c r="E144" s="435"/>
      <c r="F144" s="434"/>
      <c r="G144" s="433"/>
      <c r="H144" s="435"/>
      <c r="I144" s="434"/>
    </row>
    <row r="145" spans="2:9" x14ac:dyDescent="0.2">
      <c r="B145" s="473" t="s">
        <v>7</v>
      </c>
      <c r="C145" s="454">
        <f>ROUND(+C132*(1+$C$136),2)</f>
        <v>703.75</v>
      </c>
      <c r="D145" s="1142"/>
      <c r="E145" s="1142"/>
      <c r="F145" s="1143"/>
      <c r="G145" s="1203">
        <f>ROUND(G132*(1+$C$136),2)</f>
        <v>781.91</v>
      </c>
      <c r="H145" s="1203">
        <f>ROUND(H132*(1+$C$136),2)</f>
        <v>1278.72</v>
      </c>
      <c r="I145" s="1204">
        <f>ROUND(I132*(1+$C$136),2)</f>
        <v>1674.22</v>
      </c>
    </row>
    <row r="146" spans="2:9" x14ac:dyDescent="0.2">
      <c r="B146" s="473" t="s">
        <v>477</v>
      </c>
      <c r="C146" s="454">
        <f>ROUND(+C133*(1+$C$136),2)</f>
        <v>618.89</v>
      </c>
      <c r="D146" s="1142"/>
      <c r="E146" s="1142"/>
      <c r="F146" s="1143"/>
      <c r="G146" s="1203">
        <f t="shared" ref="G146:I147" si="4">ROUND(G133*(1+$C$136),2)</f>
        <v>868.84</v>
      </c>
      <c r="H146" s="1203">
        <f t="shared" si="4"/>
        <v>1364.13</v>
      </c>
      <c r="I146" s="1204">
        <f t="shared" si="4"/>
        <v>1667.47</v>
      </c>
    </row>
    <row r="147" spans="2:9" x14ac:dyDescent="0.2">
      <c r="B147" s="443" t="s">
        <v>9</v>
      </c>
      <c r="C147" s="1227">
        <f>ROUND(+C134*(1+$C$136),2)</f>
        <v>1273.07</v>
      </c>
      <c r="D147" s="1144"/>
      <c r="E147" s="1144"/>
      <c r="F147" s="1145"/>
      <c r="G147" s="1205">
        <f t="shared" si="4"/>
        <v>647.53</v>
      </c>
      <c r="H147" s="1205">
        <f t="shared" si="4"/>
        <v>1007.19</v>
      </c>
      <c r="I147" s="1206">
        <f t="shared" si="4"/>
        <v>1167.81</v>
      </c>
    </row>
    <row r="148" spans="2:9" x14ac:dyDescent="0.2">
      <c r="B148" s="464"/>
      <c r="C148" s="454"/>
      <c r="D148" s="1142"/>
      <c r="E148" s="1142"/>
      <c r="F148" s="1142"/>
      <c r="G148" s="1202"/>
      <c r="H148" s="1202"/>
      <c r="I148" s="1202"/>
    </row>
    <row r="149" spans="2:9" x14ac:dyDescent="0.2">
      <c r="B149" s="466" t="s">
        <v>629</v>
      </c>
      <c r="C149" s="1334">
        <v>1.2E-2</v>
      </c>
      <c r="D149" s="425"/>
      <c r="E149" s="425"/>
      <c r="F149" s="425"/>
      <c r="G149" s="425"/>
      <c r="H149" s="425"/>
      <c r="I149" s="425"/>
    </row>
    <row r="150" spans="2:9" x14ac:dyDescent="0.2">
      <c r="B150" s="1348" t="s">
        <v>42</v>
      </c>
      <c r="C150" s="1349"/>
      <c r="D150" s="1349"/>
      <c r="E150" s="1349"/>
      <c r="F150" s="467"/>
      <c r="G150" s="440" t="s">
        <v>43</v>
      </c>
      <c r="H150" s="441"/>
      <c r="I150" s="442"/>
    </row>
    <row r="151" spans="2:9" x14ac:dyDescent="0.2">
      <c r="B151" s="468" t="s">
        <v>44</v>
      </c>
      <c r="C151" s="432" t="s">
        <v>5</v>
      </c>
      <c r="D151" s="432" t="s">
        <v>12</v>
      </c>
      <c r="E151" s="432" t="s">
        <v>13</v>
      </c>
      <c r="F151" s="431" t="s">
        <v>97</v>
      </c>
      <c r="G151" s="443" t="s">
        <v>28</v>
      </c>
      <c r="H151" s="469" t="s">
        <v>29</v>
      </c>
      <c r="I151" s="470" t="s">
        <v>30</v>
      </c>
    </row>
    <row r="152" spans="2:9" x14ac:dyDescent="0.2">
      <c r="B152" s="471" t="s">
        <v>45</v>
      </c>
      <c r="C152" s="454">
        <f>ROUND(+C139*(1+$C$149),2)</f>
        <v>20211.93</v>
      </c>
      <c r="D152" s="454">
        <f>ROUND(+D139*(1+$C$149),2)</f>
        <v>8725.52</v>
      </c>
      <c r="E152" s="454">
        <f>ROUND(+E139*(1+$C$149),2)</f>
        <v>15396.68</v>
      </c>
      <c r="F152" s="454">
        <f>D152+E152</f>
        <v>24122.2</v>
      </c>
      <c r="G152" s="426"/>
      <c r="H152" s="427"/>
      <c r="I152" s="428"/>
    </row>
    <row r="153" spans="2:9" x14ac:dyDescent="0.2">
      <c r="B153" s="49" t="s">
        <v>46</v>
      </c>
      <c r="C153" s="454">
        <f t="shared" ref="C153:E156" si="5">ROUND(+C140*(1+$C$149),2)</f>
        <v>28895.21</v>
      </c>
      <c r="D153" s="454">
        <f t="shared" si="5"/>
        <v>21830.26</v>
      </c>
      <c r="E153" s="454">
        <f t="shared" si="5"/>
        <v>21736.720000000001</v>
      </c>
      <c r="F153" s="454">
        <f t="shared" ref="F153:F156" si="6">D153+E153</f>
        <v>43566.979999999996</v>
      </c>
      <c r="G153" s="433"/>
      <c r="H153" s="435"/>
      <c r="I153" s="434"/>
    </row>
    <row r="154" spans="2:9" x14ac:dyDescent="0.2">
      <c r="B154" s="471" t="s">
        <v>81</v>
      </c>
      <c r="C154" s="454">
        <f t="shared" si="5"/>
        <v>22212.7</v>
      </c>
      <c r="D154" s="454">
        <f t="shared" si="5"/>
        <v>9233.83</v>
      </c>
      <c r="E154" s="454">
        <f t="shared" si="5"/>
        <v>14403.52</v>
      </c>
      <c r="F154" s="454">
        <f t="shared" si="6"/>
        <v>23637.35</v>
      </c>
      <c r="G154" s="433"/>
      <c r="H154" s="435"/>
      <c r="I154" s="434"/>
    </row>
    <row r="155" spans="2:9" x14ac:dyDescent="0.2">
      <c r="B155" s="471" t="s">
        <v>83</v>
      </c>
      <c r="C155" s="454">
        <f t="shared" si="5"/>
        <v>26266.42</v>
      </c>
      <c r="D155" s="454">
        <f t="shared" si="5"/>
        <v>7716.78</v>
      </c>
      <c r="E155" s="454">
        <f t="shared" si="5"/>
        <v>10616.7</v>
      </c>
      <c r="F155" s="454">
        <f t="shared" si="6"/>
        <v>18333.48</v>
      </c>
      <c r="G155" s="433"/>
      <c r="H155" s="435"/>
      <c r="I155" s="434"/>
    </row>
    <row r="156" spans="2:9" x14ac:dyDescent="0.2">
      <c r="B156" s="49" t="s">
        <v>47</v>
      </c>
      <c r="C156" s="454">
        <f t="shared" si="5"/>
        <v>21495.71</v>
      </c>
      <c r="D156" s="454">
        <f t="shared" si="5"/>
        <v>11113.09</v>
      </c>
      <c r="E156" s="454">
        <f t="shared" si="5"/>
        <v>13944.95</v>
      </c>
      <c r="F156" s="454">
        <f t="shared" si="6"/>
        <v>25058.04</v>
      </c>
      <c r="G156" s="433"/>
      <c r="H156" s="435"/>
      <c r="I156" s="434"/>
    </row>
    <row r="157" spans="2:9" x14ac:dyDescent="0.2">
      <c r="B157" s="433" t="s">
        <v>425</v>
      </c>
      <c r="C157" s="477"/>
      <c r="D157" s="454">
        <f>ROUND(+D144*(1+$C$149),2)</f>
        <v>4245.53</v>
      </c>
      <c r="E157" s="435"/>
      <c r="F157" s="434"/>
      <c r="G157" s="433"/>
      <c r="H157" s="435"/>
      <c r="I157" s="434"/>
    </row>
    <row r="158" spans="2:9" x14ac:dyDescent="0.2">
      <c r="B158" s="473" t="s">
        <v>7</v>
      </c>
      <c r="C158" s="454">
        <f>ROUND(+C145*(1+$C$149),2)</f>
        <v>712.2</v>
      </c>
      <c r="D158" s="1142"/>
      <c r="E158" s="1142"/>
      <c r="F158" s="1143"/>
      <c r="G158" s="1203">
        <f t="shared" ref="G158:I160" si="7">ROUND(G145*(1+$C$149),2)</f>
        <v>791.29</v>
      </c>
      <c r="H158" s="1203">
        <f t="shared" si="7"/>
        <v>1294.06</v>
      </c>
      <c r="I158" s="1204">
        <f t="shared" si="7"/>
        <v>1694.31</v>
      </c>
    </row>
    <row r="159" spans="2:9" x14ac:dyDescent="0.2">
      <c r="B159" s="473" t="s">
        <v>477</v>
      </c>
      <c r="C159" s="454">
        <f>ROUND(+C146*(1+$C$149),2)</f>
        <v>626.32000000000005</v>
      </c>
      <c r="D159" s="1142"/>
      <c r="E159" s="1142"/>
      <c r="F159" s="1143"/>
      <c r="G159" s="1203">
        <f t="shared" si="7"/>
        <v>879.27</v>
      </c>
      <c r="H159" s="1203">
        <f t="shared" si="7"/>
        <v>1380.5</v>
      </c>
      <c r="I159" s="1204">
        <f t="shared" si="7"/>
        <v>1687.48</v>
      </c>
    </row>
    <row r="160" spans="2:9" x14ac:dyDescent="0.2">
      <c r="B160" s="443" t="s">
        <v>9</v>
      </c>
      <c r="C160" s="1227">
        <f>ROUND(+C147*(1+$C$149),2)</f>
        <v>1288.3499999999999</v>
      </c>
      <c r="D160" s="1144"/>
      <c r="E160" s="1144"/>
      <c r="F160" s="1145"/>
      <c r="G160" s="1205">
        <f t="shared" si="7"/>
        <v>655.29999999999995</v>
      </c>
      <c r="H160" s="1205">
        <f t="shared" si="7"/>
        <v>1019.28</v>
      </c>
      <c r="I160" s="1206">
        <f t="shared" si="7"/>
        <v>1181.82</v>
      </c>
    </row>
    <row r="161" spans="2:11" x14ac:dyDescent="0.2">
      <c r="B161" s="464"/>
      <c r="C161" s="454"/>
      <c r="D161" s="1142"/>
      <c r="E161" s="1142"/>
      <c r="F161" s="1142"/>
      <c r="G161" s="1202"/>
      <c r="H161" s="1202"/>
      <c r="I161" s="1202"/>
    </row>
    <row r="162" spans="2:11" x14ac:dyDescent="0.2">
      <c r="B162" s="50" t="s">
        <v>586</v>
      </c>
      <c r="C162" s="51"/>
      <c r="D162" s="51"/>
      <c r="E162" s="51"/>
      <c r="F162" s="51"/>
      <c r="G162" s="4"/>
      <c r="H162" s="4"/>
      <c r="I162" s="4"/>
      <c r="J162" s="475"/>
      <c r="K162" s="475"/>
    </row>
    <row r="163" spans="2:11" x14ac:dyDescent="0.2">
      <c r="B163" s="52" t="s">
        <v>62</v>
      </c>
      <c r="C163" s="52"/>
      <c r="D163" s="57" t="s">
        <v>16</v>
      </c>
      <c r="E163" s="56" t="s">
        <v>63</v>
      </c>
      <c r="F163" s="52" t="s">
        <v>64</v>
      </c>
      <c r="G163" s="52" t="s">
        <v>65</v>
      </c>
      <c r="H163" s="52" t="s">
        <v>66</v>
      </c>
      <c r="I163" s="52" t="s">
        <v>67</v>
      </c>
      <c r="J163" s="475"/>
      <c r="K163" s="475"/>
    </row>
    <row r="164" spans="2:11" x14ac:dyDescent="0.2">
      <c r="B164" s="474" t="s">
        <v>45</v>
      </c>
      <c r="C164" s="58">
        <v>0</v>
      </c>
      <c r="D164" s="58">
        <v>0</v>
      </c>
      <c r="E164" s="58">
        <v>0</v>
      </c>
      <c r="F164" s="58">
        <v>0</v>
      </c>
      <c r="G164" s="58">
        <v>0</v>
      </c>
      <c r="H164" s="58">
        <v>0</v>
      </c>
      <c r="I164" s="58">
        <v>0</v>
      </c>
      <c r="J164" s="475"/>
      <c r="K164" s="475"/>
    </row>
    <row r="165" spans="2:11" x14ac:dyDescent="0.2">
      <c r="B165" s="53" t="s">
        <v>47</v>
      </c>
      <c r="C165" s="54">
        <f>+H165+I165</f>
        <v>27768.659999999996</v>
      </c>
      <c r="D165" s="57" t="s">
        <v>69</v>
      </c>
      <c r="E165" s="55">
        <v>19</v>
      </c>
      <c r="F165" s="1207">
        <v>21919.07</v>
      </c>
      <c r="G165" s="1207">
        <v>171.54</v>
      </c>
      <c r="H165" s="54">
        <v>25178.329999999998</v>
      </c>
      <c r="I165" s="54">
        <v>2590.33</v>
      </c>
      <c r="J165" s="475"/>
      <c r="K165" s="475"/>
    </row>
    <row r="166" spans="2:11" x14ac:dyDescent="0.2">
      <c r="B166" s="53" t="s">
        <v>81</v>
      </c>
      <c r="C166" s="58">
        <v>0</v>
      </c>
      <c r="D166" s="58">
        <v>0</v>
      </c>
      <c r="E166" s="58">
        <v>0</v>
      </c>
      <c r="F166" s="1146">
        <v>0</v>
      </c>
      <c r="G166" s="1146">
        <v>0</v>
      </c>
      <c r="H166" s="58">
        <v>0</v>
      </c>
      <c r="I166" s="58">
        <v>0</v>
      </c>
      <c r="J166" s="475"/>
      <c r="K166" s="475"/>
    </row>
    <row r="167" spans="2:11" x14ac:dyDescent="0.2">
      <c r="B167" s="53" t="s">
        <v>46</v>
      </c>
      <c r="C167" s="54">
        <f>+H167+I167</f>
        <v>42834.020000000004</v>
      </c>
      <c r="D167" s="57" t="s">
        <v>68</v>
      </c>
      <c r="E167" s="55">
        <v>85</v>
      </c>
      <c r="F167" s="1207">
        <v>10137.42</v>
      </c>
      <c r="G167" s="1207">
        <v>295.13</v>
      </c>
      <c r="H167" s="54">
        <v>35223.47</v>
      </c>
      <c r="I167" s="54">
        <v>7610.55</v>
      </c>
      <c r="J167" s="475"/>
      <c r="K167" s="475"/>
    </row>
    <row r="168" spans="2:11" x14ac:dyDescent="0.2">
      <c r="B168" s="53" t="s">
        <v>83</v>
      </c>
      <c r="C168" s="54">
        <f>+H168+I168</f>
        <v>42834.020000000004</v>
      </c>
      <c r="D168" s="57" t="s">
        <v>68</v>
      </c>
      <c r="E168" s="55">
        <v>85</v>
      </c>
      <c r="F168" s="1207">
        <v>10137.42</v>
      </c>
      <c r="G168" s="1207">
        <v>295.13</v>
      </c>
      <c r="H168" s="54">
        <v>35223.47</v>
      </c>
      <c r="I168" s="54">
        <v>7610.55</v>
      </c>
      <c r="J168" s="475"/>
      <c r="K168" s="475"/>
    </row>
    <row r="169" spans="2:11" x14ac:dyDescent="0.2">
      <c r="B169" s="51" t="s">
        <v>70</v>
      </c>
      <c r="C169" s="51"/>
      <c r="D169" s="51"/>
      <c r="E169" s="1207">
        <v>1063.1099999999999</v>
      </c>
      <c r="F169" s="1207">
        <v>80.38</v>
      </c>
      <c r="G169" s="52"/>
      <c r="H169" s="4"/>
      <c r="I169" s="4"/>
      <c r="J169" s="475"/>
      <c r="K169" s="475"/>
    </row>
    <row r="170" spans="2:11" x14ac:dyDescent="0.2">
      <c r="B170" s="52" t="s">
        <v>71</v>
      </c>
      <c r="C170" s="51"/>
      <c r="D170" s="51"/>
      <c r="E170" s="1207">
        <v>6527.32</v>
      </c>
      <c r="F170" s="1147"/>
      <c r="G170" s="51"/>
      <c r="H170" s="4"/>
      <c r="I170" s="4"/>
      <c r="J170" s="475"/>
      <c r="K170" s="475"/>
    </row>
    <row r="171" spans="2:11" x14ac:dyDescent="0.2">
      <c r="H171" s="475"/>
      <c r="I171" s="475"/>
      <c r="J171" s="475"/>
      <c r="K171" s="475"/>
    </row>
    <row r="172" spans="2:11" x14ac:dyDescent="0.2">
      <c r="B172" s="50" t="s">
        <v>601</v>
      </c>
      <c r="C172" s="51"/>
      <c r="D172" s="51"/>
      <c r="E172" s="51"/>
      <c r="F172" s="51"/>
      <c r="G172" s="4"/>
      <c r="H172" s="4"/>
      <c r="I172" s="4"/>
      <c r="J172" s="475"/>
      <c r="K172" s="475"/>
    </row>
    <row r="173" spans="2:11" x14ac:dyDescent="0.2">
      <c r="B173" s="52" t="s">
        <v>62</v>
      </c>
      <c r="C173" s="52"/>
      <c r="D173" s="57" t="s">
        <v>16</v>
      </c>
      <c r="E173" s="56" t="s">
        <v>63</v>
      </c>
      <c r="F173" s="52" t="s">
        <v>64</v>
      </c>
      <c r="G173" s="52" t="s">
        <v>65</v>
      </c>
      <c r="H173" s="52" t="s">
        <v>66</v>
      </c>
      <c r="I173" s="52" t="s">
        <v>67</v>
      </c>
      <c r="J173" s="475"/>
      <c r="K173" s="475"/>
    </row>
    <row r="174" spans="2:11" x14ac:dyDescent="0.2">
      <c r="B174" s="474" t="s">
        <v>45</v>
      </c>
      <c r="C174" s="58">
        <v>0</v>
      </c>
      <c r="D174" s="58">
        <v>0</v>
      </c>
      <c r="E174" s="58">
        <v>0</v>
      </c>
      <c r="F174" s="58">
        <v>0</v>
      </c>
      <c r="G174" s="58">
        <v>0</v>
      </c>
      <c r="H174" s="58">
        <v>0</v>
      </c>
      <c r="I174" s="58">
        <v>0</v>
      </c>
      <c r="J174" s="475"/>
      <c r="K174" s="475"/>
    </row>
    <row r="175" spans="2:11" x14ac:dyDescent="0.2">
      <c r="B175" s="53" t="s">
        <v>47</v>
      </c>
      <c r="C175" s="54">
        <f>+H175+I175</f>
        <v>28212.949999999997</v>
      </c>
      <c r="D175" s="57" t="s">
        <v>69</v>
      </c>
      <c r="E175" s="55">
        <v>19</v>
      </c>
      <c r="F175" s="1207">
        <f>ROUND(F165*(1+C$136),2)</f>
        <v>22269.78</v>
      </c>
      <c r="G175" s="1207">
        <f>ROUND(G165*(1+C$136),2)</f>
        <v>174.28</v>
      </c>
      <c r="H175" s="54">
        <f>+F175+E175*G175</f>
        <v>25581.1</v>
      </c>
      <c r="I175" s="54">
        <f>+E179+E175*F179</f>
        <v>2631.85</v>
      </c>
      <c r="J175" s="475"/>
      <c r="K175" s="475"/>
    </row>
    <row r="176" spans="2:11" x14ac:dyDescent="0.2">
      <c r="B176" s="53" t="s">
        <v>81</v>
      </c>
      <c r="C176" s="58">
        <v>0</v>
      </c>
      <c r="D176" s="58">
        <v>0</v>
      </c>
      <c r="E176" s="58">
        <v>0</v>
      </c>
      <c r="F176" s="1146">
        <v>0</v>
      </c>
      <c r="G176" s="1146">
        <v>0</v>
      </c>
      <c r="H176" s="58">
        <v>0</v>
      </c>
      <c r="I176" s="58">
        <v>0</v>
      </c>
      <c r="J176" s="475"/>
      <c r="K176" s="475"/>
    </row>
    <row r="177" spans="2:11" x14ac:dyDescent="0.2">
      <c r="B177" s="53" t="s">
        <v>46</v>
      </c>
      <c r="C177" s="54">
        <f>+H177+I177</f>
        <v>43397.420000000006</v>
      </c>
      <c r="D177" s="57" t="s">
        <v>68</v>
      </c>
      <c r="E177" s="55">
        <v>85</v>
      </c>
      <c r="F177" s="1207">
        <f>ROUND(F167*(1+C$136),2)</f>
        <v>10299.620000000001</v>
      </c>
      <c r="G177" s="1207">
        <f>ROUND(G167*(1+C$136),2)</f>
        <v>299.85000000000002</v>
      </c>
      <c r="H177" s="54">
        <f>+F177+E177*G177</f>
        <v>35786.870000000003</v>
      </c>
      <c r="I177" s="54">
        <v>7610.55</v>
      </c>
      <c r="J177" s="475"/>
      <c r="K177" s="475"/>
    </row>
    <row r="178" spans="2:11" x14ac:dyDescent="0.2">
      <c r="B178" s="53" t="s">
        <v>83</v>
      </c>
      <c r="C178" s="54">
        <f>+H178+I178</f>
        <v>43372.770000000004</v>
      </c>
      <c r="D178" s="57" t="s">
        <v>68</v>
      </c>
      <c r="E178" s="55">
        <v>85</v>
      </c>
      <c r="F178" s="1207">
        <f>ROUND(F168*(1+C$136),2)</f>
        <v>10299.620000000001</v>
      </c>
      <c r="G178" s="1207">
        <f>ROUND(G168*(1+C$123),2)</f>
        <v>299.56</v>
      </c>
      <c r="H178" s="54">
        <f>+F178+E178*G178</f>
        <v>35762.22</v>
      </c>
      <c r="I178" s="54">
        <v>7610.55</v>
      </c>
      <c r="J178" s="475"/>
      <c r="K178" s="475"/>
    </row>
    <row r="179" spans="2:11" x14ac:dyDescent="0.2">
      <c r="B179" s="51" t="s">
        <v>70</v>
      </c>
      <c r="C179" s="51"/>
      <c r="D179" s="51"/>
      <c r="E179" s="1207">
        <f>ROUND(E169*(1+C$136),2)</f>
        <v>1080.1199999999999</v>
      </c>
      <c r="F179" s="1207">
        <f>ROUND(F169*(1+C$136),2)</f>
        <v>81.67</v>
      </c>
      <c r="G179" s="52"/>
      <c r="H179" s="4"/>
      <c r="I179" s="4"/>
      <c r="J179" s="475"/>
      <c r="K179" s="475"/>
    </row>
    <row r="180" spans="2:11" x14ac:dyDescent="0.2">
      <c r="B180" s="52" t="s">
        <v>71</v>
      </c>
      <c r="C180" s="51"/>
      <c r="D180" s="51"/>
      <c r="E180" s="1207">
        <f>ROUND(E170*(1+C$136),2)</f>
        <v>6631.76</v>
      </c>
      <c r="F180" s="1147"/>
      <c r="G180" s="51"/>
      <c r="H180" s="4"/>
      <c r="I180" s="4"/>
      <c r="J180" s="475"/>
      <c r="K180" s="475"/>
    </row>
    <row r="181" spans="2:11" x14ac:dyDescent="0.2">
      <c r="H181" s="475"/>
      <c r="I181" s="475"/>
      <c r="J181" s="475"/>
      <c r="K181" s="475"/>
    </row>
    <row r="182" spans="2:11" x14ac:dyDescent="0.2">
      <c r="B182" s="50" t="s">
        <v>630</v>
      </c>
      <c r="C182" s="51"/>
      <c r="D182" s="51"/>
      <c r="E182" s="51"/>
      <c r="F182" s="51"/>
      <c r="G182" s="4"/>
      <c r="H182" s="4"/>
      <c r="I182" s="4"/>
      <c r="J182" s="475"/>
      <c r="K182" s="475"/>
    </row>
    <row r="183" spans="2:11" x14ac:dyDescent="0.2">
      <c r="B183" s="52" t="s">
        <v>62</v>
      </c>
      <c r="C183" s="52"/>
      <c r="D183" s="57" t="s">
        <v>16</v>
      </c>
      <c r="E183" s="56" t="s">
        <v>63</v>
      </c>
      <c r="F183" s="52" t="s">
        <v>64</v>
      </c>
      <c r="G183" s="52" t="s">
        <v>65</v>
      </c>
      <c r="H183" s="52" t="s">
        <v>66</v>
      </c>
      <c r="I183" s="52" t="s">
        <v>67</v>
      </c>
      <c r="J183" s="475"/>
      <c r="K183" s="475"/>
    </row>
    <row r="184" spans="2:11" x14ac:dyDescent="0.2">
      <c r="B184" s="474" t="s">
        <v>45</v>
      </c>
      <c r="C184" s="58">
        <v>0</v>
      </c>
      <c r="D184" s="58">
        <v>0</v>
      </c>
      <c r="E184" s="58">
        <v>0</v>
      </c>
      <c r="F184" s="58">
        <v>0</v>
      </c>
      <c r="G184" s="58">
        <v>0</v>
      </c>
      <c r="H184" s="58">
        <v>0</v>
      </c>
      <c r="I184" s="58">
        <v>0</v>
      </c>
      <c r="J184" s="475"/>
      <c r="K184" s="475"/>
    </row>
    <row r="185" spans="2:11" x14ac:dyDescent="0.2">
      <c r="B185" s="53" t="s">
        <v>47</v>
      </c>
      <c r="C185" s="54">
        <f>+H185+I185</f>
        <v>28551.48</v>
      </c>
      <c r="D185" s="57" t="s">
        <v>69</v>
      </c>
      <c r="E185" s="55">
        <v>19</v>
      </c>
      <c r="F185" s="1207">
        <f>ROUND(F175*(1+$C$149),2)</f>
        <v>22537.02</v>
      </c>
      <c r="G185" s="1207">
        <f>ROUND(G175*(1+$C$149),2)</f>
        <v>176.37</v>
      </c>
      <c r="H185" s="54">
        <f>+F185+E185*G185</f>
        <v>25888.05</v>
      </c>
      <c r="I185" s="54">
        <f>+E189+E185*F189</f>
        <v>2663.4300000000003</v>
      </c>
      <c r="J185" s="475"/>
      <c r="K185" s="475"/>
    </row>
    <row r="186" spans="2:11" x14ac:dyDescent="0.2">
      <c r="B186" s="53" t="s">
        <v>81</v>
      </c>
      <c r="C186" s="58">
        <v>0</v>
      </c>
      <c r="D186" s="58">
        <v>0</v>
      </c>
      <c r="E186" s="58">
        <v>0</v>
      </c>
      <c r="F186" s="1146">
        <v>0</v>
      </c>
      <c r="G186" s="1146">
        <v>0</v>
      </c>
      <c r="H186" s="58">
        <v>0</v>
      </c>
      <c r="I186" s="58">
        <v>0</v>
      </c>
      <c r="J186" s="475"/>
      <c r="K186" s="475"/>
    </row>
    <row r="187" spans="2:11" x14ac:dyDescent="0.2">
      <c r="B187" s="53" t="s">
        <v>46</v>
      </c>
      <c r="C187" s="54">
        <f>+H187+I187</f>
        <v>43827.020000000004</v>
      </c>
      <c r="D187" s="57" t="s">
        <v>68</v>
      </c>
      <c r="E187" s="55">
        <v>85</v>
      </c>
      <c r="F187" s="1207">
        <f>ROUND(F177*(1+$C$149),2)</f>
        <v>10423.219999999999</v>
      </c>
      <c r="G187" s="1207">
        <f>ROUND(G177*(1+$C$149),2)</f>
        <v>303.45</v>
      </c>
      <c r="H187" s="54">
        <f>+F187+E187*G187</f>
        <v>36216.47</v>
      </c>
      <c r="I187" s="54">
        <v>7610.55</v>
      </c>
      <c r="J187" s="475"/>
      <c r="K187" s="475"/>
    </row>
    <row r="188" spans="2:11" x14ac:dyDescent="0.2">
      <c r="B188" s="53" t="s">
        <v>83</v>
      </c>
      <c r="C188" s="54">
        <f>+H188+I188</f>
        <v>43878.020000000004</v>
      </c>
      <c r="D188" s="57" t="s">
        <v>68</v>
      </c>
      <c r="E188" s="55">
        <v>85</v>
      </c>
      <c r="F188" s="1207">
        <f>ROUND(F178*(1+$C$149),2)</f>
        <v>10423.219999999999</v>
      </c>
      <c r="G188" s="1207">
        <f>ROUND(G178*(1+C$123),2)</f>
        <v>304.05</v>
      </c>
      <c r="H188" s="54">
        <f>+F188+E188*G188</f>
        <v>36267.47</v>
      </c>
      <c r="I188" s="54">
        <v>7610.55</v>
      </c>
      <c r="J188" s="475"/>
      <c r="K188" s="475"/>
    </row>
    <row r="189" spans="2:11" x14ac:dyDescent="0.2">
      <c r="B189" s="51" t="s">
        <v>70</v>
      </c>
      <c r="C189" s="51"/>
      <c r="D189" s="51"/>
      <c r="E189" s="1207">
        <f>ROUND(E179*(1+$C$149),2)</f>
        <v>1093.08</v>
      </c>
      <c r="F189" s="1207">
        <f>ROUND(F179*(1+$C$149),2)</f>
        <v>82.65</v>
      </c>
      <c r="G189" s="52"/>
      <c r="H189" s="4"/>
      <c r="I189" s="4"/>
      <c r="J189" s="475"/>
      <c r="K189" s="475"/>
    </row>
    <row r="190" spans="2:11" x14ac:dyDescent="0.2">
      <c r="B190" s="52" t="s">
        <v>71</v>
      </c>
      <c r="C190" s="51"/>
      <c r="D190" s="51"/>
      <c r="E190" s="1207">
        <f>ROUND(E180*(1+$C$149),2)</f>
        <v>6711.34</v>
      </c>
      <c r="F190" s="1147"/>
      <c r="G190" s="51"/>
      <c r="H190" s="4"/>
      <c r="I190" s="4"/>
      <c r="J190" s="475"/>
      <c r="K190" s="475"/>
    </row>
    <row r="191" spans="2:11" x14ac:dyDescent="0.2">
      <c r="H191" s="475"/>
      <c r="I191" s="475"/>
      <c r="J191" s="475"/>
      <c r="K191" s="475"/>
    </row>
    <row r="192" spans="2:11" x14ac:dyDescent="0.2">
      <c r="B192" s="472"/>
      <c r="H192" s="475"/>
      <c r="I192" s="476"/>
      <c r="J192" s="475"/>
      <c r="K192" s="475"/>
    </row>
    <row r="193" spans="1:23" x14ac:dyDescent="0.2">
      <c r="B193" s="64" t="s">
        <v>98</v>
      </c>
      <c r="C193" s="65">
        <v>0.6</v>
      </c>
      <c r="D193" s="64"/>
      <c r="E193" s="1230" t="s">
        <v>593</v>
      </c>
      <c r="F193" s="1231" t="s">
        <v>594</v>
      </c>
      <c r="H193" s="475"/>
      <c r="I193" s="475"/>
      <c r="J193" s="475"/>
      <c r="K193" s="475"/>
    </row>
    <row r="194" spans="1:23" x14ac:dyDescent="0.2">
      <c r="B194" s="64" t="s">
        <v>478</v>
      </c>
      <c r="C194" s="68">
        <v>0.5</v>
      </c>
      <c r="D194" s="64"/>
      <c r="H194" s="475"/>
      <c r="I194" s="475"/>
      <c r="J194" s="475"/>
      <c r="K194" s="475"/>
    </row>
    <row r="195" spans="1:23" x14ac:dyDescent="0.2">
      <c r="B195" s="64" t="s">
        <v>466</v>
      </c>
      <c r="C195" s="66">
        <v>0.1</v>
      </c>
      <c r="D195" s="1229">
        <f>(1+$C$193-C194)/(1+$C$193)</f>
        <v>0.6875</v>
      </c>
      <c r="H195" s="475"/>
      <c r="I195" s="475"/>
      <c r="J195" s="475"/>
      <c r="K195" s="475"/>
    </row>
    <row r="196" spans="1:23" x14ac:dyDescent="0.2">
      <c r="B196" s="64" t="s">
        <v>98</v>
      </c>
      <c r="C196" s="68">
        <v>0.6</v>
      </c>
      <c r="D196" s="64"/>
      <c r="H196" s="475"/>
      <c r="I196" s="476"/>
      <c r="J196" s="476"/>
      <c r="K196" s="475"/>
    </row>
    <row r="197" spans="1:23" x14ac:dyDescent="0.2">
      <c r="B197" s="64" t="s">
        <v>478</v>
      </c>
      <c r="C197" s="68">
        <v>0.4</v>
      </c>
      <c r="D197" s="1229">
        <f>(1+$C$193-C197)/(1+$C$193)</f>
        <v>0.75000000000000011</v>
      </c>
      <c r="H197" s="475"/>
      <c r="I197" s="476"/>
      <c r="J197" s="476"/>
      <c r="K197" s="475"/>
    </row>
    <row r="198" spans="1:23" x14ac:dyDescent="0.2">
      <c r="B198" s="64" t="s">
        <v>466</v>
      </c>
      <c r="C198" s="66">
        <v>0.2</v>
      </c>
      <c r="D198" s="67"/>
      <c r="H198" s="475"/>
      <c r="I198" s="476"/>
      <c r="J198" s="476"/>
      <c r="K198" s="475"/>
    </row>
    <row r="199" spans="1:23" x14ac:dyDescent="0.2">
      <c r="A199"/>
      <c r="B199"/>
      <c r="C199"/>
      <c r="D199"/>
      <c r="E199"/>
      <c r="F199"/>
      <c r="G199"/>
      <c r="H199"/>
      <c r="I199"/>
      <c r="J199"/>
      <c r="K199"/>
      <c r="L199"/>
      <c r="M199"/>
      <c r="N199"/>
      <c r="O199"/>
      <c r="P199"/>
      <c r="Q199"/>
      <c r="R199"/>
      <c r="S199"/>
      <c r="T199"/>
      <c r="U199"/>
      <c r="V199"/>
      <c r="W199"/>
    </row>
    <row r="200" spans="1:23" x14ac:dyDescent="0.2">
      <c r="A200"/>
      <c r="B200"/>
      <c r="C200"/>
      <c r="D200"/>
      <c r="E200"/>
      <c r="F200"/>
      <c r="G200"/>
      <c r="H200"/>
      <c r="I200"/>
      <c r="J200"/>
      <c r="K200"/>
      <c r="L200"/>
      <c r="M200"/>
      <c r="N200"/>
      <c r="O200"/>
      <c r="P200"/>
      <c r="Q200"/>
      <c r="R200"/>
      <c r="S200"/>
      <c r="T200"/>
      <c r="U200"/>
      <c r="V200"/>
      <c r="W200"/>
    </row>
    <row r="201" spans="1:23" x14ac:dyDescent="0.2">
      <c r="A201"/>
      <c r="B201" s="1252" t="s">
        <v>615</v>
      </c>
      <c r="C201" s="1252"/>
      <c r="D201" s="1273">
        <v>99.25</v>
      </c>
      <c r="E201"/>
      <c r="F201"/>
      <c r="G201"/>
      <c r="H201"/>
      <c r="I201"/>
      <c r="J201"/>
      <c r="K201"/>
      <c r="L201"/>
      <c r="M201"/>
      <c r="N201"/>
      <c r="O201"/>
      <c r="P201"/>
      <c r="Q201"/>
      <c r="R201"/>
      <c r="S201"/>
      <c r="T201"/>
      <c r="U201"/>
      <c r="V201"/>
      <c r="W201"/>
    </row>
    <row r="202" spans="1:23" x14ac:dyDescent="0.2">
      <c r="A202"/>
      <c r="B202" s="1252" t="s">
        <v>627</v>
      </c>
      <c r="C202" s="1252"/>
      <c r="D202" s="1273">
        <v>235.9</v>
      </c>
      <c r="E202"/>
      <c r="F202"/>
      <c r="G202"/>
      <c r="H202"/>
      <c r="I202"/>
      <c r="J202"/>
      <c r="K202"/>
      <c r="L202"/>
      <c r="M202"/>
      <c r="N202"/>
      <c r="O202"/>
      <c r="P202"/>
      <c r="Q202"/>
      <c r="R202"/>
      <c r="S202"/>
      <c r="T202"/>
      <c r="U202"/>
      <c r="V202"/>
      <c r="W202"/>
    </row>
    <row r="203" spans="1:23" x14ac:dyDescent="0.2">
      <c r="A203"/>
      <c r="B203"/>
      <c r="C203"/>
      <c r="D203"/>
      <c r="E203"/>
      <c r="F203"/>
      <c r="G203"/>
      <c r="H203"/>
      <c r="I203"/>
      <c r="J203"/>
      <c r="K203"/>
      <c r="L203"/>
      <c r="M203"/>
      <c r="N203"/>
      <c r="O203"/>
      <c r="P203"/>
      <c r="Q203"/>
      <c r="R203"/>
      <c r="S203"/>
      <c r="T203"/>
      <c r="U203"/>
      <c r="V203"/>
      <c r="W203"/>
    </row>
    <row r="204" spans="1:23" x14ac:dyDescent="0.2">
      <c r="A204"/>
      <c r="B204"/>
      <c r="C204"/>
      <c r="D204"/>
      <c r="E204"/>
      <c r="F204"/>
      <c r="G204"/>
      <c r="H204"/>
      <c r="I204"/>
      <c r="J204"/>
      <c r="K204"/>
      <c r="L204"/>
      <c r="M204"/>
      <c r="N204"/>
      <c r="O204"/>
      <c r="P204"/>
      <c r="Q204"/>
      <c r="R204"/>
      <c r="S204"/>
      <c r="T204"/>
      <c r="U204"/>
      <c r="V204"/>
      <c r="W204"/>
    </row>
    <row r="205" spans="1:23" x14ac:dyDescent="0.2">
      <c r="A205"/>
      <c r="B205"/>
      <c r="C205"/>
      <c r="D205"/>
      <c r="E205"/>
      <c r="F205"/>
      <c r="G205"/>
      <c r="H205"/>
      <c r="I205"/>
      <c r="J205"/>
      <c r="K205"/>
      <c r="L205"/>
      <c r="M205"/>
      <c r="N205"/>
      <c r="O205"/>
      <c r="P205"/>
      <c r="Q205"/>
      <c r="R205"/>
      <c r="S205"/>
      <c r="T205"/>
      <c r="U205"/>
      <c r="V205"/>
      <c r="W205"/>
    </row>
    <row r="206" spans="1:23" x14ac:dyDescent="0.2">
      <c r="A206"/>
      <c r="B206"/>
      <c r="C206"/>
      <c r="D206"/>
      <c r="E206"/>
      <c r="F206"/>
      <c r="G206"/>
      <c r="H206"/>
      <c r="I206"/>
      <c r="J206"/>
      <c r="K206"/>
      <c r="L206"/>
      <c r="M206"/>
      <c r="N206"/>
      <c r="O206"/>
      <c r="P206"/>
      <c r="Q206"/>
      <c r="R206"/>
      <c r="S206"/>
      <c r="T206"/>
      <c r="U206"/>
      <c r="V206"/>
      <c r="W206"/>
    </row>
    <row r="207" spans="1:23" x14ac:dyDescent="0.2">
      <c r="A207"/>
      <c r="B207"/>
      <c r="C207"/>
      <c r="D207"/>
      <c r="E207"/>
      <c r="F207"/>
      <c r="G207"/>
      <c r="H207"/>
      <c r="I207"/>
      <c r="J207"/>
      <c r="K207"/>
      <c r="L207"/>
      <c r="M207"/>
      <c r="N207"/>
      <c r="O207"/>
      <c r="P207"/>
      <c r="Q207"/>
      <c r="R207"/>
      <c r="S207"/>
      <c r="T207"/>
      <c r="U207"/>
      <c r="V207"/>
      <c r="W207"/>
    </row>
    <row r="208" spans="1:23" x14ac:dyDescent="0.2">
      <c r="A208"/>
      <c r="B208"/>
      <c r="C208"/>
      <c r="D208"/>
      <c r="E208"/>
      <c r="F208"/>
      <c r="G208"/>
      <c r="H208"/>
      <c r="I208"/>
      <c r="J208"/>
      <c r="K208"/>
      <c r="L208"/>
      <c r="M208"/>
      <c r="N208"/>
      <c r="O208"/>
      <c r="P208"/>
      <c r="Q208"/>
      <c r="R208"/>
      <c r="S208"/>
      <c r="T208"/>
      <c r="U208"/>
      <c r="V208"/>
      <c r="W208"/>
    </row>
    <row r="209" spans="1:23" x14ac:dyDescent="0.2">
      <c r="A209"/>
      <c r="B209"/>
      <c r="C209"/>
      <c r="D209"/>
      <c r="E209"/>
      <c r="F209"/>
      <c r="G209"/>
      <c r="H209"/>
      <c r="I209"/>
      <c r="J209"/>
      <c r="K209"/>
      <c r="L209"/>
      <c r="M209"/>
      <c r="N209"/>
      <c r="O209"/>
      <c r="P209"/>
      <c r="Q209"/>
      <c r="R209"/>
      <c r="S209"/>
      <c r="T209"/>
      <c r="U209"/>
      <c r="V209"/>
      <c r="W209"/>
    </row>
    <row r="210" spans="1:23" x14ac:dyDescent="0.2">
      <c r="A210"/>
      <c r="B210"/>
      <c r="C210"/>
      <c r="D210"/>
      <c r="E210"/>
      <c r="F210"/>
      <c r="G210"/>
      <c r="H210"/>
      <c r="I210"/>
      <c r="J210"/>
      <c r="K210"/>
      <c r="L210"/>
      <c r="M210"/>
      <c r="N210"/>
      <c r="O210"/>
      <c r="P210"/>
      <c r="Q210"/>
      <c r="R210"/>
      <c r="S210"/>
      <c r="T210"/>
      <c r="U210"/>
      <c r="V210"/>
      <c r="W210"/>
    </row>
    <row r="211" spans="1:23" x14ac:dyDescent="0.2">
      <c r="A211"/>
      <c r="B211"/>
      <c r="C211"/>
      <c r="D211"/>
      <c r="E211"/>
      <c r="F211"/>
      <c r="G211"/>
      <c r="H211"/>
      <c r="I211"/>
      <c r="J211"/>
      <c r="K211"/>
      <c r="L211"/>
      <c r="M211"/>
      <c r="N211"/>
      <c r="O211"/>
      <c r="P211"/>
      <c r="Q211"/>
      <c r="R211"/>
      <c r="S211"/>
      <c r="T211"/>
      <c r="U211"/>
      <c r="V211"/>
      <c r="W211"/>
    </row>
    <row r="212" spans="1:23" x14ac:dyDescent="0.2">
      <c r="A212"/>
      <c r="B212"/>
      <c r="C212"/>
      <c r="D212"/>
      <c r="E212"/>
      <c r="F212"/>
      <c r="G212"/>
      <c r="H212"/>
      <c r="I212"/>
      <c r="J212"/>
      <c r="K212"/>
      <c r="L212"/>
      <c r="M212"/>
      <c r="N212"/>
      <c r="O212"/>
      <c r="P212"/>
      <c r="Q212"/>
      <c r="R212"/>
      <c r="S212"/>
      <c r="T212"/>
      <c r="U212"/>
      <c r="V212"/>
      <c r="W212"/>
    </row>
    <row r="213" spans="1:23" x14ac:dyDescent="0.2">
      <c r="A213"/>
      <c r="B213"/>
      <c r="C213"/>
      <c r="D213"/>
      <c r="E213"/>
      <c r="F213"/>
      <c r="G213"/>
      <c r="H213"/>
      <c r="I213"/>
      <c r="J213"/>
      <c r="K213"/>
      <c r="L213"/>
      <c r="M213"/>
      <c r="N213"/>
      <c r="O213"/>
      <c r="P213"/>
      <c r="Q213"/>
      <c r="R213"/>
      <c r="S213"/>
      <c r="T213"/>
      <c r="U213"/>
      <c r="V213"/>
      <c r="W213"/>
    </row>
    <row r="214" spans="1:23" x14ac:dyDescent="0.2">
      <c r="A214"/>
      <c r="B214"/>
      <c r="C214"/>
      <c r="D214"/>
      <c r="E214"/>
      <c r="F214"/>
      <c r="G214"/>
      <c r="H214"/>
      <c r="I214"/>
      <c r="J214"/>
      <c r="K214"/>
      <c r="L214"/>
      <c r="M214"/>
      <c r="N214"/>
      <c r="O214"/>
      <c r="P214"/>
      <c r="Q214"/>
      <c r="R214"/>
      <c r="S214"/>
      <c r="T214"/>
      <c r="U214"/>
      <c r="V214"/>
      <c r="W214"/>
    </row>
    <row r="215" spans="1:23" x14ac:dyDescent="0.2">
      <c r="A215"/>
      <c r="B215"/>
      <c r="C215"/>
      <c r="D215"/>
      <c r="E215"/>
      <c r="F215"/>
      <c r="G215"/>
      <c r="H215"/>
      <c r="I215"/>
      <c r="J215"/>
      <c r="K215"/>
      <c r="L215"/>
      <c r="M215"/>
      <c r="N215"/>
      <c r="O215"/>
      <c r="P215"/>
      <c r="Q215"/>
      <c r="R215"/>
      <c r="S215"/>
      <c r="T215"/>
      <c r="U215"/>
      <c r="V215"/>
      <c r="W215"/>
    </row>
    <row r="216" spans="1:23" x14ac:dyDescent="0.2">
      <c r="A216"/>
      <c r="B216"/>
      <c r="C216"/>
      <c r="D216"/>
      <c r="E216"/>
      <c r="F216"/>
      <c r="G216"/>
      <c r="H216"/>
      <c r="I216"/>
      <c r="J216"/>
      <c r="K216"/>
      <c r="L216"/>
      <c r="M216"/>
      <c r="N216"/>
      <c r="O216"/>
      <c r="P216"/>
      <c r="Q216"/>
      <c r="R216"/>
      <c r="S216"/>
      <c r="T216"/>
      <c r="U216"/>
      <c r="V216"/>
      <c r="W216"/>
    </row>
    <row r="217" spans="1:23" x14ac:dyDescent="0.2">
      <c r="A217"/>
      <c r="B217"/>
      <c r="C217"/>
      <c r="D217"/>
      <c r="E217"/>
      <c r="F217"/>
      <c r="G217"/>
      <c r="H217"/>
      <c r="I217"/>
      <c r="J217"/>
      <c r="K217"/>
      <c r="L217"/>
      <c r="M217"/>
      <c r="N217"/>
      <c r="O217"/>
      <c r="P217"/>
      <c r="Q217"/>
      <c r="R217"/>
      <c r="S217"/>
      <c r="T217"/>
      <c r="U217"/>
      <c r="V217"/>
      <c r="W217"/>
    </row>
    <row r="218" spans="1:23" x14ac:dyDescent="0.2">
      <c r="A218"/>
      <c r="B218"/>
      <c r="C218"/>
      <c r="D218"/>
      <c r="E218"/>
      <c r="F218"/>
      <c r="G218"/>
      <c r="H218"/>
      <c r="I218"/>
      <c r="J218"/>
      <c r="K218"/>
      <c r="L218"/>
      <c r="M218"/>
      <c r="N218"/>
      <c r="O218"/>
      <c r="P218"/>
      <c r="Q218"/>
      <c r="R218"/>
      <c r="S218"/>
      <c r="T218"/>
      <c r="U218"/>
      <c r="V218"/>
      <c r="W218"/>
    </row>
    <row r="219" spans="1:23" x14ac:dyDescent="0.2">
      <c r="A219"/>
      <c r="B219"/>
      <c r="C219"/>
      <c r="D219"/>
      <c r="E219"/>
      <c r="F219"/>
      <c r="G219"/>
      <c r="H219"/>
      <c r="I219"/>
      <c r="J219"/>
      <c r="K219"/>
      <c r="L219"/>
      <c r="M219"/>
      <c r="N219"/>
      <c r="O219"/>
      <c r="P219"/>
      <c r="Q219"/>
      <c r="R219"/>
      <c r="S219"/>
      <c r="T219"/>
      <c r="U219"/>
      <c r="V219"/>
      <c r="W219"/>
    </row>
    <row r="220" spans="1:23" x14ac:dyDescent="0.2">
      <c r="A220"/>
      <c r="B220"/>
      <c r="C220"/>
      <c r="D220"/>
      <c r="E220"/>
      <c r="F220"/>
      <c r="G220"/>
      <c r="H220"/>
      <c r="I220"/>
      <c r="J220"/>
      <c r="K220"/>
      <c r="L220"/>
      <c r="M220"/>
      <c r="N220"/>
      <c r="O220"/>
      <c r="P220"/>
      <c r="Q220"/>
      <c r="R220"/>
      <c r="S220"/>
      <c r="T220"/>
      <c r="U220"/>
      <c r="V220"/>
      <c r="W220"/>
    </row>
    <row r="221" spans="1:23" x14ac:dyDescent="0.2">
      <c r="A221"/>
      <c r="B221"/>
      <c r="C221"/>
      <c r="D221"/>
      <c r="E221"/>
      <c r="F221"/>
      <c r="G221"/>
      <c r="H221"/>
      <c r="I221"/>
      <c r="J221"/>
      <c r="K221"/>
      <c r="L221"/>
      <c r="M221"/>
      <c r="N221"/>
      <c r="O221"/>
      <c r="P221"/>
      <c r="Q221"/>
      <c r="R221"/>
      <c r="S221"/>
      <c r="T221"/>
      <c r="U221"/>
      <c r="V221"/>
      <c r="W221"/>
    </row>
    <row r="222" spans="1:23" x14ac:dyDescent="0.2">
      <c r="A222"/>
      <c r="B222"/>
      <c r="C222"/>
      <c r="D222"/>
      <c r="E222"/>
      <c r="F222"/>
      <c r="G222"/>
      <c r="H222"/>
      <c r="I222"/>
      <c r="J222"/>
      <c r="K222"/>
      <c r="L222"/>
      <c r="M222"/>
      <c r="N222"/>
      <c r="O222"/>
      <c r="P222"/>
      <c r="Q222"/>
      <c r="R222"/>
      <c r="S222"/>
      <c r="T222"/>
      <c r="U222"/>
      <c r="V222"/>
      <c r="W222"/>
    </row>
    <row r="223" spans="1:23" x14ac:dyDescent="0.2">
      <c r="A223"/>
      <c r="B223"/>
      <c r="C223"/>
      <c r="D223"/>
      <c r="E223"/>
      <c r="F223"/>
      <c r="G223"/>
      <c r="H223"/>
      <c r="I223"/>
      <c r="J223"/>
      <c r="K223"/>
      <c r="L223"/>
      <c r="M223"/>
      <c r="N223"/>
      <c r="O223"/>
      <c r="P223"/>
      <c r="Q223"/>
      <c r="R223"/>
      <c r="S223"/>
      <c r="T223"/>
      <c r="U223"/>
      <c r="V223"/>
      <c r="W223"/>
    </row>
    <row r="224" spans="1:23" x14ac:dyDescent="0.2">
      <c r="A224"/>
      <c r="B224"/>
      <c r="C224"/>
      <c r="D224"/>
      <c r="E224"/>
      <c r="F224"/>
      <c r="G224"/>
      <c r="H224"/>
      <c r="I224"/>
      <c r="J224"/>
      <c r="K224"/>
      <c r="L224"/>
      <c r="M224"/>
      <c r="N224"/>
      <c r="O224"/>
      <c r="P224"/>
      <c r="Q224"/>
      <c r="R224"/>
      <c r="S224"/>
      <c r="T224"/>
      <c r="U224"/>
      <c r="V224"/>
      <c r="W224"/>
    </row>
    <row r="225" spans="1:23" x14ac:dyDescent="0.2">
      <c r="A225"/>
      <c r="B225"/>
      <c r="C225"/>
      <c r="D225"/>
      <c r="E225"/>
      <c r="F225"/>
      <c r="G225"/>
      <c r="H225"/>
      <c r="I225"/>
      <c r="J225"/>
      <c r="K225"/>
      <c r="L225"/>
      <c r="M225"/>
      <c r="N225"/>
      <c r="O225"/>
      <c r="P225"/>
      <c r="Q225"/>
      <c r="R225"/>
      <c r="S225"/>
      <c r="T225"/>
      <c r="U225"/>
      <c r="V225"/>
      <c r="W225"/>
    </row>
    <row r="226" spans="1:23" x14ac:dyDescent="0.2">
      <c r="A226"/>
      <c r="B226"/>
      <c r="C226"/>
      <c r="D226"/>
      <c r="E226"/>
      <c r="F226"/>
      <c r="G226"/>
      <c r="H226"/>
      <c r="I226"/>
      <c r="J226"/>
      <c r="K226"/>
      <c r="L226"/>
      <c r="M226"/>
      <c r="N226"/>
      <c r="O226"/>
      <c r="P226"/>
      <c r="Q226"/>
      <c r="R226"/>
      <c r="S226"/>
      <c r="T226"/>
      <c r="U226"/>
      <c r="V226"/>
      <c r="W226"/>
    </row>
    <row r="227" spans="1:23" x14ac:dyDescent="0.2">
      <c r="A227"/>
      <c r="B227"/>
      <c r="C227"/>
      <c r="D227"/>
      <c r="E227"/>
      <c r="F227"/>
      <c r="G227"/>
      <c r="H227"/>
      <c r="I227"/>
      <c r="J227"/>
      <c r="K227"/>
      <c r="L227"/>
      <c r="M227"/>
      <c r="N227"/>
      <c r="O227"/>
      <c r="P227"/>
      <c r="Q227"/>
      <c r="R227"/>
      <c r="S227"/>
      <c r="T227"/>
      <c r="U227"/>
      <c r="V227"/>
      <c r="W227"/>
    </row>
    <row r="228" spans="1:23" x14ac:dyDescent="0.2">
      <c r="A228"/>
      <c r="B228"/>
      <c r="C228"/>
      <c r="D228"/>
      <c r="E228"/>
      <c r="F228"/>
      <c r="G228"/>
      <c r="H228"/>
      <c r="I228"/>
      <c r="J228"/>
      <c r="K228"/>
      <c r="L228"/>
      <c r="M228"/>
      <c r="N228"/>
      <c r="O228"/>
      <c r="P228"/>
      <c r="Q228"/>
      <c r="R228"/>
      <c r="S228"/>
      <c r="T228"/>
      <c r="U228"/>
      <c r="V228"/>
      <c r="W228"/>
    </row>
    <row r="229" spans="1:23" x14ac:dyDescent="0.2">
      <c r="A229"/>
      <c r="B229"/>
      <c r="C229"/>
      <c r="D229"/>
      <c r="E229"/>
      <c r="F229"/>
      <c r="G229"/>
      <c r="H229"/>
      <c r="I229"/>
      <c r="J229"/>
      <c r="K229"/>
      <c r="L229"/>
      <c r="M229"/>
      <c r="N229"/>
      <c r="O229"/>
      <c r="P229"/>
      <c r="Q229"/>
      <c r="R229"/>
      <c r="S229"/>
      <c r="T229"/>
      <c r="U229"/>
      <c r="V229"/>
      <c r="W229"/>
    </row>
    <row r="230" spans="1:23" x14ac:dyDescent="0.2">
      <c r="A230"/>
      <c r="B230"/>
      <c r="C230"/>
      <c r="D230"/>
      <c r="E230"/>
      <c r="F230"/>
      <c r="G230"/>
      <c r="H230"/>
      <c r="I230"/>
      <c r="J230"/>
      <c r="K230"/>
      <c r="L230"/>
      <c r="M230"/>
      <c r="N230"/>
      <c r="O230"/>
      <c r="P230"/>
      <c r="Q230"/>
      <c r="R230"/>
      <c r="S230"/>
      <c r="T230"/>
      <c r="U230"/>
      <c r="V230"/>
      <c r="W230"/>
    </row>
    <row r="231" spans="1:23" x14ac:dyDescent="0.2">
      <c r="A231"/>
      <c r="B231"/>
      <c r="C231"/>
      <c r="D231"/>
      <c r="E231"/>
      <c r="F231"/>
      <c r="G231"/>
      <c r="H231"/>
      <c r="I231"/>
      <c r="J231"/>
      <c r="K231"/>
      <c r="L231"/>
      <c r="M231"/>
      <c r="N231"/>
      <c r="O231"/>
      <c r="P231"/>
      <c r="Q231"/>
      <c r="R231"/>
      <c r="S231"/>
      <c r="T231"/>
      <c r="U231"/>
      <c r="V231"/>
      <c r="W231"/>
    </row>
    <row r="232" spans="1:23" x14ac:dyDescent="0.2">
      <c r="A232"/>
      <c r="B232"/>
      <c r="C232"/>
      <c r="D232"/>
      <c r="E232"/>
      <c r="F232"/>
      <c r="G232"/>
      <c r="H232"/>
      <c r="I232"/>
      <c r="J232"/>
      <c r="K232"/>
      <c r="L232"/>
      <c r="M232"/>
      <c r="N232"/>
      <c r="O232"/>
      <c r="P232"/>
      <c r="Q232"/>
      <c r="R232"/>
      <c r="S232"/>
      <c r="T232"/>
      <c r="U232"/>
      <c r="V232"/>
      <c r="W232"/>
    </row>
    <row r="233" spans="1:23" x14ac:dyDescent="0.2">
      <c r="A233"/>
      <c r="B233"/>
      <c r="C233"/>
      <c r="D233"/>
      <c r="E233"/>
      <c r="F233"/>
      <c r="G233"/>
      <c r="H233"/>
      <c r="I233"/>
      <c r="J233"/>
      <c r="K233"/>
      <c r="L233"/>
      <c r="M233"/>
      <c r="N233"/>
      <c r="O233"/>
      <c r="P233"/>
      <c r="Q233"/>
      <c r="R233"/>
      <c r="S233"/>
      <c r="T233"/>
      <c r="U233"/>
      <c r="V233"/>
      <c r="W233"/>
    </row>
    <row r="234" spans="1:23" x14ac:dyDescent="0.2">
      <c r="A234"/>
      <c r="B234"/>
      <c r="C234"/>
      <c r="D234"/>
      <c r="E234"/>
      <c r="F234"/>
      <c r="G234"/>
      <c r="H234"/>
      <c r="I234"/>
      <c r="J234"/>
      <c r="K234"/>
      <c r="L234"/>
      <c r="M234"/>
      <c r="N234"/>
      <c r="O234"/>
      <c r="P234"/>
      <c r="Q234"/>
      <c r="R234"/>
      <c r="S234"/>
      <c r="T234"/>
      <c r="U234"/>
      <c r="V234"/>
      <c r="W234"/>
    </row>
    <row r="235" spans="1:23" x14ac:dyDescent="0.2">
      <c r="A235"/>
      <c r="B235"/>
      <c r="C235"/>
      <c r="D235"/>
      <c r="E235"/>
      <c r="F235"/>
      <c r="G235"/>
      <c r="H235"/>
      <c r="I235"/>
      <c r="J235"/>
      <c r="K235"/>
      <c r="L235"/>
      <c r="M235"/>
      <c r="N235"/>
      <c r="O235"/>
      <c r="P235"/>
      <c r="Q235"/>
      <c r="R235"/>
      <c r="S235"/>
      <c r="T235"/>
      <c r="U235"/>
      <c r="V235"/>
      <c r="W235"/>
    </row>
    <row r="236" spans="1:23" x14ac:dyDescent="0.2">
      <c r="A236"/>
      <c r="B236"/>
      <c r="C236"/>
      <c r="D236"/>
      <c r="E236"/>
      <c r="F236"/>
      <c r="G236"/>
      <c r="H236"/>
      <c r="I236"/>
      <c r="J236"/>
      <c r="K236"/>
      <c r="L236"/>
      <c r="M236"/>
      <c r="N236"/>
      <c r="O236"/>
      <c r="P236"/>
      <c r="Q236"/>
      <c r="R236"/>
      <c r="S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row r="287" spans="1:23" x14ac:dyDescent="0.2">
      <c r="A287"/>
      <c r="B287"/>
      <c r="C287"/>
      <c r="D287"/>
      <c r="E287"/>
      <c r="F287"/>
      <c r="G287"/>
      <c r="H287"/>
      <c r="I287"/>
      <c r="J287"/>
      <c r="K287"/>
      <c r="L287"/>
      <c r="M287"/>
      <c r="N287"/>
      <c r="O287"/>
      <c r="P287"/>
      <c r="Q287"/>
      <c r="R287"/>
      <c r="S287"/>
      <c r="T287"/>
      <c r="U287"/>
      <c r="V287"/>
      <c r="W287"/>
    </row>
    <row r="288" spans="1:23" x14ac:dyDescent="0.2">
      <c r="A288"/>
      <c r="B288"/>
      <c r="C288"/>
      <c r="D288"/>
      <c r="E288"/>
      <c r="F288"/>
      <c r="G288"/>
      <c r="H288"/>
      <c r="I288"/>
      <c r="J288"/>
      <c r="K288"/>
      <c r="L288"/>
      <c r="M288"/>
      <c r="N288"/>
      <c r="O288"/>
      <c r="P288"/>
      <c r="Q288"/>
      <c r="R288"/>
      <c r="S288"/>
      <c r="T288"/>
      <c r="U288"/>
      <c r="V288"/>
      <c r="W288"/>
    </row>
    <row r="289" spans="1:23" x14ac:dyDescent="0.2">
      <c r="A289"/>
      <c r="B289"/>
      <c r="C289"/>
      <c r="D289"/>
      <c r="E289"/>
      <c r="F289"/>
      <c r="G289"/>
      <c r="H289"/>
      <c r="I289"/>
      <c r="J289"/>
      <c r="K289"/>
      <c r="L289"/>
      <c r="M289"/>
      <c r="N289"/>
      <c r="O289"/>
      <c r="P289"/>
      <c r="Q289"/>
      <c r="R289"/>
      <c r="S289"/>
      <c r="T289"/>
      <c r="U289"/>
      <c r="V289"/>
      <c r="W289"/>
    </row>
    <row r="290" spans="1:23" x14ac:dyDescent="0.2">
      <c r="A290"/>
      <c r="B290"/>
      <c r="C290"/>
      <c r="D290"/>
      <c r="E290"/>
      <c r="F290"/>
      <c r="G290"/>
      <c r="H290"/>
      <c r="I290"/>
      <c r="J290"/>
      <c r="K290"/>
      <c r="L290"/>
      <c r="M290"/>
      <c r="N290"/>
      <c r="O290"/>
      <c r="P290"/>
      <c r="Q290"/>
      <c r="R290"/>
      <c r="S290"/>
      <c r="T290"/>
      <c r="U290"/>
      <c r="V290"/>
      <c r="W290"/>
    </row>
    <row r="291" spans="1:23" x14ac:dyDescent="0.2">
      <c r="A291"/>
      <c r="B291"/>
      <c r="C291"/>
      <c r="D291"/>
      <c r="E291"/>
      <c r="F291"/>
      <c r="G291"/>
      <c r="H291"/>
      <c r="I291"/>
      <c r="J291"/>
      <c r="K291"/>
      <c r="L291"/>
      <c r="M291"/>
      <c r="N291"/>
      <c r="O291"/>
      <c r="P291"/>
      <c r="Q291"/>
      <c r="R291"/>
      <c r="S291"/>
      <c r="T291"/>
      <c r="U291"/>
      <c r="V291"/>
      <c r="W291"/>
    </row>
    <row r="292" spans="1:23" x14ac:dyDescent="0.2">
      <c r="A292"/>
      <c r="B292"/>
      <c r="C292"/>
      <c r="D292"/>
      <c r="E292"/>
      <c r="F292"/>
      <c r="G292"/>
      <c r="H292"/>
      <c r="I292"/>
      <c r="J292"/>
      <c r="K292"/>
      <c r="L292"/>
      <c r="M292"/>
      <c r="N292"/>
      <c r="O292"/>
      <c r="P292"/>
      <c r="Q292"/>
      <c r="R292"/>
      <c r="S292"/>
      <c r="T292"/>
      <c r="U292"/>
      <c r="V292"/>
      <c r="W292"/>
    </row>
    <row r="293" spans="1:23" x14ac:dyDescent="0.2">
      <c r="A293"/>
      <c r="B293"/>
      <c r="C293"/>
      <c r="D293"/>
      <c r="E293"/>
      <c r="F293"/>
      <c r="G293"/>
      <c r="H293"/>
      <c r="I293"/>
      <c r="J293"/>
      <c r="K293"/>
      <c r="L293"/>
      <c r="M293"/>
      <c r="N293"/>
      <c r="O293"/>
      <c r="P293"/>
      <c r="Q293"/>
      <c r="R293"/>
      <c r="S293"/>
      <c r="T293"/>
      <c r="U293"/>
      <c r="V293"/>
      <c r="W293"/>
    </row>
    <row r="294" spans="1:23" x14ac:dyDescent="0.2">
      <c r="A294"/>
      <c r="B294"/>
      <c r="C294"/>
      <c r="D294"/>
      <c r="E294"/>
      <c r="F294"/>
      <c r="G294"/>
      <c r="H294"/>
      <c r="I294"/>
      <c r="J294"/>
      <c r="K294"/>
      <c r="L294"/>
      <c r="M294"/>
      <c r="N294"/>
      <c r="O294"/>
      <c r="P294"/>
      <c r="Q294"/>
      <c r="R294"/>
      <c r="S294"/>
      <c r="T294"/>
      <c r="U294"/>
      <c r="V294"/>
      <c r="W294"/>
    </row>
    <row r="295" spans="1:23" x14ac:dyDescent="0.2">
      <c r="A295"/>
      <c r="B295"/>
      <c r="C295"/>
      <c r="D295"/>
      <c r="E295"/>
      <c r="F295"/>
      <c r="G295"/>
      <c r="H295"/>
      <c r="I295"/>
      <c r="J295"/>
      <c r="K295"/>
      <c r="L295"/>
      <c r="M295"/>
      <c r="N295"/>
      <c r="O295"/>
      <c r="P295"/>
      <c r="Q295"/>
      <c r="R295"/>
      <c r="S295"/>
      <c r="T295"/>
      <c r="U295"/>
      <c r="V295"/>
      <c r="W295"/>
    </row>
    <row r="296" spans="1:23" x14ac:dyDescent="0.2">
      <c r="A296"/>
      <c r="B296"/>
      <c r="C296"/>
      <c r="D296"/>
      <c r="E296"/>
      <c r="F296"/>
      <c r="G296"/>
      <c r="H296"/>
      <c r="I296"/>
      <c r="J296"/>
      <c r="K296"/>
      <c r="L296"/>
      <c r="M296"/>
      <c r="N296"/>
      <c r="O296"/>
      <c r="P296"/>
      <c r="Q296"/>
      <c r="R296"/>
      <c r="S296"/>
      <c r="T296"/>
      <c r="U296"/>
      <c r="V296"/>
      <c r="W296"/>
    </row>
    <row r="297" spans="1:23" x14ac:dyDescent="0.2">
      <c r="A297"/>
      <c r="B297"/>
      <c r="C297"/>
      <c r="D297"/>
      <c r="E297"/>
      <c r="F297"/>
      <c r="G297"/>
      <c r="H297"/>
      <c r="I297"/>
      <c r="J297"/>
      <c r="K297"/>
      <c r="L297"/>
      <c r="M297"/>
      <c r="N297"/>
      <c r="O297"/>
      <c r="P297"/>
      <c r="Q297"/>
      <c r="R297"/>
      <c r="S297"/>
      <c r="T297"/>
      <c r="U297"/>
      <c r="V297"/>
      <c r="W297"/>
    </row>
    <row r="298" spans="1:23" x14ac:dyDescent="0.2">
      <c r="A298"/>
      <c r="B298"/>
      <c r="C298"/>
      <c r="D298"/>
      <c r="E298"/>
      <c r="F298"/>
      <c r="G298"/>
      <c r="H298"/>
      <c r="I298"/>
      <c r="J298"/>
      <c r="K298"/>
      <c r="L298"/>
      <c r="M298"/>
      <c r="N298"/>
      <c r="O298"/>
      <c r="P298"/>
      <c r="Q298"/>
      <c r="R298"/>
      <c r="S298"/>
      <c r="T298"/>
      <c r="U298"/>
      <c r="V298"/>
      <c r="W298"/>
    </row>
    <row r="299" spans="1:23" x14ac:dyDescent="0.2">
      <c r="A299"/>
      <c r="B299"/>
      <c r="C299"/>
      <c r="D299"/>
      <c r="E299"/>
      <c r="F299"/>
      <c r="G299"/>
      <c r="H299"/>
      <c r="I299"/>
      <c r="J299"/>
      <c r="K299"/>
      <c r="L299"/>
      <c r="M299"/>
      <c r="N299"/>
      <c r="O299"/>
      <c r="P299"/>
      <c r="Q299"/>
      <c r="R299"/>
      <c r="S299"/>
      <c r="T299"/>
      <c r="U299"/>
      <c r="V299"/>
      <c r="W299"/>
    </row>
    <row r="300" spans="1:23" x14ac:dyDescent="0.2">
      <c r="A300"/>
      <c r="B300"/>
      <c r="C300"/>
      <c r="D300"/>
      <c r="E300"/>
      <c r="F300"/>
      <c r="G300"/>
      <c r="H300"/>
      <c r="I300"/>
      <c r="J300"/>
      <c r="K300"/>
      <c r="L300"/>
      <c r="M300"/>
      <c r="N300"/>
      <c r="O300"/>
      <c r="P300"/>
      <c r="Q300"/>
      <c r="R300"/>
      <c r="S300"/>
      <c r="T300"/>
      <c r="U300"/>
      <c r="V300"/>
      <c r="W300"/>
    </row>
    <row r="301" spans="1:23" x14ac:dyDescent="0.2">
      <c r="A301"/>
      <c r="B301"/>
      <c r="C301"/>
      <c r="D301"/>
      <c r="E301"/>
      <c r="F301"/>
      <c r="G301"/>
      <c r="H301"/>
      <c r="I301"/>
      <c r="J301"/>
      <c r="K301"/>
      <c r="L301"/>
      <c r="M301"/>
      <c r="N301"/>
      <c r="O301"/>
      <c r="P301"/>
      <c r="Q301"/>
      <c r="R301"/>
      <c r="S301"/>
      <c r="T301"/>
      <c r="U301"/>
      <c r="V301"/>
      <c r="W301"/>
    </row>
    <row r="302" spans="1:23" x14ac:dyDescent="0.2">
      <c r="A302"/>
      <c r="B302"/>
      <c r="C302"/>
      <c r="D302"/>
      <c r="E302"/>
      <c r="F302"/>
      <c r="G302"/>
      <c r="H302"/>
      <c r="I302"/>
      <c r="J302"/>
      <c r="K302"/>
      <c r="L302"/>
      <c r="M302"/>
      <c r="N302"/>
      <c r="O302"/>
      <c r="P302"/>
      <c r="Q302"/>
      <c r="R302"/>
      <c r="S302"/>
      <c r="T302"/>
      <c r="U302"/>
      <c r="V302"/>
      <c r="W302"/>
    </row>
    <row r="303" spans="1:23" x14ac:dyDescent="0.2">
      <c r="A303"/>
      <c r="B303"/>
      <c r="C303"/>
      <c r="D303"/>
      <c r="E303"/>
      <c r="F303"/>
      <c r="G303"/>
      <c r="H303"/>
      <c r="I303"/>
      <c r="J303"/>
      <c r="K303"/>
      <c r="L303"/>
      <c r="M303"/>
      <c r="N303"/>
      <c r="O303"/>
      <c r="P303"/>
      <c r="Q303"/>
      <c r="R303"/>
      <c r="S303"/>
      <c r="T303"/>
      <c r="U303"/>
      <c r="V303"/>
      <c r="W303"/>
    </row>
    <row r="304" spans="1:23" x14ac:dyDescent="0.2">
      <c r="A304"/>
      <c r="B304"/>
      <c r="C304"/>
      <c r="D304"/>
      <c r="E304"/>
      <c r="F304"/>
      <c r="G304"/>
      <c r="H304"/>
      <c r="I304"/>
      <c r="J304"/>
      <c r="K304"/>
      <c r="L304"/>
      <c r="M304"/>
      <c r="N304"/>
      <c r="O304"/>
      <c r="P304"/>
      <c r="Q304"/>
      <c r="R304"/>
      <c r="S304"/>
      <c r="T304"/>
      <c r="U304"/>
      <c r="V304"/>
      <c r="W304"/>
    </row>
    <row r="305" spans="1:23" x14ac:dyDescent="0.2">
      <c r="A305"/>
      <c r="B305"/>
      <c r="C305"/>
      <c r="D305"/>
      <c r="E305"/>
      <c r="F305"/>
      <c r="G305"/>
      <c r="H305"/>
      <c r="I305"/>
      <c r="J305"/>
      <c r="K305"/>
      <c r="L305"/>
      <c r="M305"/>
      <c r="N305"/>
      <c r="O305"/>
      <c r="P305"/>
      <c r="Q305"/>
      <c r="R305"/>
      <c r="S305"/>
      <c r="T305"/>
      <c r="U305"/>
      <c r="V305"/>
      <c r="W305"/>
    </row>
    <row r="306" spans="1:23" x14ac:dyDescent="0.2">
      <c r="A306"/>
      <c r="B306"/>
      <c r="C306"/>
      <c r="D306"/>
      <c r="E306"/>
      <c r="F306"/>
      <c r="G306"/>
      <c r="H306"/>
      <c r="I306"/>
      <c r="J306"/>
      <c r="K306"/>
      <c r="L306"/>
      <c r="M306"/>
      <c r="N306"/>
      <c r="O306"/>
      <c r="P306"/>
      <c r="Q306"/>
      <c r="R306"/>
      <c r="S306"/>
      <c r="T306"/>
      <c r="U306"/>
      <c r="V306"/>
      <c r="W306"/>
    </row>
    <row r="307" spans="1:23" x14ac:dyDescent="0.2">
      <c r="A307"/>
      <c r="B307"/>
      <c r="C307"/>
      <c r="D307"/>
      <c r="E307"/>
      <c r="F307"/>
      <c r="G307"/>
      <c r="H307"/>
      <c r="I307"/>
      <c r="J307"/>
      <c r="K307"/>
      <c r="L307"/>
      <c r="M307"/>
      <c r="N307"/>
      <c r="O307"/>
      <c r="P307"/>
      <c r="Q307"/>
      <c r="R307"/>
      <c r="S307"/>
      <c r="T307"/>
      <c r="U307"/>
      <c r="V307"/>
      <c r="W307"/>
    </row>
    <row r="308" spans="1:23" x14ac:dyDescent="0.2">
      <c r="A308"/>
      <c r="B308"/>
      <c r="C308"/>
      <c r="D308"/>
      <c r="E308"/>
      <c r="F308"/>
      <c r="G308"/>
      <c r="H308"/>
      <c r="I308"/>
      <c r="J308"/>
      <c r="K308"/>
      <c r="L308"/>
      <c r="M308"/>
      <c r="N308"/>
      <c r="O308"/>
      <c r="P308"/>
      <c r="Q308"/>
      <c r="R308"/>
      <c r="S308"/>
      <c r="T308"/>
      <c r="U308"/>
      <c r="V308"/>
      <c r="W308"/>
    </row>
    <row r="309" spans="1:23" x14ac:dyDescent="0.2">
      <c r="A309"/>
      <c r="B309"/>
      <c r="C309"/>
      <c r="D309"/>
      <c r="E309"/>
      <c r="F309"/>
      <c r="G309"/>
      <c r="H309"/>
      <c r="I309"/>
      <c r="J309"/>
      <c r="K309"/>
      <c r="L309"/>
      <c r="M309"/>
      <c r="N309"/>
      <c r="O309"/>
      <c r="P309"/>
      <c r="Q309"/>
      <c r="R309"/>
      <c r="S309"/>
      <c r="T309"/>
      <c r="U309"/>
      <c r="V309"/>
      <c r="W309"/>
    </row>
    <row r="310" spans="1:23" x14ac:dyDescent="0.2">
      <c r="A310"/>
      <c r="B310"/>
      <c r="C310"/>
      <c r="D310"/>
      <c r="E310"/>
      <c r="F310"/>
      <c r="G310"/>
      <c r="H310"/>
      <c r="I310"/>
      <c r="J310"/>
      <c r="K310"/>
      <c r="L310"/>
      <c r="M310"/>
      <c r="N310"/>
      <c r="O310"/>
      <c r="P310"/>
      <c r="Q310"/>
      <c r="R310"/>
      <c r="S310"/>
      <c r="T310"/>
      <c r="U310"/>
      <c r="V310"/>
      <c r="W310"/>
    </row>
    <row r="311" spans="1:23" x14ac:dyDescent="0.2">
      <c r="A311"/>
      <c r="B311"/>
      <c r="C311"/>
      <c r="D311"/>
      <c r="E311"/>
      <c r="F311"/>
      <c r="G311"/>
      <c r="H311"/>
      <c r="I311"/>
      <c r="J311"/>
      <c r="K311"/>
      <c r="L311"/>
      <c r="M311"/>
      <c r="N311"/>
      <c r="O311"/>
      <c r="P311"/>
      <c r="Q311"/>
      <c r="R311"/>
      <c r="S311"/>
      <c r="T311"/>
      <c r="U311"/>
      <c r="V311"/>
      <c r="W311"/>
    </row>
    <row r="312" spans="1:23" x14ac:dyDescent="0.2">
      <c r="A312"/>
      <c r="B312"/>
      <c r="C312"/>
      <c r="D312"/>
      <c r="E312"/>
      <c r="F312"/>
      <c r="G312"/>
      <c r="H312"/>
      <c r="I312"/>
      <c r="J312"/>
      <c r="K312"/>
      <c r="L312"/>
      <c r="M312"/>
      <c r="N312"/>
      <c r="O312"/>
      <c r="P312"/>
      <c r="Q312"/>
      <c r="R312"/>
      <c r="S312"/>
      <c r="T312"/>
      <c r="U312"/>
      <c r="V312"/>
      <c r="W312"/>
    </row>
    <row r="313" spans="1:23" x14ac:dyDescent="0.2">
      <c r="A313"/>
      <c r="B313"/>
      <c r="C313"/>
      <c r="D313"/>
      <c r="E313"/>
      <c r="F313"/>
      <c r="G313"/>
      <c r="H313"/>
      <c r="I313"/>
      <c r="J313"/>
      <c r="K313"/>
      <c r="L313"/>
      <c r="M313"/>
      <c r="N313"/>
      <c r="O313"/>
      <c r="P313"/>
      <c r="Q313"/>
      <c r="R313"/>
      <c r="S313"/>
      <c r="T313"/>
      <c r="U313"/>
      <c r="V313"/>
      <c r="W313"/>
    </row>
    <row r="314" spans="1:23" x14ac:dyDescent="0.2">
      <c r="A314"/>
      <c r="B314"/>
      <c r="C314"/>
      <c r="D314"/>
      <c r="E314"/>
      <c r="F314"/>
      <c r="G314"/>
      <c r="H314"/>
      <c r="I314"/>
      <c r="J314"/>
      <c r="K314"/>
      <c r="L314"/>
      <c r="M314"/>
      <c r="N314"/>
      <c r="O314"/>
      <c r="P314"/>
      <c r="Q314"/>
      <c r="R314"/>
      <c r="S314"/>
      <c r="T314"/>
      <c r="U314"/>
      <c r="V314"/>
      <c r="W314"/>
    </row>
    <row r="315" spans="1:23" x14ac:dyDescent="0.2">
      <c r="A315"/>
      <c r="B315"/>
      <c r="C315"/>
      <c r="D315"/>
      <c r="E315"/>
      <c r="F315"/>
      <c r="G315"/>
      <c r="H315"/>
      <c r="I315"/>
      <c r="J315"/>
      <c r="K315"/>
      <c r="L315"/>
      <c r="M315"/>
      <c r="N315"/>
      <c r="O315"/>
      <c r="P315"/>
      <c r="Q315"/>
      <c r="R315"/>
      <c r="S315"/>
      <c r="T315"/>
      <c r="U315"/>
      <c r="V315"/>
      <c r="W315"/>
    </row>
    <row r="316" spans="1:23" x14ac:dyDescent="0.2">
      <c r="A316"/>
      <c r="B316"/>
      <c r="C316"/>
      <c r="D316"/>
      <c r="E316"/>
      <c r="F316"/>
      <c r="G316"/>
      <c r="H316"/>
      <c r="I316"/>
      <c r="J316"/>
      <c r="K316"/>
      <c r="L316"/>
      <c r="M316"/>
      <c r="N316"/>
      <c r="O316"/>
      <c r="P316"/>
      <c r="Q316"/>
      <c r="R316"/>
      <c r="S316"/>
      <c r="T316"/>
      <c r="U316"/>
      <c r="V316"/>
      <c r="W316"/>
    </row>
    <row r="317" spans="1:23" x14ac:dyDescent="0.2">
      <c r="A317"/>
      <c r="B317"/>
      <c r="C317"/>
      <c r="D317"/>
      <c r="E317"/>
      <c r="F317"/>
      <c r="G317"/>
      <c r="H317"/>
      <c r="I317"/>
      <c r="J317"/>
      <c r="K317"/>
      <c r="L317"/>
      <c r="M317"/>
      <c r="N317"/>
      <c r="O317"/>
      <c r="P317"/>
      <c r="Q317"/>
      <c r="R317"/>
      <c r="S317"/>
      <c r="T317"/>
      <c r="U317"/>
      <c r="V317"/>
      <c r="W317"/>
    </row>
    <row r="318" spans="1:23" x14ac:dyDescent="0.2">
      <c r="A318"/>
      <c r="B318"/>
      <c r="C318"/>
      <c r="D318"/>
      <c r="E318"/>
      <c r="F318"/>
      <c r="G318"/>
      <c r="H318"/>
      <c r="I318"/>
      <c r="J318"/>
      <c r="K318"/>
      <c r="L318"/>
      <c r="M318"/>
      <c r="N318"/>
      <c r="O318"/>
      <c r="P318"/>
      <c r="Q318"/>
      <c r="R318"/>
      <c r="S318"/>
      <c r="T318"/>
      <c r="U318"/>
      <c r="V318"/>
      <c r="W318"/>
    </row>
    <row r="319" spans="1:23" x14ac:dyDescent="0.2">
      <c r="A319"/>
      <c r="B319"/>
      <c r="C319"/>
      <c r="D319"/>
      <c r="E319"/>
      <c r="F319"/>
      <c r="G319"/>
      <c r="H319"/>
      <c r="I319"/>
      <c r="J319"/>
      <c r="K319"/>
      <c r="L319"/>
      <c r="M319"/>
      <c r="N319"/>
      <c r="O319"/>
      <c r="P319"/>
      <c r="Q319"/>
      <c r="R319"/>
      <c r="S319"/>
      <c r="T319"/>
      <c r="U319"/>
      <c r="V319"/>
      <c r="W319"/>
    </row>
    <row r="320" spans="1:23" x14ac:dyDescent="0.2">
      <c r="A320"/>
      <c r="B320"/>
      <c r="C320"/>
      <c r="D320"/>
      <c r="E320"/>
      <c r="F320"/>
      <c r="G320"/>
      <c r="H320"/>
      <c r="I320"/>
      <c r="J320"/>
      <c r="K320"/>
      <c r="L320"/>
      <c r="M320"/>
      <c r="N320"/>
      <c r="O320"/>
      <c r="P320"/>
      <c r="Q320"/>
      <c r="R320"/>
      <c r="S320"/>
      <c r="T320"/>
      <c r="U320"/>
      <c r="V320"/>
      <c r="W320"/>
    </row>
    <row r="321" spans="1:23" x14ac:dyDescent="0.2">
      <c r="A321"/>
      <c r="B321"/>
      <c r="C321"/>
      <c r="D321"/>
      <c r="E321"/>
      <c r="F321"/>
      <c r="G321"/>
      <c r="H321"/>
      <c r="I321"/>
      <c r="J321"/>
      <c r="K321"/>
      <c r="L321"/>
      <c r="M321"/>
      <c r="N321"/>
      <c r="O321"/>
      <c r="P321"/>
      <c r="Q321"/>
      <c r="R321"/>
      <c r="S321"/>
      <c r="T321"/>
      <c r="U321"/>
      <c r="V321"/>
      <c r="W321"/>
    </row>
    <row r="322" spans="1:23" x14ac:dyDescent="0.2">
      <c r="A322"/>
      <c r="B322"/>
      <c r="C322"/>
      <c r="D322"/>
      <c r="E322"/>
      <c r="F322"/>
      <c r="G322"/>
      <c r="H322"/>
      <c r="I322"/>
      <c r="J322"/>
      <c r="K322"/>
      <c r="L322"/>
      <c r="M322"/>
      <c r="N322"/>
      <c r="O322"/>
      <c r="P322"/>
      <c r="Q322"/>
      <c r="R322"/>
      <c r="S322"/>
      <c r="T322"/>
      <c r="U322"/>
      <c r="V322"/>
      <c r="W322"/>
    </row>
    <row r="323" spans="1:23" x14ac:dyDescent="0.2">
      <c r="A323"/>
      <c r="B323"/>
      <c r="C323"/>
      <c r="D323"/>
      <c r="E323"/>
      <c r="F323"/>
      <c r="G323"/>
      <c r="H323"/>
      <c r="I323"/>
      <c r="J323"/>
      <c r="K323"/>
      <c r="L323"/>
      <c r="M323"/>
      <c r="N323"/>
      <c r="O323"/>
      <c r="P323"/>
      <c r="Q323"/>
      <c r="R323"/>
      <c r="S323"/>
      <c r="T323"/>
      <c r="U323"/>
      <c r="V323"/>
      <c r="W323"/>
    </row>
    <row r="324" spans="1:23" x14ac:dyDescent="0.2">
      <c r="A324"/>
      <c r="B324"/>
      <c r="C324"/>
      <c r="D324"/>
      <c r="E324"/>
      <c r="F324"/>
      <c r="G324"/>
      <c r="H324"/>
      <c r="I324"/>
      <c r="J324"/>
      <c r="K324"/>
      <c r="L324"/>
      <c r="M324"/>
      <c r="N324"/>
      <c r="O324"/>
      <c r="P324"/>
      <c r="Q324"/>
      <c r="R324"/>
      <c r="S324"/>
      <c r="T324"/>
      <c r="U324"/>
      <c r="V324"/>
      <c r="W324"/>
    </row>
    <row r="325" spans="1:23" x14ac:dyDescent="0.2">
      <c r="A325"/>
      <c r="B325"/>
      <c r="C325"/>
      <c r="D325"/>
      <c r="E325"/>
      <c r="F325"/>
      <c r="G325"/>
      <c r="H325"/>
      <c r="I325"/>
      <c r="J325"/>
      <c r="K325"/>
      <c r="L325"/>
      <c r="M325"/>
      <c r="N325"/>
      <c r="O325"/>
      <c r="P325"/>
      <c r="Q325"/>
      <c r="R325"/>
      <c r="S325"/>
      <c r="T325"/>
      <c r="U325"/>
      <c r="V325"/>
      <c r="W325"/>
    </row>
    <row r="326" spans="1:23" x14ac:dyDescent="0.2">
      <c r="A326"/>
      <c r="B326"/>
      <c r="C326"/>
      <c r="D326"/>
      <c r="E326"/>
      <c r="F326"/>
      <c r="G326"/>
      <c r="H326"/>
      <c r="I326"/>
      <c r="J326"/>
      <c r="K326"/>
      <c r="L326"/>
      <c r="M326"/>
      <c r="N326"/>
      <c r="O326"/>
      <c r="P326"/>
      <c r="Q326"/>
      <c r="R326"/>
      <c r="S326"/>
      <c r="T326"/>
      <c r="U326"/>
      <c r="V326"/>
      <c r="W326"/>
    </row>
    <row r="327" spans="1:23" x14ac:dyDescent="0.2">
      <c r="A327"/>
      <c r="B327"/>
      <c r="C327"/>
      <c r="D327"/>
      <c r="E327"/>
      <c r="F327"/>
      <c r="G327"/>
      <c r="H327"/>
      <c r="I327"/>
      <c r="J327"/>
      <c r="K327"/>
      <c r="L327"/>
      <c r="M327"/>
      <c r="N327"/>
      <c r="O327"/>
      <c r="P327"/>
      <c r="Q327"/>
      <c r="R327"/>
      <c r="S327"/>
      <c r="T327"/>
      <c r="U327"/>
      <c r="V327"/>
      <c r="W327"/>
    </row>
    <row r="328" spans="1:23" x14ac:dyDescent="0.2">
      <c r="A328"/>
      <c r="B328"/>
      <c r="C328"/>
      <c r="D328"/>
      <c r="E328"/>
      <c r="F328"/>
      <c r="G328"/>
      <c r="H328"/>
      <c r="I328"/>
      <c r="J328"/>
      <c r="K328"/>
      <c r="L328"/>
      <c r="M328"/>
      <c r="N328"/>
      <c r="O328"/>
      <c r="P328"/>
      <c r="Q328"/>
      <c r="R328"/>
      <c r="S328"/>
      <c r="T328"/>
      <c r="U328"/>
      <c r="V328"/>
      <c r="W328"/>
    </row>
    <row r="329" spans="1:23" x14ac:dyDescent="0.2">
      <c r="A329"/>
      <c r="B329"/>
      <c r="C329"/>
      <c r="D329"/>
      <c r="E329"/>
      <c r="F329"/>
      <c r="G329"/>
      <c r="H329"/>
      <c r="I329"/>
      <c r="J329"/>
      <c r="K329"/>
      <c r="L329"/>
      <c r="M329"/>
      <c r="N329"/>
      <c r="O329"/>
      <c r="P329"/>
      <c r="Q329"/>
      <c r="R329"/>
      <c r="S329"/>
      <c r="T329"/>
      <c r="U329"/>
      <c r="V329"/>
      <c r="W329"/>
    </row>
    <row r="330" spans="1:23" x14ac:dyDescent="0.2">
      <c r="A330"/>
      <c r="B330"/>
      <c r="C330"/>
      <c r="D330"/>
      <c r="E330"/>
      <c r="F330"/>
      <c r="G330"/>
      <c r="H330"/>
      <c r="I330"/>
      <c r="J330"/>
      <c r="K330"/>
      <c r="L330"/>
      <c r="M330"/>
      <c r="N330"/>
      <c r="O330"/>
      <c r="P330"/>
      <c r="Q330"/>
      <c r="R330"/>
      <c r="S330"/>
      <c r="T330"/>
      <c r="U330"/>
      <c r="V330"/>
      <c r="W330"/>
    </row>
    <row r="331" spans="1:23" x14ac:dyDescent="0.2">
      <c r="A331"/>
      <c r="B331"/>
      <c r="C331"/>
      <c r="D331"/>
      <c r="E331"/>
      <c r="F331"/>
      <c r="G331"/>
      <c r="H331"/>
      <c r="I331"/>
      <c r="J331"/>
      <c r="K331"/>
      <c r="L331"/>
      <c r="M331"/>
      <c r="N331"/>
      <c r="O331"/>
      <c r="P331"/>
      <c r="Q331"/>
      <c r="R331"/>
      <c r="S331"/>
      <c r="T331"/>
      <c r="U331"/>
      <c r="V331"/>
      <c r="W331"/>
    </row>
    <row r="332" spans="1:23" x14ac:dyDescent="0.2">
      <c r="A332"/>
      <c r="B332"/>
      <c r="C332"/>
      <c r="D332"/>
      <c r="E332"/>
      <c r="F332"/>
      <c r="G332"/>
      <c r="H332"/>
      <c r="I332"/>
      <c r="J332"/>
      <c r="K332"/>
      <c r="L332"/>
      <c r="M332"/>
      <c r="N332"/>
      <c r="O332"/>
      <c r="P332"/>
      <c r="Q332"/>
      <c r="R332"/>
      <c r="S332"/>
      <c r="T332"/>
      <c r="U332"/>
      <c r="V332"/>
      <c r="W332"/>
    </row>
    <row r="333" spans="1:23" x14ac:dyDescent="0.2">
      <c r="A333"/>
      <c r="B333"/>
      <c r="C333"/>
      <c r="D333"/>
      <c r="E333"/>
      <c r="F333"/>
      <c r="G333"/>
      <c r="H333"/>
      <c r="I333"/>
      <c r="J333"/>
      <c r="K333"/>
      <c r="L333"/>
      <c r="M333"/>
      <c r="N333"/>
      <c r="O333"/>
      <c r="P333"/>
      <c r="Q333"/>
      <c r="R333"/>
      <c r="S333"/>
      <c r="T333"/>
      <c r="U333"/>
      <c r="V333"/>
      <c r="W333"/>
    </row>
    <row r="334" spans="1:23" x14ac:dyDescent="0.2">
      <c r="A334"/>
      <c r="B334"/>
      <c r="C334"/>
      <c r="D334"/>
      <c r="E334"/>
      <c r="F334"/>
      <c r="G334"/>
      <c r="H334"/>
      <c r="I334"/>
      <c r="J334"/>
      <c r="K334"/>
      <c r="L334"/>
      <c r="M334"/>
      <c r="N334"/>
      <c r="O334"/>
      <c r="P334"/>
      <c r="Q334"/>
      <c r="R334"/>
      <c r="S334"/>
      <c r="T334"/>
      <c r="U334"/>
      <c r="V334"/>
      <c r="W334"/>
    </row>
    <row r="335" spans="1:23" x14ac:dyDescent="0.2">
      <c r="A335"/>
      <c r="B335"/>
      <c r="C335"/>
      <c r="D335"/>
      <c r="E335"/>
      <c r="F335"/>
      <c r="G335"/>
      <c r="H335"/>
      <c r="I335"/>
      <c r="J335"/>
      <c r="K335"/>
      <c r="L335"/>
      <c r="M335"/>
      <c r="N335"/>
      <c r="O335"/>
      <c r="P335"/>
      <c r="Q335"/>
      <c r="R335"/>
      <c r="S335"/>
      <c r="T335"/>
      <c r="U335"/>
      <c r="V335"/>
      <c r="W335"/>
    </row>
  </sheetData>
  <mergeCells count="6">
    <mergeCell ref="B137:E137"/>
    <mergeCell ref="B124:E124"/>
    <mergeCell ref="C68:D68"/>
    <mergeCell ref="B150:E150"/>
    <mergeCell ref="C44:D44"/>
    <mergeCell ref="C92:D92"/>
  </mergeCells>
  <hyperlinks>
    <hyperlink ref="F193" r:id="rId1" xr:uid="{00000000-0004-0000-1000-000000000000}"/>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&amp;L&amp;"Arial,Vet"keizer&amp;C&amp;"Arial,Vet"pagina &amp;P&amp;R&amp;"Arial,Vet"&amp;D</oddFooter>
  </headerFooter>
  <rowBreaks count="1" manualBreakCount="1">
    <brk id="103"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40"/>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x14ac:dyDescent="0.2">
      <c r="A2" s="420"/>
      <c r="B2" s="1253" t="s">
        <v>99</v>
      </c>
      <c r="C2" s="1352">
        <v>43466</v>
      </c>
      <c r="D2" s="1353"/>
      <c r="E2" s="69"/>
      <c r="F2" s="64"/>
      <c r="G2" s="64"/>
      <c r="H2" s="64"/>
      <c r="I2" s="64"/>
      <c r="J2" s="64"/>
      <c r="K2" s="64"/>
      <c r="L2" s="64"/>
      <c r="M2" s="64"/>
      <c r="N2" s="64"/>
      <c r="O2" s="64"/>
      <c r="P2" s="64"/>
      <c r="Q2" s="64"/>
      <c r="R2" s="64"/>
      <c r="S2" s="64"/>
      <c r="T2" s="64"/>
      <c r="U2" s="64"/>
      <c r="V2" s="64"/>
      <c r="W2" s="64"/>
    </row>
    <row r="3" spans="1:23" x14ac:dyDescent="0.2">
      <c r="A3" s="420"/>
      <c r="B3" s="69" t="s">
        <v>100</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101</v>
      </c>
    </row>
    <row r="4" spans="1:23" x14ac:dyDescent="0.2">
      <c r="A4" s="420"/>
      <c r="B4" s="1254" t="s">
        <v>103</v>
      </c>
      <c r="C4" s="493">
        <v>2648</v>
      </c>
      <c r="D4" s="493">
        <v>2766</v>
      </c>
      <c r="E4" s="493">
        <v>2895</v>
      </c>
      <c r="F4" s="493">
        <v>3036</v>
      </c>
      <c r="G4" s="493">
        <v>3157</v>
      </c>
      <c r="H4" s="493">
        <v>3282</v>
      </c>
      <c r="I4" s="493">
        <v>3397</v>
      </c>
      <c r="J4" s="493">
        <v>3514</v>
      </c>
      <c r="K4" s="493">
        <v>3639</v>
      </c>
      <c r="L4" s="493">
        <v>3755</v>
      </c>
      <c r="M4" s="493">
        <v>3867</v>
      </c>
      <c r="N4" s="493">
        <v>3982</v>
      </c>
      <c r="O4" s="493">
        <v>4176</v>
      </c>
      <c r="P4" s="493"/>
      <c r="Q4" s="493"/>
      <c r="R4" s="493"/>
      <c r="S4" s="493"/>
      <c r="T4" s="493"/>
      <c r="U4" s="493"/>
      <c r="V4" s="493"/>
      <c r="W4" s="1255">
        <f t="shared" ref="W4:W13" si="0">COUNTA(C4:V4)</f>
        <v>13</v>
      </c>
    </row>
    <row r="5" spans="1:23" x14ac:dyDescent="0.2">
      <c r="A5" s="420"/>
      <c r="B5" s="1254" t="s">
        <v>104</v>
      </c>
      <c r="C5" s="493">
        <v>2704</v>
      </c>
      <c r="D5" s="493">
        <v>2835</v>
      </c>
      <c r="E5" s="493">
        <v>2973</v>
      </c>
      <c r="F5" s="493">
        <v>3098</v>
      </c>
      <c r="G5" s="493">
        <v>3220</v>
      </c>
      <c r="H5" s="493">
        <v>3338</v>
      </c>
      <c r="I5" s="493">
        <v>3453</v>
      </c>
      <c r="J5" s="493">
        <v>3580</v>
      </c>
      <c r="K5" s="493">
        <v>3694</v>
      </c>
      <c r="L5" s="493">
        <v>3808</v>
      </c>
      <c r="M5" s="493">
        <v>3923</v>
      </c>
      <c r="N5" s="493">
        <v>4048</v>
      </c>
      <c r="O5" s="493">
        <v>4176</v>
      </c>
      <c r="P5" s="493">
        <v>4297</v>
      </c>
      <c r="Q5" s="493">
        <v>4416</v>
      </c>
      <c r="R5" s="493">
        <v>4533</v>
      </c>
      <c r="S5" s="493">
        <v>4649</v>
      </c>
      <c r="T5" s="493">
        <v>4709</v>
      </c>
      <c r="U5" s="493"/>
      <c r="V5" s="493"/>
      <c r="W5" s="1255">
        <f t="shared" si="0"/>
        <v>18</v>
      </c>
    </row>
    <row r="6" spans="1:23" x14ac:dyDescent="0.2">
      <c r="A6" s="420"/>
      <c r="B6" s="1254" t="s">
        <v>105</v>
      </c>
      <c r="C6" s="493">
        <v>2835</v>
      </c>
      <c r="D6" s="493">
        <v>2973</v>
      </c>
      <c r="E6" s="493">
        <v>3220</v>
      </c>
      <c r="F6" s="493">
        <v>3453</v>
      </c>
      <c r="G6" s="493">
        <v>3580</v>
      </c>
      <c r="H6" s="493">
        <v>3694</v>
      </c>
      <c r="I6" s="493">
        <v>3808</v>
      </c>
      <c r="J6" s="493">
        <v>3923</v>
      </c>
      <c r="K6" s="493">
        <v>4048</v>
      </c>
      <c r="L6" s="493">
        <v>4176</v>
      </c>
      <c r="M6" s="493">
        <v>4297</v>
      </c>
      <c r="N6" s="493">
        <v>4416</v>
      </c>
      <c r="O6" s="493">
        <v>4533</v>
      </c>
      <c r="P6" s="493">
        <v>4649</v>
      </c>
      <c r="Q6" s="493">
        <v>4770</v>
      </c>
      <c r="R6" s="493">
        <v>4890</v>
      </c>
      <c r="S6" s="493">
        <v>5003</v>
      </c>
      <c r="T6" s="493">
        <v>5123</v>
      </c>
      <c r="U6" s="493">
        <v>5272</v>
      </c>
      <c r="V6" s="493">
        <v>5345</v>
      </c>
      <c r="W6" s="1255">
        <f t="shared" si="0"/>
        <v>20</v>
      </c>
    </row>
    <row r="7" spans="1:23" x14ac:dyDescent="0.2">
      <c r="A7" s="420"/>
      <c r="B7" s="1254" t="s">
        <v>106</v>
      </c>
      <c r="C7" s="493">
        <v>2973</v>
      </c>
      <c r="D7" s="493">
        <v>3220</v>
      </c>
      <c r="E7" s="493">
        <v>3453</v>
      </c>
      <c r="F7" s="493">
        <v>3694</v>
      </c>
      <c r="G7" s="493">
        <v>3923</v>
      </c>
      <c r="H7" s="493">
        <v>4176</v>
      </c>
      <c r="I7" s="493">
        <v>4297</v>
      </c>
      <c r="J7" s="493">
        <v>4416</v>
      </c>
      <c r="K7" s="493">
        <v>4533</v>
      </c>
      <c r="L7" s="493">
        <v>4649</v>
      </c>
      <c r="M7" s="493">
        <v>4770</v>
      </c>
      <c r="N7" s="493">
        <v>4890</v>
      </c>
      <c r="O7" s="493">
        <v>5003</v>
      </c>
      <c r="P7" s="493">
        <v>5123</v>
      </c>
      <c r="Q7" s="493">
        <v>5272</v>
      </c>
      <c r="R7" s="493">
        <v>5420</v>
      </c>
      <c r="S7" s="493">
        <v>5569</v>
      </c>
      <c r="T7" s="493">
        <v>5718</v>
      </c>
      <c r="U7" s="493">
        <v>5789</v>
      </c>
      <c r="V7" s="493"/>
      <c r="W7" s="1255">
        <f t="shared" si="0"/>
        <v>19</v>
      </c>
    </row>
    <row r="8" spans="1:23" x14ac:dyDescent="0.2">
      <c r="A8" s="420"/>
      <c r="B8" s="1254" t="s">
        <v>107</v>
      </c>
      <c r="C8" s="493">
        <v>2888</v>
      </c>
      <c r="D8" s="493">
        <v>2999</v>
      </c>
      <c r="E8" s="493">
        <v>3113</v>
      </c>
      <c r="F8" s="493">
        <v>3223</v>
      </c>
      <c r="G8" s="493">
        <v>3334</v>
      </c>
      <c r="H8" s="493">
        <v>3447</v>
      </c>
      <c r="I8" s="493">
        <v>3559</v>
      </c>
      <c r="J8" s="493">
        <v>3671</v>
      </c>
      <c r="K8" s="493">
        <v>3781</v>
      </c>
      <c r="L8" s="493">
        <v>3893</v>
      </c>
      <c r="M8" s="493">
        <v>4007</v>
      </c>
      <c r="N8" s="493">
        <v>4118</v>
      </c>
      <c r="O8" s="493">
        <v>4231</v>
      </c>
      <c r="P8" s="493"/>
      <c r="Q8" s="493"/>
      <c r="R8" s="493"/>
      <c r="S8" s="493"/>
      <c r="T8" s="493"/>
      <c r="U8" s="1148"/>
      <c r="V8" s="1148"/>
      <c r="W8" s="1255">
        <f t="shared" si="0"/>
        <v>13</v>
      </c>
    </row>
    <row r="9" spans="1:23" x14ac:dyDescent="0.2">
      <c r="A9" s="420"/>
      <c r="B9" s="1254" t="s">
        <v>108</v>
      </c>
      <c r="C9" s="493">
        <v>2999</v>
      </c>
      <c r="D9" s="493">
        <v>3223</v>
      </c>
      <c r="E9" s="493">
        <v>3447</v>
      </c>
      <c r="F9" s="493">
        <v>3559</v>
      </c>
      <c r="G9" s="493">
        <v>3671</v>
      </c>
      <c r="H9" s="493">
        <v>3781</v>
      </c>
      <c r="I9" s="493">
        <v>3893</v>
      </c>
      <c r="J9" s="493">
        <v>4007</v>
      </c>
      <c r="K9" s="493">
        <v>4118</v>
      </c>
      <c r="L9" s="493">
        <v>4231</v>
      </c>
      <c r="M9" s="493">
        <v>4344</v>
      </c>
      <c r="N9" s="493">
        <v>4454</v>
      </c>
      <c r="O9" s="493">
        <v>4566</v>
      </c>
      <c r="P9" s="493">
        <v>4676</v>
      </c>
      <c r="Q9" s="493">
        <v>4791</v>
      </c>
      <c r="R9" s="493"/>
      <c r="S9" s="493"/>
      <c r="T9" s="493"/>
      <c r="U9" s="1148"/>
      <c r="V9" s="1148"/>
      <c r="W9" s="1255">
        <f t="shared" si="0"/>
        <v>15</v>
      </c>
    </row>
    <row r="10" spans="1:23" x14ac:dyDescent="0.2">
      <c r="A10" s="420"/>
      <c r="B10" s="1254" t="s">
        <v>109</v>
      </c>
      <c r="C10" s="493">
        <v>2999</v>
      </c>
      <c r="D10" s="493">
        <v>3223</v>
      </c>
      <c r="E10" s="493">
        <v>3447</v>
      </c>
      <c r="F10" s="493">
        <v>3559</v>
      </c>
      <c r="G10" s="493">
        <v>3671</v>
      </c>
      <c r="H10" s="493">
        <v>3781</v>
      </c>
      <c r="I10" s="493">
        <v>3893</v>
      </c>
      <c r="J10" s="493">
        <v>4007</v>
      </c>
      <c r="K10" s="493">
        <v>4118</v>
      </c>
      <c r="L10" s="493">
        <v>4231</v>
      </c>
      <c r="M10" s="493">
        <v>4344</v>
      </c>
      <c r="N10" s="493">
        <v>4454</v>
      </c>
      <c r="O10" s="493">
        <v>4566</v>
      </c>
      <c r="P10" s="493">
        <v>4676</v>
      </c>
      <c r="Q10" s="493">
        <v>4791</v>
      </c>
      <c r="R10" s="493">
        <v>4902</v>
      </c>
      <c r="S10" s="493">
        <v>5014</v>
      </c>
      <c r="T10" s="493"/>
      <c r="U10" s="1148"/>
      <c r="V10" s="1148"/>
      <c r="W10" s="1255">
        <f t="shared" si="0"/>
        <v>17</v>
      </c>
    </row>
    <row r="11" spans="1:23" x14ac:dyDescent="0.2">
      <c r="A11" s="420"/>
      <c r="B11" s="1254" t="s">
        <v>110</v>
      </c>
      <c r="C11" s="493">
        <v>3113</v>
      </c>
      <c r="D11" s="493">
        <v>3447</v>
      </c>
      <c r="E11" s="493">
        <v>3671</v>
      </c>
      <c r="F11" s="493">
        <v>3893</v>
      </c>
      <c r="G11" s="493">
        <v>4118</v>
      </c>
      <c r="H11" s="493">
        <v>4231</v>
      </c>
      <c r="I11" s="493">
        <v>4344</v>
      </c>
      <c r="J11" s="493">
        <v>4454</v>
      </c>
      <c r="K11" s="493">
        <v>4566</v>
      </c>
      <c r="L11" s="493">
        <v>4676</v>
      </c>
      <c r="M11" s="493">
        <v>4791</v>
      </c>
      <c r="N11" s="493">
        <v>4902</v>
      </c>
      <c r="O11" s="493">
        <v>5014</v>
      </c>
      <c r="P11" s="493">
        <v>5124</v>
      </c>
      <c r="Q11" s="493">
        <v>5236</v>
      </c>
      <c r="R11" s="493">
        <v>5350</v>
      </c>
      <c r="S11" s="493"/>
      <c r="T11" s="493"/>
      <c r="U11" s="1148"/>
      <c r="V11" s="1148"/>
      <c r="W11" s="1255">
        <f t="shared" si="0"/>
        <v>16</v>
      </c>
    </row>
    <row r="12" spans="1:23" x14ac:dyDescent="0.2">
      <c r="A12" s="420"/>
      <c r="B12" s="1254" t="s">
        <v>111</v>
      </c>
      <c r="C12" s="493">
        <v>3113</v>
      </c>
      <c r="D12" s="493">
        <v>3447</v>
      </c>
      <c r="E12" s="493">
        <v>3671</v>
      </c>
      <c r="F12" s="493">
        <v>3893</v>
      </c>
      <c r="G12" s="493">
        <v>4118</v>
      </c>
      <c r="H12" s="493">
        <v>4231</v>
      </c>
      <c r="I12" s="493">
        <v>4344</v>
      </c>
      <c r="J12" s="493">
        <v>4454</v>
      </c>
      <c r="K12" s="493">
        <v>4566</v>
      </c>
      <c r="L12" s="493">
        <v>4676</v>
      </c>
      <c r="M12" s="493">
        <v>4791</v>
      </c>
      <c r="N12" s="493">
        <v>4902</v>
      </c>
      <c r="O12" s="493">
        <v>5014</v>
      </c>
      <c r="P12" s="493">
        <v>5124</v>
      </c>
      <c r="Q12" s="493">
        <v>5236</v>
      </c>
      <c r="R12" s="493">
        <v>5350</v>
      </c>
      <c r="S12" s="493">
        <v>5461</v>
      </c>
      <c r="T12" s="493">
        <v>5572</v>
      </c>
      <c r="U12" s="1148"/>
      <c r="V12" s="1148"/>
      <c r="W12" s="1255">
        <f t="shared" si="0"/>
        <v>18</v>
      </c>
    </row>
    <row r="13" spans="1:23" x14ac:dyDescent="0.2">
      <c r="A13" s="420"/>
      <c r="B13" s="1254" t="s">
        <v>112</v>
      </c>
      <c r="C13" s="493">
        <v>3160</v>
      </c>
      <c r="D13" s="493">
        <v>3392</v>
      </c>
      <c r="E13" s="493">
        <v>3630</v>
      </c>
      <c r="F13" s="493">
        <v>3857</v>
      </c>
      <c r="G13" s="493">
        <v>4109</v>
      </c>
      <c r="H13" s="493">
        <v>4231</v>
      </c>
      <c r="I13" s="493">
        <v>4348</v>
      </c>
      <c r="J13" s="493">
        <v>4467</v>
      </c>
      <c r="K13" s="493">
        <v>4580</v>
      </c>
      <c r="L13" s="493">
        <v>4702</v>
      </c>
      <c r="M13" s="493">
        <v>4820</v>
      </c>
      <c r="N13" s="493">
        <v>4934</v>
      </c>
      <c r="O13" s="493">
        <v>5052</v>
      </c>
      <c r="P13" s="493">
        <v>5200</v>
      </c>
      <c r="Q13" s="493">
        <v>5349</v>
      </c>
      <c r="R13" s="493">
        <v>5496</v>
      </c>
      <c r="S13" s="493">
        <v>5644</v>
      </c>
      <c r="T13" s="493">
        <v>5715</v>
      </c>
      <c r="U13" s="1148"/>
      <c r="V13" s="1148"/>
      <c r="W13" s="1255">
        <f t="shared" si="0"/>
        <v>18</v>
      </c>
    </row>
    <row r="14" spans="1:23" x14ac:dyDescent="0.2">
      <c r="A14" s="420"/>
      <c r="B14" s="1254" t="s">
        <v>113</v>
      </c>
      <c r="C14" s="493">
        <v>3276</v>
      </c>
      <c r="D14" s="493">
        <v>3517</v>
      </c>
      <c r="E14" s="493">
        <v>3744</v>
      </c>
      <c r="F14" s="493">
        <v>3983</v>
      </c>
      <c r="G14" s="493">
        <v>4231</v>
      </c>
      <c r="H14" s="493">
        <v>4467</v>
      </c>
      <c r="I14" s="493">
        <v>4702</v>
      </c>
      <c r="J14" s="493">
        <v>4820</v>
      </c>
      <c r="K14" s="493">
        <v>4934</v>
      </c>
      <c r="L14" s="493">
        <v>5052</v>
      </c>
      <c r="M14" s="493">
        <v>5200</v>
      </c>
      <c r="N14" s="493">
        <v>5349</v>
      </c>
      <c r="O14" s="493">
        <v>5496</v>
      </c>
      <c r="P14" s="493">
        <v>5644</v>
      </c>
      <c r="Q14" s="493">
        <v>5794</v>
      </c>
      <c r="R14" s="493">
        <v>5951</v>
      </c>
      <c r="S14" s="493">
        <v>6111</v>
      </c>
      <c r="T14" s="493">
        <v>6276</v>
      </c>
      <c r="U14" s="1148"/>
      <c r="V14" s="1148"/>
      <c r="W14" s="1255">
        <f>COUNTA(C14:V14)</f>
        <v>18</v>
      </c>
    </row>
    <row r="15" spans="1:23" x14ac:dyDescent="0.2">
      <c r="A15" s="420"/>
      <c r="B15" s="1252" t="s">
        <v>114</v>
      </c>
      <c r="C15" s="1148">
        <v>1635.6</v>
      </c>
      <c r="D15" s="1148">
        <v>1635.6</v>
      </c>
      <c r="E15" s="1148">
        <v>1677</v>
      </c>
      <c r="F15" s="1148">
        <v>1707</v>
      </c>
      <c r="G15" s="1148">
        <v>1742</v>
      </c>
      <c r="H15" s="1148">
        <v>1778</v>
      </c>
      <c r="I15" s="1148">
        <v>1825</v>
      </c>
      <c r="J15" s="1148"/>
      <c r="K15" s="1162"/>
      <c r="L15" s="1162"/>
      <c r="M15" s="1162"/>
      <c r="N15" s="1162"/>
      <c r="O15" s="1162"/>
      <c r="P15" s="1162"/>
      <c r="Q15" s="1162"/>
      <c r="R15" s="1162"/>
      <c r="S15" s="1162"/>
      <c r="T15" s="1162"/>
      <c r="U15" s="1162"/>
      <c r="V15" s="1148"/>
      <c r="W15" s="1255">
        <f t="shared" ref="W15:W46" si="1">COUNTA(C15:V15)</f>
        <v>7</v>
      </c>
    </row>
    <row r="16" spans="1:23" x14ac:dyDescent="0.2">
      <c r="A16" s="420"/>
      <c r="B16" s="64" t="s">
        <v>115</v>
      </c>
      <c r="C16" s="1148">
        <v>1635.6</v>
      </c>
      <c r="D16" s="1148">
        <v>1644</v>
      </c>
      <c r="E16" s="1148">
        <v>1707</v>
      </c>
      <c r="F16" s="1148">
        <v>1778</v>
      </c>
      <c r="G16" s="1148">
        <v>1825</v>
      </c>
      <c r="H16" s="1148">
        <v>1878</v>
      </c>
      <c r="I16" s="1148">
        <v>1944</v>
      </c>
      <c r="J16" s="1148">
        <v>2006</v>
      </c>
      <c r="K16" s="1162"/>
      <c r="L16" s="1162"/>
      <c r="M16" s="1162"/>
      <c r="N16" s="1162"/>
      <c r="O16" s="1162"/>
      <c r="P16" s="1162"/>
      <c r="Q16" s="1162"/>
      <c r="R16" s="1162"/>
      <c r="S16" s="1162"/>
      <c r="T16" s="1162"/>
      <c r="U16" s="1162"/>
      <c r="V16" s="1148"/>
      <c r="W16" s="1255">
        <f t="shared" si="1"/>
        <v>8</v>
      </c>
    </row>
    <row r="17" spans="1:23" x14ac:dyDescent="0.2">
      <c r="A17" s="420"/>
      <c r="B17" s="64" t="s">
        <v>116</v>
      </c>
      <c r="C17" s="1148">
        <v>1635.6</v>
      </c>
      <c r="D17" s="1148">
        <v>1707</v>
      </c>
      <c r="E17" s="1148">
        <v>1778</v>
      </c>
      <c r="F17" s="1148">
        <v>1878</v>
      </c>
      <c r="G17" s="1148">
        <v>1944</v>
      </c>
      <c r="H17" s="1148">
        <v>2006</v>
      </c>
      <c r="I17" s="1148">
        <v>2067</v>
      </c>
      <c r="J17" s="1148"/>
      <c r="K17" s="1148"/>
      <c r="L17" s="1162"/>
      <c r="M17" s="1162"/>
      <c r="N17" s="1162"/>
      <c r="O17" s="1162"/>
      <c r="P17" s="1162"/>
      <c r="Q17" s="1162"/>
      <c r="R17" s="1162"/>
      <c r="S17" s="1162"/>
      <c r="T17" s="1162"/>
      <c r="U17" s="1162"/>
      <c r="V17" s="1148"/>
      <c r="W17" s="1255">
        <f t="shared" si="1"/>
        <v>7</v>
      </c>
    </row>
    <row r="18" spans="1:23" x14ac:dyDescent="0.2">
      <c r="A18" s="420"/>
      <c r="B18" s="64" t="s">
        <v>605</v>
      </c>
      <c r="C18" s="1148">
        <v>1635.6</v>
      </c>
      <c r="D18" s="1148">
        <v>1690</v>
      </c>
      <c r="E18" s="1148">
        <v>1745</v>
      </c>
      <c r="F18" s="1148">
        <v>1799</v>
      </c>
      <c r="G18" s="1148"/>
      <c r="H18" s="1148"/>
      <c r="I18" s="1148"/>
      <c r="J18" s="1148"/>
      <c r="K18" s="1148"/>
      <c r="L18" s="1162"/>
      <c r="M18" s="1162"/>
      <c r="N18" s="1162"/>
      <c r="O18" s="1162"/>
      <c r="P18" s="1162"/>
      <c r="Q18" s="1162"/>
      <c r="R18" s="1162"/>
      <c r="S18" s="1162"/>
      <c r="T18" s="1162"/>
      <c r="U18" s="1162"/>
      <c r="V18" s="1148"/>
      <c r="W18" s="1255">
        <f t="shared" si="1"/>
        <v>4</v>
      </c>
    </row>
    <row r="19" spans="1:23" x14ac:dyDescent="0.2">
      <c r="A19" s="420"/>
      <c r="B19" s="1254" t="s">
        <v>573</v>
      </c>
      <c r="C19" s="493">
        <v>2563</v>
      </c>
      <c r="D19" s="493">
        <v>2640</v>
      </c>
      <c r="E19" s="493">
        <v>2719</v>
      </c>
      <c r="F19" s="493">
        <v>2802</v>
      </c>
      <c r="G19" s="493">
        <v>2886</v>
      </c>
      <c r="H19" s="493">
        <v>2974</v>
      </c>
      <c r="I19" s="493">
        <v>3064</v>
      </c>
      <c r="J19" s="493">
        <v>3156</v>
      </c>
      <c r="K19" s="493">
        <v>3251</v>
      </c>
      <c r="L19" s="493">
        <v>3350</v>
      </c>
      <c r="M19" s="493">
        <v>3451</v>
      </c>
      <c r="N19" s="493">
        <v>3555</v>
      </c>
      <c r="O19" s="493">
        <v>3662</v>
      </c>
      <c r="P19" s="493">
        <v>3773</v>
      </c>
      <c r="Q19" s="493">
        <v>3910</v>
      </c>
      <c r="R19" s="1162"/>
      <c r="S19" s="1162"/>
      <c r="T19" s="1162"/>
      <c r="U19" s="1162"/>
      <c r="V19" s="1148"/>
      <c r="W19" s="1255">
        <f t="shared" si="1"/>
        <v>15</v>
      </c>
    </row>
    <row r="20" spans="1:23" x14ac:dyDescent="0.2">
      <c r="A20" s="420"/>
      <c r="B20" s="1254" t="s">
        <v>574</v>
      </c>
      <c r="C20" s="493">
        <v>2639</v>
      </c>
      <c r="D20" s="493">
        <v>2729</v>
      </c>
      <c r="E20" s="493">
        <v>2821</v>
      </c>
      <c r="F20" s="493">
        <v>2916</v>
      </c>
      <c r="G20" s="493">
        <v>3015</v>
      </c>
      <c r="H20" s="493">
        <v>3117</v>
      </c>
      <c r="I20" s="493">
        <v>3222</v>
      </c>
      <c r="J20" s="493">
        <v>3331</v>
      </c>
      <c r="K20" s="493">
        <v>3443</v>
      </c>
      <c r="L20" s="493">
        <v>3560</v>
      </c>
      <c r="M20" s="493">
        <v>3680</v>
      </c>
      <c r="N20" s="493">
        <v>3805</v>
      </c>
      <c r="O20" s="493">
        <v>3933</v>
      </c>
      <c r="P20" s="493">
        <v>4066</v>
      </c>
      <c r="Q20" s="493">
        <v>4228</v>
      </c>
      <c r="R20" s="1162"/>
      <c r="S20" s="1162"/>
      <c r="T20" s="1162"/>
      <c r="U20" s="1162"/>
      <c r="V20" s="1148"/>
      <c r="W20" s="1255">
        <f t="shared" si="1"/>
        <v>15</v>
      </c>
    </row>
    <row r="21" spans="1:23" x14ac:dyDescent="0.2">
      <c r="A21" s="420"/>
      <c r="B21" s="1254" t="s">
        <v>575</v>
      </c>
      <c r="C21" s="493">
        <v>2691</v>
      </c>
      <c r="D21" s="493">
        <v>2806</v>
      </c>
      <c r="E21" s="493">
        <v>2927</v>
      </c>
      <c r="F21" s="493">
        <v>3052</v>
      </c>
      <c r="G21" s="493">
        <v>3184</v>
      </c>
      <c r="H21" s="493">
        <v>3321</v>
      </c>
      <c r="I21" s="493">
        <v>3463</v>
      </c>
      <c r="J21" s="493">
        <v>3613</v>
      </c>
      <c r="K21" s="493">
        <v>3768</v>
      </c>
      <c r="L21" s="493">
        <v>3930</v>
      </c>
      <c r="M21" s="493">
        <v>4099</v>
      </c>
      <c r="N21" s="493">
        <v>4275</v>
      </c>
      <c r="O21" s="493">
        <v>4460</v>
      </c>
      <c r="P21" s="493">
        <v>4651</v>
      </c>
      <c r="Q21" s="493">
        <v>4851</v>
      </c>
      <c r="R21" s="1162"/>
      <c r="S21" s="1162"/>
      <c r="T21" s="1162"/>
      <c r="U21" s="1162"/>
      <c r="V21" s="1148"/>
      <c r="W21" s="1255">
        <f t="shared" si="1"/>
        <v>15</v>
      </c>
    </row>
    <row r="22" spans="1:23" x14ac:dyDescent="0.2">
      <c r="A22" s="420"/>
      <c r="B22" s="1254" t="s">
        <v>576</v>
      </c>
      <c r="C22" s="493">
        <v>2691</v>
      </c>
      <c r="D22" s="493">
        <v>2806</v>
      </c>
      <c r="E22" s="493">
        <v>2961</v>
      </c>
      <c r="F22" s="493">
        <v>3124</v>
      </c>
      <c r="G22" s="493">
        <v>3288</v>
      </c>
      <c r="H22" s="493">
        <v>3459</v>
      </c>
      <c r="I22" s="493">
        <v>3637</v>
      </c>
      <c r="J22" s="493">
        <v>3817</v>
      </c>
      <c r="K22" s="493">
        <v>4007</v>
      </c>
      <c r="L22" s="493">
        <v>4204</v>
      </c>
      <c r="M22" s="493">
        <v>4406</v>
      </c>
      <c r="N22" s="493">
        <v>4616</v>
      </c>
      <c r="O22" s="493">
        <v>4833</v>
      </c>
      <c r="P22" s="493">
        <v>5055</v>
      </c>
      <c r="Q22" s="493">
        <v>5294</v>
      </c>
      <c r="R22" s="1162"/>
      <c r="S22" s="1162"/>
      <c r="T22" s="1162"/>
      <c r="U22" s="1162"/>
      <c r="V22" s="1148"/>
      <c r="W22" s="1255">
        <f t="shared" si="1"/>
        <v>15</v>
      </c>
    </row>
    <row r="23" spans="1:23" x14ac:dyDescent="0.2">
      <c r="A23" s="420"/>
      <c r="B23" s="1254" t="s">
        <v>577</v>
      </c>
      <c r="C23" s="493">
        <v>3392</v>
      </c>
      <c r="D23" s="493">
        <v>3519</v>
      </c>
      <c r="E23" s="493">
        <v>3633</v>
      </c>
      <c r="F23" s="493">
        <v>3861</v>
      </c>
      <c r="G23" s="493">
        <v>4114</v>
      </c>
      <c r="H23" s="493">
        <v>4273</v>
      </c>
      <c r="I23" s="493">
        <v>4435</v>
      </c>
      <c r="J23" s="493">
        <v>4596</v>
      </c>
      <c r="K23" s="493">
        <v>4758</v>
      </c>
      <c r="L23" s="493">
        <v>4918</v>
      </c>
      <c r="M23" s="493">
        <v>5081</v>
      </c>
      <c r="N23" s="493">
        <v>5243</v>
      </c>
      <c r="O23" s="493">
        <v>5405</v>
      </c>
      <c r="P23" s="493">
        <v>5566</v>
      </c>
      <c r="Q23" s="493">
        <v>5732</v>
      </c>
      <c r="R23" s="1162"/>
      <c r="S23" s="1162"/>
      <c r="T23" s="1162"/>
      <c r="U23" s="1162"/>
      <c r="V23" s="1148"/>
      <c r="W23" s="1255">
        <f t="shared" si="1"/>
        <v>15</v>
      </c>
    </row>
    <row r="24" spans="1:23" x14ac:dyDescent="0.2">
      <c r="A24" s="420"/>
      <c r="B24" s="64" t="s">
        <v>117</v>
      </c>
      <c r="C24" s="1148">
        <f>0.5*C19</f>
        <v>1281.5</v>
      </c>
      <c r="D24" s="1149"/>
      <c r="E24" s="1149"/>
      <c r="F24" s="1149"/>
      <c r="G24" s="1149"/>
      <c r="H24" s="1149"/>
      <c r="I24" s="1149"/>
      <c r="J24" s="1149"/>
      <c r="K24" s="1149"/>
      <c r="L24" s="1149"/>
      <c r="M24" s="1149"/>
      <c r="N24" s="1149"/>
      <c r="O24" s="1149"/>
      <c r="P24" s="1149"/>
      <c r="Q24" s="1149"/>
      <c r="R24" s="1162"/>
      <c r="S24" s="1163"/>
      <c r="T24" s="1163"/>
      <c r="U24" s="1163"/>
      <c r="V24" s="1149"/>
      <c r="W24" s="1255">
        <f t="shared" si="1"/>
        <v>1</v>
      </c>
    </row>
    <row r="25" spans="1:23" x14ac:dyDescent="0.2">
      <c r="A25" s="420"/>
      <c r="B25" s="64" t="s">
        <v>118</v>
      </c>
      <c r="C25" s="1148">
        <f>0.5*C20</f>
        <v>1319.5</v>
      </c>
      <c r="D25" s="1149"/>
      <c r="E25" s="1149"/>
      <c r="F25" s="1149"/>
      <c r="G25" s="1149"/>
      <c r="H25" s="1149"/>
      <c r="I25" s="1149"/>
      <c r="J25" s="1149"/>
      <c r="K25" s="1149"/>
      <c r="L25" s="1149"/>
      <c r="M25" s="1149"/>
      <c r="N25" s="1149"/>
      <c r="O25" s="1149"/>
      <c r="P25" s="1149"/>
      <c r="Q25" s="1149"/>
      <c r="R25" s="1162"/>
      <c r="S25" s="1163"/>
      <c r="T25" s="1163"/>
      <c r="U25" s="1163"/>
      <c r="V25" s="1149"/>
      <c r="W25" s="1255">
        <f t="shared" si="1"/>
        <v>1</v>
      </c>
    </row>
    <row r="26" spans="1:23" x14ac:dyDescent="0.2">
      <c r="A26" s="420"/>
      <c r="B26" s="1256" t="s">
        <v>119</v>
      </c>
      <c r="C26" s="493">
        <v>2888</v>
      </c>
      <c r="D26" s="493">
        <v>2999</v>
      </c>
      <c r="E26" s="493">
        <v>3113</v>
      </c>
      <c r="F26" s="493">
        <v>3223</v>
      </c>
      <c r="G26" s="493">
        <v>3334</v>
      </c>
      <c r="H26" s="493">
        <v>3447</v>
      </c>
      <c r="I26" s="493">
        <v>3559</v>
      </c>
      <c r="J26" s="493">
        <v>3671</v>
      </c>
      <c r="K26" s="493">
        <v>3781</v>
      </c>
      <c r="L26" s="493">
        <v>3893</v>
      </c>
      <c r="M26" s="493">
        <v>4007</v>
      </c>
      <c r="N26" s="493"/>
      <c r="O26" s="493"/>
      <c r="P26" s="493"/>
      <c r="Q26" s="493"/>
      <c r="R26" s="1162"/>
      <c r="S26" s="1162"/>
      <c r="T26" s="1162"/>
      <c r="U26" s="1162"/>
      <c r="V26" s="1148"/>
      <c r="W26" s="1255">
        <f t="shared" si="1"/>
        <v>11</v>
      </c>
    </row>
    <row r="27" spans="1:23" x14ac:dyDescent="0.2">
      <c r="A27" s="420"/>
      <c r="B27" s="1256" t="s">
        <v>120</v>
      </c>
      <c r="C27" s="493">
        <v>2999</v>
      </c>
      <c r="D27" s="493">
        <v>3223</v>
      </c>
      <c r="E27" s="493">
        <v>3447</v>
      </c>
      <c r="F27" s="493">
        <v>3559</v>
      </c>
      <c r="G27" s="493">
        <v>3671</v>
      </c>
      <c r="H27" s="493">
        <v>3781</v>
      </c>
      <c r="I27" s="493">
        <v>3893</v>
      </c>
      <c r="J27" s="493">
        <v>4007</v>
      </c>
      <c r="K27" s="493">
        <v>4118</v>
      </c>
      <c r="L27" s="493">
        <v>4231</v>
      </c>
      <c r="M27" s="493"/>
      <c r="N27" s="493"/>
      <c r="O27" s="493"/>
      <c r="P27" s="493"/>
      <c r="Q27" s="493"/>
      <c r="R27" s="1162"/>
      <c r="S27" s="1162"/>
      <c r="T27" s="1162"/>
      <c r="U27" s="1162"/>
      <c r="V27" s="1148"/>
      <c r="W27" s="1255">
        <f t="shared" si="1"/>
        <v>10</v>
      </c>
    </row>
    <row r="28" spans="1:23" x14ac:dyDescent="0.2">
      <c r="A28" s="420"/>
      <c r="B28" s="1256" t="s">
        <v>121</v>
      </c>
      <c r="C28" s="493">
        <v>2999</v>
      </c>
      <c r="D28" s="493">
        <v>3223</v>
      </c>
      <c r="E28" s="493">
        <v>3447</v>
      </c>
      <c r="F28" s="493">
        <v>3559</v>
      </c>
      <c r="G28" s="493">
        <v>3671</v>
      </c>
      <c r="H28" s="493">
        <v>3781</v>
      </c>
      <c r="I28" s="493">
        <v>3893</v>
      </c>
      <c r="J28" s="493">
        <v>4007</v>
      </c>
      <c r="K28" s="493">
        <v>4118</v>
      </c>
      <c r="L28" s="493">
        <v>4231</v>
      </c>
      <c r="M28" s="493">
        <v>4344</v>
      </c>
      <c r="N28" s="493"/>
      <c r="O28" s="493"/>
      <c r="P28" s="493"/>
      <c r="Q28" s="493"/>
      <c r="R28" s="1162"/>
      <c r="S28" s="1162"/>
      <c r="T28" s="1162"/>
      <c r="U28" s="1162"/>
      <c r="V28" s="1148"/>
      <c r="W28" s="1255">
        <f t="shared" si="1"/>
        <v>11</v>
      </c>
    </row>
    <row r="29" spans="1:23" x14ac:dyDescent="0.2">
      <c r="A29" s="420"/>
      <c r="B29" s="1256" t="s">
        <v>122</v>
      </c>
      <c r="C29" s="493">
        <v>3113</v>
      </c>
      <c r="D29" s="493">
        <v>3447</v>
      </c>
      <c r="E29" s="493">
        <v>3671</v>
      </c>
      <c r="F29" s="493">
        <v>3893</v>
      </c>
      <c r="G29" s="493">
        <v>4118</v>
      </c>
      <c r="H29" s="493">
        <v>4231</v>
      </c>
      <c r="I29" s="493">
        <v>4344</v>
      </c>
      <c r="J29" s="493">
        <v>4454</v>
      </c>
      <c r="K29" s="493">
        <v>4566</v>
      </c>
      <c r="L29" s="493">
        <v>4676</v>
      </c>
      <c r="M29" s="493">
        <v>4791</v>
      </c>
      <c r="N29" s="493">
        <v>4902</v>
      </c>
      <c r="O29" s="493">
        <v>5014</v>
      </c>
      <c r="P29" s="493"/>
      <c r="Q29" s="493"/>
      <c r="R29" s="1162"/>
      <c r="S29" s="1162"/>
      <c r="T29" s="1162"/>
      <c r="U29" s="1162"/>
      <c r="V29" s="1148"/>
      <c r="W29" s="1255">
        <f t="shared" si="1"/>
        <v>13</v>
      </c>
    </row>
    <row r="30" spans="1:23" x14ac:dyDescent="0.2">
      <c r="A30" s="420"/>
      <c r="B30" s="1256" t="s">
        <v>123</v>
      </c>
      <c r="C30" s="493">
        <v>3113</v>
      </c>
      <c r="D30" s="493">
        <v>3447</v>
      </c>
      <c r="E30" s="493">
        <v>3671</v>
      </c>
      <c r="F30" s="493">
        <v>3893</v>
      </c>
      <c r="G30" s="493">
        <v>4118</v>
      </c>
      <c r="H30" s="493">
        <v>4231</v>
      </c>
      <c r="I30" s="493">
        <v>4344</v>
      </c>
      <c r="J30" s="493">
        <v>4454</v>
      </c>
      <c r="K30" s="493">
        <v>4566</v>
      </c>
      <c r="L30" s="493">
        <v>4676</v>
      </c>
      <c r="M30" s="493">
        <v>4791</v>
      </c>
      <c r="N30" s="493">
        <v>4902</v>
      </c>
      <c r="O30" s="493">
        <v>5014</v>
      </c>
      <c r="P30" s="493">
        <v>5124</v>
      </c>
      <c r="Q30" s="493">
        <v>5236</v>
      </c>
      <c r="R30" s="1162"/>
      <c r="S30" s="1162"/>
      <c r="T30" s="1162"/>
      <c r="U30" s="1162"/>
      <c r="V30" s="1148"/>
      <c r="W30" s="1255">
        <f t="shared" si="1"/>
        <v>15</v>
      </c>
    </row>
    <row r="31" spans="1:23" x14ac:dyDescent="0.2">
      <c r="A31" s="420"/>
      <c r="B31" s="64">
        <v>1</v>
      </c>
      <c r="C31" s="1148">
        <v>1635.6</v>
      </c>
      <c r="D31" s="1148">
        <v>1635.6</v>
      </c>
      <c r="E31" s="493">
        <v>1677</v>
      </c>
      <c r="F31" s="493">
        <v>1707</v>
      </c>
      <c r="G31" s="493">
        <v>1742</v>
      </c>
      <c r="H31" s="493">
        <v>1778</v>
      </c>
      <c r="I31" s="493">
        <v>1825</v>
      </c>
      <c r="J31" s="493"/>
      <c r="K31" s="493"/>
      <c r="L31" s="493"/>
      <c r="M31" s="493"/>
      <c r="N31" s="493"/>
      <c r="O31" s="493"/>
      <c r="P31" s="493"/>
      <c r="Q31" s="493"/>
      <c r="R31" s="493"/>
      <c r="S31" s="493"/>
      <c r="T31" s="493"/>
      <c r="U31" s="1162"/>
      <c r="V31" s="1148"/>
      <c r="W31" s="1255">
        <f t="shared" si="1"/>
        <v>7</v>
      </c>
    </row>
    <row r="32" spans="1:23" x14ac:dyDescent="0.2">
      <c r="A32" s="420"/>
      <c r="B32" s="64">
        <v>2</v>
      </c>
      <c r="C32" s="1148">
        <v>1635.6</v>
      </c>
      <c r="D32" s="493">
        <v>1644</v>
      </c>
      <c r="E32" s="493">
        <v>1707</v>
      </c>
      <c r="F32" s="493">
        <v>1778</v>
      </c>
      <c r="G32" s="493">
        <v>1825</v>
      </c>
      <c r="H32" s="493">
        <v>1878</v>
      </c>
      <c r="I32" s="493">
        <v>1944</v>
      </c>
      <c r="J32" s="493">
        <v>2006</v>
      </c>
      <c r="K32" s="493"/>
      <c r="L32" s="493"/>
      <c r="M32" s="493"/>
      <c r="N32" s="493"/>
      <c r="O32" s="493"/>
      <c r="P32" s="493"/>
      <c r="Q32" s="493"/>
      <c r="R32" s="493"/>
      <c r="S32" s="493"/>
      <c r="T32" s="493"/>
      <c r="U32" s="1162"/>
      <c r="V32" s="1148"/>
      <c r="W32" s="1255">
        <f t="shared" si="1"/>
        <v>8</v>
      </c>
    </row>
    <row r="33" spans="1:23" x14ac:dyDescent="0.2">
      <c r="A33" s="420"/>
      <c r="B33" s="64">
        <v>3</v>
      </c>
      <c r="C33" s="1148">
        <v>1635.6</v>
      </c>
      <c r="D33" s="493">
        <v>1707</v>
      </c>
      <c r="E33" s="493">
        <v>1778</v>
      </c>
      <c r="F33" s="493">
        <v>1878</v>
      </c>
      <c r="G33" s="493">
        <v>1944</v>
      </c>
      <c r="H33" s="493">
        <v>2006</v>
      </c>
      <c r="I33" s="493">
        <v>2067</v>
      </c>
      <c r="J33" s="493">
        <v>2126</v>
      </c>
      <c r="K33" s="493">
        <v>2185</v>
      </c>
      <c r="L33" s="493"/>
      <c r="M33" s="493"/>
      <c r="N33" s="493"/>
      <c r="O33" s="493"/>
      <c r="P33" s="493"/>
      <c r="Q33" s="493"/>
      <c r="R33" s="493"/>
      <c r="S33" s="493"/>
      <c r="T33" s="493"/>
      <c r="U33" s="1162"/>
      <c r="V33" s="1148"/>
      <c r="W33" s="1255">
        <f t="shared" si="1"/>
        <v>9</v>
      </c>
    </row>
    <row r="34" spans="1:23" x14ac:dyDescent="0.2">
      <c r="A34" s="420"/>
      <c r="B34" s="64">
        <v>4</v>
      </c>
      <c r="C34" s="1148">
        <v>1635.6</v>
      </c>
      <c r="D34" s="493">
        <v>1677</v>
      </c>
      <c r="E34" s="493">
        <v>1742</v>
      </c>
      <c r="F34" s="493">
        <v>1825</v>
      </c>
      <c r="G34" s="493">
        <v>1944</v>
      </c>
      <c r="H34" s="493">
        <v>2006</v>
      </c>
      <c r="I34" s="493">
        <v>2067</v>
      </c>
      <c r="J34" s="493">
        <v>2126</v>
      </c>
      <c r="K34" s="493">
        <v>2185</v>
      </c>
      <c r="L34" s="493">
        <v>2241</v>
      </c>
      <c r="M34" s="493">
        <v>2298</v>
      </c>
      <c r="N34" s="493"/>
      <c r="O34" s="493"/>
      <c r="P34" s="493"/>
      <c r="Q34" s="493"/>
      <c r="R34" s="493"/>
      <c r="S34" s="493"/>
      <c r="T34" s="493"/>
      <c r="U34" s="1162"/>
      <c r="V34" s="1148"/>
      <c r="W34" s="1255">
        <f t="shared" si="1"/>
        <v>11</v>
      </c>
    </row>
    <row r="35" spans="1:23" x14ac:dyDescent="0.2">
      <c r="A35" s="420"/>
      <c r="B35" s="64">
        <v>5</v>
      </c>
      <c r="C35" s="493">
        <v>1644</v>
      </c>
      <c r="D35" s="493">
        <v>1677</v>
      </c>
      <c r="E35" s="493">
        <v>1778</v>
      </c>
      <c r="F35" s="493">
        <v>1878</v>
      </c>
      <c r="G35" s="493">
        <v>2006</v>
      </c>
      <c r="H35" s="493">
        <v>2067</v>
      </c>
      <c r="I35" s="493">
        <v>2126</v>
      </c>
      <c r="J35" s="493">
        <v>2185</v>
      </c>
      <c r="K35" s="493">
        <v>2241</v>
      </c>
      <c r="L35" s="493">
        <v>2298</v>
      </c>
      <c r="M35" s="493">
        <v>2353</v>
      </c>
      <c r="N35" s="493">
        <v>2416</v>
      </c>
      <c r="O35" s="493"/>
      <c r="P35" s="493"/>
      <c r="Q35" s="493"/>
      <c r="R35" s="493"/>
      <c r="S35" s="493"/>
      <c r="T35" s="493"/>
      <c r="U35" s="1162"/>
      <c r="V35" s="1148"/>
      <c r="W35" s="1255">
        <f t="shared" si="1"/>
        <v>12</v>
      </c>
    </row>
    <row r="36" spans="1:23" x14ac:dyDescent="0.2">
      <c r="A36" s="420"/>
      <c r="B36" s="64">
        <v>6</v>
      </c>
      <c r="C36" s="493">
        <v>1707</v>
      </c>
      <c r="D36" s="493">
        <v>1778</v>
      </c>
      <c r="E36" s="493">
        <v>2006</v>
      </c>
      <c r="F36" s="493">
        <v>2126</v>
      </c>
      <c r="G36" s="493">
        <v>2185</v>
      </c>
      <c r="H36" s="493">
        <v>2241</v>
      </c>
      <c r="I36" s="493">
        <v>2298</v>
      </c>
      <c r="J36" s="493">
        <v>2353</v>
      </c>
      <c r="K36" s="493">
        <v>2416</v>
      </c>
      <c r="L36" s="493">
        <v>2475</v>
      </c>
      <c r="M36" s="493">
        <v>2531</v>
      </c>
      <c r="N36" s="493"/>
      <c r="O36" s="493"/>
      <c r="P36" s="493"/>
      <c r="Q36" s="493"/>
      <c r="R36" s="493"/>
      <c r="S36" s="493"/>
      <c r="T36" s="493"/>
      <c r="U36" s="1162"/>
      <c r="V36" s="1148"/>
      <c r="W36" s="1255">
        <f t="shared" si="1"/>
        <v>11</v>
      </c>
    </row>
    <row r="37" spans="1:23" x14ac:dyDescent="0.2">
      <c r="A37" s="420"/>
      <c r="B37" s="64">
        <v>7</v>
      </c>
      <c r="C37" s="493">
        <v>1825</v>
      </c>
      <c r="D37" s="493">
        <v>1878</v>
      </c>
      <c r="E37" s="493">
        <v>2006</v>
      </c>
      <c r="F37" s="493">
        <v>2241</v>
      </c>
      <c r="G37" s="493">
        <v>2353</v>
      </c>
      <c r="H37" s="493">
        <v>2416</v>
      </c>
      <c r="I37" s="493">
        <v>2475</v>
      </c>
      <c r="J37" s="493">
        <v>2531</v>
      </c>
      <c r="K37" s="493">
        <v>2590</v>
      </c>
      <c r="L37" s="493">
        <v>2653</v>
      </c>
      <c r="M37" s="493">
        <v>2719</v>
      </c>
      <c r="N37" s="493">
        <v>2791</v>
      </c>
      <c r="O37" s="493"/>
      <c r="P37" s="493"/>
      <c r="Q37" s="493"/>
      <c r="R37" s="493"/>
      <c r="S37" s="493"/>
      <c r="T37" s="493"/>
      <c r="U37" s="1162"/>
      <c r="V37" s="1148"/>
      <c r="W37" s="1255">
        <f t="shared" si="1"/>
        <v>12</v>
      </c>
    </row>
    <row r="38" spans="1:23" x14ac:dyDescent="0.2">
      <c r="A38" s="420"/>
      <c r="B38" s="64">
        <v>8</v>
      </c>
      <c r="C38" s="493">
        <v>2067</v>
      </c>
      <c r="D38" s="493">
        <v>2126</v>
      </c>
      <c r="E38" s="493">
        <v>2241</v>
      </c>
      <c r="F38" s="493">
        <v>2475</v>
      </c>
      <c r="G38" s="493">
        <v>2590</v>
      </c>
      <c r="H38" s="493">
        <v>2719</v>
      </c>
      <c r="I38" s="493">
        <v>2791</v>
      </c>
      <c r="J38" s="493">
        <v>2857</v>
      </c>
      <c r="K38" s="493">
        <v>2916</v>
      </c>
      <c r="L38" s="493">
        <v>2979</v>
      </c>
      <c r="M38" s="493">
        <v>3043</v>
      </c>
      <c r="N38" s="493">
        <v>3102</v>
      </c>
      <c r="O38" s="493">
        <v>3157</v>
      </c>
      <c r="P38" s="493"/>
      <c r="Q38" s="493"/>
      <c r="R38" s="493"/>
      <c r="S38" s="493"/>
      <c r="T38" s="493"/>
      <c r="U38" s="1162"/>
      <c r="V38" s="1148"/>
      <c r="W38" s="1255">
        <f t="shared" si="1"/>
        <v>13</v>
      </c>
    </row>
    <row r="39" spans="1:23" x14ac:dyDescent="0.2">
      <c r="A39" s="420"/>
      <c r="B39" s="64">
        <v>9</v>
      </c>
      <c r="C39" s="493">
        <v>2394</v>
      </c>
      <c r="D39" s="493">
        <v>2516</v>
      </c>
      <c r="E39" s="493">
        <v>2762</v>
      </c>
      <c r="F39" s="493">
        <v>2903</v>
      </c>
      <c r="G39" s="493">
        <v>3025</v>
      </c>
      <c r="H39" s="493">
        <v>3149</v>
      </c>
      <c r="I39" s="493">
        <v>3266</v>
      </c>
      <c r="J39" s="493">
        <v>3383</v>
      </c>
      <c r="K39" s="493">
        <v>3510</v>
      </c>
      <c r="L39" s="493">
        <v>3622</v>
      </c>
      <c r="M39" s="493"/>
      <c r="N39" s="493"/>
      <c r="O39" s="493"/>
      <c r="P39" s="493"/>
      <c r="Q39" s="493"/>
      <c r="R39" s="493"/>
      <c r="S39" s="493"/>
      <c r="T39" s="493"/>
      <c r="U39" s="1162"/>
      <c r="V39" s="1148"/>
      <c r="W39" s="1255">
        <f t="shared" si="1"/>
        <v>10</v>
      </c>
    </row>
    <row r="40" spans="1:23" x14ac:dyDescent="0.2">
      <c r="A40" s="420"/>
      <c r="B40" s="64">
        <v>10</v>
      </c>
      <c r="C40" s="493">
        <v>2377</v>
      </c>
      <c r="D40" s="493">
        <v>2616</v>
      </c>
      <c r="E40" s="493">
        <v>2745</v>
      </c>
      <c r="F40" s="493">
        <v>2886</v>
      </c>
      <c r="G40" s="493">
        <v>3008</v>
      </c>
      <c r="H40" s="493">
        <v>3232</v>
      </c>
      <c r="I40" s="493">
        <v>3249</v>
      </c>
      <c r="J40" s="493">
        <v>3365</v>
      </c>
      <c r="K40" s="493">
        <v>3493</v>
      </c>
      <c r="L40" s="493">
        <v>3604</v>
      </c>
      <c r="M40" s="493">
        <v>3721</v>
      </c>
      <c r="N40" s="493">
        <v>3833</v>
      </c>
      <c r="O40" s="493">
        <v>3961</v>
      </c>
      <c r="P40" s="493"/>
      <c r="Q40" s="493"/>
      <c r="R40" s="493"/>
      <c r="S40" s="493"/>
      <c r="T40" s="493"/>
      <c r="U40" s="1162"/>
      <c r="V40" s="1148"/>
      <c r="W40" s="1255">
        <f t="shared" si="1"/>
        <v>13</v>
      </c>
    </row>
    <row r="41" spans="1:23" x14ac:dyDescent="0.2">
      <c r="A41" s="420"/>
      <c r="B41" s="64">
        <v>11</v>
      </c>
      <c r="C41" s="493">
        <v>2499</v>
      </c>
      <c r="D41" s="493">
        <v>2616</v>
      </c>
      <c r="E41" s="493">
        <v>2745</v>
      </c>
      <c r="F41" s="493">
        <v>2886</v>
      </c>
      <c r="G41" s="493">
        <v>3008</v>
      </c>
      <c r="H41" s="493">
        <v>3132</v>
      </c>
      <c r="I41" s="493">
        <v>3249</v>
      </c>
      <c r="J41" s="493">
        <v>3493</v>
      </c>
      <c r="K41" s="493">
        <v>3604</v>
      </c>
      <c r="L41" s="493">
        <v>3721</v>
      </c>
      <c r="M41" s="493">
        <v>3833</v>
      </c>
      <c r="N41" s="493">
        <v>3961</v>
      </c>
      <c r="O41" s="493">
        <v>4086</v>
      </c>
      <c r="P41" s="493">
        <v>4209</v>
      </c>
      <c r="Q41" s="493">
        <v>4326</v>
      </c>
      <c r="R41" s="493">
        <v>4446</v>
      </c>
      <c r="S41" s="493">
        <v>4559</v>
      </c>
      <c r="T41" s="493">
        <v>4621</v>
      </c>
      <c r="U41" s="1162"/>
      <c r="V41" s="1148"/>
      <c r="W41" s="1255">
        <f t="shared" si="1"/>
        <v>18</v>
      </c>
    </row>
    <row r="42" spans="1:23" x14ac:dyDescent="0.2">
      <c r="A42" s="420"/>
      <c r="B42" s="64">
        <v>12</v>
      </c>
      <c r="C42" s="493">
        <v>3365</v>
      </c>
      <c r="D42" s="493">
        <v>3493</v>
      </c>
      <c r="E42" s="493">
        <v>3604</v>
      </c>
      <c r="F42" s="493">
        <v>3721</v>
      </c>
      <c r="G42" s="493">
        <v>3833</v>
      </c>
      <c r="H42" s="493">
        <v>3961</v>
      </c>
      <c r="I42" s="493">
        <v>4209</v>
      </c>
      <c r="J42" s="493">
        <v>4326</v>
      </c>
      <c r="K42" s="493">
        <v>4446</v>
      </c>
      <c r="L42" s="493">
        <v>4559</v>
      </c>
      <c r="M42" s="493">
        <v>4682</v>
      </c>
      <c r="N42" s="493">
        <v>4802</v>
      </c>
      <c r="O42" s="493">
        <v>4916</v>
      </c>
      <c r="P42" s="493">
        <v>5036</v>
      </c>
      <c r="Q42" s="493">
        <v>5183</v>
      </c>
      <c r="R42" s="493">
        <v>5258</v>
      </c>
      <c r="S42" s="493"/>
      <c r="T42" s="493"/>
      <c r="U42" s="1162"/>
      <c r="V42" s="1148"/>
      <c r="W42" s="1255">
        <f t="shared" si="1"/>
        <v>16</v>
      </c>
    </row>
    <row r="43" spans="1:23" x14ac:dyDescent="0.2">
      <c r="A43" s="420"/>
      <c r="B43" s="64">
        <v>13</v>
      </c>
      <c r="C43" s="493">
        <v>4086</v>
      </c>
      <c r="D43" s="493">
        <v>4209</v>
      </c>
      <c r="E43" s="493">
        <v>4326</v>
      </c>
      <c r="F43" s="493">
        <v>4446</v>
      </c>
      <c r="G43" s="493">
        <v>4559</v>
      </c>
      <c r="H43" s="493">
        <v>4802</v>
      </c>
      <c r="I43" s="493">
        <v>4916</v>
      </c>
      <c r="J43" s="493">
        <v>5036</v>
      </c>
      <c r="K43" s="493">
        <v>5183</v>
      </c>
      <c r="L43" s="493">
        <v>5332</v>
      </c>
      <c r="M43" s="493">
        <v>5481</v>
      </c>
      <c r="N43" s="493">
        <v>5629</v>
      </c>
      <c r="O43" s="493">
        <v>5702</v>
      </c>
      <c r="P43" s="493"/>
      <c r="Q43" s="493"/>
      <c r="R43" s="493"/>
      <c r="S43" s="493"/>
      <c r="T43" s="493"/>
      <c r="U43" s="1162"/>
      <c r="V43" s="1148"/>
      <c r="W43" s="1255">
        <f t="shared" si="1"/>
        <v>13</v>
      </c>
    </row>
    <row r="44" spans="1:23" x14ac:dyDescent="0.2">
      <c r="A44" s="420"/>
      <c r="B44" s="64">
        <v>14</v>
      </c>
      <c r="C44" s="493">
        <v>4682</v>
      </c>
      <c r="D44" s="493">
        <v>4802</v>
      </c>
      <c r="E44" s="493">
        <v>5036</v>
      </c>
      <c r="F44" s="493">
        <v>5183</v>
      </c>
      <c r="G44" s="493">
        <v>5332</v>
      </c>
      <c r="H44" s="493">
        <v>5481</v>
      </c>
      <c r="I44" s="493">
        <v>5629</v>
      </c>
      <c r="J44" s="493">
        <v>5779</v>
      </c>
      <c r="K44" s="493">
        <v>5938</v>
      </c>
      <c r="L44" s="493">
        <v>6097</v>
      </c>
      <c r="M44" s="493">
        <v>6264</v>
      </c>
      <c r="N44" s="493"/>
      <c r="O44" s="493"/>
      <c r="P44" s="493"/>
      <c r="Q44" s="493"/>
      <c r="R44" s="493"/>
      <c r="S44" s="493"/>
      <c r="T44" s="493"/>
      <c r="U44" s="1162"/>
      <c r="V44" s="1148"/>
      <c r="W44" s="1255">
        <f t="shared" si="1"/>
        <v>11</v>
      </c>
    </row>
    <row r="45" spans="1:23" x14ac:dyDescent="0.2">
      <c r="A45" s="420"/>
      <c r="B45" s="64">
        <v>15</v>
      </c>
      <c r="C45" s="493">
        <v>4916</v>
      </c>
      <c r="D45" s="493">
        <v>5036</v>
      </c>
      <c r="E45" s="493">
        <v>5183</v>
      </c>
      <c r="F45" s="493">
        <v>5481</v>
      </c>
      <c r="G45" s="493">
        <v>5629</v>
      </c>
      <c r="H45" s="493">
        <v>5779</v>
      </c>
      <c r="I45" s="493">
        <v>5938</v>
      </c>
      <c r="J45" s="493">
        <v>6097</v>
      </c>
      <c r="K45" s="493">
        <v>6264</v>
      </c>
      <c r="L45" s="493">
        <v>6463</v>
      </c>
      <c r="M45" s="493">
        <v>6671</v>
      </c>
      <c r="N45" s="493">
        <v>6883</v>
      </c>
      <c r="O45" s="493"/>
      <c r="P45" s="493"/>
      <c r="Q45" s="493"/>
      <c r="R45" s="493"/>
      <c r="S45" s="493"/>
      <c r="T45" s="493"/>
      <c r="U45" s="1164"/>
      <c r="V45" s="1150"/>
      <c r="W45" s="1255">
        <f t="shared" si="1"/>
        <v>12</v>
      </c>
    </row>
    <row r="46" spans="1:23" x14ac:dyDescent="0.2">
      <c r="A46" s="420"/>
      <c r="B46" s="64">
        <v>16</v>
      </c>
      <c r="C46" s="493">
        <v>5332</v>
      </c>
      <c r="D46" s="493">
        <v>5481</v>
      </c>
      <c r="E46" s="493">
        <v>5629</v>
      </c>
      <c r="F46" s="493">
        <v>5938</v>
      </c>
      <c r="G46" s="493">
        <v>6097</v>
      </c>
      <c r="H46" s="493">
        <v>6264</v>
      </c>
      <c r="I46" s="493">
        <v>6463</v>
      </c>
      <c r="J46" s="493">
        <v>6671</v>
      </c>
      <c r="K46" s="493">
        <v>6883</v>
      </c>
      <c r="L46" s="493">
        <v>7104</v>
      </c>
      <c r="M46" s="493">
        <v>7327</v>
      </c>
      <c r="N46" s="493">
        <v>7561</v>
      </c>
      <c r="O46" s="493"/>
      <c r="P46" s="493"/>
      <c r="Q46" s="493"/>
      <c r="R46" s="493"/>
      <c r="S46" s="493"/>
      <c r="T46" s="493"/>
      <c r="U46" s="1164"/>
      <c r="V46" s="1150"/>
      <c r="W46" s="1255">
        <f t="shared" si="1"/>
        <v>12</v>
      </c>
    </row>
    <row r="47" spans="1:23"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53" t="s">
        <v>99</v>
      </c>
      <c r="C48" s="1352">
        <v>43831</v>
      </c>
      <c r="D48" s="1353"/>
      <c r="E48" s="1257">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100</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101</v>
      </c>
    </row>
    <row r="50" spans="1:23" x14ac:dyDescent="0.2">
      <c r="A50" s="420"/>
      <c r="B50" s="420" t="s">
        <v>606</v>
      </c>
      <c r="C50" s="1258">
        <v>2678</v>
      </c>
      <c r="D50" s="1258">
        <v>2761</v>
      </c>
      <c r="E50" s="1258">
        <v>2846</v>
      </c>
      <c r="F50" s="1258">
        <v>2935</v>
      </c>
      <c r="G50" s="1258">
        <v>3026</v>
      </c>
      <c r="H50" s="1258">
        <v>3119</v>
      </c>
      <c r="I50" s="1258">
        <v>3217</v>
      </c>
      <c r="J50" s="1258">
        <v>3316</v>
      </c>
      <c r="K50" s="1258">
        <v>3419</v>
      </c>
      <c r="L50" s="1258">
        <v>3525</v>
      </c>
      <c r="M50" s="1258">
        <v>3634</v>
      </c>
      <c r="N50" s="1258">
        <v>3747</v>
      </c>
      <c r="O50" s="1258">
        <v>3862</v>
      </c>
      <c r="P50" s="1258">
        <v>3982</v>
      </c>
      <c r="Q50" s="1258">
        <v>4113</v>
      </c>
      <c r="R50" s="1259"/>
      <c r="S50" s="1259"/>
      <c r="T50" s="1259"/>
      <c r="U50" s="1259"/>
      <c r="V50" s="1259"/>
      <c r="W50" s="1165">
        <f>COUNTA(C50:V50)</f>
        <v>15</v>
      </c>
    </row>
    <row r="51" spans="1:23" x14ac:dyDescent="0.2">
      <c r="A51" s="420"/>
      <c r="B51" s="420" t="s">
        <v>607</v>
      </c>
      <c r="C51" s="1258">
        <v>2758</v>
      </c>
      <c r="D51" s="1258">
        <v>2851</v>
      </c>
      <c r="E51" s="1258">
        <v>2948</v>
      </c>
      <c r="F51" s="1258">
        <v>3047</v>
      </c>
      <c r="G51" s="1258">
        <v>3150</v>
      </c>
      <c r="H51" s="1258">
        <v>3257</v>
      </c>
      <c r="I51" s="1258">
        <v>3367</v>
      </c>
      <c r="J51" s="1258">
        <v>3481</v>
      </c>
      <c r="K51" s="1258">
        <v>3598</v>
      </c>
      <c r="L51" s="1258">
        <v>3720</v>
      </c>
      <c r="M51" s="1258">
        <v>3845</v>
      </c>
      <c r="N51" s="1258">
        <v>3976</v>
      </c>
      <c r="O51" s="1258">
        <v>4110</v>
      </c>
      <c r="P51" s="1258">
        <v>4249</v>
      </c>
      <c r="Q51" s="1258">
        <v>4434</v>
      </c>
      <c r="R51" s="1259"/>
      <c r="S51" s="1259"/>
      <c r="T51" s="1259"/>
      <c r="U51" s="1259"/>
      <c r="V51" s="1259"/>
      <c r="W51" s="1165">
        <f t="shared" ref="W51:W68" si="2">COUNTA(C51:V51)</f>
        <v>15</v>
      </c>
    </row>
    <row r="52" spans="1:23" x14ac:dyDescent="0.2">
      <c r="A52" s="420"/>
      <c r="B52" s="420" t="s">
        <v>608</v>
      </c>
      <c r="C52" s="1258">
        <v>2812</v>
      </c>
      <c r="D52" s="1258">
        <v>2933</v>
      </c>
      <c r="E52" s="1258">
        <v>3059</v>
      </c>
      <c r="F52" s="1258">
        <v>3190</v>
      </c>
      <c r="G52" s="1258">
        <v>3327</v>
      </c>
      <c r="H52" s="1258">
        <v>3470</v>
      </c>
      <c r="I52" s="1258">
        <v>3619</v>
      </c>
      <c r="J52" s="1258">
        <v>3776</v>
      </c>
      <c r="K52" s="1258">
        <v>3937</v>
      </c>
      <c r="L52" s="1258">
        <v>4107</v>
      </c>
      <c r="M52" s="1258">
        <v>4283</v>
      </c>
      <c r="N52" s="1258">
        <v>4468</v>
      </c>
      <c r="O52" s="1258">
        <v>4660</v>
      </c>
      <c r="P52" s="1258">
        <v>4861</v>
      </c>
      <c r="Q52" s="1258">
        <v>5070</v>
      </c>
      <c r="R52" s="1259"/>
      <c r="S52" s="1259"/>
      <c r="T52" s="1259"/>
      <c r="U52" s="1259"/>
      <c r="V52" s="1259"/>
      <c r="W52" s="1165">
        <f t="shared" si="2"/>
        <v>15</v>
      </c>
    </row>
    <row r="53" spans="1:23" x14ac:dyDescent="0.2">
      <c r="A53" s="420"/>
      <c r="B53" s="420" t="s">
        <v>609</v>
      </c>
      <c r="C53" s="1258">
        <v>2812</v>
      </c>
      <c r="D53" s="1258">
        <v>2933</v>
      </c>
      <c r="E53" s="1258">
        <v>3094</v>
      </c>
      <c r="F53" s="1258">
        <v>3265</v>
      </c>
      <c r="G53" s="1258">
        <v>3436</v>
      </c>
      <c r="H53" s="1258">
        <v>3615</v>
      </c>
      <c r="I53" s="1258">
        <v>3800</v>
      </c>
      <c r="J53" s="1258">
        <v>3989</v>
      </c>
      <c r="K53" s="1258">
        <v>4187</v>
      </c>
      <c r="L53" s="1258">
        <v>4393</v>
      </c>
      <c r="M53" s="1258">
        <v>4605</v>
      </c>
      <c r="N53" s="1258">
        <v>4823</v>
      </c>
      <c r="O53" s="1258">
        <v>5050</v>
      </c>
      <c r="P53" s="1258">
        <v>5283</v>
      </c>
      <c r="Q53" s="1258">
        <v>5532</v>
      </c>
      <c r="R53" s="1259"/>
      <c r="S53" s="1259"/>
      <c r="T53" s="1259"/>
      <c r="U53" s="1259"/>
      <c r="V53" s="1259"/>
      <c r="W53" s="1165">
        <f t="shared" si="2"/>
        <v>15</v>
      </c>
    </row>
    <row r="54" spans="1:23" x14ac:dyDescent="0.2">
      <c r="A54" s="420"/>
      <c r="B54" s="1254" t="s">
        <v>103</v>
      </c>
      <c r="C54" s="493">
        <v>2768</v>
      </c>
      <c r="D54" s="493">
        <v>2891</v>
      </c>
      <c r="E54" s="493">
        <v>3025</v>
      </c>
      <c r="F54" s="493">
        <v>3173</v>
      </c>
      <c r="G54" s="493">
        <v>3300</v>
      </c>
      <c r="H54" s="493">
        <v>3429</v>
      </c>
      <c r="I54" s="493">
        <v>3550</v>
      </c>
      <c r="J54" s="493">
        <v>3672</v>
      </c>
      <c r="K54" s="493">
        <v>3803</v>
      </c>
      <c r="L54" s="493">
        <v>3924</v>
      </c>
      <c r="M54" s="493">
        <v>4041</v>
      </c>
      <c r="N54" s="493">
        <v>4161</v>
      </c>
      <c r="O54" s="493">
        <v>4364</v>
      </c>
      <c r="P54" s="493"/>
      <c r="Q54" s="493"/>
      <c r="R54" s="493"/>
      <c r="S54" s="493"/>
      <c r="T54" s="493"/>
      <c r="U54" s="493"/>
      <c r="V54" s="493"/>
      <c r="W54" s="1255">
        <f t="shared" si="2"/>
        <v>13</v>
      </c>
    </row>
    <row r="55" spans="1:23" x14ac:dyDescent="0.2">
      <c r="A55" s="420"/>
      <c r="B55" s="1254" t="s">
        <v>104</v>
      </c>
      <c r="C55" s="1148">
        <v>2826</v>
      </c>
      <c r="D55" s="493">
        <v>2962</v>
      </c>
      <c r="E55" s="493">
        <v>3107</v>
      </c>
      <c r="F55" s="493">
        <v>3237</v>
      </c>
      <c r="G55" s="493">
        <v>3365</v>
      </c>
      <c r="H55" s="493">
        <v>3489</v>
      </c>
      <c r="I55" s="493">
        <v>3608</v>
      </c>
      <c r="J55" s="493">
        <v>3742</v>
      </c>
      <c r="K55" s="493">
        <v>3860</v>
      </c>
      <c r="L55" s="493">
        <v>3980</v>
      </c>
      <c r="M55" s="493">
        <v>4099</v>
      </c>
      <c r="N55" s="493">
        <v>4230</v>
      </c>
      <c r="O55" s="493">
        <v>4364</v>
      </c>
      <c r="P55" s="493">
        <v>4490</v>
      </c>
      <c r="Q55" s="493">
        <v>4614</v>
      </c>
      <c r="R55" s="493">
        <v>4737</v>
      </c>
      <c r="S55" s="493">
        <v>4858</v>
      </c>
      <c r="T55" s="493">
        <v>4921</v>
      </c>
      <c r="U55" s="493"/>
      <c r="V55" s="493"/>
      <c r="W55" s="1255">
        <f t="shared" si="2"/>
        <v>18</v>
      </c>
    </row>
    <row r="56" spans="1:23" x14ac:dyDescent="0.2">
      <c r="A56" s="420"/>
      <c r="B56" s="1254" t="s">
        <v>105</v>
      </c>
      <c r="C56" s="493">
        <v>2962</v>
      </c>
      <c r="D56" s="493">
        <v>3107</v>
      </c>
      <c r="E56" s="493">
        <v>3365</v>
      </c>
      <c r="F56" s="493">
        <v>3608</v>
      </c>
      <c r="G56" s="493">
        <v>3742</v>
      </c>
      <c r="H56" s="493">
        <v>3860</v>
      </c>
      <c r="I56" s="493">
        <v>3980</v>
      </c>
      <c r="J56" s="493">
        <v>4099</v>
      </c>
      <c r="K56" s="493">
        <v>4230</v>
      </c>
      <c r="L56" s="493">
        <v>4364</v>
      </c>
      <c r="M56" s="493">
        <v>4490</v>
      </c>
      <c r="N56" s="493">
        <v>4614</v>
      </c>
      <c r="O56" s="493">
        <v>4737</v>
      </c>
      <c r="P56" s="493">
        <v>4858</v>
      </c>
      <c r="Q56" s="493">
        <v>4985</v>
      </c>
      <c r="R56" s="493">
        <v>5110</v>
      </c>
      <c r="S56" s="493">
        <v>5228</v>
      </c>
      <c r="T56" s="493">
        <v>5354</v>
      </c>
      <c r="U56" s="493">
        <v>5510</v>
      </c>
      <c r="V56" s="493">
        <v>5586</v>
      </c>
      <c r="W56" s="1255">
        <f t="shared" si="2"/>
        <v>20</v>
      </c>
    </row>
    <row r="57" spans="1:23" x14ac:dyDescent="0.2">
      <c r="A57" s="420"/>
      <c r="B57" s="1254" t="s">
        <v>106</v>
      </c>
      <c r="C57" s="493">
        <v>3107</v>
      </c>
      <c r="D57" s="493">
        <v>3365</v>
      </c>
      <c r="E57" s="493">
        <v>3608</v>
      </c>
      <c r="F57" s="493">
        <v>3860</v>
      </c>
      <c r="G57" s="493">
        <v>4099</v>
      </c>
      <c r="H57" s="493">
        <v>4364</v>
      </c>
      <c r="I57" s="493">
        <v>4490</v>
      </c>
      <c r="J57" s="493">
        <v>4614</v>
      </c>
      <c r="K57" s="493">
        <v>4737</v>
      </c>
      <c r="L57" s="493">
        <v>4858</v>
      </c>
      <c r="M57" s="493">
        <v>4985</v>
      </c>
      <c r="N57" s="493">
        <v>5110</v>
      </c>
      <c r="O57" s="493">
        <v>5228</v>
      </c>
      <c r="P57" s="493">
        <v>5354</v>
      </c>
      <c r="Q57" s="493">
        <v>5510</v>
      </c>
      <c r="R57" s="493">
        <v>5663</v>
      </c>
      <c r="S57" s="493">
        <v>5820</v>
      </c>
      <c r="T57" s="493">
        <v>5976</v>
      </c>
      <c r="U57" s="493">
        <v>6050</v>
      </c>
      <c r="V57" s="493"/>
      <c r="W57" s="1255">
        <f t="shared" si="2"/>
        <v>19</v>
      </c>
    </row>
    <row r="58" spans="1:23" x14ac:dyDescent="0.2">
      <c r="A58" s="420"/>
      <c r="B58" s="1254" t="s">
        <v>610</v>
      </c>
      <c r="C58" s="493">
        <v>3354</v>
      </c>
      <c r="D58" s="493">
        <v>3460</v>
      </c>
      <c r="E58" s="493">
        <v>3568</v>
      </c>
      <c r="F58" s="493">
        <v>3680</v>
      </c>
      <c r="G58" s="493">
        <v>3796</v>
      </c>
      <c r="H58" s="493">
        <v>3915</v>
      </c>
      <c r="I58" s="493">
        <v>4038</v>
      </c>
      <c r="J58" s="493">
        <v>4165</v>
      </c>
      <c r="K58" s="493">
        <v>4296</v>
      </c>
      <c r="L58" s="493">
        <v>4431</v>
      </c>
      <c r="M58" s="493">
        <v>4570</v>
      </c>
      <c r="N58" s="493">
        <v>4713</v>
      </c>
      <c r="O58" s="493">
        <v>4861</v>
      </c>
      <c r="P58" s="493"/>
      <c r="Q58" s="493"/>
      <c r="R58" s="493"/>
      <c r="S58" s="493"/>
      <c r="T58" s="493"/>
      <c r="U58" s="493"/>
      <c r="V58" s="493"/>
      <c r="W58" s="1255">
        <f t="shared" si="2"/>
        <v>13</v>
      </c>
    </row>
    <row r="59" spans="1:23" x14ac:dyDescent="0.2">
      <c r="A59" s="420"/>
      <c r="B59" s="1254" t="s">
        <v>611</v>
      </c>
      <c r="C59" s="493">
        <v>3459</v>
      </c>
      <c r="D59" s="493">
        <v>3577</v>
      </c>
      <c r="E59" s="493">
        <v>3699</v>
      </c>
      <c r="F59" s="493">
        <v>3824</v>
      </c>
      <c r="G59" s="493">
        <v>3955</v>
      </c>
      <c r="H59" s="493">
        <v>4089</v>
      </c>
      <c r="I59" s="493">
        <v>4229</v>
      </c>
      <c r="J59" s="493">
        <v>4373</v>
      </c>
      <c r="K59" s="493">
        <v>4521</v>
      </c>
      <c r="L59" s="493">
        <v>4675</v>
      </c>
      <c r="M59" s="493">
        <v>4835</v>
      </c>
      <c r="N59" s="493">
        <v>4999</v>
      </c>
      <c r="O59" s="493">
        <v>5169</v>
      </c>
      <c r="P59" s="493">
        <v>5345</v>
      </c>
      <c r="Q59" s="493">
        <v>5527</v>
      </c>
      <c r="R59" s="493"/>
      <c r="S59" s="493"/>
      <c r="T59" s="493"/>
      <c r="U59" s="493"/>
      <c r="V59" s="493"/>
      <c r="W59" s="1255">
        <f t="shared" si="2"/>
        <v>15</v>
      </c>
    </row>
    <row r="60" spans="1:23" x14ac:dyDescent="0.2">
      <c r="A60" s="420"/>
      <c r="B60" s="1254" t="s">
        <v>612</v>
      </c>
      <c r="C60" s="493">
        <v>3563</v>
      </c>
      <c r="D60" s="493">
        <v>3689</v>
      </c>
      <c r="E60" s="493">
        <v>3819</v>
      </c>
      <c r="F60" s="493">
        <v>3954</v>
      </c>
      <c r="G60" s="493">
        <v>4093</v>
      </c>
      <c r="H60" s="493">
        <v>4237</v>
      </c>
      <c r="I60" s="493">
        <v>4387</v>
      </c>
      <c r="J60" s="493">
        <v>4541</v>
      </c>
      <c r="K60" s="493">
        <v>4701</v>
      </c>
      <c r="L60" s="493">
        <v>4867</v>
      </c>
      <c r="M60" s="493">
        <v>5039</v>
      </c>
      <c r="N60" s="493">
        <v>5216</v>
      </c>
      <c r="O60" s="493">
        <v>5400</v>
      </c>
      <c r="P60" s="493">
        <v>5590</v>
      </c>
      <c r="Q60" s="493">
        <v>5787</v>
      </c>
      <c r="R60" s="493">
        <v>5990</v>
      </c>
      <c r="S60" s="493"/>
      <c r="T60" s="493"/>
      <c r="U60" s="493"/>
      <c r="V60" s="493"/>
      <c r="W60" s="1255">
        <f t="shared" si="2"/>
        <v>16</v>
      </c>
    </row>
    <row r="61" spans="1:23" x14ac:dyDescent="0.2">
      <c r="A61" s="420"/>
      <c r="B61" s="1254" t="s">
        <v>613</v>
      </c>
      <c r="C61" s="493">
        <v>3668</v>
      </c>
      <c r="D61" s="493">
        <v>3784</v>
      </c>
      <c r="E61" s="493">
        <v>3903</v>
      </c>
      <c r="F61" s="493">
        <v>4026</v>
      </c>
      <c r="G61" s="493">
        <v>4153</v>
      </c>
      <c r="H61" s="493">
        <v>4284</v>
      </c>
      <c r="I61" s="493">
        <v>4419</v>
      </c>
      <c r="J61" s="493">
        <v>4558</v>
      </c>
      <c r="K61" s="493">
        <v>4702</v>
      </c>
      <c r="L61" s="493">
        <v>4850</v>
      </c>
      <c r="M61" s="493">
        <v>5003</v>
      </c>
      <c r="N61" s="493">
        <v>5161</v>
      </c>
      <c r="O61" s="493">
        <v>5324</v>
      </c>
      <c r="P61" s="493">
        <v>5491</v>
      </c>
      <c r="Q61" s="493">
        <v>5665</v>
      </c>
      <c r="R61" s="493">
        <v>5843</v>
      </c>
      <c r="S61" s="493">
        <v>6027</v>
      </c>
      <c r="T61" s="493">
        <v>6217</v>
      </c>
      <c r="U61" s="493"/>
      <c r="V61" s="493"/>
      <c r="W61" s="1255">
        <f t="shared" si="2"/>
        <v>18</v>
      </c>
    </row>
    <row r="62" spans="1:23" x14ac:dyDescent="0.2">
      <c r="A62" s="420"/>
      <c r="B62" s="1254" t="s">
        <v>614</v>
      </c>
      <c r="C62" s="493">
        <v>3424</v>
      </c>
      <c r="D62" s="493">
        <v>3676</v>
      </c>
      <c r="E62" s="493">
        <v>3912</v>
      </c>
      <c r="F62" s="493">
        <v>4162</v>
      </c>
      <c r="G62" s="493">
        <v>4422</v>
      </c>
      <c r="H62" s="493">
        <v>4668</v>
      </c>
      <c r="I62" s="493">
        <v>4914</v>
      </c>
      <c r="J62" s="493">
        <v>5037</v>
      </c>
      <c r="K62" s="493">
        <v>5157</v>
      </c>
      <c r="L62" s="493">
        <v>5280</v>
      </c>
      <c r="M62" s="493">
        <v>5435</v>
      </c>
      <c r="N62" s="493">
        <v>5589</v>
      </c>
      <c r="O62" s="493">
        <v>5743</v>
      </c>
      <c r="P62" s="493">
        <v>5898</v>
      </c>
      <c r="Q62" s="493">
        <v>6054</v>
      </c>
      <c r="R62" s="493">
        <v>6218</v>
      </c>
      <c r="S62" s="493">
        <v>6386</v>
      </c>
      <c r="T62" s="493">
        <v>6559</v>
      </c>
      <c r="U62" s="493"/>
      <c r="V62" s="493"/>
      <c r="W62" s="1255">
        <f t="shared" si="2"/>
        <v>18</v>
      </c>
    </row>
    <row r="63" spans="1:23" x14ac:dyDescent="0.2">
      <c r="A63" s="420"/>
      <c r="B63" s="1254" t="s">
        <v>107</v>
      </c>
      <c r="C63" s="493">
        <v>3018</v>
      </c>
      <c r="D63" s="493">
        <v>3134</v>
      </c>
      <c r="E63" s="493">
        <v>3253</v>
      </c>
      <c r="F63" s="493">
        <v>3368</v>
      </c>
      <c r="G63" s="493">
        <v>3484</v>
      </c>
      <c r="H63" s="493">
        <v>3603</v>
      </c>
      <c r="I63" s="493">
        <v>3719</v>
      </c>
      <c r="J63" s="493">
        <v>3836</v>
      </c>
      <c r="K63" s="493">
        <v>3951</v>
      </c>
      <c r="L63" s="493">
        <v>4069</v>
      </c>
      <c r="M63" s="493">
        <v>4187</v>
      </c>
      <c r="N63" s="493">
        <v>4303</v>
      </c>
      <c r="O63" s="493">
        <v>4422</v>
      </c>
      <c r="P63" s="493"/>
      <c r="Q63" s="493"/>
      <c r="R63" s="493"/>
      <c r="S63" s="493"/>
      <c r="T63" s="493"/>
      <c r="U63" s="1148"/>
      <c r="V63" s="1148"/>
      <c r="W63" s="1255">
        <f t="shared" si="2"/>
        <v>13</v>
      </c>
    </row>
    <row r="64" spans="1:23" x14ac:dyDescent="0.2">
      <c r="A64" s="420"/>
      <c r="B64" s="1254" t="s">
        <v>108</v>
      </c>
      <c r="C64" s="493">
        <v>3134</v>
      </c>
      <c r="D64" s="493">
        <v>3368</v>
      </c>
      <c r="E64" s="493">
        <v>3603</v>
      </c>
      <c r="F64" s="493">
        <v>3719</v>
      </c>
      <c r="G64" s="493">
        <v>3836</v>
      </c>
      <c r="H64" s="493">
        <v>3951</v>
      </c>
      <c r="I64" s="493">
        <v>4069</v>
      </c>
      <c r="J64" s="493">
        <v>4187</v>
      </c>
      <c r="K64" s="493">
        <v>4303</v>
      </c>
      <c r="L64" s="493">
        <v>4422</v>
      </c>
      <c r="M64" s="493">
        <v>4539</v>
      </c>
      <c r="N64" s="493">
        <v>4654</v>
      </c>
      <c r="O64" s="493">
        <v>4771</v>
      </c>
      <c r="P64" s="493">
        <v>4887</v>
      </c>
      <c r="Q64" s="493">
        <v>5006</v>
      </c>
      <c r="R64" s="493"/>
      <c r="S64" s="493"/>
      <c r="T64" s="493"/>
      <c r="U64" s="1148"/>
      <c r="V64" s="1148"/>
      <c r="W64" s="1255">
        <f t="shared" si="2"/>
        <v>15</v>
      </c>
    </row>
    <row r="65" spans="1:23" x14ac:dyDescent="0.2">
      <c r="A65" s="420"/>
      <c r="B65" s="1254" t="s">
        <v>109</v>
      </c>
      <c r="C65" s="493">
        <v>3134</v>
      </c>
      <c r="D65" s="493">
        <v>3368</v>
      </c>
      <c r="E65" s="493">
        <v>3603</v>
      </c>
      <c r="F65" s="493">
        <v>3719</v>
      </c>
      <c r="G65" s="493">
        <v>3836</v>
      </c>
      <c r="H65" s="493">
        <v>3951</v>
      </c>
      <c r="I65" s="493">
        <v>4069</v>
      </c>
      <c r="J65" s="493">
        <v>4187</v>
      </c>
      <c r="K65" s="493">
        <v>4303</v>
      </c>
      <c r="L65" s="493">
        <v>4422</v>
      </c>
      <c r="M65" s="493">
        <v>4539</v>
      </c>
      <c r="N65" s="493">
        <v>4654</v>
      </c>
      <c r="O65" s="493">
        <v>4771</v>
      </c>
      <c r="P65" s="493">
        <v>4887</v>
      </c>
      <c r="Q65" s="493">
        <v>5006</v>
      </c>
      <c r="R65" s="493">
        <v>5122</v>
      </c>
      <c r="S65" s="493">
        <v>5240</v>
      </c>
      <c r="T65" s="493"/>
      <c r="U65" s="1148"/>
      <c r="V65" s="1148"/>
      <c r="W65" s="1255">
        <f t="shared" si="2"/>
        <v>17</v>
      </c>
    </row>
    <row r="66" spans="1:23" x14ac:dyDescent="0.2">
      <c r="A66" s="420"/>
      <c r="B66" s="1254" t="s">
        <v>110</v>
      </c>
      <c r="C66" s="493">
        <v>3253</v>
      </c>
      <c r="D66" s="493">
        <v>3603</v>
      </c>
      <c r="E66" s="493">
        <v>3863</v>
      </c>
      <c r="F66" s="493">
        <v>4069</v>
      </c>
      <c r="G66" s="493">
        <v>4303</v>
      </c>
      <c r="H66" s="493">
        <v>4422</v>
      </c>
      <c r="I66" s="493">
        <v>4539</v>
      </c>
      <c r="J66" s="493">
        <v>4654</v>
      </c>
      <c r="K66" s="493">
        <v>4771</v>
      </c>
      <c r="L66" s="493">
        <v>4887</v>
      </c>
      <c r="M66" s="493">
        <v>5006</v>
      </c>
      <c r="N66" s="493">
        <v>5122</v>
      </c>
      <c r="O66" s="493">
        <v>5240</v>
      </c>
      <c r="P66" s="493">
        <v>5355</v>
      </c>
      <c r="Q66" s="493">
        <v>5472</v>
      </c>
      <c r="R66" s="493">
        <v>5591</v>
      </c>
      <c r="S66" s="493"/>
      <c r="T66" s="493"/>
      <c r="U66" s="1148"/>
      <c r="V66" s="1148"/>
      <c r="W66" s="1255">
        <f t="shared" si="2"/>
        <v>16</v>
      </c>
    </row>
    <row r="67" spans="1:23" x14ac:dyDescent="0.2">
      <c r="A67" s="420"/>
      <c r="B67" s="1254" t="s">
        <v>111</v>
      </c>
      <c r="C67" s="493">
        <v>3253</v>
      </c>
      <c r="D67" s="493">
        <v>3603</v>
      </c>
      <c r="E67" s="493">
        <v>3863</v>
      </c>
      <c r="F67" s="493">
        <v>4069</v>
      </c>
      <c r="G67" s="493">
        <v>4303</v>
      </c>
      <c r="H67" s="493">
        <v>4422</v>
      </c>
      <c r="I67" s="493">
        <v>4539</v>
      </c>
      <c r="J67" s="493">
        <v>4654</v>
      </c>
      <c r="K67" s="493">
        <v>4771</v>
      </c>
      <c r="L67" s="493">
        <v>4887</v>
      </c>
      <c r="M67" s="493">
        <v>5006</v>
      </c>
      <c r="N67" s="493">
        <v>5122</v>
      </c>
      <c r="O67" s="493">
        <v>5240</v>
      </c>
      <c r="P67" s="493">
        <v>5355</v>
      </c>
      <c r="Q67" s="493">
        <v>5472</v>
      </c>
      <c r="R67" s="493">
        <v>5591</v>
      </c>
      <c r="S67" s="493">
        <v>5707</v>
      </c>
      <c r="T67" s="493">
        <v>5823</v>
      </c>
      <c r="U67" s="1148"/>
      <c r="V67" s="1148"/>
      <c r="W67" s="1255">
        <f t="shared" si="2"/>
        <v>18</v>
      </c>
    </row>
    <row r="68" spans="1:23" x14ac:dyDescent="0.2">
      <c r="A68" s="420"/>
      <c r="B68" s="1254" t="s">
        <v>112</v>
      </c>
      <c r="C68" s="493">
        <v>3302</v>
      </c>
      <c r="D68" s="493">
        <v>3545</v>
      </c>
      <c r="E68" s="493">
        <v>3793</v>
      </c>
      <c r="F68" s="493">
        <v>4031</v>
      </c>
      <c r="G68" s="493">
        <v>4294</v>
      </c>
      <c r="H68" s="493">
        <v>4422</v>
      </c>
      <c r="I68" s="493">
        <v>4544</v>
      </c>
      <c r="J68" s="493">
        <v>4668</v>
      </c>
      <c r="K68" s="493">
        <v>4786</v>
      </c>
      <c r="L68" s="493">
        <v>4919</v>
      </c>
      <c r="M68" s="493">
        <v>5037</v>
      </c>
      <c r="N68" s="493">
        <v>5157</v>
      </c>
      <c r="O68" s="493">
        <v>5280</v>
      </c>
      <c r="P68" s="493">
        <v>5435</v>
      </c>
      <c r="Q68" s="493">
        <v>5589</v>
      </c>
      <c r="R68" s="493">
        <v>5743</v>
      </c>
      <c r="S68" s="493">
        <v>5898</v>
      </c>
      <c r="T68" s="493">
        <v>5972</v>
      </c>
      <c r="U68" s="1148"/>
      <c r="V68" s="1148"/>
      <c r="W68" s="1255">
        <f t="shared" si="2"/>
        <v>18</v>
      </c>
    </row>
    <row r="69" spans="1:23" x14ac:dyDescent="0.2">
      <c r="A69" s="420"/>
      <c r="B69" s="1254" t="s">
        <v>113</v>
      </c>
      <c r="C69" s="493">
        <v>3424</v>
      </c>
      <c r="D69" s="493">
        <v>3676</v>
      </c>
      <c r="E69" s="493">
        <v>3912</v>
      </c>
      <c r="F69" s="493">
        <v>4162</v>
      </c>
      <c r="G69" s="493">
        <v>4422</v>
      </c>
      <c r="H69" s="493">
        <v>4668</v>
      </c>
      <c r="I69" s="493">
        <v>4914</v>
      </c>
      <c r="J69" s="493">
        <v>5037</v>
      </c>
      <c r="K69" s="493">
        <v>5157</v>
      </c>
      <c r="L69" s="493">
        <v>5280</v>
      </c>
      <c r="M69" s="493">
        <v>5435</v>
      </c>
      <c r="N69" s="493">
        <v>5589</v>
      </c>
      <c r="O69" s="493">
        <v>5743</v>
      </c>
      <c r="P69" s="493">
        <v>5898</v>
      </c>
      <c r="Q69" s="493">
        <v>6054</v>
      </c>
      <c r="R69" s="493">
        <v>6218</v>
      </c>
      <c r="S69" s="493">
        <v>6386</v>
      </c>
      <c r="T69" s="493">
        <v>6559</v>
      </c>
      <c r="U69" s="1148"/>
      <c r="V69" s="1148"/>
      <c r="W69" s="1255">
        <f>COUNTA(C69:V69)</f>
        <v>18</v>
      </c>
    </row>
    <row r="70" spans="1:23" x14ac:dyDescent="0.2">
      <c r="A70" s="420"/>
      <c r="B70" s="1252" t="s">
        <v>114</v>
      </c>
      <c r="C70" s="1148">
        <v>1680</v>
      </c>
      <c r="D70" s="1148">
        <v>1683</v>
      </c>
      <c r="E70" s="1148">
        <v>1752</v>
      </c>
      <c r="F70" s="1148">
        <v>1784</v>
      </c>
      <c r="G70" s="1148">
        <v>1820</v>
      </c>
      <c r="H70" s="1148">
        <v>1858</v>
      </c>
      <c r="I70" s="1148">
        <v>1907</v>
      </c>
      <c r="J70" s="1148"/>
      <c r="K70" s="1162"/>
      <c r="L70" s="1162"/>
      <c r="M70" s="1162"/>
      <c r="N70" s="1162"/>
      <c r="O70" s="1162"/>
      <c r="P70" s="1162"/>
      <c r="Q70" s="1162"/>
      <c r="R70" s="1162"/>
      <c r="S70" s="1162"/>
      <c r="T70" s="1162"/>
      <c r="U70" s="1162"/>
      <c r="V70" s="1148"/>
      <c r="W70" s="1255">
        <f t="shared" ref="W70:W101" si="3">COUNTA(C70:V70)</f>
        <v>7</v>
      </c>
    </row>
    <row r="71" spans="1:23" x14ac:dyDescent="0.2">
      <c r="A71" s="420"/>
      <c r="B71" s="64" t="s">
        <v>115</v>
      </c>
      <c r="C71" s="1148">
        <v>1784</v>
      </c>
      <c r="D71" s="1148">
        <v>1858</v>
      </c>
      <c r="E71" s="1148">
        <v>1907</v>
      </c>
      <c r="F71" s="1148">
        <v>1963</v>
      </c>
      <c r="G71" s="1148">
        <v>2031</v>
      </c>
      <c r="H71" s="1148">
        <v>2096</v>
      </c>
      <c r="I71" s="1148"/>
      <c r="J71" s="1148"/>
      <c r="K71" s="1162"/>
      <c r="L71" s="1162"/>
      <c r="M71" s="1162"/>
      <c r="N71" s="1162"/>
      <c r="O71" s="1162"/>
      <c r="P71" s="1162"/>
      <c r="Q71" s="1162"/>
      <c r="R71" s="1162"/>
      <c r="S71" s="1162"/>
      <c r="T71" s="1162"/>
      <c r="U71" s="1162"/>
      <c r="V71" s="1148"/>
      <c r="W71" s="1255">
        <f t="shared" si="3"/>
        <v>6</v>
      </c>
    </row>
    <row r="72" spans="1:23" x14ac:dyDescent="0.2">
      <c r="A72" s="420"/>
      <c r="B72" s="64" t="s">
        <v>116</v>
      </c>
      <c r="C72" s="1148">
        <v>1858</v>
      </c>
      <c r="D72" s="1148">
        <v>1963</v>
      </c>
      <c r="E72" s="1148">
        <v>2031</v>
      </c>
      <c r="F72" s="1148">
        <v>2096</v>
      </c>
      <c r="G72" s="1148">
        <v>2160</v>
      </c>
      <c r="H72" s="1148"/>
      <c r="I72" s="1148"/>
      <c r="J72" s="1148"/>
      <c r="K72" s="1162"/>
      <c r="L72" s="1162"/>
      <c r="M72" s="1162"/>
      <c r="N72" s="1162"/>
      <c r="O72" s="1162"/>
      <c r="P72" s="1162"/>
      <c r="Q72" s="1162"/>
      <c r="R72" s="1162"/>
      <c r="S72" s="1162"/>
      <c r="T72" s="1162"/>
      <c r="U72" s="1162"/>
      <c r="V72" s="1148"/>
      <c r="W72" s="1255">
        <f t="shared" si="3"/>
        <v>5</v>
      </c>
    </row>
    <row r="73" spans="1:23" x14ac:dyDescent="0.2">
      <c r="A73" s="420"/>
      <c r="B73" s="64" t="s">
        <v>605</v>
      </c>
      <c r="C73" s="1148">
        <v>1680</v>
      </c>
      <c r="D73" s="1148">
        <v>1709</v>
      </c>
      <c r="E73" s="1148">
        <v>1764</v>
      </c>
      <c r="F73" s="1148">
        <v>1819</v>
      </c>
      <c r="G73" s="1148"/>
      <c r="H73" s="1148"/>
      <c r="I73" s="1148"/>
      <c r="J73" s="1148"/>
      <c r="K73" s="1148"/>
      <c r="L73" s="1162"/>
      <c r="M73" s="1162"/>
      <c r="N73" s="1162"/>
      <c r="O73" s="1162"/>
      <c r="P73" s="1162"/>
      <c r="Q73" s="1162"/>
      <c r="R73" s="1162"/>
      <c r="S73" s="1162"/>
      <c r="T73" s="1162"/>
      <c r="U73" s="1162"/>
      <c r="V73" s="1148"/>
      <c r="W73" s="1255">
        <f t="shared" si="3"/>
        <v>4</v>
      </c>
    </row>
    <row r="74" spans="1:23" x14ac:dyDescent="0.2">
      <c r="A74" s="420"/>
      <c r="B74" s="1254" t="s">
        <v>573</v>
      </c>
      <c r="C74" s="493">
        <v>2678</v>
      </c>
      <c r="D74" s="493">
        <v>2761</v>
      </c>
      <c r="E74" s="493">
        <v>2846</v>
      </c>
      <c r="F74" s="493">
        <v>2935</v>
      </c>
      <c r="G74" s="493">
        <v>3026</v>
      </c>
      <c r="H74" s="493">
        <v>3119</v>
      </c>
      <c r="I74" s="493">
        <v>3217</v>
      </c>
      <c r="J74" s="493">
        <v>3316</v>
      </c>
      <c r="K74" s="493">
        <v>3419</v>
      </c>
      <c r="L74" s="493">
        <v>3525</v>
      </c>
      <c r="M74" s="493">
        <v>3634</v>
      </c>
      <c r="N74" s="493">
        <v>3747</v>
      </c>
      <c r="O74" s="493">
        <v>3862</v>
      </c>
      <c r="P74" s="493">
        <v>3982</v>
      </c>
      <c r="Q74" s="493">
        <v>4113</v>
      </c>
      <c r="R74" s="1162"/>
      <c r="S74" s="1162"/>
      <c r="T74" s="1162"/>
      <c r="U74" s="1162"/>
      <c r="V74" s="1148"/>
      <c r="W74" s="1255">
        <f t="shared" si="3"/>
        <v>15</v>
      </c>
    </row>
    <row r="75" spans="1:23" x14ac:dyDescent="0.2">
      <c r="A75" s="420"/>
      <c r="B75" s="1254" t="s">
        <v>574</v>
      </c>
      <c r="C75" s="493">
        <v>2758</v>
      </c>
      <c r="D75" s="493">
        <v>2851</v>
      </c>
      <c r="E75" s="493">
        <v>2948</v>
      </c>
      <c r="F75" s="493">
        <v>3047</v>
      </c>
      <c r="G75" s="493">
        <v>3150</v>
      </c>
      <c r="H75" s="493">
        <v>3257</v>
      </c>
      <c r="I75" s="493">
        <v>3367</v>
      </c>
      <c r="J75" s="493">
        <v>3481</v>
      </c>
      <c r="K75" s="493">
        <v>3598</v>
      </c>
      <c r="L75" s="493">
        <v>3720</v>
      </c>
      <c r="M75" s="493">
        <v>3845</v>
      </c>
      <c r="N75" s="493">
        <v>3976</v>
      </c>
      <c r="O75" s="493">
        <v>4110</v>
      </c>
      <c r="P75" s="493">
        <v>4249</v>
      </c>
      <c r="Q75" s="493">
        <v>4434</v>
      </c>
      <c r="R75" s="1162"/>
      <c r="S75" s="1162"/>
      <c r="T75" s="1162"/>
      <c r="U75" s="1162"/>
      <c r="V75" s="1148"/>
      <c r="W75" s="1255">
        <f t="shared" si="3"/>
        <v>15</v>
      </c>
    </row>
    <row r="76" spans="1:23" x14ac:dyDescent="0.2">
      <c r="A76" s="420"/>
      <c r="B76" s="1254" t="s">
        <v>575</v>
      </c>
      <c r="C76" s="493">
        <v>2812</v>
      </c>
      <c r="D76" s="493">
        <v>2933</v>
      </c>
      <c r="E76" s="493">
        <v>3059</v>
      </c>
      <c r="F76" s="493">
        <v>3190</v>
      </c>
      <c r="G76" s="493">
        <v>3327</v>
      </c>
      <c r="H76" s="493">
        <v>3470</v>
      </c>
      <c r="I76" s="493">
        <v>3619</v>
      </c>
      <c r="J76" s="493">
        <v>3776</v>
      </c>
      <c r="K76" s="493">
        <v>3937</v>
      </c>
      <c r="L76" s="493">
        <v>4107</v>
      </c>
      <c r="M76" s="493">
        <v>4283</v>
      </c>
      <c r="N76" s="493">
        <v>4468</v>
      </c>
      <c r="O76" s="493">
        <v>4660</v>
      </c>
      <c r="P76" s="493">
        <v>4861</v>
      </c>
      <c r="Q76" s="493">
        <v>5070</v>
      </c>
      <c r="R76" s="1162"/>
      <c r="S76" s="1162"/>
      <c r="T76" s="1162"/>
      <c r="U76" s="1162"/>
      <c r="V76" s="1148"/>
      <c r="W76" s="1255">
        <f t="shared" si="3"/>
        <v>15</v>
      </c>
    </row>
    <row r="77" spans="1:23" x14ac:dyDescent="0.2">
      <c r="A77" s="420"/>
      <c r="B77" s="1254" t="s">
        <v>576</v>
      </c>
      <c r="C77" s="493">
        <v>2812</v>
      </c>
      <c r="D77" s="493">
        <v>2933</v>
      </c>
      <c r="E77" s="493">
        <v>3094</v>
      </c>
      <c r="F77" s="493">
        <v>3265</v>
      </c>
      <c r="G77" s="493">
        <v>3436</v>
      </c>
      <c r="H77" s="493">
        <v>3615</v>
      </c>
      <c r="I77" s="493">
        <v>3800</v>
      </c>
      <c r="J77" s="493">
        <v>3989</v>
      </c>
      <c r="K77" s="493">
        <v>4187</v>
      </c>
      <c r="L77" s="493">
        <v>4393</v>
      </c>
      <c r="M77" s="493">
        <v>4605</v>
      </c>
      <c r="N77" s="493">
        <v>4823</v>
      </c>
      <c r="O77" s="493">
        <v>5050</v>
      </c>
      <c r="P77" s="493">
        <v>5283</v>
      </c>
      <c r="Q77" s="493">
        <v>5532</v>
      </c>
      <c r="R77" s="1162"/>
      <c r="S77" s="1162"/>
      <c r="T77" s="1162"/>
      <c r="U77" s="1162"/>
      <c r="V77" s="1148"/>
      <c r="W77" s="1255">
        <f t="shared" si="3"/>
        <v>15</v>
      </c>
    </row>
    <row r="78" spans="1:23" x14ac:dyDescent="0.2">
      <c r="A78" s="420"/>
      <c r="B78" s="1254" t="s">
        <v>577</v>
      </c>
      <c r="C78" s="493">
        <v>3544</v>
      </c>
      <c r="D78" s="493">
        <v>3677</v>
      </c>
      <c r="E78" s="493">
        <v>3796</v>
      </c>
      <c r="F78" s="493">
        <v>4035</v>
      </c>
      <c r="G78" s="493">
        <v>4299</v>
      </c>
      <c r="H78" s="493">
        <v>4466</v>
      </c>
      <c r="I78" s="493">
        <v>4635</v>
      </c>
      <c r="J78" s="493">
        <v>4803</v>
      </c>
      <c r="K78" s="493">
        <v>4972</v>
      </c>
      <c r="L78" s="493">
        <v>5139</v>
      </c>
      <c r="M78" s="493">
        <v>5310</v>
      </c>
      <c r="N78" s="493">
        <v>5479</v>
      </c>
      <c r="O78" s="493">
        <v>5648</v>
      </c>
      <c r="P78" s="493">
        <v>5816</v>
      </c>
      <c r="Q78" s="493">
        <v>5990</v>
      </c>
      <c r="R78" s="1162"/>
      <c r="S78" s="1162"/>
      <c r="T78" s="1162"/>
      <c r="U78" s="1162"/>
      <c r="V78" s="1148"/>
      <c r="W78" s="1255">
        <f t="shared" si="3"/>
        <v>15</v>
      </c>
    </row>
    <row r="79" spans="1:23" x14ac:dyDescent="0.2">
      <c r="A79" s="420"/>
      <c r="B79" s="64" t="s">
        <v>117</v>
      </c>
      <c r="C79" s="1148">
        <f>0.5*C74</f>
        <v>1339</v>
      </c>
      <c r="D79" s="1149"/>
      <c r="E79" s="1149"/>
      <c r="F79" s="1149"/>
      <c r="G79" s="1149"/>
      <c r="H79" s="1149"/>
      <c r="I79" s="1149"/>
      <c r="J79" s="1149"/>
      <c r="K79" s="1149"/>
      <c r="L79" s="1149"/>
      <c r="M79" s="1149"/>
      <c r="N79" s="1149"/>
      <c r="O79" s="1149"/>
      <c r="P79" s="1149"/>
      <c r="Q79" s="1149"/>
      <c r="R79" s="1162"/>
      <c r="S79" s="1163"/>
      <c r="T79" s="1163"/>
      <c r="U79" s="1163"/>
      <c r="V79" s="1149"/>
      <c r="W79" s="1255">
        <f t="shared" si="3"/>
        <v>1</v>
      </c>
    </row>
    <row r="80" spans="1:23" x14ac:dyDescent="0.2">
      <c r="A80" s="420"/>
      <c r="B80" s="64" t="s">
        <v>118</v>
      </c>
      <c r="C80" s="1148">
        <f>0.5*C75</f>
        <v>1379</v>
      </c>
      <c r="D80" s="1149"/>
      <c r="E80" s="1149"/>
      <c r="F80" s="1149"/>
      <c r="G80" s="1149"/>
      <c r="H80" s="1149"/>
      <c r="I80" s="1149"/>
      <c r="J80" s="1149"/>
      <c r="K80" s="1149"/>
      <c r="L80" s="1149"/>
      <c r="M80" s="1149"/>
      <c r="N80" s="1149"/>
      <c r="O80" s="1149"/>
      <c r="P80" s="1149"/>
      <c r="Q80" s="1149"/>
      <c r="R80" s="1162"/>
      <c r="S80" s="1163"/>
      <c r="T80" s="1163"/>
      <c r="U80" s="1163"/>
      <c r="V80" s="1149"/>
      <c r="W80" s="1255">
        <f t="shared" si="3"/>
        <v>1</v>
      </c>
    </row>
    <row r="81" spans="1:23" x14ac:dyDescent="0.2">
      <c r="A81" s="420"/>
      <c r="B81" s="1256" t="s">
        <v>119</v>
      </c>
      <c r="C81" s="493">
        <v>3018</v>
      </c>
      <c r="D81" s="493">
        <v>3134</v>
      </c>
      <c r="E81" s="493">
        <v>3253</v>
      </c>
      <c r="F81" s="493">
        <v>3368</v>
      </c>
      <c r="G81" s="493">
        <v>3484</v>
      </c>
      <c r="H81" s="493">
        <v>3603</v>
      </c>
      <c r="I81" s="493">
        <v>3719</v>
      </c>
      <c r="J81" s="493">
        <v>3836</v>
      </c>
      <c r="K81" s="493">
        <v>3951</v>
      </c>
      <c r="L81" s="493">
        <v>4069</v>
      </c>
      <c r="M81" s="493">
        <v>4187</v>
      </c>
      <c r="N81" s="493"/>
      <c r="O81" s="493"/>
      <c r="P81" s="493"/>
      <c r="Q81" s="493"/>
      <c r="R81" s="1162"/>
      <c r="S81" s="1162"/>
      <c r="T81" s="1162"/>
      <c r="U81" s="1162"/>
      <c r="V81" s="1148"/>
      <c r="W81" s="1255">
        <f t="shared" si="3"/>
        <v>11</v>
      </c>
    </row>
    <row r="82" spans="1:23" x14ac:dyDescent="0.2">
      <c r="A82" s="420"/>
      <c r="B82" s="1256" t="s">
        <v>120</v>
      </c>
      <c r="C82" s="493">
        <v>3134</v>
      </c>
      <c r="D82" s="493">
        <v>3368</v>
      </c>
      <c r="E82" s="493">
        <v>3603</v>
      </c>
      <c r="F82" s="493">
        <v>3719</v>
      </c>
      <c r="G82" s="493">
        <v>3836</v>
      </c>
      <c r="H82" s="493">
        <v>3951</v>
      </c>
      <c r="I82" s="493">
        <v>4069</v>
      </c>
      <c r="J82" s="493">
        <v>4187</v>
      </c>
      <c r="K82" s="493">
        <v>4303</v>
      </c>
      <c r="L82" s="493">
        <v>4422</v>
      </c>
      <c r="M82" s="493"/>
      <c r="N82" s="493"/>
      <c r="O82" s="493"/>
      <c r="P82" s="493"/>
      <c r="Q82" s="493"/>
      <c r="R82" s="1162"/>
      <c r="S82" s="1162"/>
      <c r="T82" s="1162"/>
      <c r="U82" s="1162"/>
      <c r="V82" s="1148"/>
      <c r="W82" s="1255">
        <f t="shared" si="3"/>
        <v>10</v>
      </c>
    </row>
    <row r="83" spans="1:23" x14ac:dyDescent="0.2">
      <c r="A83" s="420"/>
      <c r="B83" s="1256" t="s">
        <v>121</v>
      </c>
      <c r="C83" s="493">
        <v>3134</v>
      </c>
      <c r="D83" s="493">
        <v>3368</v>
      </c>
      <c r="E83" s="493">
        <v>3603</v>
      </c>
      <c r="F83" s="493">
        <v>3719</v>
      </c>
      <c r="G83" s="493">
        <v>3836</v>
      </c>
      <c r="H83" s="493">
        <v>3951</v>
      </c>
      <c r="I83" s="493">
        <v>4069</v>
      </c>
      <c r="J83" s="493">
        <v>4187</v>
      </c>
      <c r="K83" s="493">
        <v>4303</v>
      </c>
      <c r="L83" s="493">
        <v>4422</v>
      </c>
      <c r="M83" s="493">
        <v>4539</v>
      </c>
      <c r="N83" s="493"/>
      <c r="O83" s="493"/>
      <c r="P83" s="493"/>
      <c r="Q83" s="493"/>
      <c r="R83" s="1162"/>
      <c r="S83" s="1162"/>
      <c r="T83" s="1162"/>
      <c r="U83" s="1162"/>
      <c r="V83" s="1148"/>
      <c r="W83" s="1255">
        <f t="shared" si="3"/>
        <v>11</v>
      </c>
    </row>
    <row r="84" spans="1:23" x14ac:dyDescent="0.2">
      <c r="A84" s="420"/>
      <c r="B84" s="1256" t="s">
        <v>122</v>
      </c>
      <c r="C84" s="493">
        <v>3253</v>
      </c>
      <c r="D84" s="493">
        <v>3603</v>
      </c>
      <c r="E84" s="493">
        <v>3863</v>
      </c>
      <c r="F84" s="493">
        <v>4069</v>
      </c>
      <c r="G84" s="493">
        <v>4303</v>
      </c>
      <c r="H84" s="493">
        <v>4422</v>
      </c>
      <c r="I84" s="493">
        <v>4539</v>
      </c>
      <c r="J84" s="493">
        <v>4654</v>
      </c>
      <c r="K84" s="493">
        <v>4771</v>
      </c>
      <c r="L84" s="493">
        <v>4887</v>
      </c>
      <c r="M84" s="493">
        <v>5006</v>
      </c>
      <c r="N84" s="493">
        <v>5122</v>
      </c>
      <c r="O84" s="493">
        <v>5240</v>
      </c>
      <c r="P84" s="493"/>
      <c r="Q84" s="493"/>
      <c r="R84" s="1162"/>
      <c r="S84" s="1162"/>
      <c r="T84" s="1162"/>
      <c r="U84" s="1162"/>
      <c r="V84" s="1148"/>
      <c r="W84" s="1255">
        <f t="shared" si="3"/>
        <v>13</v>
      </c>
    </row>
    <row r="85" spans="1:23" x14ac:dyDescent="0.2">
      <c r="A85" s="420"/>
      <c r="B85" s="1256" t="s">
        <v>123</v>
      </c>
      <c r="C85" s="493">
        <v>3253</v>
      </c>
      <c r="D85" s="493">
        <v>3603</v>
      </c>
      <c r="E85" s="493">
        <v>3863</v>
      </c>
      <c r="F85" s="493">
        <v>4069</v>
      </c>
      <c r="G85" s="493">
        <v>4303</v>
      </c>
      <c r="H85" s="493">
        <v>4422</v>
      </c>
      <c r="I85" s="493">
        <v>4539</v>
      </c>
      <c r="J85" s="493">
        <v>4654</v>
      </c>
      <c r="K85" s="493">
        <v>4771</v>
      </c>
      <c r="L85" s="493">
        <v>4887</v>
      </c>
      <c r="M85" s="493">
        <v>5006</v>
      </c>
      <c r="N85" s="493">
        <v>5122</v>
      </c>
      <c r="O85" s="493">
        <v>5240</v>
      </c>
      <c r="P85" s="493">
        <v>5355</v>
      </c>
      <c r="Q85" s="493">
        <v>5472</v>
      </c>
      <c r="R85" s="1162"/>
      <c r="S85" s="1162"/>
      <c r="T85" s="1162"/>
      <c r="U85" s="1162"/>
      <c r="V85" s="1148"/>
      <c r="W85" s="1255">
        <f t="shared" si="3"/>
        <v>15</v>
      </c>
    </row>
    <row r="86" spans="1:23" x14ac:dyDescent="0.2">
      <c r="A86" s="420"/>
      <c r="B86" s="64">
        <v>1</v>
      </c>
      <c r="C86" s="1148">
        <v>1712</v>
      </c>
      <c r="D86" s="1148">
        <v>1715</v>
      </c>
      <c r="E86" s="493">
        <v>1784</v>
      </c>
      <c r="F86" s="493">
        <v>1816</v>
      </c>
      <c r="G86" s="493">
        <v>1853</v>
      </c>
      <c r="H86" s="493">
        <v>1890</v>
      </c>
      <c r="I86" s="493">
        <v>1939</v>
      </c>
      <c r="J86" s="493"/>
      <c r="K86" s="493"/>
      <c r="L86" s="493"/>
      <c r="M86" s="493"/>
      <c r="N86" s="493"/>
      <c r="O86" s="493"/>
      <c r="P86" s="493"/>
      <c r="Q86" s="493"/>
      <c r="R86" s="493"/>
      <c r="S86" s="493"/>
      <c r="T86" s="493"/>
      <c r="U86" s="1162"/>
      <c r="V86" s="1148"/>
      <c r="W86" s="1255">
        <f t="shared" si="3"/>
        <v>7</v>
      </c>
    </row>
    <row r="87" spans="1:23" x14ac:dyDescent="0.2">
      <c r="A87" s="420"/>
      <c r="B87" s="64">
        <v>2</v>
      </c>
      <c r="C87" s="1148">
        <v>1712</v>
      </c>
      <c r="D87" s="493">
        <v>1750</v>
      </c>
      <c r="E87" s="493">
        <v>1816</v>
      </c>
      <c r="F87" s="493">
        <v>1890</v>
      </c>
      <c r="G87" s="493">
        <v>1939</v>
      </c>
      <c r="H87" s="493">
        <v>1995</v>
      </c>
      <c r="I87" s="493">
        <v>2063</v>
      </c>
      <c r="J87" s="493">
        <v>2128</v>
      </c>
      <c r="K87" s="493"/>
      <c r="L87" s="493"/>
      <c r="M87" s="493"/>
      <c r="N87" s="493"/>
      <c r="O87" s="493"/>
      <c r="P87" s="493"/>
      <c r="Q87" s="493"/>
      <c r="R87" s="493"/>
      <c r="S87" s="493"/>
      <c r="T87" s="493"/>
      <c r="U87" s="1162"/>
      <c r="V87" s="1148"/>
      <c r="W87" s="1255">
        <f t="shared" si="3"/>
        <v>8</v>
      </c>
    </row>
    <row r="88" spans="1:23" x14ac:dyDescent="0.2">
      <c r="A88" s="420"/>
      <c r="B88" s="64">
        <v>3</v>
      </c>
      <c r="C88" s="1148">
        <v>1712</v>
      </c>
      <c r="D88" s="493">
        <v>1816</v>
      </c>
      <c r="E88" s="493">
        <v>1890</v>
      </c>
      <c r="F88" s="493">
        <v>1995</v>
      </c>
      <c r="G88" s="493">
        <v>2063</v>
      </c>
      <c r="H88" s="493">
        <v>2128</v>
      </c>
      <c r="I88" s="493">
        <v>2192</v>
      </c>
      <c r="J88" s="493">
        <v>2254</v>
      </c>
      <c r="K88" s="493">
        <v>2315</v>
      </c>
      <c r="L88" s="493"/>
      <c r="M88" s="493"/>
      <c r="N88" s="493"/>
      <c r="O88" s="493"/>
      <c r="P88" s="493"/>
      <c r="Q88" s="493"/>
      <c r="R88" s="493"/>
      <c r="S88" s="493"/>
      <c r="T88" s="493"/>
      <c r="U88" s="1162"/>
      <c r="V88" s="1148"/>
      <c r="W88" s="1255">
        <f t="shared" si="3"/>
        <v>9</v>
      </c>
    </row>
    <row r="89" spans="1:23" x14ac:dyDescent="0.2">
      <c r="A89" s="420"/>
      <c r="B89" s="64">
        <v>4</v>
      </c>
      <c r="C89" s="1148">
        <v>1715</v>
      </c>
      <c r="D89" s="493">
        <v>1784</v>
      </c>
      <c r="E89" s="493">
        <v>1853</v>
      </c>
      <c r="F89" s="493">
        <v>1939</v>
      </c>
      <c r="G89" s="493">
        <v>2063</v>
      </c>
      <c r="H89" s="493">
        <v>2128</v>
      </c>
      <c r="I89" s="493">
        <v>2192</v>
      </c>
      <c r="J89" s="493">
        <v>2254</v>
      </c>
      <c r="K89" s="493">
        <v>2315</v>
      </c>
      <c r="L89" s="493">
        <v>2374</v>
      </c>
      <c r="M89" s="493">
        <v>2434</v>
      </c>
      <c r="N89" s="493"/>
      <c r="O89" s="493"/>
      <c r="P89" s="493"/>
      <c r="Q89" s="493"/>
      <c r="R89" s="493"/>
      <c r="S89" s="493"/>
      <c r="T89" s="493"/>
      <c r="U89" s="1162"/>
      <c r="V89" s="1148"/>
      <c r="W89" s="1255">
        <f t="shared" si="3"/>
        <v>11</v>
      </c>
    </row>
    <row r="90" spans="1:23" x14ac:dyDescent="0.2">
      <c r="A90" s="420"/>
      <c r="B90" s="64">
        <v>5</v>
      </c>
      <c r="C90" s="493">
        <v>1750</v>
      </c>
      <c r="D90" s="493">
        <v>1784</v>
      </c>
      <c r="E90" s="493">
        <v>1890</v>
      </c>
      <c r="F90" s="493">
        <v>1995</v>
      </c>
      <c r="G90" s="493">
        <v>2128</v>
      </c>
      <c r="H90" s="493">
        <v>2192</v>
      </c>
      <c r="I90" s="493">
        <v>2254</v>
      </c>
      <c r="J90" s="493">
        <v>2315</v>
      </c>
      <c r="K90" s="493">
        <v>2374</v>
      </c>
      <c r="L90" s="493">
        <v>2434</v>
      </c>
      <c r="M90" s="493">
        <v>2491</v>
      </c>
      <c r="N90" s="493">
        <v>2557</v>
      </c>
      <c r="O90" s="493"/>
      <c r="P90" s="493"/>
      <c r="Q90" s="493"/>
      <c r="R90" s="493"/>
      <c r="S90" s="493"/>
      <c r="T90" s="493"/>
      <c r="U90" s="1162"/>
      <c r="V90" s="1148"/>
      <c r="W90" s="1255">
        <f t="shared" si="3"/>
        <v>12</v>
      </c>
    </row>
    <row r="91" spans="1:23" x14ac:dyDescent="0.2">
      <c r="A91" s="420"/>
      <c r="B91" s="64">
        <v>6</v>
      </c>
      <c r="C91" s="493">
        <v>1816</v>
      </c>
      <c r="D91" s="493">
        <v>1890</v>
      </c>
      <c r="E91" s="493">
        <v>2128</v>
      </c>
      <c r="F91" s="493">
        <v>2254</v>
      </c>
      <c r="G91" s="493">
        <v>2315</v>
      </c>
      <c r="H91" s="493">
        <v>2374</v>
      </c>
      <c r="I91" s="493">
        <v>2434</v>
      </c>
      <c r="J91" s="493">
        <v>2491</v>
      </c>
      <c r="K91" s="493">
        <v>2557</v>
      </c>
      <c r="L91" s="493">
        <v>2618</v>
      </c>
      <c r="M91" s="493">
        <v>2677</v>
      </c>
      <c r="N91" s="493"/>
      <c r="O91" s="493"/>
      <c r="P91" s="493"/>
      <c r="Q91" s="493"/>
      <c r="R91" s="493"/>
      <c r="S91" s="493"/>
      <c r="T91" s="493"/>
      <c r="U91" s="1162"/>
      <c r="V91" s="1148"/>
      <c r="W91" s="1255">
        <f t="shared" si="3"/>
        <v>11</v>
      </c>
    </row>
    <row r="92" spans="1:23" x14ac:dyDescent="0.2">
      <c r="B92" s="64">
        <v>7</v>
      </c>
      <c r="C92" s="493">
        <v>1939</v>
      </c>
      <c r="D92" s="493">
        <v>1995</v>
      </c>
      <c r="E92" s="493">
        <v>2128</v>
      </c>
      <c r="F92" s="493">
        <v>2374</v>
      </c>
      <c r="G92" s="493">
        <v>2491</v>
      </c>
      <c r="H92" s="493">
        <v>2557</v>
      </c>
      <c r="I92" s="493">
        <v>2618</v>
      </c>
      <c r="J92" s="493">
        <v>2677</v>
      </c>
      <c r="K92" s="493">
        <v>2739</v>
      </c>
      <c r="L92" s="493">
        <v>2805</v>
      </c>
      <c r="M92" s="493">
        <v>2873</v>
      </c>
      <c r="N92" s="493">
        <v>2949</v>
      </c>
      <c r="O92" s="493"/>
      <c r="P92" s="493"/>
      <c r="Q92" s="493"/>
      <c r="R92" s="493"/>
      <c r="S92" s="493"/>
      <c r="T92" s="493"/>
      <c r="U92" s="1162"/>
      <c r="V92" s="1148"/>
      <c r="W92" s="1255">
        <f t="shared" si="3"/>
        <v>12</v>
      </c>
    </row>
    <row r="93" spans="1:23" x14ac:dyDescent="0.2">
      <c r="B93" s="64">
        <v>8</v>
      </c>
      <c r="C93" s="493">
        <v>2192</v>
      </c>
      <c r="D93" s="493">
        <v>2254</v>
      </c>
      <c r="E93" s="493">
        <v>2374</v>
      </c>
      <c r="F93" s="493">
        <v>2618</v>
      </c>
      <c r="G93" s="493">
        <v>2739</v>
      </c>
      <c r="H93" s="493">
        <v>2873</v>
      </c>
      <c r="I93" s="493">
        <v>2949</v>
      </c>
      <c r="J93" s="493">
        <v>3018</v>
      </c>
      <c r="K93" s="493">
        <v>3080</v>
      </c>
      <c r="L93" s="493">
        <v>3146</v>
      </c>
      <c r="M93" s="493">
        <v>3212</v>
      </c>
      <c r="N93" s="493">
        <v>3273</v>
      </c>
      <c r="O93" s="493">
        <v>3331</v>
      </c>
      <c r="P93" s="493"/>
      <c r="Q93" s="493"/>
      <c r="R93" s="493"/>
      <c r="S93" s="493"/>
      <c r="T93" s="493"/>
      <c r="U93" s="1162"/>
      <c r="V93" s="1148"/>
      <c r="W93" s="1255">
        <f t="shared" si="3"/>
        <v>13</v>
      </c>
    </row>
    <row r="94" spans="1:23" x14ac:dyDescent="0.2">
      <c r="B94" s="64">
        <v>9</v>
      </c>
      <c r="C94" s="493">
        <v>2534</v>
      </c>
      <c r="D94" s="493">
        <v>2661</v>
      </c>
      <c r="E94" s="493">
        <v>2919</v>
      </c>
      <c r="F94" s="493">
        <v>3066</v>
      </c>
      <c r="G94" s="493">
        <v>3193</v>
      </c>
      <c r="H94" s="493">
        <v>3323</v>
      </c>
      <c r="I94" s="493">
        <v>3445</v>
      </c>
      <c r="J94" s="493">
        <v>3567</v>
      </c>
      <c r="K94" s="493">
        <v>3700</v>
      </c>
      <c r="L94" s="493">
        <v>3817</v>
      </c>
      <c r="M94" s="493"/>
      <c r="N94" s="493"/>
      <c r="O94" s="493"/>
      <c r="P94" s="493"/>
      <c r="Q94" s="493"/>
      <c r="R94" s="493"/>
      <c r="S94" s="493"/>
      <c r="T94" s="493"/>
      <c r="U94" s="1162"/>
      <c r="V94" s="1148"/>
      <c r="W94" s="1255">
        <f t="shared" si="3"/>
        <v>10</v>
      </c>
    </row>
    <row r="95" spans="1:23" x14ac:dyDescent="0.2">
      <c r="B95" s="64">
        <v>10</v>
      </c>
      <c r="C95" s="493">
        <v>2516</v>
      </c>
      <c r="D95" s="493">
        <v>2766</v>
      </c>
      <c r="E95" s="493">
        <v>2901</v>
      </c>
      <c r="F95" s="493">
        <v>3048</v>
      </c>
      <c r="G95" s="493">
        <v>3175</v>
      </c>
      <c r="H95" s="493">
        <v>3305</v>
      </c>
      <c r="I95" s="493">
        <v>3427</v>
      </c>
      <c r="J95" s="493">
        <v>3549</v>
      </c>
      <c r="K95" s="493">
        <v>3682</v>
      </c>
      <c r="L95" s="493">
        <v>3798</v>
      </c>
      <c r="M95" s="493">
        <v>3920</v>
      </c>
      <c r="N95" s="493">
        <v>4038</v>
      </c>
      <c r="O95" s="493">
        <v>4171</v>
      </c>
      <c r="P95" s="493"/>
      <c r="Q95" s="493"/>
      <c r="R95" s="493"/>
      <c r="S95" s="493"/>
      <c r="T95" s="493"/>
      <c r="U95" s="1162"/>
      <c r="V95" s="1148"/>
      <c r="W95" s="1255">
        <f t="shared" si="3"/>
        <v>13</v>
      </c>
    </row>
    <row r="96" spans="1:23" x14ac:dyDescent="0.2">
      <c r="B96" s="64">
        <v>11</v>
      </c>
      <c r="C96" s="493">
        <v>2643</v>
      </c>
      <c r="D96" s="493">
        <v>2766</v>
      </c>
      <c r="E96" s="493">
        <v>2901</v>
      </c>
      <c r="F96" s="493">
        <v>3048</v>
      </c>
      <c r="G96" s="493">
        <v>3175</v>
      </c>
      <c r="H96" s="493">
        <v>3305</v>
      </c>
      <c r="I96" s="493">
        <v>3427</v>
      </c>
      <c r="J96" s="493">
        <v>3682</v>
      </c>
      <c r="K96" s="493">
        <v>3796</v>
      </c>
      <c r="L96" s="493">
        <v>3920</v>
      </c>
      <c r="M96" s="493">
        <v>4038</v>
      </c>
      <c r="N96" s="493">
        <v>4171</v>
      </c>
      <c r="O96" s="493">
        <v>4302</v>
      </c>
      <c r="P96" s="493">
        <v>4431</v>
      </c>
      <c r="Q96" s="493">
        <v>4553</v>
      </c>
      <c r="R96" s="493">
        <v>4678</v>
      </c>
      <c r="S96" s="493">
        <v>4796</v>
      </c>
      <c r="T96" s="493">
        <v>4861</v>
      </c>
      <c r="U96" s="1162"/>
      <c r="V96" s="1148"/>
      <c r="W96" s="1255">
        <f t="shared" si="3"/>
        <v>18</v>
      </c>
    </row>
    <row r="97" spans="2:23" x14ac:dyDescent="0.2">
      <c r="B97" s="64">
        <v>12</v>
      </c>
      <c r="C97" s="493">
        <v>3549</v>
      </c>
      <c r="D97" s="493">
        <v>3682</v>
      </c>
      <c r="E97" s="493">
        <v>3796</v>
      </c>
      <c r="F97" s="493">
        <v>3920</v>
      </c>
      <c r="G97" s="493">
        <v>4038</v>
      </c>
      <c r="H97" s="493">
        <v>4171</v>
      </c>
      <c r="I97" s="493">
        <v>4431</v>
      </c>
      <c r="J97" s="493">
        <v>4553</v>
      </c>
      <c r="K97" s="493">
        <v>4678</v>
      </c>
      <c r="L97" s="493">
        <v>4796</v>
      </c>
      <c r="M97" s="493">
        <v>4925</v>
      </c>
      <c r="N97" s="493">
        <v>5050</v>
      </c>
      <c r="O97" s="493">
        <v>5169</v>
      </c>
      <c r="P97" s="493">
        <v>5294</v>
      </c>
      <c r="Q97" s="493">
        <v>5448</v>
      </c>
      <c r="R97" s="493">
        <v>5527</v>
      </c>
      <c r="S97" s="493"/>
      <c r="T97" s="493"/>
      <c r="U97" s="1162"/>
      <c r="V97" s="1148"/>
      <c r="W97" s="1255">
        <f t="shared" si="3"/>
        <v>16</v>
      </c>
    </row>
    <row r="98" spans="2:23" x14ac:dyDescent="0.2">
      <c r="B98" s="64">
        <v>13</v>
      </c>
      <c r="C98" s="493">
        <v>4302</v>
      </c>
      <c r="D98" s="493">
        <v>4431</v>
      </c>
      <c r="E98" s="493">
        <v>4553</v>
      </c>
      <c r="F98" s="493">
        <v>4678</v>
      </c>
      <c r="G98" s="493">
        <v>4796</v>
      </c>
      <c r="H98" s="493">
        <v>5050</v>
      </c>
      <c r="I98" s="493">
        <v>5169</v>
      </c>
      <c r="J98" s="493">
        <v>5294</v>
      </c>
      <c r="K98" s="493">
        <v>5448</v>
      </c>
      <c r="L98" s="493">
        <v>5604</v>
      </c>
      <c r="M98" s="493">
        <v>5760</v>
      </c>
      <c r="N98" s="493">
        <v>5914</v>
      </c>
      <c r="O98" s="493">
        <v>5990</v>
      </c>
      <c r="P98" s="493"/>
      <c r="Q98" s="493"/>
      <c r="R98" s="493"/>
      <c r="S98" s="493"/>
      <c r="T98" s="493"/>
      <c r="U98" s="1162"/>
      <c r="V98" s="1148"/>
      <c r="W98" s="1255">
        <f t="shared" si="3"/>
        <v>13</v>
      </c>
    </row>
    <row r="99" spans="2:23" x14ac:dyDescent="0.2">
      <c r="B99" s="64">
        <v>14</v>
      </c>
      <c r="C99" s="493">
        <v>4925</v>
      </c>
      <c r="D99" s="493">
        <v>5050</v>
      </c>
      <c r="E99" s="493">
        <v>5294</v>
      </c>
      <c r="F99" s="493">
        <v>5448</v>
      </c>
      <c r="G99" s="493">
        <v>5604</v>
      </c>
      <c r="H99" s="493">
        <v>5760</v>
      </c>
      <c r="I99" s="493">
        <v>5914</v>
      </c>
      <c r="J99" s="493">
        <v>6071</v>
      </c>
      <c r="K99" s="493">
        <v>6237</v>
      </c>
      <c r="L99" s="493">
        <v>6404</v>
      </c>
      <c r="M99" s="493">
        <v>6578</v>
      </c>
      <c r="N99" s="493"/>
      <c r="O99" s="493"/>
      <c r="P99" s="493"/>
      <c r="Q99" s="493"/>
      <c r="R99" s="493"/>
      <c r="S99" s="493"/>
      <c r="T99" s="493"/>
      <c r="U99" s="1162"/>
      <c r="V99" s="1148"/>
      <c r="W99" s="1255">
        <f t="shared" si="3"/>
        <v>11</v>
      </c>
    </row>
    <row r="100" spans="2:23" x14ac:dyDescent="0.2">
      <c r="B100" s="64">
        <v>15</v>
      </c>
      <c r="C100" s="493">
        <v>5169</v>
      </c>
      <c r="D100" s="493">
        <v>5294</v>
      </c>
      <c r="E100" s="493">
        <v>5448</v>
      </c>
      <c r="F100" s="493">
        <v>5760</v>
      </c>
      <c r="G100" s="493">
        <v>5914</v>
      </c>
      <c r="H100" s="493">
        <v>6071</v>
      </c>
      <c r="I100" s="493">
        <v>6237</v>
      </c>
      <c r="J100" s="493">
        <v>6404</v>
      </c>
      <c r="K100" s="493">
        <v>6578</v>
      </c>
      <c r="L100" s="493">
        <v>6785</v>
      </c>
      <c r="M100" s="493">
        <v>7003</v>
      </c>
      <c r="N100" s="493">
        <v>7225</v>
      </c>
      <c r="O100" s="493"/>
      <c r="P100" s="493"/>
      <c r="Q100" s="493"/>
      <c r="R100" s="493"/>
      <c r="S100" s="493"/>
      <c r="T100" s="493"/>
      <c r="U100" s="1164"/>
      <c r="V100" s="1150"/>
      <c r="W100" s="1255">
        <f t="shared" si="3"/>
        <v>12</v>
      </c>
    </row>
    <row r="101" spans="2:23" x14ac:dyDescent="0.2">
      <c r="B101" s="64">
        <v>16</v>
      </c>
      <c r="C101" s="493">
        <v>5604</v>
      </c>
      <c r="D101" s="493">
        <v>5760</v>
      </c>
      <c r="E101" s="493">
        <v>5914</v>
      </c>
      <c r="F101" s="493">
        <v>6237</v>
      </c>
      <c r="G101" s="493">
        <v>6404</v>
      </c>
      <c r="H101" s="493">
        <v>6578</v>
      </c>
      <c r="I101" s="493">
        <v>6785</v>
      </c>
      <c r="J101" s="493">
        <v>7003</v>
      </c>
      <c r="K101" s="493">
        <v>7225</v>
      </c>
      <c r="L101" s="493">
        <v>7455</v>
      </c>
      <c r="M101" s="493">
        <v>7689</v>
      </c>
      <c r="N101" s="493">
        <v>7934</v>
      </c>
      <c r="O101" s="493"/>
      <c r="P101" s="493"/>
      <c r="Q101" s="493"/>
      <c r="R101" s="493"/>
      <c r="S101" s="493"/>
      <c r="T101" s="493"/>
      <c r="U101" s="1164"/>
      <c r="V101" s="1150"/>
      <c r="W101" s="1255">
        <f t="shared" si="3"/>
        <v>12</v>
      </c>
    </row>
    <row r="103" spans="2:23" x14ac:dyDescent="0.2">
      <c r="B103" s="1253" t="s">
        <v>99</v>
      </c>
      <c r="C103" s="1352">
        <v>44197</v>
      </c>
      <c r="D103" s="1353"/>
      <c r="E103" s="1257"/>
      <c r="F103" s="64"/>
      <c r="G103" s="64"/>
      <c r="H103" s="64"/>
      <c r="I103" s="64"/>
      <c r="J103" s="64"/>
      <c r="K103" s="64"/>
      <c r="L103" s="64"/>
      <c r="M103" s="64"/>
      <c r="N103" s="64"/>
      <c r="O103" s="64"/>
      <c r="P103" s="64"/>
      <c r="Q103" s="64"/>
      <c r="R103" s="64"/>
      <c r="S103" s="64"/>
      <c r="T103" s="64"/>
      <c r="U103" s="64"/>
      <c r="V103" s="64"/>
      <c r="W103" s="64"/>
    </row>
    <row r="104" spans="2:23" x14ac:dyDescent="0.2">
      <c r="B104" s="69" t="s">
        <v>100</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101</v>
      </c>
    </row>
    <row r="105" spans="2:23" x14ac:dyDescent="0.2">
      <c r="B105" s="420" t="s">
        <v>606</v>
      </c>
      <c r="C105" s="1258">
        <v>2678</v>
      </c>
      <c r="D105" s="1258">
        <v>2761</v>
      </c>
      <c r="E105" s="1258">
        <v>2846</v>
      </c>
      <c r="F105" s="1258">
        <v>2935</v>
      </c>
      <c r="G105" s="1258">
        <v>3026</v>
      </c>
      <c r="H105" s="1258">
        <v>3119</v>
      </c>
      <c r="I105" s="1258">
        <v>3217</v>
      </c>
      <c r="J105" s="1258">
        <v>3316</v>
      </c>
      <c r="K105" s="1258">
        <v>3419</v>
      </c>
      <c r="L105" s="1258">
        <v>3525</v>
      </c>
      <c r="M105" s="1258">
        <v>3634</v>
      </c>
      <c r="N105" s="1258">
        <v>3747</v>
      </c>
      <c r="O105" s="1258">
        <v>3862</v>
      </c>
      <c r="P105" s="1258">
        <v>3982</v>
      </c>
      <c r="Q105" s="1258">
        <v>4113</v>
      </c>
      <c r="R105" s="1259"/>
      <c r="S105" s="1259"/>
      <c r="T105" s="1259"/>
      <c r="U105" s="1259"/>
      <c r="V105" s="1259"/>
      <c r="W105" s="1165">
        <f>COUNTA(C105:V105)</f>
        <v>15</v>
      </c>
    </row>
    <row r="106" spans="2:23" x14ac:dyDescent="0.2">
      <c r="B106" s="420" t="s">
        <v>607</v>
      </c>
      <c r="C106" s="1258">
        <v>2758</v>
      </c>
      <c r="D106" s="1258">
        <v>2851</v>
      </c>
      <c r="E106" s="1258">
        <v>2948</v>
      </c>
      <c r="F106" s="1258">
        <v>3047</v>
      </c>
      <c r="G106" s="1258">
        <v>3150</v>
      </c>
      <c r="H106" s="1258">
        <v>3257</v>
      </c>
      <c r="I106" s="1258">
        <v>3367</v>
      </c>
      <c r="J106" s="1258">
        <v>3481</v>
      </c>
      <c r="K106" s="1258">
        <v>3598</v>
      </c>
      <c r="L106" s="1258">
        <v>3720</v>
      </c>
      <c r="M106" s="1258">
        <v>3845</v>
      </c>
      <c r="N106" s="1258">
        <v>3976</v>
      </c>
      <c r="O106" s="1258">
        <v>4110</v>
      </c>
      <c r="P106" s="1258">
        <v>4249</v>
      </c>
      <c r="Q106" s="1258">
        <v>4434</v>
      </c>
      <c r="R106" s="1259"/>
      <c r="S106" s="1259"/>
      <c r="T106" s="1259"/>
      <c r="U106" s="1259"/>
      <c r="V106" s="1259"/>
      <c r="W106" s="1165">
        <f t="shared" ref="W106:W140" si="4">COUNTA(C106:V106)</f>
        <v>15</v>
      </c>
    </row>
    <row r="107" spans="2:23" x14ac:dyDescent="0.2">
      <c r="B107" s="420" t="s">
        <v>608</v>
      </c>
      <c r="C107" s="1258">
        <v>2812</v>
      </c>
      <c r="D107" s="1258">
        <v>2933</v>
      </c>
      <c r="E107" s="1258">
        <v>3059</v>
      </c>
      <c r="F107" s="1258">
        <v>3190</v>
      </c>
      <c r="G107" s="1258">
        <v>3327</v>
      </c>
      <c r="H107" s="1258">
        <v>3470</v>
      </c>
      <c r="I107" s="1258">
        <v>3619</v>
      </c>
      <c r="J107" s="1258">
        <v>3776</v>
      </c>
      <c r="K107" s="1258">
        <v>3937</v>
      </c>
      <c r="L107" s="1258">
        <v>4107</v>
      </c>
      <c r="M107" s="1258">
        <v>4283</v>
      </c>
      <c r="N107" s="1258">
        <v>4468</v>
      </c>
      <c r="O107" s="1258">
        <v>4660</v>
      </c>
      <c r="P107" s="1258">
        <v>4861</v>
      </c>
      <c r="Q107" s="1258">
        <v>5070</v>
      </c>
      <c r="R107" s="1259"/>
      <c r="S107" s="1259"/>
      <c r="T107" s="1259"/>
      <c r="U107" s="1259"/>
      <c r="V107" s="1259"/>
      <c r="W107" s="1165">
        <f t="shared" si="4"/>
        <v>15</v>
      </c>
    </row>
    <row r="108" spans="2:23" x14ac:dyDescent="0.2">
      <c r="B108" s="420" t="s">
        <v>609</v>
      </c>
      <c r="C108" s="1258">
        <v>2812</v>
      </c>
      <c r="D108" s="1258">
        <v>2933</v>
      </c>
      <c r="E108" s="1258">
        <v>3094</v>
      </c>
      <c r="F108" s="1258">
        <v>3265</v>
      </c>
      <c r="G108" s="1258">
        <v>3436</v>
      </c>
      <c r="H108" s="1258">
        <v>3615</v>
      </c>
      <c r="I108" s="1258">
        <v>3800</v>
      </c>
      <c r="J108" s="1258">
        <v>3989</v>
      </c>
      <c r="K108" s="1258">
        <v>4187</v>
      </c>
      <c r="L108" s="1258">
        <v>4393</v>
      </c>
      <c r="M108" s="1258">
        <v>4605</v>
      </c>
      <c r="N108" s="1258">
        <v>4823</v>
      </c>
      <c r="O108" s="1258">
        <v>5050</v>
      </c>
      <c r="P108" s="1258">
        <v>5283</v>
      </c>
      <c r="Q108" s="1258">
        <v>5532</v>
      </c>
      <c r="R108" s="1259"/>
      <c r="S108" s="1259"/>
      <c r="T108" s="1259"/>
      <c r="U108" s="1259"/>
      <c r="V108" s="1259"/>
      <c r="W108" s="1165">
        <f t="shared" si="4"/>
        <v>15</v>
      </c>
    </row>
    <row r="109" spans="2:23" x14ac:dyDescent="0.2">
      <c r="B109" s="1254" t="s">
        <v>610</v>
      </c>
      <c r="C109" s="493">
        <v>3354</v>
      </c>
      <c r="D109" s="493">
        <v>3460</v>
      </c>
      <c r="E109" s="493">
        <v>3568</v>
      </c>
      <c r="F109" s="493">
        <v>3680</v>
      </c>
      <c r="G109" s="493">
        <v>3796</v>
      </c>
      <c r="H109" s="493">
        <v>3915</v>
      </c>
      <c r="I109" s="493">
        <v>4038</v>
      </c>
      <c r="J109" s="493">
        <v>4165</v>
      </c>
      <c r="K109" s="493">
        <v>4296</v>
      </c>
      <c r="L109" s="493">
        <v>4431</v>
      </c>
      <c r="M109" s="493">
        <v>4570</v>
      </c>
      <c r="N109" s="493">
        <v>4713</v>
      </c>
      <c r="O109" s="493">
        <v>4861</v>
      </c>
      <c r="P109" s="493"/>
      <c r="Q109" s="493"/>
      <c r="R109" s="493"/>
      <c r="S109" s="493"/>
      <c r="T109" s="493"/>
      <c r="U109" s="493"/>
      <c r="V109" s="493"/>
      <c r="W109" s="1255">
        <f t="shared" si="4"/>
        <v>13</v>
      </c>
    </row>
    <row r="110" spans="2:23" x14ac:dyDescent="0.2">
      <c r="B110" s="1254" t="s">
        <v>611</v>
      </c>
      <c r="C110" s="493">
        <v>3459</v>
      </c>
      <c r="D110" s="493">
        <v>3577</v>
      </c>
      <c r="E110" s="493">
        <v>3699</v>
      </c>
      <c r="F110" s="493">
        <v>3824</v>
      </c>
      <c r="G110" s="493">
        <v>3955</v>
      </c>
      <c r="H110" s="493">
        <v>4089</v>
      </c>
      <c r="I110" s="493">
        <v>4229</v>
      </c>
      <c r="J110" s="493">
        <v>4373</v>
      </c>
      <c r="K110" s="493">
        <v>4521</v>
      </c>
      <c r="L110" s="493">
        <v>4675</v>
      </c>
      <c r="M110" s="493">
        <v>4835</v>
      </c>
      <c r="N110" s="493">
        <v>4999</v>
      </c>
      <c r="O110" s="493">
        <v>5169</v>
      </c>
      <c r="P110" s="493">
        <v>5345</v>
      </c>
      <c r="Q110" s="493">
        <v>5527</v>
      </c>
      <c r="R110" s="493"/>
      <c r="S110" s="493"/>
      <c r="T110" s="493"/>
      <c r="U110" s="493"/>
      <c r="V110" s="493"/>
      <c r="W110" s="1255">
        <f t="shared" si="4"/>
        <v>15</v>
      </c>
    </row>
    <row r="111" spans="2:23" x14ac:dyDescent="0.2">
      <c r="B111" s="1254" t="s">
        <v>612</v>
      </c>
      <c r="C111" s="493">
        <v>3563</v>
      </c>
      <c r="D111" s="493">
        <v>3689</v>
      </c>
      <c r="E111" s="493">
        <v>3819</v>
      </c>
      <c r="F111" s="493">
        <v>3954</v>
      </c>
      <c r="G111" s="493">
        <v>4093</v>
      </c>
      <c r="H111" s="493">
        <v>4237</v>
      </c>
      <c r="I111" s="493">
        <v>4387</v>
      </c>
      <c r="J111" s="493">
        <v>4541</v>
      </c>
      <c r="K111" s="493">
        <v>4701</v>
      </c>
      <c r="L111" s="493">
        <v>4867</v>
      </c>
      <c r="M111" s="493">
        <v>5039</v>
      </c>
      <c r="N111" s="493">
        <v>5216</v>
      </c>
      <c r="O111" s="493">
        <v>5400</v>
      </c>
      <c r="P111" s="493">
        <v>5590</v>
      </c>
      <c r="Q111" s="493">
        <v>5787</v>
      </c>
      <c r="R111" s="493">
        <v>5990</v>
      </c>
      <c r="S111" s="493"/>
      <c r="T111" s="493"/>
      <c r="U111" s="493"/>
      <c r="V111" s="493"/>
      <c r="W111" s="1255">
        <f t="shared" si="4"/>
        <v>16</v>
      </c>
    </row>
    <row r="112" spans="2:23" x14ac:dyDescent="0.2">
      <c r="B112" s="1254" t="s">
        <v>613</v>
      </c>
      <c r="C112" s="493">
        <v>3668</v>
      </c>
      <c r="D112" s="493">
        <v>3784</v>
      </c>
      <c r="E112" s="493">
        <v>3903</v>
      </c>
      <c r="F112" s="493">
        <v>4026</v>
      </c>
      <c r="G112" s="493">
        <v>4153</v>
      </c>
      <c r="H112" s="493">
        <v>4284</v>
      </c>
      <c r="I112" s="493">
        <v>4419</v>
      </c>
      <c r="J112" s="493">
        <v>4558</v>
      </c>
      <c r="K112" s="493">
        <v>4702</v>
      </c>
      <c r="L112" s="493">
        <v>4850</v>
      </c>
      <c r="M112" s="493">
        <v>5003</v>
      </c>
      <c r="N112" s="493">
        <v>5161</v>
      </c>
      <c r="O112" s="493">
        <v>5324</v>
      </c>
      <c r="P112" s="493">
        <v>5491</v>
      </c>
      <c r="Q112" s="493">
        <v>5665</v>
      </c>
      <c r="R112" s="493">
        <v>5843</v>
      </c>
      <c r="S112" s="493">
        <v>6027</v>
      </c>
      <c r="T112" s="493">
        <v>6217</v>
      </c>
      <c r="U112" s="493"/>
      <c r="V112" s="493"/>
      <c r="W112" s="1255">
        <f t="shared" si="4"/>
        <v>18</v>
      </c>
    </row>
    <row r="113" spans="2:23" x14ac:dyDescent="0.2">
      <c r="B113" s="1254" t="s">
        <v>614</v>
      </c>
      <c r="C113" s="493">
        <v>3424</v>
      </c>
      <c r="D113" s="493">
        <v>3676</v>
      </c>
      <c r="E113" s="493">
        <v>3912</v>
      </c>
      <c r="F113" s="493">
        <v>4162</v>
      </c>
      <c r="G113" s="493">
        <v>4422</v>
      </c>
      <c r="H113" s="493">
        <v>4668</v>
      </c>
      <c r="I113" s="493">
        <v>4914</v>
      </c>
      <c r="J113" s="493">
        <v>5037</v>
      </c>
      <c r="K113" s="493">
        <v>5157</v>
      </c>
      <c r="L113" s="493">
        <v>5280</v>
      </c>
      <c r="M113" s="493">
        <v>5435</v>
      </c>
      <c r="N113" s="493">
        <v>5589</v>
      </c>
      <c r="O113" s="493">
        <v>5743</v>
      </c>
      <c r="P113" s="493">
        <v>5898</v>
      </c>
      <c r="Q113" s="493">
        <v>6054</v>
      </c>
      <c r="R113" s="493">
        <v>6218</v>
      </c>
      <c r="S113" s="493">
        <v>6386</v>
      </c>
      <c r="T113" s="493">
        <v>6559</v>
      </c>
      <c r="U113" s="493"/>
      <c r="V113" s="493"/>
      <c r="W113" s="1255">
        <f t="shared" si="4"/>
        <v>18</v>
      </c>
    </row>
    <row r="114" spans="2:23" x14ac:dyDescent="0.2">
      <c r="B114" s="1335" t="s">
        <v>114</v>
      </c>
      <c r="C114" s="1148">
        <v>1701</v>
      </c>
      <c r="D114" s="1148">
        <v>1701</v>
      </c>
      <c r="E114" s="1148">
        <v>1752</v>
      </c>
      <c r="F114" s="1148">
        <v>1784</v>
      </c>
      <c r="G114" s="1148">
        <v>1820</v>
      </c>
      <c r="H114" s="1148">
        <v>1858</v>
      </c>
      <c r="I114" s="1148">
        <v>1907</v>
      </c>
      <c r="J114" s="1148"/>
      <c r="K114" s="1162"/>
      <c r="L114" s="1162"/>
      <c r="M114" s="1162"/>
      <c r="N114" s="1162"/>
      <c r="O114" s="1162"/>
      <c r="P114" s="1162"/>
      <c r="Q114" s="1162"/>
      <c r="R114" s="1162"/>
      <c r="S114" s="1162"/>
      <c r="T114" s="1162"/>
      <c r="U114" s="1162"/>
      <c r="V114" s="1148"/>
      <c r="W114" s="1255">
        <f t="shared" si="4"/>
        <v>7</v>
      </c>
    </row>
    <row r="115" spans="2:23" x14ac:dyDescent="0.2">
      <c r="B115" s="64" t="s">
        <v>115</v>
      </c>
      <c r="C115" s="1148">
        <v>1784</v>
      </c>
      <c r="D115" s="1148">
        <v>1858</v>
      </c>
      <c r="E115" s="1148">
        <v>1907</v>
      </c>
      <c r="F115" s="1148">
        <v>1963</v>
      </c>
      <c r="G115" s="1148">
        <v>2031</v>
      </c>
      <c r="H115" s="1148">
        <v>2096</v>
      </c>
      <c r="I115" s="1148"/>
      <c r="J115" s="1148"/>
      <c r="K115" s="1162"/>
      <c r="L115" s="1162"/>
      <c r="M115" s="1162"/>
      <c r="N115" s="1162"/>
      <c r="O115" s="1162"/>
      <c r="P115" s="1162"/>
      <c r="Q115" s="1162"/>
      <c r="R115" s="1162"/>
      <c r="S115" s="1162"/>
      <c r="T115" s="1162"/>
      <c r="U115" s="1162"/>
      <c r="V115" s="1148"/>
      <c r="W115" s="1255">
        <f t="shared" si="4"/>
        <v>6</v>
      </c>
    </row>
    <row r="116" spans="2:23" x14ac:dyDescent="0.2">
      <c r="B116" s="64" t="s">
        <v>116</v>
      </c>
      <c r="C116" s="1148">
        <v>1858</v>
      </c>
      <c r="D116" s="1148">
        <v>1963</v>
      </c>
      <c r="E116" s="1148">
        <v>2031</v>
      </c>
      <c r="F116" s="1148">
        <v>2096</v>
      </c>
      <c r="G116" s="1148">
        <v>2160</v>
      </c>
      <c r="H116" s="1148"/>
      <c r="I116" s="1148"/>
      <c r="J116" s="1148"/>
      <c r="K116" s="1162"/>
      <c r="L116" s="1162"/>
      <c r="M116" s="1162"/>
      <c r="N116" s="1162"/>
      <c r="O116" s="1162"/>
      <c r="P116" s="1162"/>
      <c r="Q116" s="1162"/>
      <c r="R116" s="1162"/>
      <c r="S116" s="1162"/>
      <c r="T116" s="1162"/>
      <c r="U116" s="1162"/>
      <c r="V116" s="1148"/>
      <c r="W116" s="1255">
        <f t="shared" si="4"/>
        <v>5</v>
      </c>
    </row>
    <row r="117" spans="2:23" x14ac:dyDescent="0.2">
      <c r="B117" s="64" t="s">
        <v>605</v>
      </c>
      <c r="C117" s="1148">
        <v>1653.6</v>
      </c>
      <c r="D117" s="1148">
        <v>1709</v>
      </c>
      <c r="E117" s="1148">
        <v>1764</v>
      </c>
      <c r="F117" s="1148">
        <v>1819</v>
      </c>
      <c r="G117" s="1148"/>
      <c r="H117" s="1148"/>
      <c r="I117" s="1148"/>
      <c r="J117" s="1148"/>
      <c r="K117" s="1148"/>
      <c r="L117" s="1162"/>
      <c r="M117" s="1162"/>
      <c r="N117" s="1162"/>
      <c r="O117" s="1162"/>
      <c r="P117" s="1162"/>
      <c r="Q117" s="1162"/>
      <c r="R117" s="1162"/>
      <c r="S117" s="1162"/>
      <c r="T117" s="1162"/>
      <c r="U117" s="1162"/>
      <c r="V117" s="1148"/>
      <c r="W117" s="1255">
        <f t="shared" si="4"/>
        <v>4</v>
      </c>
    </row>
    <row r="118" spans="2:23" x14ac:dyDescent="0.2">
      <c r="B118" s="1254" t="s">
        <v>573</v>
      </c>
      <c r="C118" s="493">
        <v>2678</v>
      </c>
      <c r="D118" s="493">
        <v>2761</v>
      </c>
      <c r="E118" s="493">
        <v>2846</v>
      </c>
      <c r="F118" s="493">
        <v>2935</v>
      </c>
      <c r="G118" s="493">
        <v>3026</v>
      </c>
      <c r="H118" s="493">
        <v>3119</v>
      </c>
      <c r="I118" s="493">
        <v>3217</v>
      </c>
      <c r="J118" s="493">
        <v>3316</v>
      </c>
      <c r="K118" s="493">
        <v>3419</v>
      </c>
      <c r="L118" s="493">
        <v>3525</v>
      </c>
      <c r="M118" s="493">
        <v>3634</v>
      </c>
      <c r="N118" s="493">
        <v>3747</v>
      </c>
      <c r="O118" s="493">
        <v>3862</v>
      </c>
      <c r="P118" s="493">
        <v>3982</v>
      </c>
      <c r="Q118" s="493">
        <v>4113</v>
      </c>
      <c r="R118" s="1162"/>
      <c r="S118" s="1162"/>
      <c r="T118" s="1162"/>
      <c r="U118" s="1162"/>
      <c r="V118" s="1148"/>
      <c r="W118" s="1255">
        <f t="shared" si="4"/>
        <v>15</v>
      </c>
    </row>
    <row r="119" spans="2:23" x14ac:dyDescent="0.2">
      <c r="B119" s="1254" t="s">
        <v>574</v>
      </c>
      <c r="C119" s="493">
        <v>2758</v>
      </c>
      <c r="D119" s="493">
        <v>2851</v>
      </c>
      <c r="E119" s="493">
        <v>2948</v>
      </c>
      <c r="F119" s="493">
        <v>3047</v>
      </c>
      <c r="G119" s="493">
        <v>3150</v>
      </c>
      <c r="H119" s="493">
        <v>3257</v>
      </c>
      <c r="I119" s="493">
        <v>3367</v>
      </c>
      <c r="J119" s="493">
        <v>3481</v>
      </c>
      <c r="K119" s="493">
        <v>3598</v>
      </c>
      <c r="L119" s="493">
        <v>3720</v>
      </c>
      <c r="M119" s="493">
        <v>3845</v>
      </c>
      <c r="N119" s="493">
        <v>3976</v>
      </c>
      <c r="O119" s="493">
        <v>4110</v>
      </c>
      <c r="P119" s="493">
        <v>4249</v>
      </c>
      <c r="Q119" s="493">
        <v>4434</v>
      </c>
      <c r="R119" s="1162"/>
      <c r="S119" s="1162"/>
      <c r="T119" s="1162"/>
      <c r="U119" s="1162"/>
      <c r="V119" s="1148"/>
      <c r="W119" s="1255">
        <f t="shared" si="4"/>
        <v>15</v>
      </c>
    </row>
    <row r="120" spans="2:23" x14ac:dyDescent="0.2">
      <c r="B120" s="1254" t="s">
        <v>575</v>
      </c>
      <c r="C120" s="493">
        <v>2812</v>
      </c>
      <c r="D120" s="493">
        <v>2933</v>
      </c>
      <c r="E120" s="493">
        <v>3059</v>
      </c>
      <c r="F120" s="493">
        <v>3190</v>
      </c>
      <c r="G120" s="493">
        <v>3327</v>
      </c>
      <c r="H120" s="493">
        <v>3470</v>
      </c>
      <c r="I120" s="493">
        <v>3619</v>
      </c>
      <c r="J120" s="493">
        <v>3776</v>
      </c>
      <c r="K120" s="493">
        <v>3937</v>
      </c>
      <c r="L120" s="493">
        <v>4107</v>
      </c>
      <c r="M120" s="493">
        <v>4283</v>
      </c>
      <c r="N120" s="493">
        <v>4468</v>
      </c>
      <c r="O120" s="493">
        <v>4660</v>
      </c>
      <c r="P120" s="493">
        <v>4861</v>
      </c>
      <c r="Q120" s="493">
        <v>5070</v>
      </c>
      <c r="R120" s="1162"/>
      <c r="S120" s="1162"/>
      <c r="T120" s="1162"/>
      <c r="U120" s="1162"/>
      <c r="V120" s="1148"/>
      <c r="W120" s="1255">
        <f t="shared" si="4"/>
        <v>15</v>
      </c>
    </row>
    <row r="121" spans="2:23" x14ac:dyDescent="0.2">
      <c r="B121" s="1254" t="s">
        <v>576</v>
      </c>
      <c r="C121" s="493">
        <v>2812</v>
      </c>
      <c r="D121" s="493">
        <v>2933</v>
      </c>
      <c r="E121" s="493">
        <v>3094</v>
      </c>
      <c r="F121" s="493">
        <v>3265</v>
      </c>
      <c r="G121" s="493">
        <v>3436</v>
      </c>
      <c r="H121" s="493">
        <v>3615</v>
      </c>
      <c r="I121" s="493">
        <v>3800</v>
      </c>
      <c r="J121" s="493">
        <v>3989</v>
      </c>
      <c r="K121" s="493">
        <v>4187</v>
      </c>
      <c r="L121" s="493">
        <v>4393</v>
      </c>
      <c r="M121" s="493">
        <v>4605</v>
      </c>
      <c r="N121" s="493">
        <v>4823</v>
      </c>
      <c r="O121" s="493">
        <v>5050</v>
      </c>
      <c r="P121" s="493">
        <v>5283</v>
      </c>
      <c r="Q121" s="493">
        <v>5532</v>
      </c>
      <c r="R121" s="1162"/>
      <c r="S121" s="1162"/>
      <c r="T121" s="1162"/>
      <c r="U121" s="1162"/>
      <c r="V121" s="1148"/>
      <c r="W121" s="1255">
        <f t="shared" si="4"/>
        <v>15</v>
      </c>
    </row>
    <row r="122" spans="2:23" x14ac:dyDescent="0.2">
      <c r="B122" s="1254" t="s">
        <v>577</v>
      </c>
      <c r="C122" s="493">
        <v>3544</v>
      </c>
      <c r="D122" s="493">
        <v>3677</v>
      </c>
      <c r="E122" s="493">
        <v>3796</v>
      </c>
      <c r="F122" s="493">
        <v>4035</v>
      </c>
      <c r="G122" s="493">
        <v>4299</v>
      </c>
      <c r="H122" s="493">
        <v>4466</v>
      </c>
      <c r="I122" s="493">
        <v>4635</v>
      </c>
      <c r="J122" s="493">
        <v>4803</v>
      </c>
      <c r="K122" s="493">
        <v>4972</v>
      </c>
      <c r="L122" s="493">
        <v>5139</v>
      </c>
      <c r="M122" s="493">
        <v>5310</v>
      </c>
      <c r="N122" s="493">
        <v>5479</v>
      </c>
      <c r="O122" s="493">
        <v>5648</v>
      </c>
      <c r="P122" s="493">
        <v>5816</v>
      </c>
      <c r="Q122" s="493">
        <v>5990</v>
      </c>
      <c r="R122" s="1162"/>
      <c r="S122" s="1162"/>
      <c r="T122" s="1162"/>
      <c r="U122" s="1162"/>
      <c r="V122" s="1148"/>
      <c r="W122" s="1255">
        <f t="shared" si="4"/>
        <v>15</v>
      </c>
    </row>
    <row r="123" spans="2:23" x14ac:dyDescent="0.2">
      <c r="B123" s="64" t="s">
        <v>117</v>
      </c>
      <c r="C123" s="1148">
        <f>0.5*C118</f>
        <v>1339</v>
      </c>
      <c r="D123" s="1149"/>
      <c r="E123" s="1149"/>
      <c r="F123" s="1149"/>
      <c r="G123" s="1149"/>
      <c r="H123" s="1149"/>
      <c r="I123" s="1149"/>
      <c r="J123" s="1149"/>
      <c r="K123" s="1149"/>
      <c r="L123" s="1149"/>
      <c r="M123" s="1149"/>
      <c r="N123" s="1149"/>
      <c r="O123" s="1149"/>
      <c r="P123" s="1149"/>
      <c r="Q123" s="1149"/>
      <c r="R123" s="1162"/>
      <c r="S123" s="1163"/>
      <c r="T123" s="1163"/>
      <c r="U123" s="1163"/>
      <c r="V123" s="1149"/>
      <c r="W123" s="1255">
        <f t="shared" si="4"/>
        <v>1</v>
      </c>
    </row>
    <row r="124" spans="2:23" x14ac:dyDescent="0.2">
      <c r="B124" s="64" t="s">
        <v>118</v>
      </c>
      <c r="C124" s="1148">
        <f>0.5*C119</f>
        <v>1379</v>
      </c>
      <c r="D124" s="1149"/>
      <c r="E124" s="1149"/>
      <c r="F124" s="1149"/>
      <c r="G124" s="1149"/>
      <c r="H124" s="1149"/>
      <c r="I124" s="1149"/>
      <c r="J124" s="1149"/>
      <c r="K124" s="1149"/>
      <c r="L124" s="1149"/>
      <c r="M124" s="1149"/>
      <c r="N124" s="1149"/>
      <c r="O124" s="1149"/>
      <c r="P124" s="1149"/>
      <c r="Q124" s="1149"/>
      <c r="R124" s="1162"/>
      <c r="S124" s="1163"/>
      <c r="T124" s="1163"/>
      <c r="U124" s="1163"/>
      <c r="V124" s="1149"/>
      <c r="W124" s="1255">
        <f t="shared" si="4"/>
        <v>1</v>
      </c>
    </row>
    <row r="125" spans="2:23" x14ac:dyDescent="0.2">
      <c r="B125" s="64">
        <v>1</v>
      </c>
      <c r="C125" s="1148">
        <v>1712</v>
      </c>
      <c r="D125" s="1148">
        <v>1715</v>
      </c>
      <c r="E125" s="493">
        <v>1784</v>
      </c>
      <c r="F125" s="493">
        <v>1816</v>
      </c>
      <c r="G125" s="493">
        <v>1853</v>
      </c>
      <c r="H125" s="493">
        <v>1890</v>
      </c>
      <c r="I125" s="493">
        <v>1939</v>
      </c>
      <c r="J125" s="493"/>
      <c r="K125" s="493"/>
      <c r="L125" s="493"/>
      <c r="M125" s="493"/>
      <c r="N125" s="493"/>
      <c r="O125" s="493"/>
      <c r="P125" s="493"/>
      <c r="Q125" s="493"/>
      <c r="R125" s="493"/>
      <c r="S125" s="493"/>
      <c r="T125" s="493"/>
      <c r="U125" s="1162"/>
      <c r="V125" s="1148"/>
      <c r="W125" s="1255">
        <f t="shared" si="4"/>
        <v>7</v>
      </c>
    </row>
    <row r="126" spans="2:23" x14ac:dyDescent="0.2">
      <c r="B126" s="64">
        <v>2</v>
      </c>
      <c r="C126" s="1148">
        <v>1712</v>
      </c>
      <c r="D126" s="493">
        <v>1750</v>
      </c>
      <c r="E126" s="493">
        <v>1816</v>
      </c>
      <c r="F126" s="493">
        <v>1890</v>
      </c>
      <c r="G126" s="493">
        <v>1939</v>
      </c>
      <c r="H126" s="493">
        <v>1995</v>
      </c>
      <c r="I126" s="493">
        <v>2063</v>
      </c>
      <c r="J126" s="493">
        <v>2128</v>
      </c>
      <c r="K126" s="493"/>
      <c r="L126" s="493"/>
      <c r="M126" s="493"/>
      <c r="N126" s="493"/>
      <c r="O126" s="493"/>
      <c r="P126" s="493"/>
      <c r="Q126" s="493"/>
      <c r="R126" s="493"/>
      <c r="S126" s="493"/>
      <c r="T126" s="493"/>
      <c r="U126" s="1162"/>
      <c r="V126" s="1148"/>
      <c r="W126" s="1255">
        <f t="shared" si="4"/>
        <v>8</v>
      </c>
    </row>
    <row r="127" spans="2:23" x14ac:dyDescent="0.2">
      <c r="B127" s="64">
        <v>3</v>
      </c>
      <c r="C127" s="1148">
        <v>1712</v>
      </c>
      <c r="D127" s="493">
        <v>1816</v>
      </c>
      <c r="E127" s="493">
        <v>1890</v>
      </c>
      <c r="F127" s="493">
        <v>1995</v>
      </c>
      <c r="G127" s="493">
        <v>2063</v>
      </c>
      <c r="H127" s="493">
        <v>2128</v>
      </c>
      <c r="I127" s="493">
        <v>2192</v>
      </c>
      <c r="J127" s="493">
        <v>2254</v>
      </c>
      <c r="K127" s="493">
        <v>2315</v>
      </c>
      <c r="L127" s="493"/>
      <c r="M127" s="493"/>
      <c r="N127" s="493"/>
      <c r="O127" s="493"/>
      <c r="P127" s="493"/>
      <c r="Q127" s="493"/>
      <c r="R127" s="493"/>
      <c r="S127" s="493"/>
      <c r="T127" s="493"/>
      <c r="U127" s="1162"/>
      <c r="V127" s="1148"/>
      <c r="W127" s="1255">
        <f t="shared" si="4"/>
        <v>9</v>
      </c>
    </row>
    <row r="128" spans="2:23" x14ac:dyDescent="0.2">
      <c r="B128" s="64">
        <v>4</v>
      </c>
      <c r="C128" s="1148">
        <v>1715</v>
      </c>
      <c r="D128" s="493">
        <v>1784</v>
      </c>
      <c r="E128" s="493">
        <v>1853</v>
      </c>
      <c r="F128" s="493">
        <v>1939</v>
      </c>
      <c r="G128" s="493">
        <v>2063</v>
      </c>
      <c r="H128" s="493">
        <v>2128</v>
      </c>
      <c r="I128" s="493">
        <v>2192</v>
      </c>
      <c r="J128" s="493">
        <v>2254</v>
      </c>
      <c r="K128" s="493">
        <v>2315</v>
      </c>
      <c r="L128" s="493">
        <v>2374</v>
      </c>
      <c r="M128" s="493">
        <v>2434</v>
      </c>
      <c r="N128" s="493"/>
      <c r="O128" s="493"/>
      <c r="P128" s="493"/>
      <c r="Q128" s="493"/>
      <c r="R128" s="493"/>
      <c r="S128" s="493"/>
      <c r="T128" s="493"/>
      <c r="U128" s="1162"/>
      <c r="V128" s="1148"/>
      <c r="W128" s="1255">
        <f t="shared" si="4"/>
        <v>11</v>
      </c>
    </row>
    <row r="129" spans="2:23" x14ac:dyDescent="0.2">
      <c r="B129" s="64">
        <v>5</v>
      </c>
      <c r="C129" s="493">
        <v>1750</v>
      </c>
      <c r="D129" s="493">
        <v>1784</v>
      </c>
      <c r="E129" s="493">
        <v>1890</v>
      </c>
      <c r="F129" s="493">
        <v>1995</v>
      </c>
      <c r="G129" s="493">
        <v>2128</v>
      </c>
      <c r="H129" s="493">
        <v>2192</v>
      </c>
      <c r="I129" s="493">
        <v>2254</v>
      </c>
      <c r="J129" s="493">
        <v>2315</v>
      </c>
      <c r="K129" s="493">
        <v>2374</v>
      </c>
      <c r="L129" s="493">
        <v>2434</v>
      </c>
      <c r="M129" s="493">
        <v>2491</v>
      </c>
      <c r="N129" s="493">
        <v>2557</v>
      </c>
      <c r="O129" s="493"/>
      <c r="P129" s="493"/>
      <c r="Q129" s="493"/>
      <c r="R129" s="493"/>
      <c r="S129" s="493"/>
      <c r="T129" s="493"/>
      <c r="U129" s="1162"/>
      <c r="V129" s="1148"/>
      <c r="W129" s="1255">
        <f t="shared" si="4"/>
        <v>12</v>
      </c>
    </row>
    <row r="130" spans="2:23" x14ac:dyDescent="0.2">
      <c r="B130" s="64">
        <v>6</v>
      </c>
      <c r="C130" s="493">
        <v>1816</v>
      </c>
      <c r="D130" s="493">
        <v>1890</v>
      </c>
      <c r="E130" s="493">
        <v>2128</v>
      </c>
      <c r="F130" s="493">
        <v>2254</v>
      </c>
      <c r="G130" s="493">
        <v>2315</v>
      </c>
      <c r="H130" s="493">
        <v>2374</v>
      </c>
      <c r="I130" s="493">
        <v>2434</v>
      </c>
      <c r="J130" s="493">
        <v>2491</v>
      </c>
      <c r="K130" s="493">
        <v>2557</v>
      </c>
      <c r="L130" s="493">
        <v>2618</v>
      </c>
      <c r="M130" s="493">
        <v>2677</v>
      </c>
      <c r="N130" s="493"/>
      <c r="O130" s="493"/>
      <c r="P130" s="493"/>
      <c r="Q130" s="493"/>
      <c r="R130" s="493"/>
      <c r="S130" s="493"/>
      <c r="T130" s="493"/>
      <c r="U130" s="1162"/>
      <c r="V130" s="1148"/>
      <c r="W130" s="1255">
        <f t="shared" si="4"/>
        <v>11</v>
      </c>
    </row>
    <row r="131" spans="2:23" x14ac:dyDescent="0.2">
      <c r="B131" s="64">
        <v>7</v>
      </c>
      <c r="C131" s="493">
        <v>1939</v>
      </c>
      <c r="D131" s="493">
        <v>1995</v>
      </c>
      <c r="E131" s="493">
        <v>2128</v>
      </c>
      <c r="F131" s="493">
        <v>2374</v>
      </c>
      <c r="G131" s="493">
        <v>2491</v>
      </c>
      <c r="H131" s="493">
        <v>2557</v>
      </c>
      <c r="I131" s="493">
        <v>2618</v>
      </c>
      <c r="J131" s="493">
        <v>2677</v>
      </c>
      <c r="K131" s="493">
        <v>2739</v>
      </c>
      <c r="L131" s="493">
        <v>2805</v>
      </c>
      <c r="M131" s="493">
        <v>2873</v>
      </c>
      <c r="N131" s="493">
        <v>2949</v>
      </c>
      <c r="O131" s="493"/>
      <c r="P131" s="493"/>
      <c r="Q131" s="493"/>
      <c r="R131" s="493"/>
      <c r="S131" s="493"/>
      <c r="T131" s="493"/>
      <c r="U131" s="1162"/>
      <c r="V131" s="1148"/>
      <c r="W131" s="1255">
        <f t="shared" si="4"/>
        <v>12</v>
      </c>
    </row>
    <row r="132" spans="2:23" x14ac:dyDescent="0.2">
      <c r="B132" s="64">
        <v>8</v>
      </c>
      <c r="C132" s="493">
        <v>2192</v>
      </c>
      <c r="D132" s="493">
        <v>2254</v>
      </c>
      <c r="E132" s="493">
        <v>2374</v>
      </c>
      <c r="F132" s="493">
        <v>2618</v>
      </c>
      <c r="G132" s="493">
        <v>2739</v>
      </c>
      <c r="H132" s="493">
        <v>2873</v>
      </c>
      <c r="I132" s="493">
        <v>2949</v>
      </c>
      <c r="J132" s="493">
        <v>3018</v>
      </c>
      <c r="K132" s="493">
        <v>3080</v>
      </c>
      <c r="L132" s="493">
        <v>3146</v>
      </c>
      <c r="M132" s="493">
        <v>3212</v>
      </c>
      <c r="N132" s="493">
        <v>3273</v>
      </c>
      <c r="O132" s="493">
        <v>3331</v>
      </c>
      <c r="P132" s="493"/>
      <c r="Q132" s="493"/>
      <c r="R132" s="493"/>
      <c r="S132" s="493"/>
      <c r="T132" s="493"/>
      <c r="U132" s="1162"/>
      <c r="V132" s="1148"/>
      <c r="W132" s="1255">
        <f t="shared" si="4"/>
        <v>13</v>
      </c>
    </row>
    <row r="133" spans="2:23" x14ac:dyDescent="0.2">
      <c r="B133" s="64">
        <v>9</v>
      </c>
      <c r="C133" s="493">
        <v>2534</v>
      </c>
      <c r="D133" s="493">
        <v>2661</v>
      </c>
      <c r="E133" s="493">
        <v>2919</v>
      </c>
      <c r="F133" s="493">
        <v>3066</v>
      </c>
      <c r="G133" s="493">
        <v>3193</v>
      </c>
      <c r="H133" s="493">
        <v>3323</v>
      </c>
      <c r="I133" s="493">
        <v>3445</v>
      </c>
      <c r="J133" s="493">
        <v>3567</v>
      </c>
      <c r="K133" s="493">
        <v>3700</v>
      </c>
      <c r="L133" s="493">
        <v>3817</v>
      </c>
      <c r="M133" s="493"/>
      <c r="N133" s="493"/>
      <c r="O133" s="493"/>
      <c r="P133" s="493"/>
      <c r="Q133" s="493"/>
      <c r="R133" s="493"/>
      <c r="S133" s="493"/>
      <c r="T133" s="493"/>
      <c r="U133" s="1162"/>
      <c r="V133" s="1148"/>
      <c r="W133" s="1255">
        <f t="shared" si="4"/>
        <v>10</v>
      </c>
    </row>
    <row r="134" spans="2:23" x14ac:dyDescent="0.2">
      <c r="B134" s="64">
        <v>10</v>
      </c>
      <c r="C134" s="493">
        <v>2516</v>
      </c>
      <c r="D134" s="493">
        <v>2766</v>
      </c>
      <c r="E134" s="493">
        <v>2901</v>
      </c>
      <c r="F134" s="493">
        <v>3048</v>
      </c>
      <c r="G134" s="493">
        <v>3175</v>
      </c>
      <c r="H134" s="493">
        <v>3305</v>
      </c>
      <c r="I134" s="493">
        <v>3427</v>
      </c>
      <c r="J134" s="493">
        <v>3549</v>
      </c>
      <c r="K134" s="493">
        <v>3682</v>
      </c>
      <c r="L134" s="493">
        <v>3798</v>
      </c>
      <c r="M134" s="493">
        <v>3920</v>
      </c>
      <c r="N134" s="493">
        <v>4038</v>
      </c>
      <c r="O134" s="493">
        <v>4171</v>
      </c>
      <c r="P134" s="493"/>
      <c r="Q134" s="493"/>
      <c r="R134" s="493"/>
      <c r="S134" s="493"/>
      <c r="T134" s="493"/>
      <c r="U134" s="1162"/>
      <c r="V134" s="1148"/>
      <c r="W134" s="1255">
        <f t="shared" si="4"/>
        <v>13</v>
      </c>
    </row>
    <row r="135" spans="2:23" x14ac:dyDescent="0.2">
      <c r="B135" s="64">
        <v>11</v>
      </c>
      <c r="C135" s="493">
        <v>2643</v>
      </c>
      <c r="D135" s="493">
        <v>2766</v>
      </c>
      <c r="E135" s="493">
        <v>2901</v>
      </c>
      <c r="F135" s="493">
        <v>3048</v>
      </c>
      <c r="G135" s="493">
        <v>3175</v>
      </c>
      <c r="H135" s="493">
        <v>3305</v>
      </c>
      <c r="I135" s="493">
        <v>3427</v>
      </c>
      <c r="J135" s="493">
        <v>3682</v>
      </c>
      <c r="K135" s="493">
        <v>3796</v>
      </c>
      <c r="L135" s="493">
        <v>3920</v>
      </c>
      <c r="M135" s="493">
        <v>4038</v>
      </c>
      <c r="N135" s="493">
        <v>4171</v>
      </c>
      <c r="O135" s="493">
        <v>4302</v>
      </c>
      <c r="P135" s="493">
        <v>4431</v>
      </c>
      <c r="Q135" s="493">
        <v>4553</v>
      </c>
      <c r="R135" s="493">
        <v>4678</v>
      </c>
      <c r="S135" s="493">
        <v>4796</v>
      </c>
      <c r="T135" s="493">
        <v>4861</v>
      </c>
      <c r="U135" s="1162"/>
      <c r="V135" s="1148"/>
      <c r="W135" s="1255">
        <f t="shared" si="4"/>
        <v>18</v>
      </c>
    </row>
    <row r="136" spans="2:23" x14ac:dyDescent="0.2">
      <c r="B136" s="64">
        <v>12</v>
      </c>
      <c r="C136" s="493">
        <v>3549</v>
      </c>
      <c r="D136" s="493">
        <v>3682</v>
      </c>
      <c r="E136" s="493">
        <v>3796</v>
      </c>
      <c r="F136" s="493">
        <v>3920</v>
      </c>
      <c r="G136" s="493">
        <v>4038</v>
      </c>
      <c r="H136" s="493">
        <v>4171</v>
      </c>
      <c r="I136" s="493">
        <v>4431</v>
      </c>
      <c r="J136" s="493">
        <v>4553</v>
      </c>
      <c r="K136" s="493">
        <v>4678</v>
      </c>
      <c r="L136" s="493">
        <v>4796</v>
      </c>
      <c r="M136" s="493">
        <v>4925</v>
      </c>
      <c r="N136" s="493">
        <v>5050</v>
      </c>
      <c r="O136" s="493">
        <v>5169</v>
      </c>
      <c r="P136" s="493">
        <v>5294</v>
      </c>
      <c r="Q136" s="493">
        <v>5448</v>
      </c>
      <c r="R136" s="493">
        <v>5527</v>
      </c>
      <c r="S136" s="493"/>
      <c r="T136" s="493"/>
      <c r="U136" s="1162"/>
      <c r="V136" s="1148"/>
      <c r="W136" s="1255">
        <f t="shared" si="4"/>
        <v>16</v>
      </c>
    </row>
    <row r="137" spans="2:23" x14ac:dyDescent="0.2">
      <c r="B137" s="64">
        <v>13</v>
      </c>
      <c r="C137" s="493">
        <v>4302</v>
      </c>
      <c r="D137" s="493">
        <v>4431</v>
      </c>
      <c r="E137" s="493">
        <v>4553</v>
      </c>
      <c r="F137" s="493">
        <v>4678</v>
      </c>
      <c r="G137" s="493">
        <v>4796</v>
      </c>
      <c r="H137" s="493">
        <v>5050</v>
      </c>
      <c r="I137" s="493">
        <v>5169</v>
      </c>
      <c r="J137" s="493">
        <v>5294</v>
      </c>
      <c r="K137" s="493">
        <v>5448</v>
      </c>
      <c r="L137" s="493">
        <v>5604</v>
      </c>
      <c r="M137" s="493">
        <v>5760</v>
      </c>
      <c r="N137" s="493">
        <v>5914</v>
      </c>
      <c r="O137" s="493">
        <v>5990</v>
      </c>
      <c r="P137" s="493"/>
      <c r="Q137" s="493"/>
      <c r="R137" s="493"/>
      <c r="S137" s="493"/>
      <c r="T137" s="493"/>
      <c r="U137" s="1162"/>
      <c r="V137" s="1148"/>
      <c r="W137" s="1255">
        <f t="shared" si="4"/>
        <v>13</v>
      </c>
    </row>
    <row r="138" spans="2:23" x14ac:dyDescent="0.2">
      <c r="B138" s="64">
        <v>14</v>
      </c>
      <c r="C138" s="493">
        <v>4925</v>
      </c>
      <c r="D138" s="493">
        <v>5050</v>
      </c>
      <c r="E138" s="493">
        <v>5294</v>
      </c>
      <c r="F138" s="493">
        <v>5448</v>
      </c>
      <c r="G138" s="493">
        <v>5604</v>
      </c>
      <c r="H138" s="493">
        <v>5760</v>
      </c>
      <c r="I138" s="493">
        <v>5914</v>
      </c>
      <c r="J138" s="493">
        <v>6071</v>
      </c>
      <c r="K138" s="493">
        <v>6237</v>
      </c>
      <c r="L138" s="493">
        <v>6404</v>
      </c>
      <c r="M138" s="493">
        <v>6578</v>
      </c>
      <c r="N138" s="493"/>
      <c r="O138" s="493"/>
      <c r="P138" s="493"/>
      <c r="Q138" s="493"/>
      <c r="R138" s="493"/>
      <c r="S138" s="493"/>
      <c r="T138" s="493"/>
      <c r="U138" s="1162"/>
      <c r="V138" s="1148"/>
      <c r="W138" s="1255">
        <f t="shared" si="4"/>
        <v>11</v>
      </c>
    </row>
    <row r="139" spans="2:23" x14ac:dyDescent="0.2">
      <c r="B139" s="64">
        <v>15</v>
      </c>
      <c r="C139" s="493">
        <v>5169</v>
      </c>
      <c r="D139" s="493">
        <v>5294</v>
      </c>
      <c r="E139" s="493">
        <v>5448</v>
      </c>
      <c r="F139" s="493">
        <v>5760</v>
      </c>
      <c r="G139" s="493">
        <v>5914</v>
      </c>
      <c r="H139" s="493">
        <v>6071</v>
      </c>
      <c r="I139" s="493">
        <v>6237</v>
      </c>
      <c r="J139" s="493">
        <v>6404</v>
      </c>
      <c r="K139" s="493">
        <v>6578</v>
      </c>
      <c r="L139" s="493">
        <v>6785</v>
      </c>
      <c r="M139" s="493">
        <v>7003</v>
      </c>
      <c r="N139" s="493">
        <v>7225</v>
      </c>
      <c r="O139" s="493"/>
      <c r="P139" s="493"/>
      <c r="Q139" s="493"/>
      <c r="R139" s="493"/>
      <c r="S139" s="493"/>
      <c r="T139" s="493"/>
      <c r="U139" s="1164"/>
      <c r="V139" s="1150"/>
      <c r="W139" s="1255">
        <f t="shared" si="4"/>
        <v>12</v>
      </c>
    </row>
    <row r="140" spans="2:23" x14ac:dyDescent="0.2">
      <c r="B140" s="64">
        <v>16</v>
      </c>
      <c r="C140" s="493">
        <v>5604</v>
      </c>
      <c r="D140" s="493">
        <v>5760</v>
      </c>
      <c r="E140" s="493">
        <v>5914</v>
      </c>
      <c r="F140" s="493">
        <v>6237</v>
      </c>
      <c r="G140" s="493">
        <v>6404</v>
      </c>
      <c r="H140" s="493">
        <v>6578</v>
      </c>
      <c r="I140" s="493">
        <v>6785</v>
      </c>
      <c r="J140" s="493">
        <v>7003</v>
      </c>
      <c r="K140" s="493">
        <v>7225</v>
      </c>
      <c r="L140" s="493">
        <v>7455</v>
      </c>
      <c r="M140" s="493">
        <v>7689</v>
      </c>
      <c r="N140" s="493">
        <v>7934</v>
      </c>
      <c r="O140" s="493"/>
      <c r="P140" s="493"/>
      <c r="Q140" s="493"/>
      <c r="R140" s="493"/>
      <c r="S140" s="493"/>
      <c r="T140" s="493"/>
      <c r="U140" s="1164"/>
      <c r="V140" s="1150"/>
      <c r="W140" s="1255">
        <f t="shared" si="4"/>
        <v>12</v>
      </c>
    </row>
  </sheetData>
  <sheetProtection algorithmName="SHA-512" hashValue="+RZUVA0W6JAYxYAiXWAIPxeUM+YBmFH7BcSVAeBSZwXm/BLbmbzgqwoVbqP9LU2hclUT41xvTJpDzf8jvaBkfQ==" saltValue="cyQ7CH9Bif1SjTM7+e0rsQ=="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85"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80"/>
  <sheetViews>
    <sheetView zoomScale="85" zoomScaleNormal="85" workbookViewId="0">
      <selection activeCell="B2" sqref="B2"/>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7" width="15.7109375" style="328" hidden="1" customWidth="1"/>
    <col min="8" max="11" width="15.7109375" style="328" customWidth="1"/>
    <col min="12" max="12" width="15.85546875" style="315"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7.45" customHeight="1" x14ac:dyDescent="0.3">
      <c r="B4" s="515"/>
      <c r="C4" s="387" t="s">
        <v>75</v>
      </c>
      <c r="D4" s="516"/>
      <c r="E4" s="516"/>
      <c r="F4" s="516"/>
      <c r="G4" s="517"/>
      <c r="H4" s="517"/>
      <c r="I4" s="517"/>
      <c r="J4" s="517"/>
      <c r="K4" s="517"/>
      <c r="L4" s="517"/>
      <c r="M4" s="518"/>
    </row>
    <row r="5" spans="2:13" ht="13.15" customHeight="1" x14ac:dyDescent="0.25">
      <c r="B5" s="316"/>
      <c r="C5" s="388" t="str">
        <f>+H9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76</v>
      </c>
      <c r="E9" s="318"/>
      <c r="F9" s="318"/>
      <c r="G9" s="318"/>
      <c r="H9" s="485" t="s">
        <v>618</v>
      </c>
      <c r="I9" s="320"/>
      <c r="J9" s="320"/>
      <c r="K9" s="320"/>
      <c r="L9" s="320"/>
      <c r="M9" s="386"/>
    </row>
    <row r="10" spans="2:13" ht="13.15" customHeight="1" x14ac:dyDescent="0.2">
      <c r="B10" s="316"/>
      <c r="C10" s="318"/>
      <c r="D10" s="318" t="s">
        <v>77</v>
      </c>
      <c r="E10" s="318"/>
      <c r="F10" s="318"/>
      <c r="G10" s="318"/>
      <c r="H10" s="485" t="s">
        <v>619</v>
      </c>
      <c r="I10" s="320"/>
      <c r="J10" s="320"/>
      <c r="K10" s="320"/>
      <c r="L10" s="320"/>
      <c r="M10" s="386"/>
    </row>
    <row r="11" spans="2:13" ht="13.15" customHeight="1" x14ac:dyDescent="0.2">
      <c r="B11" s="316"/>
      <c r="C11" s="318"/>
      <c r="D11" s="1" t="s">
        <v>78</v>
      </c>
      <c r="E11" s="318"/>
      <c r="F11" s="318"/>
      <c r="G11" s="318"/>
      <c r="H11" s="390" t="s">
        <v>39</v>
      </c>
      <c r="I11" s="320"/>
      <c r="J11" s="320"/>
      <c r="K11" s="320"/>
      <c r="L11" s="320"/>
      <c r="M11" s="386"/>
    </row>
    <row r="12" spans="2:13" ht="13.15" customHeight="1" x14ac:dyDescent="0.2">
      <c r="B12" s="316"/>
      <c r="C12" s="318"/>
      <c r="D12" s="2" t="s">
        <v>0</v>
      </c>
      <c r="E12" s="318"/>
      <c r="F12" s="318"/>
      <c r="G12" s="318"/>
      <c r="H12" s="390" t="s">
        <v>47</v>
      </c>
      <c r="I12" s="320"/>
      <c r="J12" s="320"/>
      <c r="K12" s="320"/>
      <c r="L12" s="320"/>
      <c r="M12" s="386"/>
    </row>
    <row r="13" spans="2:13" ht="13.15" customHeight="1" x14ac:dyDescent="0.2">
      <c r="B13" s="316"/>
      <c r="C13" s="318"/>
      <c r="D13" s="2" t="s">
        <v>84</v>
      </c>
      <c r="E13" s="318"/>
      <c r="F13" s="318"/>
      <c r="G13" s="318"/>
      <c r="H13" s="390" t="s">
        <v>18</v>
      </c>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2" t="s">
        <v>48</v>
      </c>
      <c r="F17" s="513"/>
      <c r="G17" s="1136" t="s">
        <v>49</v>
      </c>
      <c r="H17" s="1136" t="s">
        <v>72</v>
      </c>
      <c r="I17" s="1136" t="s">
        <v>340</v>
      </c>
      <c r="J17" s="1136" t="s">
        <v>342</v>
      </c>
      <c r="K17" s="1136" t="s">
        <v>439</v>
      </c>
      <c r="L17" s="1136" t="s">
        <v>572</v>
      </c>
      <c r="M17" s="386"/>
    </row>
    <row r="18" spans="2:13" ht="13.15" customHeight="1" x14ac:dyDescent="0.2">
      <c r="B18" s="316"/>
      <c r="C18" s="344"/>
      <c r="D18" s="344"/>
      <c r="E18" s="512" t="s">
        <v>50</v>
      </c>
      <c r="F18" s="512"/>
      <c r="G18" s="1137">
        <f>+tab!D3</f>
        <v>43374</v>
      </c>
      <c r="H18" s="1137">
        <f>+tab!E3</f>
        <v>43739</v>
      </c>
      <c r="I18" s="1137">
        <f>+tab!F3</f>
        <v>44105</v>
      </c>
      <c r="J18" s="1137">
        <f>+tab!G3</f>
        <v>44470</v>
      </c>
      <c r="K18" s="1137">
        <f>+tab!H3</f>
        <v>44835</v>
      </c>
      <c r="L18" s="1137">
        <f>+tab!I3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0"/>
      <c r="H20" s="320"/>
      <c r="I20" s="320"/>
      <c r="J20" s="320"/>
      <c r="K20" s="320"/>
      <c r="L20" s="320"/>
      <c r="M20" s="386"/>
    </row>
    <row r="21" spans="2:13" ht="13.15" customHeight="1" x14ac:dyDescent="0.2">
      <c r="B21" s="316"/>
      <c r="C21" s="318"/>
      <c r="D21" s="1224" t="s">
        <v>591</v>
      </c>
      <c r="E21" s="318"/>
      <c r="F21" s="318"/>
      <c r="G21" s="1226">
        <v>39.9</v>
      </c>
      <c r="H21" s="1225">
        <f>ROUND(IF(SUM(op!AL16:AL115)/SUM(op!J16:J115)&lt;30,30,SUM(op!AL16:AL115)/SUM(op!J16:J115)),2)+0.18</f>
        <v>42.18</v>
      </c>
      <c r="I21" s="1225">
        <f>ROUND(IF(SUM(op!AL128:AL227)/SUM(op!J128:J227)&lt;30,30,SUM(op!AL128:AL227)/SUM(op!J128:J227)),2)</f>
        <v>43</v>
      </c>
      <c r="J21" s="1225">
        <f>ROUND(IF(SUM(op!AL240:AL339)/SUM(op!J240:J339)&lt;30,30,SUM(op!AL240:AL339)/SUM(op!J240:J339)),2)</f>
        <v>44</v>
      </c>
      <c r="K21" s="1225">
        <f>ROUND(IF(SUM(op!AL352:AL451)/SUM(op!J352:J451)&lt;30,30,SUM(op!AL352:AL451)/SUM(op!J352:J451)),2)</f>
        <v>45</v>
      </c>
      <c r="L21" s="1225">
        <f>ROUND(IF(SUM(op!AL464:AL563)/SUM(op!J464:J563)&lt;30,30,SUM(op!AL464:AL563)/SUM(op!J464:J563)),2)</f>
        <v>46</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426</v>
      </c>
      <c r="E23" s="32" t="s">
        <v>2</v>
      </c>
      <c r="F23" s="318"/>
      <c r="G23" s="390">
        <v>18</v>
      </c>
      <c r="H23" s="390">
        <v>29</v>
      </c>
      <c r="I23" s="390">
        <v>36</v>
      </c>
      <c r="J23" s="390">
        <f>+I23</f>
        <v>36</v>
      </c>
      <c r="K23" s="390">
        <f>+J23</f>
        <v>36</v>
      </c>
      <c r="L23" s="390">
        <f>+K23</f>
        <v>36</v>
      </c>
      <c r="M23" s="386"/>
    </row>
    <row r="24" spans="2:13" ht="13.15" customHeight="1" x14ac:dyDescent="0.2">
      <c r="B24" s="316"/>
      <c r="C24" s="318"/>
      <c r="D24" s="3" t="s">
        <v>427</v>
      </c>
      <c r="E24" s="32" t="s">
        <v>2</v>
      </c>
      <c r="F24" s="318"/>
      <c r="G24" s="390">
        <v>0</v>
      </c>
      <c r="H24" s="390">
        <v>0</v>
      </c>
      <c r="I24" s="390">
        <f>H24</f>
        <v>0</v>
      </c>
      <c r="J24" s="390">
        <f t="shared" ref="J24:L25" si="0">I24</f>
        <v>0</v>
      </c>
      <c r="K24" s="390">
        <f t="shared" si="0"/>
        <v>0</v>
      </c>
      <c r="L24" s="390">
        <f t="shared" si="0"/>
        <v>0</v>
      </c>
      <c r="M24" s="386"/>
    </row>
    <row r="25" spans="2:13" ht="13.15" customHeight="1" x14ac:dyDescent="0.2">
      <c r="B25" s="316"/>
      <c r="C25" s="318"/>
      <c r="D25" s="3" t="s">
        <v>428</v>
      </c>
      <c r="E25" s="32" t="s">
        <v>2</v>
      </c>
      <c r="F25" s="318"/>
      <c r="G25" s="390">
        <v>1</v>
      </c>
      <c r="H25" s="390">
        <v>0</v>
      </c>
      <c r="I25" s="390">
        <f>H25</f>
        <v>0</v>
      </c>
      <c r="J25" s="390">
        <f t="shared" si="0"/>
        <v>0</v>
      </c>
      <c r="K25" s="390">
        <f t="shared" si="0"/>
        <v>0</v>
      </c>
      <c r="L25" s="390">
        <f t="shared" si="0"/>
        <v>0</v>
      </c>
      <c r="M25" s="386"/>
    </row>
    <row r="26" spans="2:13" ht="13.15" customHeight="1" x14ac:dyDescent="0.2">
      <c r="B26" s="316"/>
      <c r="C26" s="318"/>
      <c r="D26" s="3"/>
      <c r="E26" s="32"/>
      <c r="F26" s="318"/>
      <c r="G26" s="522">
        <f t="shared" ref="G26:L26" si="1">SUM(G23:G25)</f>
        <v>19</v>
      </c>
      <c r="H26" s="522">
        <f t="shared" si="1"/>
        <v>29</v>
      </c>
      <c r="I26" s="522">
        <f t="shared" si="1"/>
        <v>36</v>
      </c>
      <c r="J26" s="522">
        <f t="shared" si="1"/>
        <v>36</v>
      </c>
      <c r="K26" s="522">
        <f t="shared" si="1"/>
        <v>36</v>
      </c>
      <c r="L26" s="522">
        <f t="shared" si="1"/>
        <v>36</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426</v>
      </c>
      <c r="E28" s="32" t="s">
        <v>3</v>
      </c>
      <c r="F28" s="318"/>
      <c r="G28" s="390">
        <v>59</v>
      </c>
      <c r="H28" s="390">
        <v>58</v>
      </c>
      <c r="I28" s="390">
        <v>69</v>
      </c>
      <c r="J28" s="390">
        <f t="shared" ref="J28:L30" si="2">I28</f>
        <v>69</v>
      </c>
      <c r="K28" s="390">
        <f t="shared" si="2"/>
        <v>69</v>
      </c>
      <c r="L28" s="390">
        <f t="shared" si="2"/>
        <v>69</v>
      </c>
      <c r="M28" s="386"/>
    </row>
    <row r="29" spans="2:13" ht="13.15" customHeight="1" x14ac:dyDescent="0.2">
      <c r="B29" s="316"/>
      <c r="C29" s="318"/>
      <c r="D29" s="3" t="s">
        <v>427</v>
      </c>
      <c r="E29" s="32" t="s">
        <v>3</v>
      </c>
      <c r="F29" s="318"/>
      <c r="G29" s="390">
        <v>0</v>
      </c>
      <c r="H29" s="390">
        <f t="shared" ref="H29:I30" si="3">G29</f>
        <v>0</v>
      </c>
      <c r="I29" s="390">
        <f t="shared" si="3"/>
        <v>0</v>
      </c>
      <c r="J29" s="390">
        <f t="shared" si="2"/>
        <v>0</v>
      </c>
      <c r="K29" s="390">
        <f t="shared" si="2"/>
        <v>0</v>
      </c>
      <c r="L29" s="390">
        <f t="shared" si="2"/>
        <v>0</v>
      </c>
      <c r="M29" s="386"/>
    </row>
    <row r="30" spans="2:13" ht="13.15" customHeight="1" x14ac:dyDescent="0.2">
      <c r="B30" s="316"/>
      <c r="C30" s="318"/>
      <c r="D30" s="3" t="s">
        <v>428</v>
      </c>
      <c r="E30" s="32" t="s">
        <v>3</v>
      </c>
      <c r="F30" s="318"/>
      <c r="G30" s="390">
        <v>7</v>
      </c>
      <c r="H30" s="390">
        <f t="shared" si="3"/>
        <v>7</v>
      </c>
      <c r="I30" s="390">
        <v>0</v>
      </c>
      <c r="J30" s="390">
        <f t="shared" si="2"/>
        <v>0</v>
      </c>
      <c r="K30" s="390">
        <f t="shared" si="2"/>
        <v>0</v>
      </c>
      <c r="L30" s="390">
        <f t="shared" si="2"/>
        <v>0</v>
      </c>
      <c r="M30" s="386"/>
    </row>
    <row r="31" spans="2:13" ht="13.15" customHeight="1" x14ac:dyDescent="0.2">
      <c r="B31" s="316"/>
      <c r="C31" s="318"/>
      <c r="D31" s="3"/>
      <c r="E31" s="32"/>
      <c r="F31" s="318"/>
      <c r="G31" s="522">
        <f t="shared" ref="G31:L31" si="4">SUM(G28:G30)</f>
        <v>66</v>
      </c>
      <c r="H31" s="522">
        <f t="shared" si="4"/>
        <v>65</v>
      </c>
      <c r="I31" s="522">
        <f t="shared" si="4"/>
        <v>69</v>
      </c>
      <c r="J31" s="522">
        <f t="shared" si="4"/>
        <v>69</v>
      </c>
      <c r="K31" s="522">
        <f t="shared" si="4"/>
        <v>69</v>
      </c>
      <c r="L31" s="522">
        <f t="shared" si="4"/>
        <v>69</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426</v>
      </c>
      <c r="E33" s="32" t="s">
        <v>4</v>
      </c>
      <c r="F33" s="318"/>
      <c r="G33" s="390">
        <v>71</v>
      </c>
      <c r="H33" s="390">
        <v>76</v>
      </c>
      <c r="I33" s="390">
        <v>91</v>
      </c>
      <c r="J33" s="390">
        <f t="shared" ref="J33:L35" si="5">I33</f>
        <v>91</v>
      </c>
      <c r="K33" s="390">
        <f t="shared" si="5"/>
        <v>91</v>
      </c>
      <c r="L33" s="390">
        <f t="shared" si="5"/>
        <v>91</v>
      </c>
      <c r="M33" s="386"/>
    </row>
    <row r="34" spans="2:13" ht="13.15" customHeight="1" x14ac:dyDescent="0.2">
      <c r="B34" s="316"/>
      <c r="C34" s="318"/>
      <c r="D34" s="3" t="s">
        <v>427</v>
      </c>
      <c r="E34" s="32" t="s">
        <v>4</v>
      </c>
      <c r="F34" s="318"/>
      <c r="G34" s="390">
        <v>2</v>
      </c>
      <c r="H34" s="390">
        <v>5</v>
      </c>
      <c r="I34" s="390">
        <v>0</v>
      </c>
      <c r="J34" s="390">
        <f t="shared" si="5"/>
        <v>0</v>
      </c>
      <c r="K34" s="390">
        <f t="shared" si="5"/>
        <v>0</v>
      </c>
      <c r="L34" s="390">
        <f t="shared" si="5"/>
        <v>0</v>
      </c>
      <c r="M34" s="386"/>
    </row>
    <row r="35" spans="2:13" ht="13.15" customHeight="1" x14ac:dyDescent="0.2">
      <c r="B35" s="316"/>
      <c r="C35" s="318"/>
      <c r="D35" s="3" t="s">
        <v>428</v>
      </c>
      <c r="E35" s="32" t="s">
        <v>4</v>
      </c>
      <c r="F35" s="318"/>
      <c r="G35" s="390">
        <v>2</v>
      </c>
      <c r="H35" s="390">
        <v>1</v>
      </c>
      <c r="I35" s="390">
        <v>0</v>
      </c>
      <c r="J35" s="390">
        <f t="shared" si="5"/>
        <v>0</v>
      </c>
      <c r="K35" s="390">
        <f t="shared" si="5"/>
        <v>0</v>
      </c>
      <c r="L35" s="390">
        <f t="shared" si="5"/>
        <v>0</v>
      </c>
      <c r="M35" s="386"/>
    </row>
    <row r="36" spans="2:13" ht="13.15" customHeight="1" x14ac:dyDescent="0.2">
      <c r="B36" s="316"/>
      <c r="C36" s="318"/>
      <c r="D36" s="3"/>
      <c r="E36" s="32"/>
      <c r="F36" s="318"/>
      <c r="G36" s="522">
        <f t="shared" ref="G36:L36" si="6">SUM(G33:G35)</f>
        <v>75</v>
      </c>
      <c r="H36" s="522">
        <f t="shared" si="6"/>
        <v>82</v>
      </c>
      <c r="I36" s="522">
        <f t="shared" si="6"/>
        <v>91</v>
      </c>
      <c r="J36" s="522">
        <f t="shared" si="6"/>
        <v>91</v>
      </c>
      <c r="K36" s="522">
        <f t="shared" si="6"/>
        <v>91</v>
      </c>
      <c r="L36" s="522">
        <f t="shared" si="6"/>
        <v>91</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79</v>
      </c>
      <c r="E38" s="318"/>
      <c r="F38" s="318"/>
      <c r="G38" s="523">
        <f t="shared" ref="G38:L38" si="7">+G26+G31</f>
        <v>85</v>
      </c>
      <c r="H38" s="523">
        <f t="shared" si="7"/>
        <v>94</v>
      </c>
      <c r="I38" s="523">
        <f t="shared" si="7"/>
        <v>105</v>
      </c>
      <c r="J38" s="523">
        <f t="shared" si="7"/>
        <v>105</v>
      </c>
      <c r="K38" s="523">
        <f t="shared" si="7"/>
        <v>105</v>
      </c>
      <c r="L38" s="523">
        <f t="shared" si="7"/>
        <v>105</v>
      </c>
      <c r="M38" s="386"/>
    </row>
    <row r="39" spans="2:13" ht="13.15" customHeight="1" x14ac:dyDescent="0.2">
      <c r="B39" s="316"/>
      <c r="C39" s="318"/>
      <c r="D39" s="318" t="s">
        <v>80</v>
      </c>
      <c r="E39" s="318"/>
      <c r="F39" s="318"/>
      <c r="G39" s="523">
        <f t="shared" ref="G39:L39" si="8">+G36</f>
        <v>75</v>
      </c>
      <c r="H39" s="523">
        <f t="shared" si="8"/>
        <v>82</v>
      </c>
      <c r="I39" s="523">
        <f t="shared" si="8"/>
        <v>91</v>
      </c>
      <c r="J39" s="523">
        <f t="shared" si="8"/>
        <v>91</v>
      </c>
      <c r="K39" s="523">
        <f t="shared" si="8"/>
        <v>91</v>
      </c>
      <c r="L39" s="523">
        <f t="shared" si="8"/>
        <v>91</v>
      </c>
      <c r="M39" s="386"/>
    </row>
    <row r="40" spans="2:13" ht="13.15" customHeight="1" x14ac:dyDescent="0.2">
      <c r="B40" s="316"/>
      <c r="C40" s="318"/>
      <c r="D40" s="318" t="s">
        <v>95</v>
      </c>
      <c r="E40" s="318"/>
      <c r="F40" s="318"/>
      <c r="G40" s="523">
        <f t="shared" ref="G40:L40" si="9">SUM(G38:G39)</f>
        <v>160</v>
      </c>
      <c r="H40" s="523">
        <f t="shared" si="9"/>
        <v>176</v>
      </c>
      <c r="I40" s="523">
        <f t="shared" si="9"/>
        <v>196</v>
      </c>
      <c r="J40" s="523">
        <f t="shared" si="9"/>
        <v>196</v>
      </c>
      <c r="K40" s="523">
        <f t="shared" si="9"/>
        <v>196</v>
      </c>
      <c r="L40" s="523">
        <f t="shared" si="9"/>
        <v>196</v>
      </c>
      <c r="M40" s="386"/>
    </row>
    <row r="41" spans="2:13" ht="13.15" customHeight="1" x14ac:dyDescent="0.2">
      <c r="B41" s="316"/>
      <c r="C41" s="318"/>
      <c r="D41" s="318" t="s">
        <v>345</v>
      </c>
      <c r="E41" s="318"/>
      <c r="F41" s="318"/>
      <c r="G41" s="509">
        <v>24</v>
      </c>
      <c r="H41" s="390">
        <v>49</v>
      </c>
      <c r="I41" s="509">
        <v>54</v>
      </c>
      <c r="J41" s="509">
        <f>+I41</f>
        <v>54</v>
      </c>
      <c r="K41" s="509">
        <f>+J41</f>
        <v>54</v>
      </c>
      <c r="L41" s="509">
        <f>+K41</f>
        <v>54</v>
      </c>
      <c r="M41" s="386"/>
    </row>
    <row r="42" spans="2:13" ht="13.15" customHeight="1" x14ac:dyDescent="0.2">
      <c r="B42" s="316"/>
      <c r="C42" s="318"/>
      <c r="D42" s="318"/>
      <c r="E42" s="318"/>
      <c r="F42" s="318"/>
      <c r="G42" s="524"/>
      <c r="H42" s="1216"/>
      <c r="I42" s="524"/>
      <c r="J42" s="524"/>
      <c r="K42" s="524"/>
      <c r="L42" s="524"/>
      <c r="M42" s="386"/>
    </row>
    <row r="43" spans="2:13" ht="13.15" customHeight="1" x14ac:dyDescent="0.2">
      <c r="B43" s="316"/>
      <c r="C43" s="318"/>
      <c r="D43" s="318" t="s">
        <v>526</v>
      </c>
      <c r="E43" s="318"/>
      <c r="F43" s="318"/>
      <c r="G43" s="524"/>
      <c r="H43" s="1216"/>
      <c r="I43" s="524"/>
      <c r="J43" s="524"/>
      <c r="K43" s="524"/>
      <c r="L43" s="524"/>
      <c r="M43" s="386"/>
    </row>
    <row r="44" spans="2:13" ht="13.15" customHeight="1" x14ac:dyDescent="0.2">
      <c r="B44" s="316"/>
      <c r="C44" s="318"/>
      <c r="D44" s="318" t="s">
        <v>79</v>
      </c>
      <c r="E44" s="318"/>
      <c r="F44" s="318"/>
      <c r="G44" s="509">
        <v>0</v>
      </c>
      <c r="H44" s="509">
        <f t="shared" ref="H44:L45" si="10">G44</f>
        <v>0</v>
      </c>
      <c r="I44" s="509">
        <f t="shared" si="10"/>
        <v>0</v>
      </c>
      <c r="J44" s="509">
        <f t="shared" si="10"/>
        <v>0</v>
      </c>
      <c r="K44" s="509">
        <f t="shared" si="10"/>
        <v>0</v>
      </c>
      <c r="L44" s="509">
        <f t="shared" si="10"/>
        <v>0</v>
      </c>
      <c r="M44" s="386"/>
    </row>
    <row r="45" spans="2:13" ht="13.15" customHeight="1" x14ac:dyDescent="0.2">
      <c r="B45" s="316"/>
      <c r="C45" s="318"/>
      <c r="D45" s="318" t="s">
        <v>80</v>
      </c>
      <c r="E45" s="318"/>
      <c r="F45" s="318"/>
      <c r="G45" s="510">
        <v>0</v>
      </c>
      <c r="H45" s="509">
        <f t="shared" si="10"/>
        <v>0</v>
      </c>
      <c r="I45" s="509">
        <f t="shared" si="10"/>
        <v>0</v>
      </c>
      <c r="J45" s="509">
        <f t="shared" si="10"/>
        <v>0</v>
      </c>
      <c r="K45" s="509">
        <f t="shared" si="10"/>
        <v>0</v>
      </c>
      <c r="L45" s="509">
        <f t="shared" si="10"/>
        <v>0</v>
      </c>
      <c r="M45" s="386"/>
    </row>
    <row r="46" spans="2:13" ht="13.15" customHeight="1" x14ac:dyDescent="0.2">
      <c r="B46" s="316"/>
      <c r="C46" s="318"/>
      <c r="D46" s="318" t="s">
        <v>95</v>
      </c>
      <c r="E46" s="318"/>
      <c r="F46" s="318"/>
      <c r="G46" s="523">
        <f t="shared" ref="G46:L46" si="11">SUM(G44:G45)</f>
        <v>0</v>
      </c>
      <c r="H46" s="523">
        <f t="shared" si="11"/>
        <v>0</v>
      </c>
      <c r="I46" s="523">
        <f t="shared" si="11"/>
        <v>0</v>
      </c>
      <c r="J46" s="523">
        <f t="shared" si="11"/>
        <v>0</v>
      </c>
      <c r="K46" s="523">
        <f t="shared" si="11"/>
        <v>0</v>
      </c>
      <c r="L46" s="523">
        <f t="shared" si="11"/>
        <v>0</v>
      </c>
      <c r="M46" s="386"/>
    </row>
    <row r="47" spans="2:13" ht="13.15" customHeight="1" x14ac:dyDescent="0.2">
      <c r="B47" s="316"/>
      <c r="C47" s="318"/>
      <c r="D47" s="318" t="s">
        <v>345</v>
      </c>
      <c r="E47" s="318"/>
      <c r="F47" s="318"/>
      <c r="G47" s="509">
        <v>0</v>
      </c>
      <c r="H47" s="509">
        <f>+G47</f>
        <v>0</v>
      </c>
      <c r="I47" s="509">
        <f>+H47</f>
        <v>0</v>
      </c>
      <c r="J47" s="509">
        <f>+I47</f>
        <v>0</v>
      </c>
      <c r="K47" s="509">
        <f>+J47</f>
        <v>0</v>
      </c>
      <c r="L47" s="509">
        <f>+K47</f>
        <v>0</v>
      </c>
      <c r="M47" s="386"/>
    </row>
    <row r="48" spans="2:13" ht="13.15" customHeight="1" x14ac:dyDescent="0.2">
      <c r="B48" s="316"/>
      <c r="C48" s="318"/>
      <c r="D48" s="318"/>
      <c r="E48" s="318"/>
      <c r="F48" s="318"/>
      <c r="G48" s="524"/>
      <c r="H48" s="524"/>
      <c r="I48" s="524"/>
      <c r="J48" s="524"/>
      <c r="K48" s="524"/>
      <c r="L48" s="524"/>
      <c r="M48" s="386"/>
    </row>
    <row r="49" spans="2:13" ht="13.15" customHeight="1" x14ac:dyDescent="0.2">
      <c r="B49" s="316"/>
      <c r="C49" s="318"/>
      <c r="D49" s="318" t="s">
        <v>471</v>
      </c>
      <c r="E49" s="318"/>
      <c r="F49" s="318"/>
      <c r="G49" s="525">
        <f t="shared" ref="G49:L49" si="12">+G40+G46</f>
        <v>160</v>
      </c>
      <c r="H49" s="525">
        <f t="shared" si="12"/>
        <v>176</v>
      </c>
      <c r="I49" s="525">
        <f t="shared" si="12"/>
        <v>196</v>
      </c>
      <c r="J49" s="525">
        <f t="shared" si="12"/>
        <v>196</v>
      </c>
      <c r="K49" s="525">
        <f t="shared" si="12"/>
        <v>196</v>
      </c>
      <c r="L49" s="525">
        <f t="shared" si="12"/>
        <v>196</v>
      </c>
      <c r="M49" s="386"/>
    </row>
    <row r="50" spans="2:13" ht="13.15" customHeight="1" x14ac:dyDescent="0.2">
      <c r="B50" s="316"/>
      <c r="C50" s="318"/>
      <c r="D50" s="318"/>
      <c r="E50" s="318"/>
      <c r="F50" s="318"/>
      <c r="G50" s="524"/>
      <c r="H50" s="524"/>
      <c r="I50" s="524"/>
      <c r="J50" s="524"/>
      <c r="K50" s="524"/>
      <c r="L50" s="524"/>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4" t="s">
        <v>430</v>
      </c>
      <c r="E53" s="514"/>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1" t="s">
        <v>562</v>
      </c>
      <c r="E55" s="317"/>
      <c r="F55" s="317"/>
      <c r="G55" s="326"/>
      <c r="H55" s="326"/>
      <c r="I55" s="326"/>
      <c r="J55" s="326"/>
      <c r="K55" s="326"/>
      <c r="L55" s="326"/>
      <c r="M55" s="386"/>
    </row>
    <row r="56" spans="2:13" ht="13.15" customHeight="1" x14ac:dyDescent="0.2">
      <c r="B56" s="316"/>
      <c r="D56" s="521" t="s">
        <v>563</v>
      </c>
      <c r="E56" s="317"/>
      <c r="F56" s="317"/>
      <c r="G56" s="326"/>
      <c r="H56" s="326"/>
      <c r="I56" s="326"/>
      <c r="J56" s="326"/>
      <c r="K56" s="326"/>
      <c r="L56" s="326"/>
      <c r="M56" s="386"/>
    </row>
    <row r="57" spans="2:13" ht="13.15" customHeight="1" x14ac:dyDescent="0.2">
      <c r="B57" s="316"/>
      <c r="D57" s="521" t="s">
        <v>564</v>
      </c>
      <c r="E57" s="317"/>
      <c r="F57" s="317"/>
      <c r="G57" s="326"/>
      <c r="H57" s="326"/>
      <c r="I57" s="326"/>
      <c r="J57" s="326"/>
      <c r="K57" s="326"/>
      <c r="L57" s="326"/>
      <c r="M57" s="386"/>
    </row>
    <row r="58" spans="2:13" ht="13.15" customHeight="1" x14ac:dyDescent="0.2">
      <c r="B58" s="316"/>
      <c r="D58" s="521" t="s">
        <v>565</v>
      </c>
      <c r="E58" s="317"/>
      <c r="F58" s="317"/>
      <c r="G58" s="326"/>
      <c r="H58" s="326"/>
      <c r="I58" s="326"/>
      <c r="J58" s="326"/>
      <c r="K58" s="326"/>
      <c r="L58" s="326"/>
      <c r="M58" s="386"/>
    </row>
    <row r="59" spans="2:13" ht="13.15" customHeight="1" x14ac:dyDescent="0.2">
      <c r="B59" s="316"/>
      <c r="D59" s="521" t="s">
        <v>566</v>
      </c>
      <c r="E59" s="317"/>
      <c r="F59" s="317"/>
      <c r="G59" s="326"/>
      <c r="H59" s="326"/>
      <c r="I59" s="326"/>
      <c r="J59" s="326"/>
      <c r="K59" s="326"/>
      <c r="L59" s="326"/>
      <c r="M59" s="386"/>
    </row>
    <row r="60" spans="2:13" ht="13.15" customHeight="1" x14ac:dyDescent="0.2">
      <c r="B60" s="316"/>
      <c r="D60" s="521"/>
      <c r="E60" s="317"/>
      <c r="F60" s="317"/>
      <c r="G60" s="326"/>
      <c r="H60" s="326"/>
      <c r="I60" s="326"/>
      <c r="J60" s="326"/>
      <c r="K60" s="326"/>
      <c r="L60" s="326"/>
      <c r="M60" s="386"/>
    </row>
    <row r="61" spans="2:13" ht="13.15" customHeight="1" x14ac:dyDescent="0.2">
      <c r="B61" s="316"/>
      <c r="C61" s="401"/>
      <c r="D61" s="511"/>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76" t="s">
        <v>424</v>
      </c>
      <c r="E68" s="545"/>
      <c r="F68" s="545"/>
      <c r="G68" s="1075"/>
      <c r="H68" s="1075"/>
    </row>
    <row r="69" spans="4:8" ht="13.15" customHeight="1" x14ac:dyDescent="0.2">
      <c r="D69" s="545"/>
      <c r="E69" s="545"/>
      <c r="F69" s="545"/>
      <c r="G69" s="1075"/>
      <c r="H69" s="1075"/>
    </row>
    <row r="70" spans="4:8" ht="13.15" customHeight="1" x14ac:dyDescent="0.2">
      <c r="D70" s="545" t="s">
        <v>73</v>
      </c>
      <c r="E70" s="545" t="s">
        <v>85</v>
      </c>
      <c r="F70" s="545"/>
      <c r="G70" s="1075"/>
      <c r="H70" s="1075"/>
    </row>
    <row r="71" spans="4:8" ht="13.15" customHeight="1" x14ac:dyDescent="0.2">
      <c r="D71" s="545" t="s">
        <v>4</v>
      </c>
      <c r="E71" s="545" t="s">
        <v>18</v>
      </c>
      <c r="F71" s="545"/>
      <c r="G71" s="1075"/>
      <c r="H71" s="1075"/>
    </row>
    <row r="72" spans="4:8" ht="13.15" customHeight="1" x14ac:dyDescent="0.2">
      <c r="D72" s="545" t="s">
        <v>39</v>
      </c>
      <c r="E72" s="545"/>
      <c r="F72" s="545"/>
      <c r="G72" s="1075"/>
      <c r="H72" s="1075"/>
    </row>
    <row r="73" spans="4:8" ht="13.15" customHeight="1" x14ac:dyDescent="0.2">
      <c r="D73" s="545"/>
      <c r="E73" s="545"/>
      <c r="F73" s="545"/>
      <c r="G73" s="1075"/>
      <c r="H73" s="1075"/>
    </row>
    <row r="74" spans="4:8" ht="13.15" customHeight="1" x14ac:dyDescent="0.2">
      <c r="D74" s="545" t="s">
        <v>45</v>
      </c>
      <c r="E74" s="545"/>
      <c r="F74" s="545"/>
      <c r="G74" s="1075"/>
      <c r="H74" s="1075"/>
    </row>
    <row r="75" spans="4:8" ht="13.15" customHeight="1" x14ac:dyDescent="0.2">
      <c r="D75" s="546" t="s">
        <v>47</v>
      </c>
      <c r="E75" s="545"/>
      <c r="F75" s="545"/>
      <c r="G75" s="1075"/>
      <c r="H75" s="1075"/>
    </row>
    <row r="76" spans="4:8" ht="13.15" customHeight="1" x14ac:dyDescent="0.2">
      <c r="D76" s="546" t="s">
        <v>81</v>
      </c>
      <c r="E76" s="545"/>
      <c r="F76" s="545"/>
      <c r="G76" s="1075"/>
      <c r="H76" s="1075"/>
    </row>
    <row r="77" spans="4:8" ht="13.15" customHeight="1" x14ac:dyDescent="0.2">
      <c r="D77" s="546" t="s">
        <v>46</v>
      </c>
      <c r="E77" s="545"/>
      <c r="F77" s="545"/>
      <c r="G77" s="1075"/>
      <c r="H77" s="1075"/>
    </row>
    <row r="78" spans="4:8" ht="13.15" customHeight="1" x14ac:dyDescent="0.2">
      <c r="D78" s="546" t="s">
        <v>83</v>
      </c>
      <c r="E78" s="545"/>
      <c r="F78" s="545"/>
      <c r="G78" s="1075"/>
      <c r="H78" s="1075"/>
    </row>
    <row r="79" spans="4:8" ht="13.15" customHeight="1" x14ac:dyDescent="0.2">
      <c r="D79" s="5"/>
    </row>
    <row r="80" spans="4:8" ht="13.15" customHeight="1" x14ac:dyDescent="0.2">
      <c r="D80" s="5"/>
    </row>
  </sheetData>
  <sheetProtection algorithmName="SHA-512" hashValue="3RMOJCyGUCKuplSVVitKiKJbC4ZAu4OdnrW5YztJAglm/uivVCKQc2kXt6dhnEX68giNkqtgyDjPLroIMzQexA==" saltValue="RRgvZB/Pl1bJkc+lDwWzRg==" spinCount="100000" sheet="1" objects="1" scenarios="1"/>
  <dataValidations count="3">
    <dataValidation type="list" allowBlank="1" showInputMessage="1" showErrorMessage="1" sqref="H11" xr:uid="{00000000-0002-0000-0100-000000000000}">
      <formula1>$D$69:$D$72</formula1>
    </dataValidation>
    <dataValidation type="list" allowBlank="1" showInputMessage="1" showErrorMessage="1" sqref="H12" xr:uid="{00000000-0002-0000-0100-000001000000}">
      <formula1>$D$73:$D$78</formula1>
    </dataValidation>
    <dataValidation type="list" allowBlank="1" showInputMessage="1" showErrorMessage="1" sqref="H13" xr:uid="{00000000-0002-0000-0100-000002000000}">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77"/>
  <sheetViews>
    <sheetView zoomScale="85" zoomScaleNormal="85" zoomScaleSheetLayoutView="85" workbookViewId="0">
      <selection activeCell="B2" sqref="B2"/>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7" width="14.85546875" style="328" hidden="1" customWidth="1"/>
    <col min="8" max="11" width="14.85546875" style="328" customWidth="1"/>
    <col min="12" max="12" width="14.85546875" style="315" customWidth="1"/>
    <col min="13" max="13" width="2.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8" customHeight="1" x14ac:dyDescent="0.3">
      <c r="B4" s="515"/>
      <c r="C4" s="387" t="s">
        <v>407</v>
      </c>
      <c r="D4" s="516"/>
      <c r="E4" s="516"/>
      <c r="F4" s="516"/>
      <c r="G4" s="517"/>
      <c r="H4" s="517"/>
      <c r="I4" s="517"/>
      <c r="J4" s="517"/>
      <c r="K4" s="517"/>
      <c r="L4" s="517"/>
      <c r="M4" s="518"/>
    </row>
    <row r="5" spans="2:13" ht="13.15" customHeight="1" x14ac:dyDescent="0.25">
      <c r="B5" s="316"/>
      <c r="C5" s="388" t="str">
        <f>geg!H9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6"/>
      <c r="H7" s="368"/>
      <c r="I7" s="368"/>
      <c r="J7" s="368"/>
      <c r="K7" s="368"/>
      <c r="L7" s="368"/>
      <c r="M7" s="386"/>
    </row>
    <row r="8" spans="2:13" ht="13.15" customHeight="1" x14ac:dyDescent="0.2">
      <c r="B8" s="316"/>
      <c r="C8" s="344"/>
      <c r="D8" s="344"/>
      <c r="E8" s="512" t="s">
        <v>48</v>
      </c>
      <c r="F8" s="513"/>
      <c r="G8" s="1136" t="s">
        <v>49</v>
      </c>
      <c r="H8" s="1136" t="s">
        <v>72</v>
      </c>
      <c r="I8" s="1136" t="s">
        <v>340</v>
      </c>
      <c r="J8" s="1136" t="s">
        <v>342</v>
      </c>
      <c r="K8" s="1136" t="s">
        <v>439</v>
      </c>
      <c r="L8" s="1136" t="s">
        <v>572</v>
      </c>
      <c r="M8" s="386"/>
    </row>
    <row r="9" spans="2:13" ht="13.15" customHeight="1" x14ac:dyDescent="0.2">
      <c r="B9" s="316"/>
      <c r="C9" s="344"/>
      <c r="D9" s="344"/>
      <c r="E9" s="512" t="s">
        <v>50</v>
      </c>
      <c r="F9" s="513"/>
      <c r="G9" s="1137">
        <f>+tab!D3</f>
        <v>43374</v>
      </c>
      <c r="H9" s="1137">
        <f>+tab!E3</f>
        <v>43739</v>
      </c>
      <c r="I9" s="1137">
        <f>+tab!F3</f>
        <v>44105</v>
      </c>
      <c r="J9" s="1137">
        <f>+tab!G3</f>
        <v>44470</v>
      </c>
      <c r="K9" s="1137">
        <f>+tab!H3</f>
        <v>44835</v>
      </c>
      <c r="L9" s="1137">
        <f>+tab!I3</f>
        <v>45200</v>
      </c>
      <c r="M9" s="386"/>
    </row>
    <row r="10" spans="2:13" ht="13.15" customHeight="1" x14ac:dyDescent="0.2">
      <c r="B10" s="316"/>
      <c r="C10" s="344"/>
      <c r="D10" s="344"/>
      <c r="E10" s="512" t="s">
        <v>418</v>
      </c>
      <c r="F10" s="513"/>
      <c r="G10" s="1138">
        <f>tab!C5</f>
        <v>43497</v>
      </c>
      <c r="H10" s="1138">
        <f>tab!D5</f>
        <v>43862</v>
      </c>
      <c r="I10" s="1138">
        <f>tab!E5</f>
        <v>44228</v>
      </c>
      <c r="J10" s="1138">
        <f>tab!F5</f>
        <v>44593</v>
      </c>
      <c r="K10" s="1138">
        <f>tab!G5</f>
        <v>44958</v>
      </c>
      <c r="L10" s="1138">
        <f>tab!H5</f>
        <v>45323</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13"/>
    </row>
    <row r="13" spans="2:13" ht="13.15" customHeight="1" x14ac:dyDescent="0.2">
      <c r="B13" s="316"/>
      <c r="C13" s="318"/>
      <c r="D13" s="535" t="s">
        <v>289</v>
      </c>
      <c r="E13" s="318"/>
      <c r="F13" s="318"/>
      <c r="G13" s="320"/>
      <c r="H13" s="320"/>
      <c r="I13" s="320"/>
      <c r="J13" s="320"/>
      <c r="K13" s="320"/>
      <c r="L13" s="320"/>
      <c r="M13" s="1213"/>
    </row>
    <row r="14" spans="2:13" ht="13.15" customHeight="1" x14ac:dyDescent="0.2">
      <c r="B14" s="316"/>
      <c r="C14" s="318"/>
      <c r="D14" s="318"/>
      <c r="E14" s="318"/>
      <c r="F14" s="318"/>
      <c r="G14" s="320"/>
      <c r="H14" s="320"/>
      <c r="I14" s="320"/>
      <c r="J14" s="320"/>
      <c r="K14" s="320"/>
      <c r="L14" s="320"/>
      <c r="M14" s="1213"/>
    </row>
    <row r="15" spans="2:13" ht="13.15" customHeight="1" x14ac:dyDescent="0.2">
      <c r="B15" s="316"/>
      <c r="C15" s="318"/>
      <c r="D15" s="551" t="s">
        <v>74</v>
      </c>
      <c r="E15" s="334"/>
      <c r="F15" s="334"/>
      <c r="G15" s="320"/>
      <c r="H15" s="320"/>
      <c r="I15" s="320"/>
      <c r="J15" s="320"/>
      <c r="K15" s="320"/>
      <c r="L15" s="320"/>
      <c r="M15" s="1213"/>
    </row>
    <row r="16" spans="2:13" ht="13.15" customHeight="1" x14ac:dyDescent="0.2">
      <c r="B16" s="316"/>
      <c r="C16" s="318"/>
      <c r="D16" s="334" t="s">
        <v>5</v>
      </c>
      <c r="E16" s="334"/>
      <c r="F16" s="334"/>
      <c r="G16" s="536">
        <f>IF(geg!G40=0,0,+tab!$C$46+tab!$D$46*geg!G$21)</f>
        <v>86060.28899999999</v>
      </c>
      <c r="H16" s="536">
        <f>IF(geg!H40=0,0,+tab!$C$70+tab!$D$70*geg!H$21)</f>
        <v>91883.222800000003</v>
      </c>
      <c r="I16" s="536">
        <f>IF(geg!I40=0,0,+tab!$C$94+tab!$D$94*geg!I$21)</f>
        <v>93585.38</v>
      </c>
      <c r="J16" s="536">
        <f>IF(geg!J40=0,0,+tab!$C$94+tab!$D$94*geg!J$21)</f>
        <v>95023.48</v>
      </c>
      <c r="K16" s="536">
        <f>IF(geg!K40=0,0,+tab!$C$94+tab!$D$94*geg!K$21)</f>
        <v>96461.579999999987</v>
      </c>
      <c r="L16" s="536">
        <f>IF(geg!L40=0,0,+tab!$C$94+tab!$D$94*geg!L$21)</f>
        <v>97899.68</v>
      </c>
      <c r="M16" s="1213"/>
    </row>
    <row r="17" spans="2:13" ht="13.15" customHeight="1" x14ac:dyDescent="0.2">
      <c r="B17" s="316"/>
      <c r="C17" s="318"/>
      <c r="D17" s="334" t="s">
        <v>6</v>
      </c>
      <c r="E17" s="391"/>
      <c r="F17" s="391"/>
      <c r="G17" s="536">
        <f>IF(geg!G40=0,0,IF(AND(geg!G40&gt;49,geg!$H11="SOVSO"),tab!$F54,IF(OR(geg!$H13="ja",geg!G40&gt;49),tab!$E53,tab!$C53)))</f>
        <v>61580.220000000016</v>
      </c>
      <c r="H17" s="536">
        <f>IF(geg!H40=0,0,IF(AND(geg!H40&gt;49,geg!$H11="SOVSO"),tab!$F78,IF(OR(geg!$H13="ja",geg!H40&gt;49),tab!$E77,tab!$C77)))</f>
        <v>61135.39999999998</v>
      </c>
      <c r="I17" s="536">
        <f>IF(geg!I40=0,0,IF(AND(geg!I40&gt;49,geg!$H11="SOVSO"),tab!$F102,IF(OR(geg!$H13="ja",geg!I40&gt;49),tab!$E101,tab!$C101)))</f>
        <v>61580.220000000016</v>
      </c>
      <c r="J17" s="536">
        <f>IF(geg!J40=0,0,IF(AND(geg!J40&gt;49,geg!$H11="SOVSO"),tab!$F102,IF(OR(geg!$H13="ja",geg!J40&gt;49),tab!$E101,tab!$C101)))</f>
        <v>61580.220000000016</v>
      </c>
      <c r="K17" s="536">
        <f>IF(geg!K40=0,0,IF(AND(geg!K40&gt;49,geg!$H11="SOVSO"),tab!$F102,IF(OR(geg!$H13="ja",geg!K40&gt;49),tab!$E101,tab!$C101)))</f>
        <v>61580.220000000016</v>
      </c>
      <c r="L17" s="536">
        <f>IF(geg!L40=0,0,IF(AND(geg!L40&gt;49,geg!$H11="SOVSO"),tab!$F102,IF(OR(geg!$H13="ja",geg!L40&gt;49),tab!$E101,tab!$C101)))</f>
        <v>61580.220000000016</v>
      </c>
      <c r="M17" s="1213"/>
    </row>
    <row r="18" spans="2:13" ht="13.15" customHeight="1" x14ac:dyDescent="0.2">
      <c r="B18" s="316"/>
      <c r="C18" s="318"/>
      <c r="D18" s="334" t="s">
        <v>7</v>
      </c>
      <c r="E18" s="334"/>
      <c r="F18" s="334"/>
      <c r="G18" s="536">
        <f>+geg!G26*(tab!$C$47+tab!$D$47*geg!G21)</f>
        <v>78731.516000000003</v>
      </c>
      <c r="H18" s="536">
        <f>+geg!H26*(tab!$C$71+tab!$D$71*geg!H21)</f>
        <v>128298.697</v>
      </c>
      <c r="I18" s="536">
        <f>+geg!I26*(tab!$C$95+tab!$D$95*geg!I21)</f>
        <v>162230.04</v>
      </c>
      <c r="J18" s="536">
        <f>+geg!J26*(tab!$C$95+tab!$D$95*geg!J21)</f>
        <v>164723.04</v>
      </c>
      <c r="K18" s="536">
        <f>+geg!K26*(tab!$C$95+tab!$D$95*geg!K21)</f>
        <v>167216.04</v>
      </c>
      <c r="L18" s="536">
        <f>+geg!L26*(tab!$C$95+tab!$D$95*geg!L21)</f>
        <v>169709.04</v>
      </c>
      <c r="M18" s="1213"/>
    </row>
    <row r="19" spans="2:13" ht="13.15" customHeight="1" x14ac:dyDescent="0.2">
      <c r="B19" s="316"/>
      <c r="C19" s="318"/>
      <c r="D19" s="334" t="s">
        <v>8</v>
      </c>
      <c r="E19" s="334"/>
      <c r="F19" s="334"/>
      <c r="G19" s="536">
        <f>+geg!G31*(tab!$C$48+tab!$D$48*geg!G$21)</f>
        <v>190241.63399999996</v>
      </c>
      <c r="H19" s="536">
        <f>+geg!H31*(tab!$C$72+tab!$D$72*geg!H$21)</f>
        <v>200022.56299999999</v>
      </c>
      <c r="I19" s="536">
        <f>+geg!I31*(tab!$C$96+tab!$D$96*geg!I$21)</f>
        <v>216287.4</v>
      </c>
      <c r="J19" s="536">
        <f>+geg!J31*(tab!$C$96+tab!$D$96*geg!J$21)</f>
        <v>219611.13</v>
      </c>
      <c r="K19" s="536">
        <f>+geg!K31*(tab!$C$96+tab!$D$96*geg!K$21)</f>
        <v>222934.86000000002</v>
      </c>
      <c r="L19" s="536">
        <f>+geg!L31*(tab!$C$96+tab!$D$96*geg!L$21)</f>
        <v>226258.59</v>
      </c>
      <c r="M19" s="1213"/>
    </row>
    <row r="20" spans="2:13" ht="13.15" customHeight="1" x14ac:dyDescent="0.2">
      <c r="B20" s="316"/>
      <c r="C20" s="318"/>
      <c r="D20" s="334" t="s">
        <v>9</v>
      </c>
      <c r="E20" s="334"/>
      <c r="F20" s="334"/>
      <c r="G20" s="536">
        <f>+geg!G36*(tab!$C$49+tab!$D$49*geg!G$21)</f>
        <v>420801.52499999997</v>
      </c>
      <c r="H20" s="536">
        <f>+geg!H36*(tab!$C$73+tab!$D$73*geg!H$21)</f>
        <v>491220.29480000009</v>
      </c>
      <c r="I20" s="536">
        <f>+geg!I36*(tab!$C$97+tab!$D$97*geg!I$21)</f>
        <v>555231.04</v>
      </c>
      <c r="J20" s="536">
        <f>+geg!J36*(tab!$C$97+tab!$D$97*geg!J$21)</f>
        <v>563763.20000000007</v>
      </c>
      <c r="K20" s="536">
        <f>+geg!K36*(tab!$C$97+tab!$D$97*geg!K$21)</f>
        <v>572295.36</v>
      </c>
      <c r="L20" s="536">
        <f>+geg!L36*(tab!$C$97+tab!$D$97*geg!L$21)</f>
        <v>580827.52</v>
      </c>
      <c r="M20" s="1213"/>
    </row>
    <row r="21" spans="2:13" ht="13.15" customHeight="1" x14ac:dyDescent="0.2">
      <c r="B21" s="316"/>
      <c r="C21" s="318"/>
      <c r="D21" s="318" t="s">
        <v>348</v>
      </c>
      <c r="E21" s="318"/>
      <c r="F21" s="318"/>
      <c r="G21" s="536">
        <f>IF((geg!G41-4)&lt;0,0,(geg!G41-4)*(tab!$C50+ROUND(geg!G21*tab!$D50,2)))</f>
        <v>56472.799999999996</v>
      </c>
      <c r="H21" s="536">
        <f>IF((geg!H41-4)&lt;0,0,(geg!H41-4)*(tab!$C74+ROUND(geg!H21*tab!$D74,2)))</f>
        <v>135667.80000000002</v>
      </c>
      <c r="I21" s="536">
        <f>IF((geg!I41-4)&lt;0,0,(geg!I41-4)*(tab!$C98+ROUND(geg!I21*tab!$D98,2)))</f>
        <v>153519</v>
      </c>
      <c r="J21" s="536">
        <f>IF((geg!J41-4)&lt;0,0,(geg!J41-4)*(tab!$C98+ROUND(geg!J21*tab!$D98,2)))</f>
        <v>155878.00000000003</v>
      </c>
      <c r="K21" s="536">
        <f>IF((geg!K41-4)&lt;0,0,(geg!K41-4)*(tab!$C98+ROUND(geg!K21*tab!$D98,2)))</f>
        <v>158237</v>
      </c>
      <c r="L21" s="536">
        <f>IF((geg!L41-4)&lt;0,0,(geg!L41-4)*(tab!$C98+ROUND(geg!L21*tab!$D98,2)))</f>
        <v>160596</v>
      </c>
      <c r="M21" s="1213"/>
    </row>
    <row r="22" spans="2:13" ht="13.15" customHeight="1" x14ac:dyDescent="0.2">
      <c r="B22" s="316"/>
      <c r="C22" s="318"/>
      <c r="D22" s="1263"/>
      <c r="E22" s="334"/>
      <c r="F22" s="334"/>
      <c r="G22" s="537">
        <f t="shared" ref="G22:L22" si="0">SUM(G16:G21)</f>
        <v>893887.98399999994</v>
      </c>
      <c r="H22" s="537">
        <f t="shared" si="0"/>
        <v>1108227.9776000001</v>
      </c>
      <c r="I22" s="537">
        <f t="shared" si="0"/>
        <v>1242433.08</v>
      </c>
      <c r="J22" s="537">
        <f t="shared" si="0"/>
        <v>1260579.07</v>
      </c>
      <c r="K22" s="537">
        <f t="shared" si="0"/>
        <v>1278725.06</v>
      </c>
      <c r="L22" s="537">
        <f t="shared" si="0"/>
        <v>1296871.05</v>
      </c>
      <c r="M22" s="1213"/>
    </row>
    <row r="23" spans="2:13" ht="13.15" customHeight="1" x14ac:dyDescent="0.2">
      <c r="B23" s="316"/>
      <c r="C23" s="318"/>
      <c r="D23" s="550" t="s">
        <v>86</v>
      </c>
      <c r="E23" s="318"/>
      <c r="F23" s="318"/>
      <c r="G23" s="392"/>
      <c r="H23" s="392"/>
      <c r="I23" s="392"/>
      <c r="J23" s="392"/>
      <c r="K23" s="392"/>
      <c r="L23" s="392"/>
      <c r="M23" s="1213"/>
    </row>
    <row r="24" spans="2:13" ht="13.15" customHeight="1" x14ac:dyDescent="0.2">
      <c r="B24" s="316"/>
      <c r="C24" s="318"/>
      <c r="D24" s="334" t="s">
        <v>432</v>
      </c>
      <c r="E24" s="334"/>
      <c r="F24" s="334"/>
      <c r="G24" s="536">
        <f>IF(geg!G40=0,0,+geg!G23*tab!$F$47+geg!G24*tab!$G$47+geg!G25*tab!$H$47)</f>
        <v>210537.59999999998</v>
      </c>
      <c r="H24" s="536">
        <f>IF(geg!H40=0,0,+geg!H23*tab!$F$71+geg!H24*tab!$G$71+geg!H25*tab!$H$71)</f>
        <v>311356.76</v>
      </c>
      <c r="I24" s="536">
        <f>IF(geg!I40=0,0,+geg!I23*tab!$F$95+geg!I24*tab!$G$95+geg!I25*tab!$H$95)</f>
        <v>389321.64</v>
      </c>
      <c r="J24" s="536">
        <f>IF(geg!J40=0,0,+geg!J23*tab!$F$95+geg!J24*tab!$G$95+geg!J25*tab!$H$95)</f>
        <v>389321.64</v>
      </c>
      <c r="K24" s="536">
        <f>IF(geg!K40=0,0,+geg!K23*tab!$F$95+geg!K24*tab!$G$95+geg!K25*tab!$H$95)</f>
        <v>389321.64</v>
      </c>
      <c r="L24" s="536">
        <f>IF(geg!L40=0,0,+geg!L23*tab!$F$95+geg!L24*tab!$G$95+geg!L25*tab!$H$95)</f>
        <v>389321.64</v>
      </c>
      <c r="M24" s="1213"/>
    </row>
    <row r="25" spans="2:13" ht="13.15" customHeight="1" x14ac:dyDescent="0.2">
      <c r="B25" s="316"/>
      <c r="C25" s="318"/>
      <c r="D25" s="334" t="s">
        <v>433</v>
      </c>
      <c r="E25" s="334"/>
      <c r="F25" s="334"/>
      <c r="G25" s="536">
        <f>IF(geg!G40=0,0,+geg!G28*tab!$F$48+geg!G29*tab!$G$48+geg!G30*tab!$H$48)</f>
        <v>733400.1</v>
      </c>
      <c r="H25" s="536">
        <f>IF(geg!H40=0,0,+geg!H28*tab!$F$72+geg!H29*tab!$G$72+geg!H30*tab!$H$72)</f>
        <v>746720.24</v>
      </c>
      <c r="I25" s="536">
        <f>IF(geg!I40=0,0,+geg!I28*tab!$F$96+geg!I29*tab!$G$96+geg!I30*tab!$H$96)</f>
        <v>682920.6</v>
      </c>
      <c r="J25" s="536">
        <f>IF(geg!J40=0,0,+geg!J28*tab!$F$96+geg!J29*tab!$G$96+geg!J30*tab!$H$96)</f>
        <v>682920.6</v>
      </c>
      <c r="K25" s="536">
        <f>IF(geg!K40=0,0,+geg!K28*tab!$F$96+geg!K29*tab!$G$96+geg!K30*tab!$H$96)</f>
        <v>682920.6</v>
      </c>
      <c r="L25" s="536">
        <f>IF(geg!L40=0,0,+geg!L28*tab!$F$96+geg!L29*tab!$G$96+geg!L30*tab!$H$96)</f>
        <v>682920.6</v>
      </c>
      <c r="M25" s="1213"/>
    </row>
    <row r="26" spans="2:13" ht="13.15" customHeight="1" x14ac:dyDescent="0.2">
      <c r="B26" s="316"/>
      <c r="C26" s="318"/>
      <c r="D26" s="334" t="s">
        <v>434</v>
      </c>
      <c r="E26" s="334"/>
      <c r="F26" s="334"/>
      <c r="G26" s="536">
        <f>IF(geg!G40=0,0,+geg!G33*tab!$F$49+geg!G34*tab!$G$49+geg!G35*tab!$H$49)</f>
        <v>839008.79999999993</v>
      </c>
      <c r="H26" s="536">
        <f>IF(geg!H40=0,0,+geg!H33*tab!$F$73+geg!H34*tab!$G$73+geg!H35*tab!$H$73)</f>
        <v>954293.81000000017</v>
      </c>
      <c r="I26" s="536">
        <f>IF(geg!I40=0,0,+geg!I33*tab!$F$97+geg!I34*tab!$G$97+geg!I35*tab!$H$97)</f>
        <v>1005950.4</v>
      </c>
      <c r="J26" s="536">
        <f>IF(geg!J40=0,0,+geg!J33*tab!$F$97+geg!J34*tab!$G$97+geg!J35*tab!$H$97)</f>
        <v>1005950.4</v>
      </c>
      <c r="K26" s="536">
        <f>IF(geg!K40=0,0,+geg!K33*tab!$F$97+geg!K34*tab!$G$97+geg!K35*tab!$H$97)</f>
        <v>1005950.4</v>
      </c>
      <c r="L26" s="536">
        <f>IF(geg!L40=0,0,+geg!L33*tab!$F$97+geg!L34*tab!$G$97+geg!L35*tab!$H$97)</f>
        <v>1005950.4</v>
      </c>
      <c r="M26" s="1213"/>
    </row>
    <row r="27" spans="2:13" ht="13.15" customHeight="1" x14ac:dyDescent="0.2">
      <c r="B27" s="316"/>
      <c r="C27" s="318"/>
      <c r="D27" s="318"/>
      <c r="E27" s="318"/>
      <c r="F27" s="318"/>
      <c r="G27" s="537">
        <f t="shared" ref="G27:L27" si="1">SUM(G24:G26)</f>
        <v>1782946.5</v>
      </c>
      <c r="H27" s="537">
        <f t="shared" si="1"/>
        <v>2012370.81</v>
      </c>
      <c r="I27" s="537">
        <f t="shared" si="1"/>
        <v>2078192.6400000001</v>
      </c>
      <c r="J27" s="537">
        <f t="shared" si="1"/>
        <v>2078192.6400000001</v>
      </c>
      <c r="K27" s="537">
        <f t="shared" si="1"/>
        <v>2078192.6400000001</v>
      </c>
      <c r="L27" s="537">
        <f t="shared" si="1"/>
        <v>2078192.6400000001</v>
      </c>
      <c r="M27" s="1213"/>
    </row>
    <row r="28" spans="2:13" ht="13.15" customHeight="1" x14ac:dyDescent="0.2">
      <c r="B28" s="316"/>
      <c r="C28" s="318"/>
      <c r="D28" s="1051" t="s">
        <v>417</v>
      </c>
      <c r="E28" s="318"/>
      <c r="F28" s="318"/>
      <c r="G28" s="392"/>
      <c r="H28" s="392"/>
      <c r="I28" s="392"/>
      <c r="J28" s="392"/>
      <c r="K28" s="392"/>
      <c r="L28" s="392"/>
      <c r="M28" s="1213"/>
    </row>
    <row r="29" spans="2:13" ht="13.15" customHeight="1" x14ac:dyDescent="0.2">
      <c r="B29" s="316"/>
      <c r="C29" s="318"/>
      <c r="D29" s="318" t="s">
        <v>346</v>
      </c>
      <c r="E29" s="318"/>
      <c r="F29" s="318"/>
      <c r="G29" s="536">
        <f>IF(geg!G40=0,0,geg!G40*tab!$D41)</f>
        <v>122136</v>
      </c>
      <c r="H29" s="536">
        <f>IF(geg!H40=0,0,geg!H40*tab!$D65)</f>
        <v>186556.48</v>
      </c>
      <c r="I29" s="536">
        <f>IF(geg!I40=0,0,geg!I40*tab!$D89)</f>
        <v>231760.2</v>
      </c>
      <c r="J29" s="536">
        <f>IF(geg!J40=0,0,geg!J40*tab!$D89)</f>
        <v>231760.2</v>
      </c>
      <c r="K29" s="536">
        <f>IF(geg!K40=0,0,geg!K40*tab!$D89)</f>
        <v>231760.2</v>
      </c>
      <c r="L29" s="536">
        <f>IF(geg!L40=0,0,geg!L40*tab!$D89)</f>
        <v>231760.2</v>
      </c>
      <c r="M29" s="1213"/>
    </row>
    <row r="30" spans="2:13" ht="13.15" customHeight="1" x14ac:dyDescent="0.2">
      <c r="B30" s="316"/>
      <c r="C30" s="318"/>
      <c r="D30" s="318" t="s">
        <v>347</v>
      </c>
      <c r="E30" s="318"/>
      <c r="F30" s="318"/>
      <c r="G30" s="536">
        <f>IF(geg!G40=0,0,geg!G41*tab!$D42)</f>
        <v>3743.5199999999995</v>
      </c>
      <c r="H30" s="536">
        <f>IF(geg!H40=0,0,geg!H41*tab!$D66)</f>
        <v>7884.1</v>
      </c>
      <c r="I30" s="536">
        <f>IF(geg!I40=0,0,geg!I41*tab!$D90)</f>
        <v>8751.7799999999988</v>
      </c>
      <c r="J30" s="536">
        <f>IF(geg!J40=0,0,geg!J41*tab!$D90)</f>
        <v>8751.7799999999988</v>
      </c>
      <c r="K30" s="536">
        <f>IF(geg!K40=0,0,geg!K41*tab!$D90)</f>
        <v>8751.7799999999988</v>
      </c>
      <c r="L30" s="536">
        <f>IF(geg!L40=0,0,geg!L41*tab!$D90)</f>
        <v>8751.7799999999988</v>
      </c>
      <c r="M30" s="1213"/>
    </row>
    <row r="31" spans="2:13" ht="13.15" customHeight="1" x14ac:dyDescent="0.2">
      <c r="B31" s="316"/>
      <c r="C31" s="318"/>
      <c r="D31" s="318"/>
      <c r="E31" s="318"/>
      <c r="F31" s="318"/>
      <c r="G31" s="537">
        <f t="shared" ref="G31:L31" si="2">SUM(G29:G30)</f>
        <v>125879.52</v>
      </c>
      <c r="H31" s="537">
        <f t="shared" si="2"/>
        <v>194440.58000000002</v>
      </c>
      <c r="I31" s="537">
        <f>SUM(I29:I30)</f>
        <v>240511.98</v>
      </c>
      <c r="J31" s="537">
        <f t="shared" si="2"/>
        <v>240511.98</v>
      </c>
      <c r="K31" s="537">
        <f t="shared" si="2"/>
        <v>240511.98</v>
      </c>
      <c r="L31" s="537">
        <f t="shared" si="2"/>
        <v>240511.98</v>
      </c>
      <c r="M31" s="1213"/>
    </row>
    <row r="32" spans="2:13" ht="13.15" customHeight="1" x14ac:dyDescent="0.2">
      <c r="B32" s="316"/>
      <c r="C32" s="381"/>
      <c r="D32" s="1050" t="s">
        <v>480</v>
      </c>
      <c r="E32" s="318"/>
      <c r="F32" s="318"/>
      <c r="G32" s="392"/>
      <c r="H32" s="392"/>
      <c r="I32" s="392"/>
      <c r="J32" s="392"/>
      <c r="K32" s="392"/>
      <c r="L32" s="392"/>
      <c r="M32" s="1213"/>
    </row>
    <row r="33" spans="2:13" ht="13.15" customHeight="1" x14ac:dyDescent="0.2">
      <c r="B33" s="316"/>
      <c r="C33" s="381"/>
      <c r="D33" s="3" t="s">
        <v>93</v>
      </c>
      <c r="E33" s="318"/>
      <c r="F33" s="318"/>
      <c r="G33" s="536">
        <f>IF(geg!G40=0,0,geg!G40*tab!$C118)</f>
        <v>31990.400000000001</v>
      </c>
      <c r="H33" s="536">
        <f>IF(geg!H40=0,0,geg!H40*tab!$D118)</f>
        <v>37702.720000000001</v>
      </c>
      <c r="I33" s="392"/>
      <c r="J33" s="392"/>
      <c r="K33" s="392"/>
      <c r="L33" s="392"/>
      <c r="M33" s="1213"/>
    </row>
    <row r="34" spans="2:13" ht="13.15" customHeight="1" x14ac:dyDescent="0.2">
      <c r="B34" s="316"/>
      <c r="C34" s="381"/>
      <c r="D34" s="420" t="s">
        <v>656</v>
      </c>
      <c r="E34" s="318"/>
      <c r="F34" s="318"/>
      <c r="G34" s="392"/>
      <c r="H34" s="392"/>
      <c r="I34" s="536">
        <f>IF(geg!I41=0,0,geg!I40*tab!$E119)</f>
        <v>18463.2</v>
      </c>
      <c r="J34" s="536">
        <f>IF(geg!J41=0,0,geg!J40*tab!$E119)</f>
        <v>18463.2</v>
      </c>
      <c r="K34" s="536">
        <f>IF(geg!K41=0,0,geg!K40*tab!$E119)</f>
        <v>18463.2</v>
      </c>
      <c r="L34" s="536">
        <f>IF(geg!L41=0,0,geg!L40*tab!$E119)</f>
        <v>18463.2</v>
      </c>
      <c r="M34" s="1213"/>
    </row>
    <row r="35" spans="2:13" ht="13.15" customHeight="1" x14ac:dyDescent="0.2">
      <c r="B35" s="316"/>
      <c r="C35" s="381"/>
      <c r="D35" s="1337" t="s">
        <v>469</v>
      </c>
      <c r="E35" s="1337"/>
      <c r="F35" s="318"/>
      <c r="G35" s="404">
        <v>0</v>
      </c>
      <c r="H35" s="404">
        <v>0</v>
      </c>
      <c r="I35" s="404">
        <v>0</v>
      </c>
      <c r="J35" s="404">
        <v>0</v>
      </c>
      <c r="K35" s="404">
        <v>0</v>
      </c>
      <c r="L35" s="404">
        <v>0</v>
      </c>
      <c r="M35" s="1213"/>
    </row>
    <row r="36" spans="2:13" ht="13.15" customHeight="1" x14ac:dyDescent="0.2">
      <c r="B36" s="316"/>
      <c r="C36" s="381"/>
      <c r="D36" s="1337" t="s">
        <v>615</v>
      </c>
      <c r="E36" s="1337"/>
      <c r="F36" s="318"/>
      <c r="G36" s="1270">
        <f>geg!G40*tab!D201</f>
        <v>15880</v>
      </c>
      <c r="H36" s="404">
        <v>0</v>
      </c>
      <c r="I36" s="404">
        <v>0</v>
      </c>
      <c r="J36" s="404">
        <v>0</v>
      </c>
      <c r="K36" s="404">
        <v>0</v>
      </c>
      <c r="L36" s="404">
        <v>0</v>
      </c>
      <c r="M36" s="1213"/>
    </row>
    <row r="37" spans="2:13" ht="13.15" customHeight="1" x14ac:dyDescent="0.2">
      <c r="B37" s="316"/>
      <c r="C37" s="381"/>
      <c r="D37" s="555" t="s">
        <v>627</v>
      </c>
      <c r="E37" s="1267"/>
      <c r="F37" s="318"/>
      <c r="G37" s="1269">
        <v>0</v>
      </c>
      <c r="H37" s="1270">
        <f>geg!G40*tab!D202</f>
        <v>37744</v>
      </c>
      <c r="I37" s="404">
        <v>0</v>
      </c>
      <c r="J37" s="404">
        <v>0</v>
      </c>
      <c r="K37" s="404">
        <v>0</v>
      </c>
      <c r="L37" s="404">
        <v>0</v>
      </c>
      <c r="M37" s="1213"/>
    </row>
    <row r="38" spans="2:13" ht="13.15" customHeight="1" x14ac:dyDescent="0.2">
      <c r="B38" s="316"/>
      <c r="C38" s="381"/>
      <c r="D38" s="1286" t="s">
        <v>638</v>
      </c>
      <c r="E38" s="1283"/>
      <c r="F38" s="318"/>
      <c r="G38" s="1266">
        <v>0</v>
      </c>
      <c r="H38" s="1266">
        <v>0</v>
      </c>
      <c r="I38" s="1266">
        <v>0</v>
      </c>
      <c r="J38" s="1266">
        <v>0</v>
      </c>
      <c r="K38" s="1266">
        <v>0</v>
      </c>
      <c r="L38" s="1266">
        <v>0</v>
      </c>
      <c r="M38" s="1213"/>
    </row>
    <row r="39" spans="2:13" ht="13.15" customHeight="1" x14ac:dyDescent="0.2">
      <c r="B39" s="316"/>
      <c r="C39" s="381"/>
      <c r="D39" s="1286" t="s">
        <v>646</v>
      </c>
      <c r="E39" s="1284"/>
      <c r="F39" s="318"/>
      <c r="G39" s="1266">
        <v>0</v>
      </c>
      <c r="H39" s="1266">
        <v>44671.35</v>
      </c>
      <c r="I39" s="1266">
        <f>H39</f>
        <v>44671.35</v>
      </c>
      <c r="J39" s="1266">
        <f>I39</f>
        <v>44671.35</v>
      </c>
      <c r="K39" s="1266">
        <f t="shared" ref="K39:L39" si="3">J39</f>
        <v>44671.35</v>
      </c>
      <c r="L39" s="1266">
        <f t="shared" si="3"/>
        <v>44671.35</v>
      </c>
      <c r="M39" s="1213"/>
    </row>
    <row r="40" spans="2:13" ht="13.15" customHeight="1" x14ac:dyDescent="0.2">
      <c r="B40" s="316"/>
      <c r="C40" s="381"/>
      <c r="D40" s="1283" t="s">
        <v>657</v>
      </c>
      <c r="E40" s="1283"/>
      <c r="F40" s="318"/>
      <c r="G40" s="404">
        <v>0</v>
      </c>
      <c r="H40" s="1266">
        <f>G40</f>
        <v>0</v>
      </c>
      <c r="I40" s="404">
        <v>0</v>
      </c>
      <c r="J40" s="404">
        <v>0</v>
      </c>
      <c r="K40" s="404">
        <v>0</v>
      </c>
      <c r="L40" s="404">
        <v>0</v>
      </c>
      <c r="M40" s="1213"/>
    </row>
    <row r="41" spans="2:13" ht="13.15" customHeight="1" x14ac:dyDescent="0.2">
      <c r="B41" s="316"/>
      <c r="C41" s="381"/>
      <c r="D41" s="1338"/>
      <c r="E41" s="1338"/>
      <c r="F41" s="318"/>
      <c r="G41" s="404">
        <v>0</v>
      </c>
      <c r="H41" s="404">
        <v>0</v>
      </c>
      <c r="I41" s="404">
        <v>0</v>
      </c>
      <c r="J41" s="404">
        <v>0</v>
      </c>
      <c r="K41" s="404">
        <v>0</v>
      </c>
      <c r="L41" s="404">
        <v>0</v>
      </c>
      <c r="M41" s="1213"/>
    </row>
    <row r="42" spans="2:13" ht="13.15" customHeight="1" x14ac:dyDescent="0.2">
      <c r="B42" s="316"/>
      <c r="C42" s="381"/>
      <c r="D42" s="3"/>
      <c r="E42" s="318"/>
      <c r="F42" s="318"/>
      <c r="G42" s="537">
        <f t="shared" ref="G42:L42" si="4">SUM(G33:G41)</f>
        <v>47870.400000000001</v>
      </c>
      <c r="H42" s="537">
        <f t="shared" si="4"/>
        <v>120118.07</v>
      </c>
      <c r="I42" s="537">
        <f t="shared" si="4"/>
        <v>63134.55</v>
      </c>
      <c r="J42" s="537">
        <f t="shared" si="4"/>
        <v>63134.55</v>
      </c>
      <c r="K42" s="537">
        <f t="shared" si="4"/>
        <v>63134.55</v>
      </c>
      <c r="L42" s="537">
        <f t="shared" si="4"/>
        <v>63134.55</v>
      </c>
      <c r="M42" s="1213"/>
    </row>
    <row r="43" spans="2:13" ht="13.15" customHeight="1" x14ac:dyDescent="0.2">
      <c r="B43" s="316"/>
      <c r="C43" s="381"/>
      <c r="D43" s="535" t="s">
        <v>360</v>
      </c>
      <c r="E43" s="318"/>
      <c r="F43" s="318"/>
      <c r="G43" s="392"/>
      <c r="H43" s="392"/>
      <c r="I43" s="392"/>
      <c r="J43" s="392"/>
      <c r="K43" s="392"/>
      <c r="L43" s="392"/>
      <c r="M43" s="1213"/>
    </row>
    <row r="44" spans="2:13" ht="13.15" customHeight="1" x14ac:dyDescent="0.2">
      <c r="B44" s="316"/>
      <c r="C44" s="381"/>
      <c r="D44" s="1" t="s">
        <v>361</v>
      </c>
      <c r="E44" s="318"/>
      <c r="F44" s="318"/>
      <c r="G44" s="404">
        <v>0</v>
      </c>
      <c r="H44" s="404">
        <v>0</v>
      </c>
      <c r="I44" s="404">
        <v>0</v>
      </c>
      <c r="J44" s="404">
        <v>0</v>
      </c>
      <c r="K44" s="404">
        <v>0</v>
      </c>
      <c r="L44" s="404">
        <v>0</v>
      </c>
      <c r="M44" s="1213"/>
    </row>
    <row r="45" spans="2:13" ht="13.15" customHeight="1" x14ac:dyDescent="0.2">
      <c r="B45" s="316"/>
      <c r="C45" s="381"/>
      <c r="D45" s="3" t="s">
        <v>362</v>
      </c>
      <c r="E45" s="318"/>
      <c r="F45" s="318"/>
      <c r="G45" s="404">
        <v>0</v>
      </c>
      <c r="H45" s="404">
        <v>0</v>
      </c>
      <c r="I45" s="404">
        <v>0</v>
      </c>
      <c r="J45" s="404">
        <v>0</v>
      </c>
      <c r="K45" s="404">
        <v>0</v>
      </c>
      <c r="L45" s="404">
        <v>0</v>
      </c>
      <c r="M45" s="1213"/>
    </row>
    <row r="46" spans="2:13" ht="13.15" customHeight="1" x14ac:dyDescent="0.2">
      <c r="B46" s="316"/>
      <c r="C46" s="381"/>
      <c r="D46" s="535" t="s">
        <v>363</v>
      </c>
      <c r="E46" s="318"/>
      <c r="F46" s="318"/>
      <c r="G46" s="537">
        <f t="shared" ref="G46:L46" si="5">G44-G45</f>
        <v>0</v>
      </c>
      <c r="H46" s="537">
        <f t="shared" si="5"/>
        <v>0</v>
      </c>
      <c r="I46" s="537">
        <f t="shared" si="5"/>
        <v>0</v>
      </c>
      <c r="J46" s="537">
        <f t="shared" si="5"/>
        <v>0</v>
      </c>
      <c r="K46" s="537">
        <f t="shared" si="5"/>
        <v>0</v>
      </c>
      <c r="L46" s="537">
        <f t="shared" si="5"/>
        <v>0</v>
      </c>
      <c r="M46" s="1213"/>
    </row>
    <row r="47" spans="2:13" ht="13.15" customHeight="1" x14ac:dyDescent="0.2">
      <c r="B47" s="316"/>
      <c r="C47" s="381"/>
      <c r="D47" s="318"/>
      <c r="E47" s="318"/>
      <c r="F47" s="318"/>
      <c r="G47" s="392"/>
      <c r="H47" s="392"/>
      <c r="I47" s="392"/>
      <c r="J47" s="392"/>
      <c r="K47" s="392"/>
      <c r="L47" s="392"/>
      <c r="M47" s="1213"/>
    </row>
    <row r="48" spans="2:13" ht="13.15" customHeight="1" x14ac:dyDescent="0.2">
      <c r="B48" s="316"/>
      <c r="C48" s="381"/>
      <c r="D48" s="550" t="s">
        <v>420</v>
      </c>
      <c r="E48" s="482"/>
      <c r="F48" s="482"/>
      <c r="G48" s="549">
        <f t="shared" ref="G48:L48" si="6">(G22+G31+G27+G42)-G46</f>
        <v>2850584.4039999996</v>
      </c>
      <c r="H48" s="549">
        <f t="shared" si="6"/>
        <v>3435157.4376000003</v>
      </c>
      <c r="I48" s="549">
        <f t="shared" si="6"/>
        <v>3624272.25</v>
      </c>
      <c r="J48" s="549">
        <f t="shared" si="6"/>
        <v>3642418.24</v>
      </c>
      <c r="K48" s="549">
        <f t="shared" si="6"/>
        <v>3660564.23</v>
      </c>
      <c r="L48" s="549">
        <f t="shared" si="6"/>
        <v>3678710.2199999997</v>
      </c>
      <c r="M48" s="1213"/>
    </row>
    <row r="49" spans="2:13" ht="13.15" customHeight="1" x14ac:dyDescent="0.2">
      <c r="B49" s="316"/>
      <c r="C49" s="318"/>
      <c r="D49" s="1071"/>
      <c r="E49" s="1071"/>
      <c r="F49" s="1071"/>
      <c r="G49" s="1072"/>
      <c r="H49" s="1072"/>
      <c r="I49" s="1072"/>
      <c r="J49" s="1072"/>
      <c r="K49" s="1072"/>
      <c r="L49" s="1072"/>
      <c r="M49" s="1213"/>
    </row>
    <row r="50" spans="2:13" ht="13.15" customHeight="1" x14ac:dyDescent="0.2">
      <c r="B50" s="316"/>
      <c r="C50" s="318"/>
      <c r="D50" s="347"/>
      <c r="E50" s="347"/>
      <c r="F50" s="347"/>
      <c r="G50" s="394"/>
      <c r="H50" s="394"/>
      <c r="I50" s="394"/>
      <c r="J50" s="394"/>
      <c r="K50" s="394"/>
      <c r="L50" s="394"/>
      <c r="M50" s="1213"/>
    </row>
    <row r="51" spans="2:13" ht="13.15" customHeight="1" x14ac:dyDescent="0.2">
      <c r="B51" s="316"/>
      <c r="C51" s="318"/>
      <c r="D51" s="514" t="s">
        <v>438</v>
      </c>
      <c r="E51" s="318"/>
      <c r="F51" s="318"/>
      <c r="G51" s="318"/>
      <c r="H51" s="318"/>
      <c r="I51" s="318"/>
      <c r="J51" s="318"/>
      <c r="K51" s="318"/>
      <c r="L51" s="318"/>
      <c r="M51" s="1213"/>
    </row>
    <row r="52" spans="2:13" ht="13.15" customHeight="1" x14ac:dyDescent="0.2">
      <c r="B52" s="316"/>
      <c r="C52" s="318"/>
      <c r="D52" s="318"/>
      <c r="E52" s="318"/>
      <c r="F52" s="318"/>
      <c r="G52" s="392"/>
      <c r="H52" s="392"/>
      <c r="I52" s="392"/>
      <c r="J52" s="392"/>
      <c r="K52" s="392"/>
      <c r="L52" s="392"/>
      <c r="M52" s="1213"/>
    </row>
    <row r="53" spans="2:13" ht="13.15" customHeight="1" x14ac:dyDescent="0.2">
      <c r="B53" s="316"/>
      <c r="C53" s="318"/>
      <c r="D53" s="321" t="s">
        <v>431</v>
      </c>
      <c r="E53" s="318"/>
      <c r="F53" s="318"/>
      <c r="G53" s="333"/>
      <c r="H53" s="528"/>
      <c r="I53" s="528"/>
      <c r="J53" s="528"/>
      <c r="K53" s="528"/>
      <c r="L53" s="528"/>
      <c r="M53" s="1213"/>
    </row>
    <row r="54" spans="2:13" ht="13.15" customHeight="1" x14ac:dyDescent="0.2">
      <c r="B54" s="316"/>
      <c r="C54" s="318"/>
      <c r="D54" s="334" t="s">
        <v>475</v>
      </c>
      <c r="E54" s="318"/>
      <c r="F54" s="318"/>
      <c r="G54" s="1266">
        <v>46246.43</v>
      </c>
      <c r="H54" s="1266">
        <v>63751</v>
      </c>
      <c r="I54" s="1266">
        <v>16375.05</v>
      </c>
      <c r="J54" s="1266">
        <f>+I54</f>
        <v>16375.05</v>
      </c>
      <c r="K54" s="1266">
        <f>+J54</f>
        <v>16375.05</v>
      </c>
      <c r="L54" s="1266">
        <f>+K54</f>
        <v>16375.05</v>
      </c>
      <c r="M54" s="1213"/>
    </row>
    <row r="55" spans="2:13" ht="13.15" customHeight="1" x14ac:dyDescent="0.2">
      <c r="B55" s="316"/>
      <c r="C55" s="318"/>
      <c r="D55" s="334" t="s">
        <v>476</v>
      </c>
      <c r="E55" s="318"/>
      <c r="F55" s="318"/>
      <c r="G55" s="1266">
        <v>13240.84</v>
      </c>
      <c r="H55" s="1266">
        <v>96093</v>
      </c>
      <c r="I55" s="1266">
        <v>0</v>
      </c>
      <c r="J55" s="1266">
        <f t="shared" ref="H55:L56" si="7">+I55</f>
        <v>0</v>
      </c>
      <c r="K55" s="1266">
        <f t="shared" si="7"/>
        <v>0</v>
      </c>
      <c r="L55" s="1266">
        <f t="shared" si="7"/>
        <v>0</v>
      </c>
      <c r="M55" s="1213"/>
    </row>
    <row r="56" spans="2:13" ht="13.15" customHeight="1" x14ac:dyDescent="0.2">
      <c r="B56" s="316"/>
      <c r="C56" s="318"/>
      <c r="D56" s="334" t="s">
        <v>434</v>
      </c>
      <c r="E56" s="318"/>
      <c r="F56" s="318"/>
      <c r="G56" s="1266">
        <v>0</v>
      </c>
      <c r="H56" s="1266">
        <f t="shared" si="7"/>
        <v>0</v>
      </c>
      <c r="I56" s="1266">
        <v>54494.22</v>
      </c>
      <c r="J56" s="1266">
        <f t="shared" si="7"/>
        <v>54494.22</v>
      </c>
      <c r="K56" s="1266">
        <f t="shared" si="7"/>
        <v>54494.22</v>
      </c>
      <c r="L56" s="1266">
        <f t="shared" si="7"/>
        <v>54494.22</v>
      </c>
      <c r="M56" s="1213"/>
    </row>
    <row r="57" spans="2:13" ht="13.15" customHeight="1" x14ac:dyDescent="0.2">
      <c r="B57" s="316"/>
      <c r="C57" s="318"/>
      <c r="D57" s="334"/>
      <c r="E57" s="318"/>
      <c r="F57" s="318"/>
      <c r="G57" s="318"/>
      <c r="H57" s="318"/>
      <c r="I57" s="318"/>
      <c r="J57" s="318"/>
      <c r="K57" s="318"/>
      <c r="L57" s="318"/>
      <c r="M57" s="1213"/>
    </row>
    <row r="58" spans="2:13" ht="13.15" customHeight="1" x14ac:dyDescent="0.2">
      <c r="B58" s="316"/>
      <c r="C58" s="318"/>
      <c r="D58" s="550" t="s">
        <v>544</v>
      </c>
      <c r="E58" s="318"/>
      <c r="F58" s="318"/>
      <c r="G58" s="549">
        <f t="shared" ref="G58:L58" si="8">SUM(G54:G56)</f>
        <v>59487.270000000004</v>
      </c>
      <c r="H58" s="549">
        <f t="shared" si="8"/>
        <v>159844</v>
      </c>
      <c r="I58" s="549">
        <f t="shared" si="8"/>
        <v>70869.27</v>
      </c>
      <c r="J58" s="549">
        <f t="shared" si="8"/>
        <v>70869.27</v>
      </c>
      <c r="K58" s="549">
        <f t="shared" si="8"/>
        <v>70869.27</v>
      </c>
      <c r="L58" s="549">
        <f t="shared" si="8"/>
        <v>70869.27</v>
      </c>
      <c r="M58" s="1213"/>
    </row>
    <row r="59" spans="2:13" ht="13.15" customHeight="1" thickBot="1" x14ac:dyDescent="0.25">
      <c r="B59" s="316"/>
      <c r="C59" s="381"/>
      <c r="D59" s="1073"/>
      <c r="E59" s="1073"/>
      <c r="F59" s="1073"/>
      <c r="G59" s="1074"/>
      <c r="H59" s="1074"/>
      <c r="I59" s="1074"/>
      <c r="J59" s="1074"/>
      <c r="K59" s="1074"/>
      <c r="L59" s="1074"/>
      <c r="M59" s="1214"/>
    </row>
    <row r="60" spans="2:13" ht="13.15" customHeight="1" thickTop="1" x14ac:dyDescent="0.2">
      <c r="B60" s="316"/>
      <c r="C60" s="381"/>
      <c r="D60" s="347"/>
      <c r="E60" s="347"/>
      <c r="F60" s="347"/>
      <c r="G60" s="347"/>
      <c r="H60" s="347"/>
      <c r="I60" s="347"/>
      <c r="J60" s="347"/>
      <c r="K60" s="347"/>
      <c r="L60" s="347"/>
      <c r="M60" s="1214"/>
    </row>
    <row r="61" spans="2:13" ht="13.15" customHeight="1" x14ac:dyDescent="0.2">
      <c r="B61" s="316"/>
      <c r="C61" s="381"/>
      <c r="D61" s="347"/>
      <c r="E61" s="347"/>
      <c r="F61" s="347"/>
      <c r="G61" s="347"/>
      <c r="H61" s="347"/>
      <c r="I61" s="347"/>
      <c r="J61" s="347"/>
      <c r="K61" s="347"/>
      <c r="L61" s="347"/>
      <c r="M61" s="1213"/>
    </row>
    <row r="62" spans="2:13" ht="13.15" customHeight="1" x14ac:dyDescent="0.2">
      <c r="B62" s="316"/>
      <c r="C62" s="381"/>
      <c r="D62" s="535" t="s">
        <v>141</v>
      </c>
      <c r="E62" s="318"/>
      <c r="F62" s="318"/>
      <c r="G62" s="548">
        <f t="shared" ref="G62:L62" si="9">G48+G58</f>
        <v>2910071.6739999996</v>
      </c>
      <c r="H62" s="548">
        <f t="shared" si="9"/>
        <v>3595001.4376000003</v>
      </c>
      <c r="I62" s="548">
        <f t="shared" si="9"/>
        <v>3695141.52</v>
      </c>
      <c r="J62" s="548">
        <f t="shared" si="9"/>
        <v>3713287.5100000002</v>
      </c>
      <c r="K62" s="548">
        <f t="shared" si="9"/>
        <v>3731433.5</v>
      </c>
      <c r="L62" s="548">
        <f t="shared" si="9"/>
        <v>3749579.4899999998</v>
      </c>
      <c r="M62" s="1213"/>
    </row>
    <row r="63" spans="2:13" ht="13.15" customHeight="1" x14ac:dyDescent="0.2">
      <c r="B63" s="316"/>
      <c r="C63" s="483"/>
      <c r="D63" s="370"/>
      <c r="E63" s="370"/>
      <c r="F63" s="370"/>
      <c r="G63" s="370"/>
      <c r="H63" s="370"/>
      <c r="I63" s="370"/>
      <c r="J63" s="370"/>
      <c r="K63" s="370"/>
      <c r="L63" s="370"/>
      <c r="M63" s="1213"/>
    </row>
    <row r="64" spans="2:13" ht="13.15" customHeight="1" x14ac:dyDescent="0.2">
      <c r="B64" s="316"/>
      <c r="C64" s="344"/>
      <c r="D64" s="344"/>
      <c r="E64" s="344"/>
      <c r="F64" s="344"/>
      <c r="G64" s="395"/>
      <c r="H64" s="395"/>
      <c r="I64" s="395"/>
      <c r="J64" s="395"/>
      <c r="K64" s="395"/>
      <c r="L64" s="395"/>
      <c r="M64" s="1215"/>
    </row>
    <row r="65" spans="2:13" ht="13.15" customHeight="1" x14ac:dyDescent="0.2">
      <c r="B65" s="316"/>
      <c r="C65" s="318"/>
      <c r="D65" s="318"/>
      <c r="E65" s="318"/>
      <c r="F65" s="318"/>
      <c r="G65" s="392"/>
      <c r="H65" s="392"/>
      <c r="I65" s="392"/>
      <c r="J65" s="392"/>
      <c r="K65" s="392"/>
      <c r="L65" s="392"/>
      <c r="M65" s="1213"/>
    </row>
    <row r="66" spans="2:13" ht="13.15" customHeight="1" x14ac:dyDescent="0.2">
      <c r="B66" s="316"/>
      <c r="C66" s="318"/>
      <c r="D66" s="535" t="s">
        <v>290</v>
      </c>
      <c r="E66" s="318"/>
      <c r="F66" s="318"/>
      <c r="G66" s="392"/>
      <c r="H66" s="392"/>
      <c r="I66" s="392"/>
      <c r="J66" s="392"/>
      <c r="K66" s="392"/>
      <c r="L66" s="392"/>
      <c r="M66" s="1213"/>
    </row>
    <row r="67" spans="2:13" ht="13.15" customHeight="1" x14ac:dyDescent="0.2">
      <c r="B67" s="316"/>
      <c r="C67" s="318"/>
      <c r="D67" s="318"/>
      <c r="E67" s="318"/>
      <c r="F67" s="318"/>
      <c r="G67" s="392"/>
      <c r="H67" s="392"/>
      <c r="I67" s="392"/>
      <c r="J67" s="392"/>
      <c r="K67" s="392"/>
      <c r="L67" s="392"/>
      <c r="M67" s="1213"/>
    </row>
    <row r="68" spans="2:13" ht="13.15" customHeight="1" x14ac:dyDescent="0.2">
      <c r="B68" s="316"/>
      <c r="C68" s="318"/>
      <c r="D68" s="1336" t="s">
        <v>620</v>
      </c>
      <c r="E68" s="1336"/>
      <c r="F68" s="318"/>
      <c r="G68" s="404">
        <v>10132.48</v>
      </c>
      <c r="H68" s="404">
        <v>0</v>
      </c>
      <c r="I68" s="404">
        <v>0</v>
      </c>
      <c r="J68" s="404">
        <v>0</v>
      </c>
      <c r="K68" s="404">
        <v>0</v>
      </c>
      <c r="L68" s="404">
        <v>0</v>
      </c>
      <c r="M68" s="1213"/>
    </row>
    <row r="69" spans="2:13" ht="13.15" customHeight="1" x14ac:dyDescent="0.2">
      <c r="B69" s="316"/>
      <c r="C69" s="318"/>
      <c r="D69" s="1336"/>
      <c r="E69" s="1336"/>
      <c r="F69" s="318"/>
      <c r="G69" s="404">
        <v>0</v>
      </c>
      <c r="H69" s="404">
        <v>0</v>
      </c>
      <c r="I69" s="404">
        <v>0</v>
      </c>
      <c r="J69" s="404">
        <v>0</v>
      </c>
      <c r="K69" s="404">
        <v>0</v>
      </c>
      <c r="L69" s="404">
        <v>0</v>
      </c>
      <c r="M69" s="1213"/>
    </row>
    <row r="70" spans="2:13" ht="13.15" customHeight="1" x14ac:dyDescent="0.2">
      <c r="B70" s="316"/>
      <c r="C70" s="318"/>
      <c r="D70" s="1336"/>
      <c r="E70" s="1336"/>
      <c r="F70" s="318"/>
      <c r="G70" s="404">
        <v>0</v>
      </c>
      <c r="H70" s="404">
        <v>0</v>
      </c>
      <c r="I70" s="404">
        <v>0</v>
      </c>
      <c r="J70" s="404">
        <v>0</v>
      </c>
      <c r="K70" s="404">
        <v>0</v>
      </c>
      <c r="L70" s="404">
        <v>0</v>
      </c>
      <c r="M70" s="1213"/>
    </row>
    <row r="71" spans="2:13" ht="13.15" customHeight="1" x14ac:dyDescent="0.2">
      <c r="B71" s="316"/>
      <c r="C71" s="318"/>
      <c r="D71" s="1336"/>
      <c r="E71" s="1336"/>
      <c r="F71" s="318"/>
      <c r="G71" s="404">
        <v>0</v>
      </c>
      <c r="H71" s="404">
        <v>0</v>
      </c>
      <c r="I71" s="404">
        <v>0</v>
      </c>
      <c r="J71" s="404">
        <v>0</v>
      </c>
      <c r="K71" s="404">
        <v>0</v>
      </c>
      <c r="L71" s="404">
        <v>0</v>
      </c>
      <c r="M71" s="1213"/>
    </row>
    <row r="72" spans="2:13" ht="13.15" customHeight="1" x14ac:dyDescent="0.2">
      <c r="B72" s="316"/>
      <c r="C72" s="318"/>
      <c r="D72" s="1336"/>
      <c r="E72" s="1336"/>
      <c r="F72" s="318"/>
      <c r="G72" s="404">
        <v>0</v>
      </c>
      <c r="H72" s="404">
        <v>0</v>
      </c>
      <c r="I72" s="404">
        <v>0</v>
      </c>
      <c r="J72" s="404">
        <v>0</v>
      </c>
      <c r="K72" s="404">
        <v>0</v>
      </c>
      <c r="L72" s="404">
        <v>0</v>
      </c>
      <c r="M72" s="1213"/>
    </row>
    <row r="73" spans="2:13" ht="13.15" customHeight="1" x14ac:dyDescent="0.2">
      <c r="B73" s="316"/>
      <c r="C73" s="318"/>
      <c r="D73" s="318"/>
      <c r="E73" s="318"/>
      <c r="F73" s="318"/>
      <c r="G73" s="318"/>
      <c r="H73" s="318"/>
      <c r="I73" s="318"/>
      <c r="J73" s="318"/>
      <c r="K73" s="318"/>
      <c r="L73" s="318"/>
      <c r="M73" s="1213"/>
    </row>
    <row r="74" spans="2:13" ht="13.15" customHeight="1" x14ac:dyDescent="0.2">
      <c r="B74" s="316"/>
      <c r="C74" s="318"/>
      <c r="D74" s="514" t="s">
        <v>141</v>
      </c>
      <c r="E74" s="318"/>
      <c r="F74" s="318"/>
      <c r="G74" s="537">
        <f t="shared" ref="G74:L74" si="10">SUM(G68:G72)</f>
        <v>10132.48</v>
      </c>
      <c r="H74" s="537">
        <f t="shared" si="10"/>
        <v>0</v>
      </c>
      <c r="I74" s="537">
        <f t="shared" si="10"/>
        <v>0</v>
      </c>
      <c r="J74" s="537">
        <f t="shared" si="10"/>
        <v>0</v>
      </c>
      <c r="K74" s="537">
        <f t="shared" si="10"/>
        <v>0</v>
      </c>
      <c r="L74" s="537">
        <f t="shared" si="10"/>
        <v>0</v>
      </c>
      <c r="M74" s="1213"/>
    </row>
    <row r="75" spans="2:13" ht="13.15" customHeight="1" x14ac:dyDescent="0.2">
      <c r="B75" s="316"/>
      <c r="C75" s="318"/>
      <c r="D75" s="318"/>
      <c r="E75" s="318"/>
      <c r="F75" s="318"/>
      <c r="G75" s="392"/>
      <c r="H75" s="392"/>
      <c r="I75" s="392"/>
      <c r="J75" s="392"/>
      <c r="K75" s="392"/>
      <c r="L75" s="392"/>
      <c r="M75" s="1213"/>
    </row>
    <row r="76" spans="2:13" ht="13.15" customHeight="1" x14ac:dyDescent="0.2">
      <c r="B76" s="316"/>
      <c r="C76" s="344"/>
      <c r="D76" s="344"/>
      <c r="E76" s="344"/>
      <c r="F76" s="344"/>
      <c r="G76" s="395"/>
      <c r="H76" s="395"/>
      <c r="I76" s="395"/>
      <c r="J76" s="395"/>
      <c r="K76" s="395"/>
      <c r="L76" s="395"/>
      <c r="M76" s="1215"/>
    </row>
    <row r="77" spans="2:13" ht="13.15" customHeight="1" x14ac:dyDescent="0.2">
      <c r="B77" s="316"/>
      <c r="C77" s="318"/>
      <c r="D77" s="318"/>
      <c r="E77" s="318"/>
      <c r="F77" s="318"/>
      <c r="G77" s="392"/>
      <c r="H77" s="392"/>
      <c r="I77" s="392"/>
      <c r="J77" s="392"/>
      <c r="K77" s="392"/>
      <c r="L77" s="392"/>
      <c r="M77" s="1213"/>
    </row>
    <row r="78" spans="2:13" ht="13.15" customHeight="1" x14ac:dyDescent="0.2">
      <c r="B78" s="316"/>
      <c r="C78" s="318"/>
      <c r="D78" s="535" t="s">
        <v>293</v>
      </c>
      <c r="E78" s="318"/>
      <c r="F78" s="318"/>
      <c r="G78" s="392"/>
      <c r="H78" s="392"/>
      <c r="I78" s="392"/>
      <c r="J78" s="392"/>
      <c r="K78" s="392"/>
      <c r="L78" s="392"/>
      <c r="M78" s="1213"/>
    </row>
    <row r="79" spans="2:13" ht="13.15" customHeight="1" x14ac:dyDescent="0.2">
      <c r="B79" s="316"/>
      <c r="C79" s="318"/>
      <c r="D79" s="318"/>
      <c r="E79" s="318"/>
      <c r="F79" s="318"/>
      <c r="G79" s="392"/>
      <c r="H79" s="392"/>
      <c r="I79" s="392"/>
      <c r="J79" s="392"/>
      <c r="K79" s="392"/>
      <c r="L79" s="392"/>
      <c r="M79" s="1213"/>
    </row>
    <row r="80" spans="2:13" ht="13.15" customHeight="1" x14ac:dyDescent="0.2">
      <c r="B80" s="316"/>
      <c r="C80" s="318"/>
      <c r="D80" s="318" t="s">
        <v>358</v>
      </c>
      <c r="E80" s="318"/>
      <c r="F80" s="318"/>
      <c r="G80" s="404">
        <v>0</v>
      </c>
      <c r="H80" s="404">
        <v>0</v>
      </c>
      <c r="I80" s="404">
        <v>0</v>
      </c>
      <c r="J80" s="404">
        <v>0</v>
      </c>
      <c r="K80" s="404">
        <v>0</v>
      </c>
      <c r="L80" s="404">
        <v>0</v>
      </c>
      <c r="M80" s="1213"/>
    </row>
    <row r="81" spans="2:13" ht="13.15" customHeight="1" x14ac:dyDescent="0.2">
      <c r="B81" s="316"/>
      <c r="C81" s="318"/>
      <c r="D81" s="318" t="s">
        <v>365</v>
      </c>
      <c r="E81" s="318"/>
      <c r="F81" s="318"/>
      <c r="G81" s="404">
        <v>0</v>
      </c>
      <c r="H81" s="404">
        <v>0</v>
      </c>
      <c r="I81" s="404">
        <v>0</v>
      </c>
      <c r="J81" s="404">
        <v>0</v>
      </c>
      <c r="K81" s="404">
        <v>0</v>
      </c>
      <c r="L81" s="404">
        <v>0</v>
      </c>
      <c r="M81" s="1213"/>
    </row>
    <row r="82" spans="2:13" ht="13.15" customHeight="1" x14ac:dyDescent="0.2">
      <c r="B82" s="316"/>
      <c r="C82" s="318"/>
      <c r="D82" s="318" t="s">
        <v>317</v>
      </c>
      <c r="E82" s="318"/>
      <c r="F82" s="318"/>
      <c r="G82" s="404">
        <v>0</v>
      </c>
      <c r="H82" s="404">
        <v>0</v>
      </c>
      <c r="I82" s="404">
        <v>0</v>
      </c>
      <c r="J82" s="404">
        <v>0</v>
      </c>
      <c r="K82" s="404">
        <v>0</v>
      </c>
      <c r="L82" s="404">
        <v>0</v>
      </c>
      <c r="M82" s="1213"/>
    </row>
    <row r="83" spans="2:13" ht="13.15" customHeight="1" x14ac:dyDescent="0.2">
      <c r="B83" s="316"/>
      <c r="C83" s="318"/>
      <c r="D83" s="1336" t="s">
        <v>643</v>
      </c>
      <c r="E83" s="1336"/>
      <c r="F83" s="318"/>
      <c r="G83" s="404">
        <v>0</v>
      </c>
      <c r="H83" s="404">
        <f>geg!H40*tab!D121</f>
        <v>49767.519999999997</v>
      </c>
      <c r="I83" s="404">
        <v>0</v>
      </c>
      <c r="J83" s="404">
        <v>0</v>
      </c>
      <c r="K83" s="404">
        <v>0</v>
      </c>
      <c r="L83" s="404">
        <v>0</v>
      </c>
      <c r="M83" s="1213"/>
    </row>
    <row r="84" spans="2:13" ht="13.15" customHeight="1" x14ac:dyDescent="0.2">
      <c r="B84" s="316"/>
      <c r="C84" s="318"/>
      <c r="D84" s="1336"/>
      <c r="E84" s="1336"/>
      <c r="F84" s="318"/>
      <c r="G84" s="404">
        <v>0</v>
      </c>
      <c r="H84" s="404">
        <v>0</v>
      </c>
      <c r="I84" s="404">
        <v>0</v>
      </c>
      <c r="J84" s="404">
        <v>0</v>
      </c>
      <c r="K84" s="404">
        <v>0</v>
      </c>
      <c r="L84" s="404">
        <v>0</v>
      </c>
      <c r="M84" s="1213"/>
    </row>
    <row r="85" spans="2:13" ht="13.15" customHeight="1" x14ac:dyDescent="0.2">
      <c r="B85" s="316"/>
      <c r="C85" s="318"/>
      <c r="D85" s="1336"/>
      <c r="E85" s="1336"/>
      <c r="F85" s="318"/>
      <c r="G85" s="404">
        <v>0</v>
      </c>
      <c r="H85" s="404">
        <v>0</v>
      </c>
      <c r="I85" s="404">
        <v>0</v>
      </c>
      <c r="J85" s="404">
        <v>0</v>
      </c>
      <c r="K85" s="404">
        <v>0</v>
      </c>
      <c r="L85" s="404">
        <v>0</v>
      </c>
      <c r="M85" s="1213"/>
    </row>
    <row r="86" spans="2:13" ht="13.15" customHeight="1" x14ac:dyDescent="0.2">
      <c r="B86" s="316"/>
      <c r="C86" s="318"/>
      <c r="D86" s="318"/>
      <c r="E86" s="318"/>
      <c r="F86" s="318"/>
      <c r="G86" s="318"/>
      <c r="H86" s="318"/>
      <c r="I86" s="318"/>
      <c r="J86" s="318"/>
      <c r="K86" s="318"/>
      <c r="L86" s="318"/>
      <c r="M86" s="1213"/>
    </row>
    <row r="87" spans="2:13" ht="13.15" customHeight="1" x14ac:dyDescent="0.2">
      <c r="B87" s="316"/>
      <c r="C87" s="318"/>
      <c r="D87" s="514" t="s">
        <v>141</v>
      </c>
      <c r="E87" s="318"/>
      <c r="F87" s="318"/>
      <c r="G87" s="537">
        <f t="shared" ref="G87:L87" si="11">SUM(G80:G85)</f>
        <v>0</v>
      </c>
      <c r="H87" s="537">
        <f t="shared" si="11"/>
        <v>49767.519999999997</v>
      </c>
      <c r="I87" s="537">
        <f t="shared" si="11"/>
        <v>0</v>
      </c>
      <c r="J87" s="537">
        <f t="shared" si="11"/>
        <v>0</v>
      </c>
      <c r="K87" s="537">
        <f t="shared" si="11"/>
        <v>0</v>
      </c>
      <c r="L87" s="537">
        <f t="shared" si="11"/>
        <v>0</v>
      </c>
      <c r="M87" s="1213"/>
    </row>
    <row r="88" spans="2:13" ht="13.15" customHeight="1" x14ac:dyDescent="0.2">
      <c r="B88" s="316"/>
      <c r="C88" s="318"/>
      <c r="D88" s="318"/>
      <c r="E88" s="318"/>
      <c r="F88" s="318"/>
      <c r="G88" s="392"/>
      <c r="H88" s="392"/>
      <c r="I88" s="392"/>
      <c r="J88" s="392"/>
      <c r="K88" s="392"/>
      <c r="L88" s="392"/>
      <c r="M88" s="1213"/>
    </row>
    <row r="89" spans="2:13" ht="13.15" customHeight="1" x14ac:dyDescent="0.2">
      <c r="B89" s="316"/>
      <c r="C89" s="344"/>
      <c r="D89" s="344"/>
      <c r="E89" s="344"/>
      <c r="F89" s="344"/>
      <c r="G89" s="395"/>
      <c r="H89" s="395"/>
      <c r="I89" s="395"/>
      <c r="J89" s="395"/>
      <c r="K89" s="395"/>
      <c r="L89" s="395"/>
      <c r="M89" s="1215"/>
    </row>
    <row r="90" spans="2:13" ht="13.15" customHeight="1" x14ac:dyDescent="0.2">
      <c r="B90" s="316"/>
      <c r="C90" s="317"/>
      <c r="D90" s="317"/>
      <c r="E90" s="317"/>
      <c r="F90" s="317"/>
      <c r="G90" s="396"/>
      <c r="H90" s="396"/>
      <c r="I90" s="396"/>
      <c r="J90" s="397"/>
      <c r="K90" s="397"/>
      <c r="L90" s="397"/>
      <c r="M90" s="1213"/>
    </row>
    <row r="91" spans="2:13" ht="13.15" customHeight="1" x14ac:dyDescent="0.2">
      <c r="B91" s="316"/>
      <c r="C91" s="317"/>
      <c r="D91" s="552" t="s">
        <v>419</v>
      </c>
      <c r="E91" s="317"/>
      <c r="F91" s="317"/>
      <c r="G91" s="537">
        <f t="shared" ref="G91:L91" si="12">G62+G74+G87</f>
        <v>2920204.1539999996</v>
      </c>
      <c r="H91" s="537">
        <f t="shared" si="12"/>
        <v>3644768.9576000003</v>
      </c>
      <c r="I91" s="537">
        <f t="shared" si="12"/>
        <v>3695141.52</v>
      </c>
      <c r="J91" s="537">
        <f t="shared" si="12"/>
        <v>3713287.5100000002</v>
      </c>
      <c r="K91" s="537">
        <f t="shared" si="12"/>
        <v>3731433.5</v>
      </c>
      <c r="L91" s="537">
        <f t="shared" si="12"/>
        <v>3749579.4899999998</v>
      </c>
      <c r="M91" s="1213"/>
    </row>
    <row r="92" spans="2:13" ht="13.15" customHeight="1" x14ac:dyDescent="0.2">
      <c r="B92" s="316"/>
      <c r="C92" s="317"/>
      <c r="D92" s="317"/>
      <c r="E92" s="317"/>
      <c r="F92" s="317"/>
      <c r="G92" s="397"/>
      <c r="H92" s="397"/>
      <c r="I92" s="397"/>
      <c r="J92" s="397"/>
      <c r="K92" s="397"/>
      <c r="L92" s="397"/>
      <c r="M92" s="1213"/>
    </row>
    <row r="93" spans="2:13" ht="13.15" customHeight="1" x14ac:dyDescent="0.2">
      <c r="B93" s="316"/>
      <c r="C93" s="344"/>
      <c r="D93" s="344"/>
      <c r="E93" s="344"/>
      <c r="F93" s="344"/>
      <c r="G93" s="395"/>
      <c r="H93" s="395"/>
      <c r="I93" s="395"/>
      <c r="J93" s="395"/>
      <c r="K93" s="395"/>
      <c r="L93" s="395"/>
      <c r="M93" s="386"/>
    </row>
    <row r="94" spans="2:13" ht="13.15" customHeight="1" x14ac:dyDescent="0.2">
      <c r="B94" s="327"/>
      <c r="C94" s="352"/>
      <c r="D94" s="352"/>
      <c r="E94" s="352"/>
      <c r="F94" s="352"/>
      <c r="G94" s="399"/>
      <c r="H94" s="399"/>
      <c r="I94" s="399"/>
      <c r="J94" s="399"/>
      <c r="K94" s="399"/>
      <c r="L94" s="399"/>
      <c r="M94" s="389"/>
    </row>
    <row r="95" spans="2:13" ht="13.15" customHeight="1" x14ac:dyDescent="0.2">
      <c r="B95" s="382"/>
      <c r="C95" s="383"/>
      <c r="D95" s="383"/>
      <c r="E95" s="383"/>
      <c r="F95" s="383"/>
      <c r="G95" s="383"/>
      <c r="H95" s="400"/>
      <c r="I95" s="400"/>
      <c r="J95" s="400"/>
      <c r="K95" s="400"/>
      <c r="L95" s="400"/>
      <c r="M95" s="385"/>
    </row>
    <row r="96" spans="2:13" ht="13.15" customHeight="1" x14ac:dyDescent="0.2">
      <c r="B96" s="316"/>
      <c r="C96" s="344"/>
      <c r="D96" s="344"/>
      <c r="E96" s="344"/>
      <c r="F96" s="344"/>
      <c r="G96" s="344"/>
      <c r="H96" s="395"/>
      <c r="I96" s="395"/>
      <c r="J96" s="395"/>
      <c r="K96" s="395"/>
      <c r="L96" s="395"/>
      <c r="M96" s="386"/>
    </row>
    <row r="97" spans="2:13" ht="13.15" customHeight="1" x14ac:dyDescent="0.2">
      <c r="B97" s="316"/>
      <c r="C97" s="344"/>
      <c r="D97" s="344"/>
      <c r="E97" s="511" t="s">
        <v>51</v>
      </c>
      <c r="F97" s="401"/>
      <c r="G97" s="529">
        <f>+tab!D4</f>
        <v>2019</v>
      </c>
      <c r="H97" s="529">
        <f>+tab!E4</f>
        <v>2020</v>
      </c>
      <c r="I97" s="529">
        <f>+tab!F4</f>
        <v>2021</v>
      </c>
      <c r="J97" s="529">
        <f>+tab!G4</f>
        <v>2022</v>
      </c>
      <c r="K97" s="529">
        <f>+tab!H4</f>
        <v>2023</v>
      </c>
      <c r="L97" s="529">
        <f>+tab!I4</f>
        <v>2024</v>
      </c>
      <c r="M97" s="386"/>
    </row>
    <row r="98" spans="2:13" ht="13.15" customHeight="1" x14ac:dyDescent="0.2">
      <c r="B98" s="316"/>
      <c r="C98" s="344"/>
      <c r="D98" s="344"/>
      <c r="E98" s="554" t="s">
        <v>50</v>
      </c>
      <c r="F98" s="401"/>
      <c r="G98" s="527">
        <f>tab!D3</f>
        <v>43374</v>
      </c>
      <c r="H98" s="527">
        <f>tab!E3</f>
        <v>43739</v>
      </c>
      <c r="I98" s="527">
        <f>tab!F3</f>
        <v>44105</v>
      </c>
      <c r="J98" s="527">
        <f>tab!G3</f>
        <v>44470</v>
      </c>
      <c r="K98" s="527">
        <f>tab!H3</f>
        <v>44835</v>
      </c>
      <c r="L98" s="527">
        <f>tab!I3</f>
        <v>45200</v>
      </c>
      <c r="M98" s="386"/>
    </row>
    <row r="99" spans="2:13" ht="13.15" customHeight="1" x14ac:dyDescent="0.2">
      <c r="B99" s="316"/>
      <c r="C99" s="344"/>
      <c r="D99" s="344"/>
      <c r="E99" s="1077" t="s">
        <v>418</v>
      </c>
      <c r="F99" s="529"/>
      <c r="G99" s="527">
        <f t="shared" ref="G99:L99" si="13">+G10</f>
        <v>43497</v>
      </c>
      <c r="H99" s="527">
        <f t="shared" si="13"/>
        <v>43862</v>
      </c>
      <c r="I99" s="527">
        <f t="shared" si="13"/>
        <v>44228</v>
      </c>
      <c r="J99" s="527">
        <f t="shared" si="13"/>
        <v>44593</v>
      </c>
      <c r="K99" s="527">
        <f t="shared" si="13"/>
        <v>44958</v>
      </c>
      <c r="L99" s="527">
        <f t="shared" si="13"/>
        <v>45323</v>
      </c>
      <c r="M99" s="386"/>
    </row>
    <row r="100" spans="2:13" ht="13.15" customHeight="1" x14ac:dyDescent="0.2">
      <c r="B100" s="316"/>
      <c r="C100" s="344"/>
      <c r="D100" s="344"/>
      <c r="E100" s="344"/>
      <c r="F100" s="344"/>
      <c r="G100" s="344"/>
      <c r="H100" s="395"/>
      <c r="I100" s="395"/>
      <c r="J100" s="395"/>
      <c r="K100" s="395"/>
      <c r="L100" s="395"/>
      <c r="M100" s="386"/>
    </row>
    <row r="101" spans="2:13" ht="13.15" customHeight="1" x14ac:dyDescent="0.2">
      <c r="B101" s="316"/>
      <c r="C101" s="318"/>
      <c r="D101" s="318"/>
      <c r="E101" s="318"/>
      <c r="F101" s="318"/>
      <c r="G101" s="318"/>
      <c r="H101" s="392"/>
      <c r="I101" s="392"/>
      <c r="J101" s="392"/>
      <c r="K101" s="392"/>
      <c r="L101" s="392"/>
      <c r="M101" s="1213"/>
    </row>
    <row r="102" spans="2:13" ht="13.15" customHeight="1" x14ac:dyDescent="0.2">
      <c r="B102" s="316"/>
      <c r="C102" s="318"/>
      <c r="D102" s="535" t="s">
        <v>289</v>
      </c>
      <c r="E102" s="318"/>
      <c r="F102" s="318"/>
      <c r="G102" s="318"/>
      <c r="H102" s="392"/>
      <c r="I102" s="392"/>
      <c r="J102" s="392"/>
      <c r="K102" s="392"/>
      <c r="L102" s="392"/>
      <c r="M102" s="1213"/>
    </row>
    <row r="103" spans="2:13" ht="13.15" customHeight="1" x14ac:dyDescent="0.2">
      <c r="B103" s="316"/>
      <c r="C103" s="318"/>
      <c r="D103" s="318"/>
      <c r="E103" s="318"/>
      <c r="F103" s="318"/>
      <c r="G103" s="318"/>
      <c r="H103" s="392"/>
      <c r="I103" s="392"/>
      <c r="J103" s="392"/>
      <c r="K103" s="392"/>
      <c r="L103" s="392"/>
      <c r="M103" s="1213"/>
    </row>
    <row r="104" spans="2:13" ht="13.15" customHeight="1" x14ac:dyDescent="0.2">
      <c r="B104" s="316"/>
      <c r="C104" s="318"/>
      <c r="D104" s="551" t="s">
        <v>547</v>
      </c>
      <c r="E104" s="318"/>
      <c r="F104" s="318"/>
      <c r="G104" s="318"/>
      <c r="H104" s="318"/>
      <c r="I104" s="318"/>
      <c r="J104" s="318"/>
      <c r="K104" s="318"/>
      <c r="L104" s="318"/>
      <c r="M104" s="1213"/>
    </row>
    <row r="105" spans="2:13" ht="13.15" customHeight="1" x14ac:dyDescent="0.2">
      <c r="B105" s="316"/>
      <c r="C105" s="318"/>
      <c r="D105" s="334" t="s">
        <v>11</v>
      </c>
      <c r="E105" s="318"/>
      <c r="F105" s="318"/>
      <c r="G105" s="536">
        <f>geg!G26*tab!$C132+geg!G31*tab!$C133+geg!G36*tab!$C134</f>
        <v>147340.47</v>
      </c>
      <c r="H105" s="536">
        <f>geg!H26*tab!$C145+geg!H31*tab!$C146+geg!H36*tab!$C147</f>
        <v>165028.34</v>
      </c>
      <c r="I105" s="536">
        <f>geg!I26*tab!$C158+geg!I31*tab!$C159+geg!I36*tab!$C160</f>
        <v>186095.13</v>
      </c>
      <c r="J105" s="536">
        <f>geg!J26*tab!$C158+geg!J31*tab!$C159+geg!J36*tab!$C160</f>
        <v>186095.13</v>
      </c>
      <c r="K105" s="536">
        <f>geg!K26*tab!$C158+geg!K31*tab!$C159+geg!K36*tab!$C160</f>
        <v>186095.13</v>
      </c>
      <c r="L105" s="536">
        <f>geg!L26*tab!$C158+geg!L31*tab!$C159+geg!L36*tab!$C160</f>
        <v>186095.13</v>
      </c>
      <c r="M105" s="1213"/>
    </row>
    <row r="106" spans="2:13" ht="13.15" customHeight="1" x14ac:dyDescent="0.2">
      <c r="B106" s="316"/>
      <c r="C106" s="318"/>
      <c r="D106" s="334" t="s">
        <v>5</v>
      </c>
      <c r="E106" s="318"/>
      <c r="F106" s="318"/>
      <c r="G106" s="536">
        <f>IF(geg!G40=0,0,VLOOKUP(geg!$H12,tab!$B126:$F130,2,FALSE))</f>
        <v>20906.32</v>
      </c>
      <c r="H106" s="536">
        <f>IF(geg!H40=0,0,VLOOKUP(geg!$H12,tab!$B139:$F143,2,FALSE))</f>
        <v>21240.82</v>
      </c>
      <c r="I106" s="536">
        <f>IF(geg!I40=0,0,VLOOKUP(geg!$H12,tab!$B152:$F156,2,FALSE))</f>
        <v>21495.71</v>
      </c>
      <c r="J106" s="536">
        <f>IF(geg!J40=0,0,VLOOKUP(geg!$H12,tab!$B152:$F156,2,FALSE))</f>
        <v>21495.71</v>
      </c>
      <c r="K106" s="536">
        <f>IF(geg!K40=0,0,VLOOKUP(geg!$H12,tab!$B152:$F156,2,FALSE))</f>
        <v>21495.71</v>
      </c>
      <c r="L106" s="536">
        <f>IF(geg!L40=0,0,VLOOKUP(geg!$H12,tab!$B152:$F156,2,FALSE))</f>
        <v>21495.71</v>
      </c>
      <c r="M106" s="1213"/>
    </row>
    <row r="107" spans="2:13" ht="13.15" customHeight="1" x14ac:dyDescent="0.2">
      <c r="B107" s="316"/>
      <c r="C107" s="318"/>
      <c r="D107" s="334" t="s">
        <v>12</v>
      </c>
      <c r="E107" s="318"/>
      <c r="F107" s="318"/>
      <c r="G107" s="536">
        <f>IF(geg!G38=0,0,VLOOKUP(geg!$H12,tab!$B$126:$F$130,3,FALSE)+IF(geg!$H13="ja",tab!$D144))</f>
        <v>10808.38</v>
      </c>
      <c r="H107" s="536">
        <f>IF(geg!H38=0,0,VLOOKUP(geg!$H12,tab!$B$139:$F$143,3,FALSE)+IF(geg!$H13="ja",tab!$D144))</f>
        <v>10981.31</v>
      </c>
      <c r="I107" s="536">
        <f>IF(geg!I38=0,0,VLOOKUP(geg!$H12,tab!$B$152:$F$156,3,FALSE)+IF(geg!$H13="ja",tab!$D157))</f>
        <v>11113.09</v>
      </c>
      <c r="J107" s="536">
        <f>IF(geg!J38=0,0,VLOOKUP(geg!$H12,tab!$B$152:$F$156,3,FALSE)+IF(geg!$H13="ja",tab!$D157))</f>
        <v>11113.09</v>
      </c>
      <c r="K107" s="536">
        <f>IF(geg!K38=0,0,VLOOKUP(geg!$H12,tab!$B$152:$F$156,3,FALSE)+IF(geg!$H13="ja",tab!$D157))</f>
        <v>11113.09</v>
      </c>
      <c r="L107" s="536">
        <f>IF(geg!L38=0,0,VLOOKUP(geg!$H12,tab!$B$152:$F$156,3,FALSE)+IF(geg!$H13="ja",tab!$D157))</f>
        <v>11113.09</v>
      </c>
      <c r="M107" s="1213"/>
    </row>
    <row r="108" spans="2:13" ht="13.15" customHeight="1" x14ac:dyDescent="0.2">
      <c r="B108" s="316"/>
      <c r="C108" s="318"/>
      <c r="D108" s="334" t="s">
        <v>13</v>
      </c>
      <c r="E108" s="318"/>
      <c r="F108" s="318"/>
      <c r="G108" s="536">
        <f>IF(geg!G39=0,0,VLOOKUP(geg!$H12,tab!$B$126:$F$130,4,FALSE))</f>
        <v>13562.59</v>
      </c>
      <c r="H108" s="536">
        <f>IF(geg!H39=0,0,VLOOKUP(geg!$H12,tab!$B$139:$F$143,4,FALSE))</f>
        <v>13779.59</v>
      </c>
      <c r="I108" s="536">
        <f>IF(geg!I39=0,0,VLOOKUP(geg!$H12,tab!$B$152:$F$156,4,FALSE))</f>
        <v>13944.95</v>
      </c>
      <c r="J108" s="536">
        <f>IF(geg!J39=0,0,VLOOKUP(geg!$H12,tab!$B$152:$F$156,4,FALSE))</f>
        <v>13944.95</v>
      </c>
      <c r="K108" s="536">
        <f>IF(geg!K39=0,0,VLOOKUP(geg!$H12,tab!$B$152:$F$156,4,FALSE))</f>
        <v>13944.95</v>
      </c>
      <c r="L108" s="536">
        <f>IF(geg!L39=0,0,VLOOKUP(geg!$H12,tab!$B$152:$F$156,4,FALSE))</f>
        <v>13944.95</v>
      </c>
      <c r="M108" s="1213"/>
    </row>
    <row r="109" spans="2:13" ht="13.15" customHeight="1" x14ac:dyDescent="0.2">
      <c r="B109" s="316"/>
      <c r="C109" s="318"/>
      <c r="D109" s="318"/>
      <c r="E109" s="318"/>
      <c r="F109" s="318"/>
      <c r="G109" s="537">
        <f t="shared" ref="G109:L109" si="14">SUM(G105:G108)</f>
        <v>192617.76</v>
      </c>
      <c r="H109" s="537">
        <f t="shared" si="14"/>
        <v>211030.06</v>
      </c>
      <c r="I109" s="537">
        <f t="shared" si="14"/>
        <v>232648.88</v>
      </c>
      <c r="J109" s="537">
        <f t="shared" si="14"/>
        <v>232648.88</v>
      </c>
      <c r="K109" s="537">
        <f t="shared" si="14"/>
        <v>232648.88</v>
      </c>
      <c r="L109" s="537">
        <f t="shared" si="14"/>
        <v>232648.88</v>
      </c>
      <c r="M109" s="1213"/>
    </row>
    <row r="110" spans="2:13" ht="13.15" customHeight="1" x14ac:dyDescent="0.2">
      <c r="B110" s="316"/>
      <c r="C110" s="318"/>
      <c r="D110" s="550" t="s">
        <v>548</v>
      </c>
      <c r="E110" s="318"/>
      <c r="F110" s="318"/>
      <c r="G110" s="392"/>
      <c r="H110" s="392"/>
      <c r="I110" s="392"/>
      <c r="J110" s="392"/>
      <c r="K110" s="392"/>
      <c r="L110" s="392"/>
      <c r="M110" s="1213"/>
    </row>
    <row r="111" spans="2:13" ht="13.15" customHeight="1" x14ac:dyDescent="0.2">
      <c r="B111" s="316"/>
      <c r="C111" s="318"/>
      <c r="D111" s="334" t="s">
        <v>7</v>
      </c>
      <c r="E111" s="334"/>
      <c r="F111" s="334"/>
      <c r="G111" s="536">
        <f>geg!G23*tab!$G132+geg!G24*tab!$H132+geg!G25*tab!$I132</f>
        <v>15500.650000000001</v>
      </c>
      <c r="H111" s="536">
        <f>geg!H23*tab!$G145+geg!H24*tab!$H145+geg!H25*tab!$I145</f>
        <v>22675.39</v>
      </c>
      <c r="I111" s="536">
        <f>geg!I23*tab!$G158+geg!I24*tab!$H158+geg!I25*tab!$I158</f>
        <v>28486.44</v>
      </c>
      <c r="J111" s="536">
        <f>geg!J23*tab!$G158+geg!J24*tab!$H158+geg!J25*tab!$I158</f>
        <v>28486.44</v>
      </c>
      <c r="K111" s="536">
        <f>geg!K23*tab!$G158+geg!K24*tab!$H158+geg!K25*tab!$I158</f>
        <v>28486.44</v>
      </c>
      <c r="L111" s="536">
        <f>geg!L23*tab!$G158+geg!L24*tab!$H158+geg!L25*tab!$I158</f>
        <v>28486.44</v>
      </c>
      <c r="M111" s="1213"/>
    </row>
    <row r="112" spans="2:13" ht="13.15" customHeight="1" x14ac:dyDescent="0.2">
      <c r="B112" s="316"/>
      <c r="C112" s="318"/>
      <c r="D112" s="334" t="s">
        <v>8</v>
      </c>
      <c r="E112" s="334"/>
      <c r="F112" s="334"/>
      <c r="G112" s="536">
        <f>geg!G28*tab!$G133+geg!G29*tab!$H133+geg!G30*tab!$I133</f>
        <v>61942.909999999996</v>
      </c>
      <c r="H112" s="536">
        <f>geg!H28*tab!$G146+geg!H29*tab!$H146+geg!H30*tab!$I146</f>
        <v>62065.01</v>
      </c>
      <c r="I112" s="536">
        <f>geg!I28*tab!$G159+geg!I29*tab!$H159+geg!I30*tab!$I159</f>
        <v>60669.63</v>
      </c>
      <c r="J112" s="536">
        <f>geg!J28*tab!$G159+geg!J29*tab!$H159+geg!J30*tab!$I159</f>
        <v>60669.63</v>
      </c>
      <c r="K112" s="536">
        <f>geg!K28*tab!$G159+geg!K29*tab!$H159+geg!K30*tab!$I159</f>
        <v>60669.63</v>
      </c>
      <c r="L112" s="536">
        <f>geg!L28*tab!$G159+geg!L29*tab!$H159+geg!L30*tab!$I159</f>
        <v>60669.63</v>
      </c>
      <c r="M112" s="1213"/>
    </row>
    <row r="113" spans="2:13" ht="13.15" customHeight="1" x14ac:dyDescent="0.2">
      <c r="B113" s="316"/>
      <c r="C113" s="318"/>
      <c r="D113" s="334" t="s">
        <v>9</v>
      </c>
      <c r="E113" s="334"/>
      <c r="F113" s="334"/>
      <c r="G113" s="536">
        <f>geg!G33*tab!$G134+geg!G34*tab!$H134+geg!G35*tab!$I134</f>
        <v>49531.930000000008</v>
      </c>
      <c r="H113" s="536">
        <f>geg!H33*tab!$G147+geg!H34*tab!$H147+geg!H35*tab!$I147</f>
        <v>55416.039999999994</v>
      </c>
      <c r="I113" s="536">
        <f>geg!I33*tab!$G160+geg!I34*tab!$H160+geg!I35*tab!$I160</f>
        <v>59632.299999999996</v>
      </c>
      <c r="J113" s="536">
        <f>geg!J33*tab!$G160+geg!J34*tab!$H160+geg!J35*tab!$I160</f>
        <v>59632.299999999996</v>
      </c>
      <c r="K113" s="536">
        <f>geg!K33*tab!$G160+geg!K34*tab!$H160+geg!K35*tab!$I160</f>
        <v>59632.299999999996</v>
      </c>
      <c r="L113" s="536">
        <f>geg!L33*tab!$G160+geg!L34*tab!$H160+geg!L35*tab!$I160</f>
        <v>59632.299999999996</v>
      </c>
      <c r="M113" s="1213"/>
    </row>
    <row r="114" spans="2:13" ht="13.15" customHeight="1" x14ac:dyDescent="0.2">
      <c r="B114" s="316"/>
      <c r="C114" s="318"/>
      <c r="D114" s="318"/>
      <c r="E114" s="318"/>
      <c r="F114" s="318"/>
      <c r="G114" s="537">
        <f t="shared" ref="G114:L114" si="15">SUM(G111:G113)</f>
        <v>126975.49</v>
      </c>
      <c r="H114" s="537">
        <f t="shared" si="15"/>
        <v>140156.44</v>
      </c>
      <c r="I114" s="537">
        <f t="shared" si="15"/>
        <v>148788.37</v>
      </c>
      <c r="J114" s="537">
        <f t="shared" si="15"/>
        <v>148788.37</v>
      </c>
      <c r="K114" s="537">
        <f t="shared" si="15"/>
        <v>148788.37</v>
      </c>
      <c r="L114" s="537">
        <f t="shared" si="15"/>
        <v>148788.37</v>
      </c>
      <c r="M114" s="1213"/>
    </row>
    <row r="115" spans="2:13" ht="13.15" customHeight="1" x14ac:dyDescent="0.2">
      <c r="B115" s="316"/>
      <c r="C115" s="318"/>
      <c r="D115" s="550" t="s">
        <v>14</v>
      </c>
      <c r="E115" s="318"/>
      <c r="F115" s="318"/>
      <c r="G115" s="392"/>
      <c r="H115" s="392"/>
      <c r="I115" s="392"/>
      <c r="J115" s="392"/>
      <c r="K115" s="392"/>
      <c r="L115" s="392"/>
      <c r="M115" s="1213"/>
    </row>
    <row r="116" spans="2:13" ht="13.15" customHeight="1" x14ac:dyDescent="0.2">
      <c r="B116" s="316"/>
      <c r="C116" s="318"/>
      <c r="D116" s="482" t="s">
        <v>15</v>
      </c>
      <c r="E116" s="390" t="s">
        <v>18</v>
      </c>
      <c r="F116" s="318"/>
      <c r="G116" s="392"/>
      <c r="H116" s="392"/>
      <c r="I116" s="392"/>
      <c r="J116" s="392"/>
      <c r="K116" s="392"/>
      <c r="L116" s="392"/>
      <c r="M116" s="1213"/>
    </row>
    <row r="117" spans="2:13" ht="13.15" customHeight="1" x14ac:dyDescent="0.2">
      <c r="B117" s="316"/>
      <c r="C117" s="318"/>
      <c r="D117" s="318" t="s">
        <v>96</v>
      </c>
      <c r="E117" s="390" t="s">
        <v>47</v>
      </c>
      <c r="F117" s="318"/>
      <c r="G117" s="536">
        <f>IF($E116="ja",IF(geg!G40=0,0,VLOOKUP($E117,baden2019,5,FALSE)),0)</f>
        <v>0</v>
      </c>
      <c r="H117" s="536">
        <f>IF($E116="ja",IF(geg!H40=0,0,VLOOKUP($E117,baden2020,5,FALSE)),0)</f>
        <v>0</v>
      </c>
      <c r="I117" s="536">
        <f>IF($E116="ja",IF(geg!I40=0,0,VLOOKUP($E117,baden2021,5,FALSE)),0)</f>
        <v>0</v>
      </c>
      <c r="J117" s="536">
        <f>IF($E116="ja",IF(geg!J40=0,0,VLOOKUP($E117,baden2021,5,FALSE)),0)</f>
        <v>0</v>
      </c>
      <c r="K117" s="536">
        <f>IF($E116="ja",IF(geg!K40=0,0,VLOOKUP($E117,baden2021,5,FALSE)),0)</f>
        <v>0</v>
      </c>
      <c r="L117" s="536">
        <f>IF($E116="ja",IF(geg!L40=0,0,VLOOKUP($E117,baden2021,5,FALSE)),0)</f>
        <v>0</v>
      </c>
      <c r="M117" s="1213"/>
    </row>
    <row r="118" spans="2:13" ht="13.15" customHeight="1" x14ac:dyDescent="0.2">
      <c r="B118" s="316"/>
      <c r="C118" s="318"/>
      <c r="D118" s="318" t="s">
        <v>17</v>
      </c>
      <c r="E118" s="390" t="s">
        <v>18</v>
      </c>
      <c r="F118" s="318"/>
      <c r="G118" s="536">
        <f>IF(geg!G40=0,0,IF($E118="ja",tab!$E169+$E119*tab!$F169,0))</f>
        <v>0</v>
      </c>
      <c r="H118" s="536">
        <f>IF(geg!H40=0,0,IF($E118="ja",tab!$E179+$E119*tab!$F179,0))</f>
        <v>0</v>
      </c>
      <c r="I118" s="536">
        <f>IF(geg!I40=0,0,IF($E118="ja",tab!$E189+$E119*tab!$F189,0))</f>
        <v>0</v>
      </c>
      <c r="J118" s="536">
        <f>IF(geg!J40=0,0,IF($E118="ja",tab!$E189+$E119*tab!$F189,0))</f>
        <v>0</v>
      </c>
      <c r="K118" s="536">
        <f>IF(geg!K40=0,0,IF($E118="ja",tab!$E189+$E119*tab!$F189,0))</f>
        <v>0</v>
      </c>
      <c r="L118" s="536">
        <f>IF(geg!L40=0,0,IF($E118="ja",tab!$E189+$E119*tab!$F189,0))</f>
        <v>0</v>
      </c>
      <c r="M118" s="1213"/>
    </row>
    <row r="119" spans="2:13" ht="13.15" customHeight="1" x14ac:dyDescent="0.2">
      <c r="B119" s="316"/>
      <c r="C119" s="318"/>
      <c r="D119" s="318" t="s">
        <v>19</v>
      </c>
      <c r="E119" s="390">
        <v>0</v>
      </c>
      <c r="F119" s="318"/>
      <c r="G119" s="536">
        <f>IF(geg!G40=0,0,VLOOKUP($E117,baden2019,6,FALSE)*$E119)</f>
        <v>0</v>
      </c>
      <c r="H119" s="536">
        <f>IF(geg!H40=0,0,VLOOKUP($E117,baden2020,6,FALSE)*$E119)</f>
        <v>0</v>
      </c>
      <c r="I119" s="536">
        <f>IF(geg!I40=0,0,VLOOKUP($E117,baden2021,6,FALSE)*$E119)</f>
        <v>0</v>
      </c>
      <c r="J119" s="536">
        <f>IF(geg!J40=0,0,VLOOKUP($E117,baden2021,6,FALSE)*$E119)</f>
        <v>0</v>
      </c>
      <c r="K119" s="536">
        <f>IF(geg!K40=0,0,VLOOKUP($E117,baden2021,6,FALSE)*$E119)</f>
        <v>0</v>
      </c>
      <c r="L119" s="536">
        <f>IF(geg!L40=0,0,VLOOKUP($E117,baden2021,6,FALSE)*$E119)</f>
        <v>0</v>
      </c>
      <c r="M119" s="1213"/>
    </row>
    <row r="120" spans="2:13" ht="13.15" customHeight="1" x14ac:dyDescent="0.2">
      <c r="B120" s="316"/>
      <c r="C120" s="318"/>
      <c r="D120" s="318" t="s">
        <v>20</v>
      </c>
      <c r="E120" s="390" t="s">
        <v>18</v>
      </c>
      <c r="F120" s="318"/>
      <c r="G120" s="536">
        <f>IF(geg!G40=0,0,IF($E120="ja",tab!$E170,0))</f>
        <v>0</v>
      </c>
      <c r="H120" s="536">
        <f>IF(geg!H40=0,0,IF($E120="ja",tab!$E180,0))</f>
        <v>0</v>
      </c>
      <c r="I120" s="536">
        <f>IF(geg!I40=0,0,IF($E120="ja",tab!$E190,0))</f>
        <v>0</v>
      </c>
      <c r="J120" s="536">
        <f>IF(geg!J40=0,0,IF($E120="ja",tab!$E190,0))</f>
        <v>0</v>
      </c>
      <c r="K120" s="536">
        <f>IF(geg!K40=0,0,IF($E120="ja",tab!$E190,0))</f>
        <v>0</v>
      </c>
      <c r="L120" s="536">
        <f>IF(geg!L40=0,0,IF($E120="ja",tab!$E190,0))</f>
        <v>0</v>
      </c>
      <c r="M120" s="1213"/>
    </row>
    <row r="121" spans="2:13" ht="13.15" customHeight="1" x14ac:dyDescent="0.2">
      <c r="B121" s="316"/>
      <c r="C121" s="318"/>
      <c r="D121" s="318"/>
      <c r="E121" s="318"/>
      <c r="F121" s="318"/>
      <c r="G121" s="537">
        <f t="shared" ref="G121:L121" si="16">SUM(G116:G120)</f>
        <v>0</v>
      </c>
      <c r="H121" s="537">
        <f t="shared" si="16"/>
        <v>0</v>
      </c>
      <c r="I121" s="537">
        <f t="shared" si="16"/>
        <v>0</v>
      </c>
      <c r="J121" s="537">
        <f t="shared" si="16"/>
        <v>0</v>
      </c>
      <c r="K121" s="537">
        <f t="shared" si="16"/>
        <v>0</v>
      </c>
      <c r="L121" s="537">
        <f t="shared" si="16"/>
        <v>0</v>
      </c>
      <c r="M121" s="1213"/>
    </row>
    <row r="122" spans="2:13" ht="13.15" customHeight="1" x14ac:dyDescent="0.2">
      <c r="B122" s="316"/>
      <c r="C122" s="318"/>
      <c r="D122" s="1050" t="s">
        <v>545</v>
      </c>
      <c r="E122" s="318"/>
      <c r="F122" s="318"/>
      <c r="G122" s="392"/>
      <c r="H122" s="392"/>
      <c r="I122" s="392"/>
      <c r="J122" s="392"/>
      <c r="K122" s="392"/>
      <c r="L122" s="392"/>
      <c r="M122" s="1213"/>
    </row>
    <row r="123" spans="2:13" ht="13.15" customHeight="1" x14ac:dyDescent="0.2">
      <c r="B123" s="316"/>
      <c r="C123" s="318"/>
      <c r="D123" s="1337" t="s">
        <v>469</v>
      </c>
      <c r="E123" s="1337"/>
      <c r="F123" s="318"/>
      <c r="G123" s="404">
        <v>0</v>
      </c>
      <c r="H123" s="404">
        <v>0</v>
      </c>
      <c r="I123" s="404">
        <v>0</v>
      </c>
      <c r="J123" s="404">
        <v>0</v>
      </c>
      <c r="K123" s="404">
        <v>0</v>
      </c>
      <c r="L123" s="404">
        <v>0</v>
      </c>
      <c r="M123" s="1213"/>
    </row>
    <row r="124" spans="2:13" ht="13.15" customHeight="1" x14ac:dyDescent="0.2">
      <c r="B124" s="316"/>
      <c r="C124" s="318"/>
      <c r="D124" s="1339" t="s">
        <v>655</v>
      </c>
      <c r="E124" s="1339"/>
      <c r="F124" s="318"/>
      <c r="G124" s="404">
        <v>0</v>
      </c>
      <c r="H124" s="404">
        <v>0</v>
      </c>
      <c r="I124" s="404">
        <v>0</v>
      </c>
      <c r="J124" s="404">
        <v>0</v>
      </c>
      <c r="K124" s="404">
        <v>0</v>
      </c>
      <c r="L124" s="404">
        <v>0</v>
      </c>
      <c r="M124" s="1213"/>
    </row>
    <row r="125" spans="2:13" ht="13.15" customHeight="1" x14ac:dyDescent="0.2">
      <c r="B125" s="316"/>
      <c r="C125" s="318"/>
      <c r="D125" s="1336"/>
      <c r="E125" s="1336"/>
      <c r="F125" s="318"/>
      <c r="G125" s="404">
        <v>0</v>
      </c>
      <c r="H125" s="404">
        <v>0</v>
      </c>
      <c r="I125" s="404">
        <v>0</v>
      </c>
      <c r="J125" s="404">
        <v>0</v>
      </c>
      <c r="K125" s="404">
        <v>0</v>
      </c>
      <c r="L125" s="404">
        <v>0</v>
      </c>
      <c r="M125" s="1213"/>
    </row>
    <row r="126" spans="2:13" ht="13.15" customHeight="1" x14ac:dyDescent="0.2">
      <c r="B126" s="316"/>
      <c r="C126" s="318"/>
      <c r="D126" s="1291"/>
      <c r="E126" s="1291"/>
      <c r="F126" s="318"/>
      <c r="G126" s="404">
        <v>0</v>
      </c>
      <c r="H126" s="404">
        <v>0</v>
      </c>
      <c r="I126" s="404">
        <v>0</v>
      </c>
      <c r="J126" s="404">
        <v>0</v>
      </c>
      <c r="K126" s="404">
        <v>0</v>
      </c>
      <c r="L126" s="404">
        <v>0</v>
      </c>
      <c r="M126" s="1213"/>
    </row>
    <row r="127" spans="2:13" ht="13.15" customHeight="1" x14ac:dyDescent="0.2">
      <c r="B127" s="316"/>
      <c r="C127" s="318"/>
      <c r="D127" s="318"/>
      <c r="E127" s="318"/>
      <c r="F127" s="318"/>
      <c r="G127" s="537">
        <f>SUM(G123:G126)</f>
        <v>0</v>
      </c>
      <c r="H127" s="537">
        <f t="shared" ref="H127:L127" si="17">SUM(H123:H126)</f>
        <v>0</v>
      </c>
      <c r="I127" s="537">
        <f t="shared" si="17"/>
        <v>0</v>
      </c>
      <c r="J127" s="537">
        <f t="shared" si="17"/>
        <v>0</v>
      </c>
      <c r="K127" s="537">
        <f t="shared" si="17"/>
        <v>0</v>
      </c>
      <c r="L127" s="537">
        <f t="shared" si="17"/>
        <v>0</v>
      </c>
      <c r="M127" s="1213"/>
    </row>
    <row r="128" spans="2:13" ht="13.15" customHeight="1" x14ac:dyDescent="0.2">
      <c r="B128" s="316"/>
      <c r="C128" s="318"/>
      <c r="D128" s="318"/>
      <c r="E128" s="318"/>
      <c r="F128" s="318"/>
      <c r="G128" s="392"/>
      <c r="H128" s="392"/>
      <c r="I128" s="392"/>
      <c r="J128" s="392"/>
      <c r="K128" s="392"/>
      <c r="L128" s="392"/>
      <c r="M128" s="1213"/>
    </row>
    <row r="129" spans="2:13" ht="13.15" customHeight="1" x14ac:dyDescent="0.2">
      <c r="B129" s="316"/>
      <c r="C129" s="381"/>
      <c r="D129" s="535" t="s">
        <v>360</v>
      </c>
      <c r="E129" s="318"/>
      <c r="F129" s="318"/>
      <c r="G129" s="392"/>
      <c r="H129" s="392"/>
      <c r="I129" s="392"/>
      <c r="J129" s="392"/>
      <c r="K129" s="392"/>
      <c r="L129" s="392"/>
      <c r="M129" s="1213"/>
    </row>
    <row r="130" spans="2:13" ht="13.15" customHeight="1" x14ac:dyDescent="0.2">
      <c r="B130" s="316"/>
      <c r="C130" s="381"/>
      <c r="D130" s="1" t="s">
        <v>361</v>
      </c>
      <c r="E130" s="318"/>
      <c r="F130" s="318"/>
      <c r="G130" s="404">
        <v>0</v>
      </c>
      <c r="H130" s="404">
        <v>0</v>
      </c>
      <c r="I130" s="404">
        <v>0</v>
      </c>
      <c r="J130" s="404">
        <v>0</v>
      </c>
      <c r="K130" s="404">
        <v>0</v>
      </c>
      <c r="L130" s="404">
        <v>0</v>
      </c>
      <c r="M130" s="1213"/>
    </row>
    <row r="131" spans="2:13" ht="13.15" customHeight="1" x14ac:dyDescent="0.2">
      <c r="B131" s="316"/>
      <c r="C131" s="381"/>
      <c r="D131" s="3" t="s">
        <v>362</v>
      </c>
      <c r="E131" s="318"/>
      <c r="F131" s="318"/>
      <c r="G131" s="404">
        <v>0</v>
      </c>
      <c r="H131" s="404">
        <v>0</v>
      </c>
      <c r="I131" s="404">
        <v>0</v>
      </c>
      <c r="J131" s="404">
        <v>0</v>
      </c>
      <c r="K131" s="404">
        <v>0</v>
      </c>
      <c r="L131" s="404">
        <v>0</v>
      </c>
      <c r="M131" s="1213"/>
    </row>
    <row r="132" spans="2:13" ht="13.15" customHeight="1" x14ac:dyDescent="0.2">
      <c r="B132" s="316"/>
      <c r="C132" s="381"/>
      <c r="D132" s="535" t="s">
        <v>363</v>
      </c>
      <c r="E132" s="1265"/>
      <c r="F132" s="318"/>
      <c r="G132" s="537">
        <f t="shared" ref="G132:L132" si="18">G130-G131</f>
        <v>0</v>
      </c>
      <c r="H132" s="537">
        <f t="shared" si="18"/>
        <v>0</v>
      </c>
      <c r="I132" s="537">
        <f t="shared" si="18"/>
        <v>0</v>
      </c>
      <c r="J132" s="537">
        <f t="shared" si="18"/>
        <v>0</v>
      </c>
      <c r="K132" s="537">
        <f t="shared" si="18"/>
        <v>0</v>
      </c>
      <c r="L132" s="537">
        <f t="shared" si="18"/>
        <v>0</v>
      </c>
      <c r="M132" s="1213"/>
    </row>
    <row r="133" spans="2:13" ht="13.15" customHeight="1" x14ac:dyDescent="0.2">
      <c r="B133" s="316"/>
      <c r="C133" s="381"/>
      <c r="D133" s="29"/>
      <c r="E133" s="29"/>
      <c r="F133" s="29"/>
      <c r="G133" s="29"/>
      <c r="H133" s="29"/>
      <c r="I133" s="29"/>
      <c r="J133" s="29"/>
      <c r="K133" s="29"/>
      <c r="L133" s="29"/>
      <c r="M133" s="1213"/>
    </row>
    <row r="134" spans="2:13" ht="13.15" customHeight="1" x14ac:dyDescent="0.2">
      <c r="B134" s="316"/>
      <c r="C134" s="381"/>
      <c r="D134" s="550" t="s">
        <v>420</v>
      </c>
      <c r="E134" s="29"/>
      <c r="F134" s="29"/>
      <c r="G134" s="538">
        <f t="shared" ref="G134:L134" si="19">G109+G114+G121+G127-G132</f>
        <v>319593.25</v>
      </c>
      <c r="H134" s="538">
        <f t="shared" si="19"/>
        <v>351186.5</v>
      </c>
      <c r="I134" s="538">
        <f t="shared" si="19"/>
        <v>381437.25</v>
      </c>
      <c r="J134" s="538">
        <f t="shared" si="19"/>
        <v>381437.25</v>
      </c>
      <c r="K134" s="538">
        <f t="shared" si="19"/>
        <v>381437.25</v>
      </c>
      <c r="L134" s="538">
        <f t="shared" si="19"/>
        <v>381437.25</v>
      </c>
      <c r="M134" s="1213"/>
    </row>
    <row r="135" spans="2:13" ht="13.15" customHeight="1" x14ac:dyDescent="0.2">
      <c r="B135" s="316"/>
      <c r="C135" s="318"/>
      <c r="D135" s="1071"/>
      <c r="E135" s="1071"/>
      <c r="F135" s="1071"/>
      <c r="G135" s="1072"/>
      <c r="H135" s="1072"/>
      <c r="I135" s="1072"/>
      <c r="J135" s="1072"/>
      <c r="K135" s="1072"/>
      <c r="L135" s="1072"/>
      <c r="M135" s="1213"/>
    </row>
    <row r="136" spans="2:13" ht="13.15" customHeight="1" x14ac:dyDescent="0.2">
      <c r="B136" s="316"/>
      <c r="C136" s="381"/>
      <c r="D136" s="347"/>
      <c r="E136" s="347"/>
      <c r="F136" s="347"/>
      <c r="G136" s="394"/>
      <c r="H136" s="394"/>
      <c r="I136" s="394"/>
      <c r="J136" s="394"/>
      <c r="K136" s="394"/>
      <c r="L136" s="394"/>
      <c r="M136" s="1213"/>
    </row>
    <row r="137" spans="2:13" ht="13.15" customHeight="1" x14ac:dyDescent="0.2">
      <c r="B137" s="316"/>
      <c r="C137" s="381"/>
      <c r="D137" s="514" t="s">
        <v>438</v>
      </c>
      <c r="E137" s="318"/>
      <c r="F137" s="318"/>
      <c r="G137" s="318"/>
      <c r="H137" s="318"/>
      <c r="I137" s="318"/>
      <c r="J137" s="318"/>
      <c r="K137" s="318"/>
      <c r="L137" s="318"/>
      <c r="M137" s="1213"/>
    </row>
    <row r="138" spans="2:13" ht="13.15" customHeight="1" x14ac:dyDescent="0.2">
      <c r="B138" s="316"/>
      <c r="C138" s="381"/>
      <c r="D138" s="318"/>
      <c r="E138" s="318"/>
      <c r="F138" s="318"/>
      <c r="G138" s="392"/>
      <c r="H138" s="392"/>
      <c r="I138" s="392"/>
      <c r="J138" s="392"/>
      <c r="K138" s="392"/>
      <c r="L138" s="392"/>
      <c r="M138" s="1213"/>
    </row>
    <row r="139" spans="2:13" ht="13.15" customHeight="1" x14ac:dyDescent="0.2">
      <c r="B139" s="316"/>
      <c r="C139" s="381"/>
      <c r="D139" s="321" t="s">
        <v>436</v>
      </c>
      <c r="E139" s="318"/>
      <c r="F139" s="318"/>
      <c r="G139" s="392"/>
      <c r="H139" s="392"/>
      <c r="I139" s="392"/>
      <c r="J139" s="392"/>
      <c r="K139" s="392"/>
      <c r="L139" s="392"/>
      <c r="M139" s="1213"/>
    </row>
    <row r="140" spans="2:13" ht="13.15" customHeight="1" x14ac:dyDescent="0.2">
      <c r="B140" s="316"/>
      <c r="C140" s="381"/>
      <c r="D140" s="334" t="s">
        <v>635</v>
      </c>
      <c r="E140" s="318"/>
      <c r="F140" s="318"/>
      <c r="G140" s="1266">
        <v>4386.8100000000004</v>
      </c>
      <c r="H140" s="1266">
        <v>5942.64</v>
      </c>
      <c r="I140" s="1266">
        <v>1503.49</v>
      </c>
      <c r="J140" s="1266">
        <f>+I140</f>
        <v>1503.49</v>
      </c>
      <c r="K140" s="1266">
        <f>+J140</f>
        <v>1503.49</v>
      </c>
      <c r="L140" s="1266">
        <f>+K140</f>
        <v>1503.49</v>
      </c>
      <c r="M140" s="1213"/>
    </row>
    <row r="141" spans="2:13" ht="13.15" customHeight="1" x14ac:dyDescent="0.2">
      <c r="B141" s="316"/>
      <c r="C141" s="381"/>
      <c r="D141" s="334" t="s">
        <v>636</v>
      </c>
      <c r="E141" s="318"/>
      <c r="F141" s="318"/>
      <c r="G141" s="1266">
        <v>1464.3</v>
      </c>
      <c r="H141" s="1266">
        <v>10414.11</v>
      </c>
      <c r="I141" s="1266">
        <v>0</v>
      </c>
      <c r="J141" s="1266">
        <f t="shared" ref="H141:L142" si="20">+I141</f>
        <v>0</v>
      </c>
      <c r="K141" s="1266">
        <f t="shared" si="20"/>
        <v>0</v>
      </c>
      <c r="L141" s="1266">
        <f t="shared" si="20"/>
        <v>0</v>
      </c>
      <c r="M141" s="1213"/>
    </row>
    <row r="142" spans="2:13" ht="13.15" customHeight="1" x14ac:dyDescent="0.2">
      <c r="B142" s="316"/>
      <c r="C142" s="381"/>
      <c r="D142" s="334" t="s">
        <v>637</v>
      </c>
      <c r="E142" s="318"/>
      <c r="F142" s="318"/>
      <c r="G142" s="1266">
        <v>0</v>
      </c>
      <c r="H142" s="1266">
        <f t="shared" si="20"/>
        <v>0</v>
      </c>
      <c r="I142" s="1266">
        <v>5830.95</v>
      </c>
      <c r="J142" s="1266">
        <f t="shared" si="20"/>
        <v>5830.95</v>
      </c>
      <c r="K142" s="1266">
        <f t="shared" si="20"/>
        <v>5830.95</v>
      </c>
      <c r="L142" s="1266">
        <f t="shared" si="20"/>
        <v>5830.95</v>
      </c>
      <c r="M142" s="1213"/>
    </row>
    <row r="143" spans="2:13" ht="13.15" customHeight="1" x14ac:dyDescent="0.2">
      <c r="B143" s="316"/>
      <c r="C143" s="381"/>
      <c r="D143" s="334"/>
      <c r="E143" s="318"/>
      <c r="F143" s="318"/>
      <c r="G143" s="392"/>
      <c r="H143" s="392"/>
      <c r="I143" s="392"/>
      <c r="J143" s="392"/>
      <c r="K143" s="392"/>
      <c r="L143" s="392"/>
      <c r="M143" s="1213"/>
    </row>
    <row r="144" spans="2:13" ht="13.15" customHeight="1" x14ac:dyDescent="0.2">
      <c r="B144" s="316"/>
      <c r="C144" s="381"/>
      <c r="D144" s="550" t="s">
        <v>544</v>
      </c>
      <c r="E144" s="318"/>
      <c r="F144" s="318"/>
      <c r="G144" s="549">
        <f t="shared" ref="G144:L144" si="21">SUM(G140:G142)</f>
        <v>5851.1100000000006</v>
      </c>
      <c r="H144" s="549">
        <f t="shared" si="21"/>
        <v>16356.75</v>
      </c>
      <c r="I144" s="549">
        <f t="shared" si="21"/>
        <v>7334.44</v>
      </c>
      <c r="J144" s="549">
        <f t="shared" si="21"/>
        <v>7334.44</v>
      </c>
      <c r="K144" s="549">
        <f t="shared" si="21"/>
        <v>7334.44</v>
      </c>
      <c r="L144" s="549">
        <f t="shared" si="21"/>
        <v>7334.44</v>
      </c>
      <c r="M144" s="1213"/>
    </row>
    <row r="145" spans="2:13" ht="13.15" customHeight="1" thickBot="1" x14ac:dyDescent="0.25">
      <c r="B145" s="316"/>
      <c r="C145" s="381"/>
      <c r="D145" s="1073"/>
      <c r="E145" s="1073"/>
      <c r="F145" s="1073"/>
      <c r="G145" s="1074"/>
      <c r="H145" s="1074"/>
      <c r="I145" s="1074"/>
      <c r="J145" s="1074"/>
      <c r="K145" s="1074"/>
      <c r="L145" s="1074"/>
      <c r="M145" s="1213"/>
    </row>
    <row r="146" spans="2:13" ht="13.15" customHeight="1" thickTop="1" x14ac:dyDescent="0.2">
      <c r="B146" s="316"/>
      <c r="C146" s="381"/>
      <c r="D146" s="347"/>
      <c r="E146" s="347"/>
      <c r="F146" s="347"/>
      <c r="G146" s="347"/>
      <c r="H146" s="347"/>
      <c r="I146" s="347"/>
      <c r="J146" s="347"/>
      <c r="K146" s="347"/>
      <c r="L146" s="347"/>
      <c r="M146" s="1213"/>
    </row>
    <row r="147" spans="2:13" ht="13.15" customHeight="1" x14ac:dyDescent="0.2">
      <c r="B147" s="316"/>
      <c r="C147" s="381"/>
      <c r="D147" s="347"/>
      <c r="E147" s="347"/>
      <c r="F147" s="347"/>
      <c r="G147" s="347"/>
      <c r="H147" s="347"/>
      <c r="I147" s="347"/>
      <c r="J147" s="347"/>
      <c r="K147" s="347"/>
      <c r="L147" s="347"/>
      <c r="M147" s="1213"/>
    </row>
    <row r="148" spans="2:13" ht="13.15" customHeight="1" x14ac:dyDescent="0.2">
      <c r="B148" s="316"/>
      <c r="C148" s="381"/>
      <c r="D148" s="514" t="s">
        <v>141</v>
      </c>
      <c r="E148" s="318"/>
      <c r="F148" s="318"/>
      <c r="G148" s="537">
        <f t="shared" ref="G148:L148" si="22">G134+G144</f>
        <v>325444.36</v>
      </c>
      <c r="H148" s="537">
        <f t="shared" si="22"/>
        <v>367543.25</v>
      </c>
      <c r="I148" s="537">
        <f t="shared" si="22"/>
        <v>388771.69</v>
      </c>
      <c r="J148" s="537">
        <f t="shared" si="22"/>
        <v>388771.69</v>
      </c>
      <c r="K148" s="537">
        <f t="shared" si="22"/>
        <v>388771.69</v>
      </c>
      <c r="L148" s="537">
        <f t="shared" si="22"/>
        <v>388771.69</v>
      </c>
      <c r="M148" s="1213"/>
    </row>
    <row r="149" spans="2:13" ht="13.15" customHeight="1" x14ac:dyDescent="0.2">
      <c r="B149" s="316"/>
      <c r="C149" s="483"/>
      <c r="D149" s="370"/>
      <c r="E149" s="370"/>
      <c r="F149" s="370"/>
      <c r="G149" s="484"/>
      <c r="H149" s="484"/>
      <c r="I149" s="484"/>
      <c r="J149" s="484"/>
      <c r="K149" s="484"/>
      <c r="L149" s="484"/>
      <c r="M149" s="1213"/>
    </row>
    <row r="150" spans="2:13" ht="13.15" customHeight="1" x14ac:dyDescent="0.2">
      <c r="B150" s="316"/>
      <c r="C150" s="344"/>
      <c r="D150" s="344"/>
      <c r="E150" s="344"/>
      <c r="F150" s="344"/>
      <c r="G150" s="395"/>
      <c r="H150" s="395"/>
      <c r="I150" s="395"/>
      <c r="J150" s="395"/>
      <c r="K150" s="395"/>
      <c r="L150" s="395"/>
      <c r="M150" s="1215"/>
    </row>
    <row r="151" spans="2:13" ht="13.15" customHeight="1" x14ac:dyDescent="0.2">
      <c r="B151" s="316"/>
      <c r="C151" s="347"/>
      <c r="D151" s="347"/>
      <c r="E151" s="347"/>
      <c r="F151" s="347"/>
      <c r="G151" s="394"/>
      <c r="H151" s="394"/>
      <c r="I151" s="394"/>
      <c r="J151" s="394"/>
      <c r="K151" s="394"/>
      <c r="L151" s="394"/>
      <c r="M151" s="1213"/>
    </row>
    <row r="152" spans="2:13" ht="13.15" customHeight="1" x14ac:dyDescent="0.2">
      <c r="B152" s="316"/>
      <c r="C152" s="318"/>
      <c r="D152" s="514" t="s">
        <v>357</v>
      </c>
      <c r="E152" s="318"/>
      <c r="F152" s="318"/>
      <c r="G152" s="392"/>
      <c r="H152" s="392"/>
      <c r="I152" s="392"/>
      <c r="J152" s="392"/>
      <c r="K152" s="392"/>
      <c r="L152" s="392"/>
      <c r="M152" s="1213"/>
    </row>
    <row r="153" spans="2:13" ht="13.15" customHeight="1" x14ac:dyDescent="0.2">
      <c r="B153" s="316"/>
      <c r="C153" s="318"/>
      <c r="D153" s="318"/>
      <c r="E153" s="318"/>
      <c r="F153" s="318"/>
      <c r="G153" s="392"/>
      <c r="H153" s="392"/>
      <c r="I153" s="392"/>
      <c r="J153" s="392"/>
      <c r="K153" s="392"/>
      <c r="L153" s="392"/>
      <c r="M153" s="1213"/>
    </row>
    <row r="154" spans="2:13" ht="13.15" customHeight="1" x14ac:dyDescent="0.2">
      <c r="B154" s="316"/>
      <c r="C154" s="318"/>
      <c r="D154" s="1336"/>
      <c r="E154" s="1336"/>
      <c r="F154" s="318"/>
      <c r="G154" s="404">
        <v>0</v>
      </c>
      <c r="H154" s="404">
        <v>0</v>
      </c>
      <c r="I154" s="404">
        <v>0</v>
      </c>
      <c r="J154" s="404">
        <v>0</v>
      </c>
      <c r="K154" s="404">
        <v>0</v>
      </c>
      <c r="L154" s="404">
        <v>0</v>
      </c>
      <c r="M154" s="1213"/>
    </row>
    <row r="155" spans="2:13" ht="13.15" customHeight="1" x14ac:dyDescent="0.2">
      <c r="B155" s="316"/>
      <c r="C155" s="318"/>
      <c r="D155" s="1336"/>
      <c r="E155" s="1336"/>
      <c r="F155" s="318"/>
      <c r="G155" s="404">
        <v>0</v>
      </c>
      <c r="H155" s="404">
        <v>0</v>
      </c>
      <c r="I155" s="404">
        <v>0</v>
      </c>
      <c r="J155" s="404">
        <v>0</v>
      </c>
      <c r="K155" s="404">
        <v>0</v>
      </c>
      <c r="L155" s="404">
        <v>0</v>
      </c>
      <c r="M155" s="1213"/>
    </row>
    <row r="156" spans="2:13" ht="13.15" customHeight="1" x14ac:dyDescent="0.2">
      <c r="B156" s="316"/>
      <c r="C156" s="318"/>
      <c r="D156" s="1336"/>
      <c r="E156" s="1336"/>
      <c r="F156" s="318"/>
      <c r="G156" s="404">
        <v>0</v>
      </c>
      <c r="H156" s="404">
        <v>0</v>
      </c>
      <c r="I156" s="404">
        <v>0</v>
      </c>
      <c r="J156" s="404">
        <v>0</v>
      </c>
      <c r="K156" s="404">
        <v>0</v>
      </c>
      <c r="L156" s="404">
        <v>0</v>
      </c>
      <c r="M156" s="1213"/>
    </row>
    <row r="157" spans="2:13" ht="13.15" customHeight="1" x14ac:dyDescent="0.2">
      <c r="B157" s="316"/>
      <c r="C157" s="318"/>
      <c r="D157" s="318"/>
      <c r="E157" s="318"/>
      <c r="F157" s="318"/>
      <c r="G157" s="318"/>
      <c r="H157" s="318"/>
      <c r="I157" s="318"/>
      <c r="J157" s="318"/>
      <c r="K157" s="318"/>
      <c r="L157" s="318"/>
      <c r="M157" s="1213"/>
    </row>
    <row r="158" spans="2:13" ht="13.15" customHeight="1" x14ac:dyDescent="0.2">
      <c r="B158" s="316"/>
      <c r="C158" s="318"/>
      <c r="D158" s="514" t="s">
        <v>141</v>
      </c>
      <c r="E158" s="318"/>
      <c r="F158" s="318"/>
      <c r="G158" s="537">
        <f t="shared" ref="G158:L158" si="23">SUM(G154:G156)</f>
        <v>0</v>
      </c>
      <c r="H158" s="537">
        <f t="shared" si="23"/>
        <v>0</v>
      </c>
      <c r="I158" s="537">
        <f t="shared" si="23"/>
        <v>0</v>
      </c>
      <c r="J158" s="537">
        <f t="shared" si="23"/>
        <v>0</v>
      </c>
      <c r="K158" s="537">
        <f t="shared" si="23"/>
        <v>0</v>
      </c>
      <c r="L158" s="537">
        <f t="shared" si="23"/>
        <v>0</v>
      </c>
      <c r="M158" s="1213"/>
    </row>
    <row r="159" spans="2:13" ht="13.15" customHeight="1" x14ac:dyDescent="0.2">
      <c r="B159" s="316"/>
      <c r="C159" s="370"/>
      <c r="D159" s="370"/>
      <c r="E159" s="370"/>
      <c r="F159" s="370"/>
      <c r="G159" s="484"/>
      <c r="H159" s="484"/>
      <c r="I159" s="484"/>
      <c r="J159" s="484"/>
      <c r="K159" s="484"/>
      <c r="L159" s="484"/>
      <c r="M159" s="1213"/>
    </row>
    <row r="160" spans="2:13" ht="13.15" customHeight="1" x14ac:dyDescent="0.2">
      <c r="B160" s="316"/>
      <c r="C160" s="344"/>
      <c r="D160" s="344"/>
      <c r="E160" s="344"/>
      <c r="F160" s="344"/>
      <c r="G160" s="395"/>
      <c r="H160" s="395"/>
      <c r="I160" s="395"/>
      <c r="J160" s="395"/>
      <c r="K160" s="395"/>
      <c r="L160" s="395"/>
      <c r="M160" s="1215"/>
    </row>
    <row r="161" spans="2:13" ht="13.15" customHeight="1" x14ac:dyDescent="0.2">
      <c r="B161" s="316"/>
      <c r="C161" s="347"/>
      <c r="D161" s="347"/>
      <c r="E161" s="347"/>
      <c r="F161" s="347"/>
      <c r="G161" s="394"/>
      <c r="H161" s="394"/>
      <c r="I161" s="394"/>
      <c r="J161" s="394"/>
      <c r="K161" s="394"/>
      <c r="L161" s="394"/>
      <c r="M161" s="1213"/>
    </row>
    <row r="162" spans="2:13" ht="13.15" customHeight="1" x14ac:dyDescent="0.2">
      <c r="B162" s="316"/>
      <c r="C162" s="318"/>
      <c r="D162" s="514" t="s">
        <v>293</v>
      </c>
      <c r="E162" s="318"/>
      <c r="F162" s="318"/>
      <c r="G162" s="392"/>
      <c r="H162" s="392"/>
      <c r="I162" s="392"/>
      <c r="J162" s="392"/>
      <c r="K162" s="392"/>
      <c r="L162" s="392"/>
      <c r="M162" s="1213"/>
    </row>
    <row r="163" spans="2:13" ht="13.15" customHeight="1" x14ac:dyDescent="0.2">
      <c r="B163" s="316"/>
      <c r="C163" s="318"/>
      <c r="D163" s="318"/>
      <c r="E163" s="318"/>
      <c r="F163" s="318"/>
      <c r="G163" s="392"/>
      <c r="H163" s="392"/>
      <c r="I163" s="392"/>
      <c r="J163" s="392"/>
      <c r="K163" s="392"/>
      <c r="L163" s="392"/>
      <c r="M163" s="1213"/>
    </row>
    <row r="164" spans="2:13" ht="13.15" customHeight="1" x14ac:dyDescent="0.2">
      <c r="B164" s="316"/>
      <c r="C164" s="318"/>
      <c r="D164" s="318" t="s">
        <v>292</v>
      </c>
      <c r="E164" s="318"/>
      <c r="F164" s="318"/>
      <c r="G164" s="404">
        <v>0</v>
      </c>
      <c r="H164" s="404">
        <v>0</v>
      </c>
      <c r="I164" s="404">
        <v>0</v>
      </c>
      <c r="J164" s="404">
        <v>0</v>
      </c>
      <c r="K164" s="404">
        <v>0</v>
      </c>
      <c r="L164" s="404">
        <v>0</v>
      </c>
      <c r="M164" s="1213"/>
    </row>
    <row r="165" spans="2:13" ht="13.15" customHeight="1" x14ac:dyDescent="0.2">
      <c r="B165" s="316"/>
      <c r="C165" s="318"/>
      <c r="D165" s="318" t="s">
        <v>365</v>
      </c>
      <c r="E165" s="318"/>
      <c r="F165" s="318"/>
      <c r="G165" s="404">
        <v>0</v>
      </c>
      <c r="H165" s="404">
        <v>0</v>
      </c>
      <c r="I165" s="404">
        <v>0</v>
      </c>
      <c r="J165" s="404">
        <v>0</v>
      </c>
      <c r="K165" s="404">
        <v>0</v>
      </c>
      <c r="L165" s="404">
        <v>0</v>
      </c>
      <c r="M165" s="1213"/>
    </row>
    <row r="166" spans="2:13" ht="13.15" customHeight="1" x14ac:dyDescent="0.2">
      <c r="B166" s="316"/>
      <c r="C166" s="318"/>
      <c r="D166" s="318" t="s">
        <v>317</v>
      </c>
      <c r="E166" s="318"/>
      <c r="F166" s="318"/>
      <c r="G166" s="404">
        <v>0</v>
      </c>
      <c r="H166" s="404">
        <v>0</v>
      </c>
      <c r="I166" s="404">
        <v>0</v>
      </c>
      <c r="J166" s="404">
        <v>0</v>
      </c>
      <c r="K166" s="404">
        <v>0</v>
      </c>
      <c r="L166" s="404">
        <v>0</v>
      </c>
      <c r="M166" s="1213"/>
    </row>
    <row r="167" spans="2:13" ht="13.15" customHeight="1" x14ac:dyDescent="0.2">
      <c r="B167" s="316"/>
      <c r="C167" s="318"/>
      <c r="D167" s="1336"/>
      <c r="E167" s="1336"/>
      <c r="F167" s="318"/>
      <c r="G167" s="404">
        <v>0</v>
      </c>
      <c r="H167" s="404">
        <v>0</v>
      </c>
      <c r="I167" s="404">
        <v>0</v>
      </c>
      <c r="J167" s="404">
        <v>0</v>
      </c>
      <c r="K167" s="404">
        <v>0</v>
      </c>
      <c r="L167" s="404">
        <v>0</v>
      </c>
      <c r="M167" s="1213"/>
    </row>
    <row r="168" spans="2:13" ht="13.15" customHeight="1" x14ac:dyDescent="0.2">
      <c r="B168" s="316"/>
      <c r="C168" s="318"/>
      <c r="D168" s="1336"/>
      <c r="E168" s="1336"/>
      <c r="F168" s="318"/>
      <c r="G168" s="404">
        <v>0</v>
      </c>
      <c r="H168" s="404">
        <v>0</v>
      </c>
      <c r="I168" s="404">
        <v>0</v>
      </c>
      <c r="J168" s="404">
        <v>0</v>
      </c>
      <c r="K168" s="404">
        <v>0</v>
      </c>
      <c r="L168" s="404">
        <v>0</v>
      </c>
      <c r="M168" s="1213"/>
    </row>
    <row r="169" spans="2:13" ht="13.15" customHeight="1" x14ac:dyDescent="0.2">
      <c r="B169" s="316"/>
      <c r="C169" s="318"/>
      <c r="D169" s="1336"/>
      <c r="E169" s="1336"/>
      <c r="F169" s="318"/>
      <c r="G169" s="404">
        <v>0</v>
      </c>
      <c r="H169" s="404">
        <v>0</v>
      </c>
      <c r="I169" s="404">
        <v>0</v>
      </c>
      <c r="J169" s="404">
        <v>0</v>
      </c>
      <c r="K169" s="404">
        <v>0</v>
      </c>
      <c r="L169" s="404">
        <v>0</v>
      </c>
      <c r="M169" s="1213"/>
    </row>
    <row r="170" spans="2:13" ht="13.15" customHeight="1" x14ac:dyDescent="0.2">
      <c r="B170" s="316"/>
      <c r="C170" s="318"/>
      <c r="D170" s="1262"/>
      <c r="E170" s="1262"/>
      <c r="F170" s="318"/>
      <c r="G170" s="392"/>
      <c r="H170" s="392"/>
      <c r="I170" s="392"/>
      <c r="J170" s="392"/>
      <c r="K170" s="392"/>
      <c r="L170" s="392"/>
      <c r="M170" s="1213"/>
    </row>
    <row r="171" spans="2:13" ht="13.15" customHeight="1" x14ac:dyDescent="0.2">
      <c r="B171" s="316"/>
      <c r="C171" s="318"/>
      <c r="D171" s="514" t="s">
        <v>141</v>
      </c>
      <c r="E171" s="318"/>
      <c r="F171" s="318"/>
      <c r="G171" s="537">
        <f t="shared" ref="G171:L171" si="24">SUM(G164:G169)</f>
        <v>0</v>
      </c>
      <c r="H171" s="537">
        <f t="shared" si="24"/>
        <v>0</v>
      </c>
      <c r="I171" s="537">
        <f t="shared" si="24"/>
        <v>0</v>
      </c>
      <c r="J171" s="537">
        <f t="shared" si="24"/>
        <v>0</v>
      </c>
      <c r="K171" s="537">
        <f t="shared" si="24"/>
        <v>0</v>
      </c>
      <c r="L171" s="537">
        <f t="shared" si="24"/>
        <v>0</v>
      </c>
      <c r="M171" s="1213"/>
    </row>
    <row r="172" spans="2:13" ht="13.15" customHeight="1" x14ac:dyDescent="0.2">
      <c r="B172" s="316"/>
      <c r="C172" s="318"/>
      <c r="D172" s="370"/>
      <c r="E172" s="370"/>
      <c r="F172" s="370"/>
      <c r="G172" s="484"/>
      <c r="H172" s="484"/>
      <c r="I172" s="484"/>
      <c r="J172" s="484"/>
      <c r="K172" s="484"/>
      <c r="L172" s="484"/>
      <c r="M172" s="1213"/>
    </row>
    <row r="173" spans="2:13" ht="13.15" customHeight="1" x14ac:dyDescent="0.2">
      <c r="B173" s="316"/>
      <c r="C173" s="344"/>
      <c r="D173" s="344"/>
      <c r="E173" s="344"/>
      <c r="F173" s="344"/>
      <c r="G173" s="395"/>
      <c r="H173" s="395"/>
      <c r="I173" s="395"/>
      <c r="J173" s="395"/>
      <c r="K173" s="395"/>
      <c r="L173" s="395"/>
      <c r="M173" s="1215"/>
    </row>
    <row r="174" spans="2:13" ht="13.15" customHeight="1" x14ac:dyDescent="0.2">
      <c r="B174" s="316"/>
      <c r="C174" s="347"/>
      <c r="D174" s="402"/>
      <c r="E174" s="530"/>
      <c r="F174" s="402"/>
      <c r="G174" s="403"/>
      <c r="H174" s="403"/>
      <c r="I174" s="394"/>
      <c r="J174" s="394"/>
      <c r="K174" s="394"/>
      <c r="L174" s="394"/>
      <c r="M174" s="1213"/>
    </row>
    <row r="175" spans="2:13" ht="13.15" customHeight="1" x14ac:dyDescent="0.2">
      <c r="B175" s="316"/>
      <c r="C175" s="318"/>
      <c r="D175" s="514" t="s">
        <v>370</v>
      </c>
      <c r="E175" s="530"/>
      <c r="F175" s="318"/>
      <c r="G175" s="537">
        <f t="shared" ref="G175:L175" si="25">G148+G158+G171</f>
        <v>325444.36</v>
      </c>
      <c r="H175" s="537">
        <f t="shared" si="25"/>
        <v>367543.25</v>
      </c>
      <c r="I175" s="537">
        <f t="shared" si="25"/>
        <v>388771.69</v>
      </c>
      <c r="J175" s="537">
        <f t="shared" si="25"/>
        <v>388771.69</v>
      </c>
      <c r="K175" s="537">
        <f t="shared" si="25"/>
        <v>388771.69</v>
      </c>
      <c r="L175" s="537">
        <f t="shared" si="25"/>
        <v>388771.69</v>
      </c>
      <c r="M175" s="1213"/>
    </row>
    <row r="176" spans="2:13" ht="13.15" customHeight="1" x14ac:dyDescent="0.2">
      <c r="B176" s="316"/>
      <c r="C176" s="318"/>
      <c r="D176" s="318"/>
      <c r="E176" s="318"/>
      <c r="F176" s="318"/>
      <c r="G176" s="392"/>
      <c r="H176" s="392"/>
      <c r="I176" s="392"/>
      <c r="J176" s="392"/>
      <c r="K176" s="392"/>
      <c r="L176" s="392"/>
      <c r="M176" s="1213"/>
    </row>
    <row r="177" spans="2:13" ht="13.15" customHeight="1" x14ac:dyDescent="0.2">
      <c r="B177" s="316"/>
      <c r="C177" s="344"/>
      <c r="D177" s="344"/>
      <c r="E177" s="344"/>
      <c r="F177" s="344"/>
      <c r="G177" s="368"/>
      <c r="H177" s="368"/>
      <c r="I177" s="368"/>
      <c r="J177" s="368"/>
      <c r="K177" s="368"/>
      <c r="L177" s="368"/>
      <c r="M177" s="386"/>
    </row>
    <row r="178" spans="2:13" ht="13.15" customHeight="1" x14ac:dyDescent="0.2">
      <c r="B178" s="327"/>
      <c r="C178" s="352"/>
      <c r="D178" s="352"/>
      <c r="E178" s="352"/>
      <c r="F178" s="352"/>
      <c r="G178" s="353"/>
      <c r="H178" s="353"/>
      <c r="I178" s="353"/>
      <c r="J178" s="353"/>
      <c r="K178" s="353"/>
      <c r="L178" s="353"/>
      <c r="M178" s="389"/>
    </row>
    <row r="179" spans="2:13" ht="13.15" customHeight="1" x14ac:dyDescent="0.2">
      <c r="L179" s="328"/>
    </row>
    <row r="180" spans="2:13" ht="13.15" customHeight="1" x14ac:dyDescent="0.2">
      <c r="L180" s="328"/>
    </row>
    <row r="181" spans="2:13" ht="13.15" customHeight="1" x14ac:dyDescent="0.2">
      <c r="L181" s="328"/>
    </row>
    <row r="182" spans="2:13" ht="13.15" customHeight="1" x14ac:dyDescent="0.2">
      <c r="L182" s="328"/>
    </row>
    <row r="183" spans="2:13" ht="13.15" customHeight="1" x14ac:dyDescent="0.2">
      <c r="C183" s="317"/>
      <c r="D183" s="317"/>
      <c r="E183" s="317"/>
      <c r="F183" s="317"/>
      <c r="G183" s="326"/>
      <c r="H183" s="326"/>
      <c r="I183" s="326"/>
      <c r="J183" s="326"/>
      <c r="K183" s="326"/>
      <c r="L183" s="326"/>
    </row>
    <row r="184" spans="2:13" ht="13.15" customHeight="1" x14ac:dyDescent="0.2">
      <c r="B184" s="317"/>
      <c r="C184" s="552" t="s">
        <v>350</v>
      </c>
      <c r="D184" s="539"/>
      <c r="E184" s="539"/>
      <c r="F184" s="539"/>
      <c r="H184" s="547">
        <f>+H97</f>
        <v>2020</v>
      </c>
      <c r="I184" s="547">
        <f>+I97</f>
        <v>2021</v>
      </c>
      <c r="J184" s="547">
        <f>+J97</f>
        <v>2022</v>
      </c>
      <c r="K184" s="547">
        <f>+K97</f>
        <v>2023</v>
      </c>
      <c r="L184" s="547">
        <f>+L97</f>
        <v>2024</v>
      </c>
    </row>
    <row r="185" spans="2:13" ht="13.15" customHeight="1" x14ac:dyDescent="0.2">
      <c r="B185" s="317"/>
      <c r="C185" s="547" t="s">
        <v>351</v>
      </c>
      <c r="D185" s="539"/>
      <c r="E185" s="539"/>
      <c r="F185" s="539"/>
      <c r="H185" s="540"/>
      <c r="I185" s="540"/>
      <c r="J185" s="540"/>
      <c r="K185" s="540"/>
      <c r="L185" s="540"/>
    </row>
    <row r="186" spans="2:13" ht="13.15" customHeight="1" x14ac:dyDescent="0.2">
      <c r="B186" s="317"/>
      <c r="C186" s="539" t="s">
        <v>584</v>
      </c>
      <c r="D186" s="539"/>
      <c r="E186" s="539"/>
      <c r="F186" s="539"/>
      <c r="H186" s="541">
        <f>7/12*(G22-G36-G21)+5/12*(H22-H37-H21)+H37</f>
        <v>906479.598</v>
      </c>
      <c r="I186" s="541">
        <f>7/12*(H22-H21)+5/12*(I22-I21)</f>
        <v>1021040.9702666668</v>
      </c>
      <c r="J186" s="541">
        <f>7/12*(I22-I21)+5/12*(J22-J21)</f>
        <v>1095491.9925000002</v>
      </c>
      <c r="K186" s="541">
        <f>7/12*(J22-J21)+5/12*(K22-K21)</f>
        <v>1111278.9825000002</v>
      </c>
      <c r="L186" s="541">
        <f>7/12*(K22-K21)+5/12*(L22-L21)</f>
        <v>1127065.9725000001</v>
      </c>
    </row>
    <row r="187" spans="2:13" ht="13.15" customHeight="1" x14ac:dyDescent="0.2">
      <c r="B187" s="317"/>
      <c r="C187" s="539" t="s">
        <v>352</v>
      </c>
      <c r="D187" s="539"/>
      <c r="E187" s="539"/>
      <c r="F187" s="539"/>
      <c r="H187" s="541">
        <f>7/12*G27+5/12*H27</f>
        <v>1878539.9625000001</v>
      </c>
      <c r="I187" s="541">
        <f>7/12*H27+5/12*I27</f>
        <v>2039796.5725000002</v>
      </c>
      <c r="J187" s="541">
        <f>7/12*I27+5/12*J27</f>
        <v>2078192.6400000001</v>
      </c>
      <c r="K187" s="541">
        <f>7/12*J27+5/12*K27</f>
        <v>2078192.6400000001</v>
      </c>
      <c r="L187" s="541">
        <f>7/12*K27+5/12*L27</f>
        <v>2078192.6400000001</v>
      </c>
    </row>
    <row r="188" spans="2:13" ht="13.15" customHeight="1" x14ac:dyDescent="0.2">
      <c r="B188" s="317"/>
      <c r="C188" s="539" t="s">
        <v>435</v>
      </c>
      <c r="D188" s="539"/>
      <c r="E188" s="539"/>
      <c r="F188" s="539"/>
      <c r="H188" s="541">
        <f>7/12*G58+5/12*H58</f>
        <v>101302.57416666667</v>
      </c>
      <c r="I188" s="541">
        <f>7/12*H58+5/12*I58</f>
        <v>122771.19583333335</v>
      </c>
      <c r="J188" s="541">
        <f>7/12*I58+5/12*J58</f>
        <v>70869.270000000019</v>
      </c>
      <c r="K188" s="541">
        <f>7/12*J58+5/12*K58</f>
        <v>70869.270000000019</v>
      </c>
      <c r="L188" s="541">
        <f>7/12*K58+5/12*L58</f>
        <v>70869.270000000019</v>
      </c>
    </row>
    <row r="189" spans="2:13" ht="13.15" customHeight="1" x14ac:dyDescent="0.2">
      <c r="B189" s="317"/>
      <c r="C189" s="539" t="s">
        <v>353</v>
      </c>
      <c r="D189" s="539"/>
      <c r="E189" s="539"/>
      <c r="F189" s="539"/>
      <c r="H189" s="541">
        <f>7/12*G21+5/12*H21</f>
        <v>89470.716666666674</v>
      </c>
      <c r="I189" s="541">
        <f>7/12*H21+5/12*I21</f>
        <v>143105.80000000002</v>
      </c>
      <c r="J189" s="541">
        <f>7/12*I21+5/12*J21</f>
        <v>154501.91666666669</v>
      </c>
      <c r="K189" s="541">
        <f>7/12*J21+5/12*K21</f>
        <v>156860.91666666669</v>
      </c>
      <c r="L189" s="541">
        <f>7/12*K21+5/12*L21</f>
        <v>159219.91666666669</v>
      </c>
    </row>
    <row r="190" spans="2:13" ht="13.15" customHeight="1" x14ac:dyDescent="0.2">
      <c r="B190" s="317"/>
      <c r="C190" s="539" t="s">
        <v>349</v>
      </c>
      <c r="D190" s="539"/>
      <c r="E190" s="539"/>
      <c r="F190" s="539"/>
      <c r="H190" s="541">
        <f>7/12*G31+5/12*H31</f>
        <v>154446.62833333336</v>
      </c>
      <c r="I190" s="541">
        <f>7/12*H31+5/12*I31</f>
        <v>213636.9966666667</v>
      </c>
      <c r="J190" s="541">
        <f>7/12*I31+5/12*J31</f>
        <v>240511.98000000004</v>
      </c>
      <c r="K190" s="541">
        <f>7/12*J31+5/12*K31</f>
        <v>240511.98000000004</v>
      </c>
      <c r="L190" s="541">
        <f>7/12*K31+5/12*L31</f>
        <v>240511.98000000004</v>
      </c>
    </row>
    <row r="191" spans="2:13" ht="13.15" customHeight="1" x14ac:dyDescent="0.2">
      <c r="B191" s="317"/>
      <c r="C191" s="539" t="s">
        <v>354</v>
      </c>
      <c r="D191" s="539"/>
      <c r="E191" s="539"/>
      <c r="F191" s="539"/>
      <c r="H191" s="541">
        <f>7/12*(G42-G36)+5/12*(H42-H37)+H37</f>
        <v>90727.59583333334</v>
      </c>
      <c r="I191" s="541">
        <f>7/12*(H42-H37)+5/12*I42</f>
        <v>74357.603333333347</v>
      </c>
      <c r="J191" s="541">
        <f>7/12*I42+5/12*J42</f>
        <v>63134.55</v>
      </c>
      <c r="K191" s="541">
        <f>7/12*J42+5/12*K42</f>
        <v>63134.55</v>
      </c>
      <c r="L191" s="541">
        <f>7/12*K42+5/12*L42</f>
        <v>63134.55</v>
      </c>
    </row>
    <row r="192" spans="2:13" ht="13.15" customHeight="1" x14ac:dyDescent="0.2">
      <c r="B192" s="317"/>
      <c r="C192" s="544" t="s">
        <v>364</v>
      </c>
      <c r="D192" s="539"/>
      <c r="E192" s="539"/>
      <c r="F192" s="539"/>
      <c r="H192" s="541">
        <f>7/12*G46+5/12*H46</f>
        <v>0</v>
      </c>
      <c r="I192" s="541">
        <f>7/12*H46+5/12*I46</f>
        <v>0</v>
      </c>
      <c r="J192" s="541">
        <f>7/12*I46+5/12*J46</f>
        <v>0</v>
      </c>
      <c r="K192" s="541">
        <f>7/12*J46+5/12*K46</f>
        <v>0</v>
      </c>
      <c r="L192" s="541">
        <f>7/12*K46+5/12*L46</f>
        <v>0</v>
      </c>
    </row>
    <row r="193" spans="2:12" ht="13.15" customHeight="1" x14ac:dyDescent="0.2">
      <c r="B193" s="317"/>
      <c r="C193" s="539" t="s">
        <v>357</v>
      </c>
      <c r="D193" s="539"/>
      <c r="E193" s="539"/>
      <c r="F193" s="539"/>
      <c r="H193" s="541">
        <f>7/12*G74+5*H74/12</f>
        <v>5910.6133333333337</v>
      </c>
      <c r="I193" s="541">
        <f>7/12*H74+5*I74/12</f>
        <v>0</v>
      </c>
      <c r="J193" s="541">
        <f>7/12*I74+5*J74/12</f>
        <v>0</v>
      </c>
      <c r="K193" s="541">
        <f>7/12*J74+5*K74/12</f>
        <v>0</v>
      </c>
      <c r="L193" s="541">
        <f>7/12*K74+5*L74/12</f>
        <v>0</v>
      </c>
    </row>
    <row r="194" spans="2:12" ht="13.15" customHeight="1" x14ac:dyDescent="0.2">
      <c r="B194" s="317"/>
      <c r="C194" s="539" t="s">
        <v>293</v>
      </c>
      <c r="D194" s="539"/>
      <c r="E194" s="539"/>
      <c r="F194" s="539"/>
      <c r="H194" s="541">
        <f>7/12*(G87-G80)+5/12*(H87-H80)</f>
        <v>20736.466666666667</v>
      </c>
      <c r="I194" s="541">
        <f>7/12*(H87-H80)+5/12*(I87-I80)</f>
        <v>29031.053333333333</v>
      </c>
      <c r="J194" s="541">
        <f>7/12*(I87-I80)+5/12*(J87-J80)</f>
        <v>0</v>
      </c>
      <c r="K194" s="541">
        <f>7/12*(J87-J80)+5/12*(K87-K80)</f>
        <v>0</v>
      </c>
      <c r="L194" s="541">
        <f>7/12*(K87-K80)+5/12*(L87-L80)</f>
        <v>0</v>
      </c>
    </row>
    <row r="195" spans="2:12" ht="13.15" customHeight="1" x14ac:dyDescent="0.2">
      <c r="B195" s="317"/>
      <c r="C195" s="539" t="s">
        <v>292</v>
      </c>
      <c r="D195" s="539"/>
      <c r="E195" s="539"/>
      <c r="F195" s="539"/>
      <c r="H195" s="541">
        <f t="shared" ref="H195:L197" si="26">7/12*G80+5/12*H80</f>
        <v>0</v>
      </c>
      <c r="I195" s="541">
        <f t="shared" si="26"/>
        <v>0</v>
      </c>
      <c r="J195" s="541">
        <f t="shared" si="26"/>
        <v>0</v>
      </c>
      <c r="K195" s="541">
        <f t="shared" si="26"/>
        <v>0</v>
      </c>
      <c r="L195" s="541">
        <f t="shared" si="26"/>
        <v>0</v>
      </c>
    </row>
    <row r="196" spans="2:12" ht="13.15" customHeight="1" x14ac:dyDescent="0.2">
      <c r="B196" s="317"/>
      <c r="C196" s="539" t="s">
        <v>259</v>
      </c>
      <c r="D196" s="539"/>
      <c r="E196" s="539"/>
      <c r="F196" s="539"/>
      <c r="H196" s="541">
        <f t="shared" si="26"/>
        <v>0</v>
      </c>
      <c r="I196" s="541">
        <f t="shared" si="26"/>
        <v>0</v>
      </c>
      <c r="J196" s="541">
        <f t="shared" si="26"/>
        <v>0</v>
      </c>
      <c r="K196" s="541">
        <f t="shared" si="26"/>
        <v>0</v>
      </c>
      <c r="L196" s="541">
        <f t="shared" si="26"/>
        <v>0</v>
      </c>
    </row>
    <row r="197" spans="2:12" ht="13.15" customHeight="1" x14ac:dyDescent="0.2">
      <c r="B197" s="317"/>
      <c r="C197" s="539" t="s">
        <v>260</v>
      </c>
      <c r="D197" s="539"/>
      <c r="E197" s="539"/>
      <c r="F197" s="539"/>
      <c r="H197" s="541">
        <f t="shared" si="26"/>
        <v>0</v>
      </c>
      <c r="I197" s="541">
        <f t="shared" si="26"/>
        <v>0</v>
      </c>
      <c r="J197" s="541">
        <f t="shared" si="26"/>
        <v>0</v>
      </c>
      <c r="K197" s="541">
        <f t="shared" si="26"/>
        <v>0</v>
      </c>
      <c r="L197" s="541">
        <f t="shared" si="26"/>
        <v>0</v>
      </c>
    </row>
    <row r="198" spans="2:12" ht="13.15" customHeight="1" x14ac:dyDescent="0.2">
      <c r="B198" s="317"/>
      <c r="C198" s="539" t="s">
        <v>369</v>
      </c>
      <c r="D198" s="539"/>
      <c r="E198" s="539"/>
      <c r="F198" s="539"/>
      <c r="H198" s="541">
        <f>SUM(H186:H197)-H192</f>
        <v>3247614.1555000003</v>
      </c>
      <c r="I198" s="541">
        <f>SUM(I186:I197)-I192</f>
        <v>3643740.1919333334</v>
      </c>
      <c r="J198" s="541">
        <f>SUM(J186:J197)-J192</f>
        <v>3702702.3491666666</v>
      </c>
      <c r="K198" s="541">
        <f>SUM(K186:K197)-K192</f>
        <v>3720848.3391666668</v>
      </c>
      <c r="L198" s="541">
        <f>SUM(L186:L197)-L192</f>
        <v>3738994.3291666666</v>
      </c>
    </row>
    <row r="199" spans="2:12" ht="13.15" customHeight="1" x14ac:dyDescent="0.2">
      <c r="B199" s="317"/>
      <c r="C199" s="539"/>
      <c r="D199" s="539"/>
      <c r="E199" s="539"/>
      <c r="F199" s="539"/>
      <c r="H199" s="540"/>
      <c r="I199" s="540"/>
      <c r="J199" s="540"/>
      <c r="K199" s="540"/>
      <c r="L199" s="540"/>
    </row>
    <row r="200" spans="2:12" ht="13.15" customHeight="1" x14ac:dyDescent="0.2">
      <c r="B200" s="317"/>
      <c r="C200" s="547" t="s">
        <v>355</v>
      </c>
      <c r="D200" s="539"/>
      <c r="E200" s="539"/>
      <c r="F200" s="539"/>
      <c r="H200" s="539"/>
      <c r="I200" s="539"/>
      <c r="J200" s="539"/>
      <c r="K200" s="539"/>
      <c r="L200" s="539"/>
    </row>
    <row r="201" spans="2:12" ht="13.15" customHeight="1" x14ac:dyDescent="0.2">
      <c r="B201" s="317"/>
      <c r="C201" s="539" t="s">
        <v>584</v>
      </c>
      <c r="D201" s="539"/>
      <c r="E201" s="539"/>
      <c r="F201" s="539"/>
      <c r="H201" s="542">
        <f>+H109</f>
        <v>211030.06</v>
      </c>
      <c r="I201" s="542">
        <f>+I109</f>
        <v>232648.88</v>
      </c>
      <c r="J201" s="542">
        <f>+J109</f>
        <v>232648.88</v>
      </c>
      <c r="K201" s="542">
        <f>+K109</f>
        <v>232648.88</v>
      </c>
      <c r="L201" s="542">
        <f>+L109</f>
        <v>232648.88</v>
      </c>
    </row>
    <row r="202" spans="2:12" ht="13.15" customHeight="1" x14ac:dyDescent="0.2">
      <c r="B202" s="317"/>
      <c r="C202" s="539" t="s">
        <v>352</v>
      </c>
      <c r="D202" s="539"/>
      <c r="E202" s="539"/>
      <c r="F202" s="539"/>
      <c r="H202" s="542">
        <f>+H114</f>
        <v>140156.44</v>
      </c>
      <c r="I202" s="542">
        <f>+I114</f>
        <v>148788.37</v>
      </c>
      <c r="J202" s="542">
        <f>+J114</f>
        <v>148788.37</v>
      </c>
      <c r="K202" s="542">
        <f>+K114</f>
        <v>148788.37</v>
      </c>
      <c r="L202" s="542">
        <f>+L114</f>
        <v>148788.37</v>
      </c>
    </row>
    <row r="203" spans="2:12" ht="13.15" customHeight="1" x14ac:dyDescent="0.2">
      <c r="B203" s="317"/>
      <c r="C203" s="539" t="s">
        <v>435</v>
      </c>
      <c r="D203" s="539"/>
      <c r="E203" s="539"/>
      <c r="F203" s="539"/>
      <c r="H203" s="542">
        <f>+H144</f>
        <v>16356.75</v>
      </c>
      <c r="I203" s="542">
        <f>+I144</f>
        <v>7334.44</v>
      </c>
      <c r="J203" s="542">
        <f>+J144</f>
        <v>7334.44</v>
      </c>
      <c r="K203" s="542">
        <f>+K144</f>
        <v>7334.44</v>
      </c>
      <c r="L203" s="542">
        <f>+L144</f>
        <v>7334.44</v>
      </c>
    </row>
    <row r="204" spans="2:12" ht="13.15" customHeight="1" x14ac:dyDescent="0.2">
      <c r="B204" s="317"/>
      <c r="C204" s="539" t="s">
        <v>354</v>
      </c>
      <c r="D204" s="539"/>
      <c r="E204" s="539"/>
      <c r="F204" s="539"/>
      <c r="H204" s="542">
        <f>+H121+H127</f>
        <v>0</v>
      </c>
      <c r="I204" s="542">
        <f>+I121+I127</f>
        <v>0</v>
      </c>
      <c r="J204" s="542">
        <f>+J121+J127</f>
        <v>0</v>
      </c>
      <c r="K204" s="542">
        <f>+K121+K127</f>
        <v>0</v>
      </c>
      <c r="L204" s="542">
        <f>+L121+L127</f>
        <v>0</v>
      </c>
    </row>
    <row r="205" spans="2:12" ht="13.15" customHeight="1" x14ac:dyDescent="0.2">
      <c r="B205" s="317"/>
      <c r="C205" s="544" t="s">
        <v>364</v>
      </c>
      <c r="D205" s="539"/>
      <c r="E205" s="539"/>
      <c r="F205" s="539"/>
      <c r="H205" s="541">
        <f>+H132</f>
        <v>0</v>
      </c>
      <c r="I205" s="541">
        <f>+I132</f>
        <v>0</v>
      </c>
      <c r="J205" s="541">
        <f>+J132</f>
        <v>0</v>
      </c>
      <c r="K205" s="541">
        <f>+K132</f>
        <v>0</v>
      </c>
      <c r="L205" s="541">
        <f>+L132</f>
        <v>0</v>
      </c>
    </row>
    <row r="206" spans="2:12" ht="13.15" customHeight="1" x14ac:dyDescent="0.2">
      <c r="B206" s="317"/>
      <c r="C206" s="539" t="s">
        <v>357</v>
      </c>
      <c r="D206" s="539"/>
      <c r="E206" s="539"/>
      <c r="F206" s="539"/>
      <c r="H206" s="542">
        <f>+H158</f>
        <v>0</v>
      </c>
      <c r="I206" s="542">
        <f>+I158</f>
        <v>0</v>
      </c>
      <c r="J206" s="542">
        <f>+J158</f>
        <v>0</v>
      </c>
      <c r="K206" s="542">
        <f>+K158</f>
        <v>0</v>
      </c>
      <c r="L206" s="542">
        <f>+L158</f>
        <v>0</v>
      </c>
    </row>
    <row r="207" spans="2:12" ht="13.15" customHeight="1" x14ac:dyDescent="0.2">
      <c r="B207" s="317"/>
      <c r="C207" s="539" t="s">
        <v>293</v>
      </c>
      <c r="D207" s="539"/>
      <c r="E207" s="539"/>
      <c r="F207" s="539"/>
      <c r="H207" s="542">
        <f>+H171-H164</f>
        <v>0</v>
      </c>
      <c r="I207" s="542">
        <f>+I171-I164</f>
        <v>0</v>
      </c>
      <c r="J207" s="542">
        <f>+J171-J164</f>
        <v>0</v>
      </c>
      <c r="K207" s="542">
        <f>+K171-K164</f>
        <v>0</v>
      </c>
      <c r="L207" s="542">
        <f>+L171-L164</f>
        <v>0</v>
      </c>
    </row>
    <row r="208" spans="2:12" ht="13.15" customHeight="1" x14ac:dyDescent="0.2">
      <c r="B208" s="317"/>
      <c r="C208" s="539" t="s">
        <v>292</v>
      </c>
      <c r="D208" s="539"/>
      <c r="E208" s="539"/>
      <c r="F208" s="539"/>
      <c r="H208" s="542">
        <f t="shared" ref="H208:K210" si="27">+H164</f>
        <v>0</v>
      </c>
      <c r="I208" s="542">
        <f t="shared" si="27"/>
        <v>0</v>
      </c>
      <c r="J208" s="542">
        <f t="shared" si="27"/>
        <v>0</v>
      </c>
      <c r="K208" s="542">
        <f t="shared" si="27"/>
        <v>0</v>
      </c>
      <c r="L208" s="542">
        <f>+L164</f>
        <v>0</v>
      </c>
    </row>
    <row r="209" spans="2:12" ht="13.15" customHeight="1" x14ac:dyDescent="0.2">
      <c r="B209" s="317"/>
      <c r="C209" s="539" t="s">
        <v>259</v>
      </c>
      <c r="D209" s="539"/>
      <c r="E209" s="539"/>
      <c r="F209" s="539"/>
      <c r="H209" s="542">
        <f t="shared" si="27"/>
        <v>0</v>
      </c>
      <c r="I209" s="542">
        <f t="shared" si="27"/>
        <v>0</v>
      </c>
      <c r="J209" s="542">
        <f t="shared" si="27"/>
        <v>0</v>
      </c>
      <c r="K209" s="542">
        <f t="shared" si="27"/>
        <v>0</v>
      </c>
      <c r="L209" s="542">
        <f>+L165</f>
        <v>0</v>
      </c>
    </row>
    <row r="210" spans="2:12" ht="13.15" customHeight="1" x14ac:dyDescent="0.2">
      <c r="B210" s="317"/>
      <c r="C210" s="539" t="s">
        <v>260</v>
      </c>
      <c r="D210" s="539"/>
      <c r="E210" s="539"/>
      <c r="F210" s="539"/>
      <c r="H210" s="542">
        <f t="shared" si="27"/>
        <v>0</v>
      </c>
      <c r="I210" s="542">
        <f t="shared" si="27"/>
        <v>0</v>
      </c>
      <c r="J210" s="542">
        <f t="shared" si="27"/>
        <v>0</v>
      </c>
      <c r="K210" s="542">
        <f t="shared" si="27"/>
        <v>0</v>
      </c>
      <c r="L210" s="542">
        <f>+L166</f>
        <v>0</v>
      </c>
    </row>
    <row r="211" spans="2:12" ht="13.15" customHeight="1" x14ac:dyDescent="0.2">
      <c r="B211" s="317"/>
      <c r="C211" s="539" t="s">
        <v>370</v>
      </c>
      <c r="D211" s="539"/>
      <c r="E211" s="539"/>
      <c r="F211" s="539"/>
      <c r="H211" s="541">
        <f>SUM(H201:H210)-H205</f>
        <v>367543.25</v>
      </c>
      <c r="I211" s="541">
        <f>SUM(I201:I210)-I205</f>
        <v>388771.69</v>
      </c>
      <c r="J211" s="541">
        <f>SUM(J201:J210)-J205</f>
        <v>388771.69</v>
      </c>
      <c r="K211" s="541">
        <f>SUM(K201:K210)-K205</f>
        <v>388771.69</v>
      </c>
      <c r="L211" s="541">
        <f>SUM(L201:L210)-L205</f>
        <v>388771.69</v>
      </c>
    </row>
    <row r="212" spans="2:12" ht="13.15" customHeight="1" x14ac:dyDescent="0.2">
      <c r="B212" s="317"/>
      <c r="C212" s="539" t="s">
        <v>416</v>
      </c>
      <c r="D212" s="539"/>
      <c r="E212" s="539"/>
      <c r="F212" s="539"/>
      <c r="H212" s="542">
        <f>+H198+H211</f>
        <v>3615157.4055000003</v>
      </c>
      <c r="I212" s="542">
        <f>+I198+I211</f>
        <v>4032511.8819333334</v>
      </c>
      <c r="J212" s="542">
        <f>+J198+J211</f>
        <v>4091474.0391666666</v>
      </c>
      <c r="K212" s="542">
        <f>+K198+K211</f>
        <v>4109620.0291666668</v>
      </c>
      <c r="L212" s="542">
        <f>+L198+L211</f>
        <v>4127766.0191666665</v>
      </c>
    </row>
    <row r="213" spans="2:12" ht="13.15" customHeight="1" x14ac:dyDescent="0.2">
      <c r="B213" s="317"/>
      <c r="C213" s="539"/>
      <c r="D213" s="539"/>
      <c r="E213" s="539"/>
      <c r="F213" s="539"/>
      <c r="H213" s="542"/>
      <c r="I213" s="542"/>
      <c r="J213" s="542"/>
      <c r="K213" s="542"/>
      <c r="L213" s="542"/>
    </row>
    <row r="214" spans="2:12" ht="13.15" customHeight="1" x14ac:dyDescent="0.2">
      <c r="B214" s="317"/>
      <c r="C214" s="552" t="s">
        <v>356</v>
      </c>
      <c r="D214" s="539"/>
      <c r="E214" s="539"/>
      <c r="F214" s="539"/>
      <c r="H214" s="543" t="str">
        <f>+G8</f>
        <v>2019/20</v>
      </c>
      <c r="I214" s="543" t="str">
        <f>+H8</f>
        <v>2020/21</v>
      </c>
      <c r="J214" s="543" t="str">
        <f>+I8</f>
        <v>2021/22</v>
      </c>
      <c r="K214" s="543" t="str">
        <f>+J8</f>
        <v>2022/23</v>
      </c>
      <c r="L214" s="543" t="str">
        <f>+K8</f>
        <v>2023/24</v>
      </c>
    </row>
    <row r="215" spans="2:12" ht="13.15" customHeight="1" x14ac:dyDescent="0.2">
      <c r="B215" s="317"/>
      <c r="C215" s="539" t="s">
        <v>351</v>
      </c>
      <c r="D215" s="539"/>
      <c r="E215" s="539"/>
      <c r="F215" s="539"/>
      <c r="H215" s="540"/>
      <c r="I215" s="540"/>
      <c r="J215" s="540"/>
      <c r="K215" s="540"/>
      <c r="L215" s="540"/>
    </row>
    <row r="216" spans="2:12" ht="13.15" customHeight="1" x14ac:dyDescent="0.2">
      <c r="B216" s="317"/>
      <c r="C216" s="539" t="s">
        <v>584</v>
      </c>
      <c r="D216" s="539"/>
      <c r="E216" s="539"/>
      <c r="F216" s="539"/>
      <c r="H216" s="542">
        <f>G22-G21</f>
        <v>837415.18399999989</v>
      </c>
      <c r="I216" s="542">
        <f>H22-H21</f>
        <v>972560.17760000005</v>
      </c>
      <c r="J216" s="542">
        <f>I22-I21</f>
        <v>1088914.08</v>
      </c>
      <c r="K216" s="542">
        <f>J22-J21</f>
        <v>1104701.07</v>
      </c>
      <c r="L216" s="542">
        <f>K22-K21</f>
        <v>1120488.06</v>
      </c>
    </row>
    <row r="217" spans="2:12" ht="13.15" customHeight="1" x14ac:dyDescent="0.2">
      <c r="B217" s="317"/>
      <c r="C217" s="539" t="s">
        <v>352</v>
      </c>
      <c r="D217" s="539"/>
      <c r="E217" s="539"/>
      <c r="F217" s="539"/>
      <c r="H217" s="542">
        <f>+G27</f>
        <v>1782946.5</v>
      </c>
      <c r="I217" s="542">
        <f>+H27</f>
        <v>2012370.81</v>
      </c>
      <c r="J217" s="542">
        <f>+I27</f>
        <v>2078192.6400000001</v>
      </c>
      <c r="K217" s="542">
        <f>+J27</f>
        <v>2078192.6400000001</v>
      </c>
      <c r="L217" s="542">
        <f>+K27</f>
        <v>2078192.6400000001</v>
      </c>
    </row>
    <row r="218" spans="2:12" ht="13.15" customHeight="1" x14ac:dyDescent="0.2">
      <c r="B218" s="317"/>
      <c r="C218" s="539" t="s">
        <v>435</v>
      </c>
      <c r="D218" s="539"/>
      <c r="E218" s="539"/>
      <c r="F218" s="539"/>
      <c r="H218" s="542">
        <f>+G58</f>
        <v>59487.270000000004</v>
      </c>
      <c r="I218" s="542">
        <f>+H58</f>
        <v>159844</v>
      </c>
      <c r="J218" s="542">
        <f>+I58</f>
        <v>70869.27</v>
      </c>
      <c r="K218" s="542">
        <f>+J58</f>
        <v>70869.27</v>
      </c>
      <c r="L218" s="542">
        <f>+K58</f>
        <v>70869.27</v>
      </c>
    </row>
    <row r="219" spans="2:12" ht="13.15" customHeight="1" x14ac:dyDescent="0.2">
      <c r="B219" s="317"/>
      <c r="C219" s="539" t="s">
        <v>353</v>
      </c>
      <c r="D219" s="539"/>
      <c r="E219" s="539"/>
      <c r="F219" s="539"/>
      <c r="H219" s="542">
        <f>+G21</f>
        <v>56472.799999999996</v>
      </c>
      <c r="I219" s="542">
        <f>+H21</f>
        <v>135667.80000000002</v>
      </c>
      <c r="J219" s="542">
        <f>+I21</f>
        <v>153519</v>
      </c>
      <c r="K219" s="542">
        <f>+J21</f>
        <v>155878.00000000003</v>
      </c>
      <c r="L219" s="542">
        <f>+K21</f>
        <v>158237</v>
      </c>
    </row>
    <row r="220" spans="2:12" ht="13.15" customHeight="1" x14ac:dyDescent="0.2">
      <c r="B220" s="317"/>
      <c r="C220" s="539" t="s">
        <v>349</v>
      </c>
      <c r="D220" s="539"/>
      <c r="E220" s="539"/>
      <c r="F220" s="539"/>
      <c r="H220" s="542">
        <f>+G31</f>
        <v>125879.52</v>
      </c>
      <c r="I220" s="542">
        <f>+H31</f>
        <v>194440.58000000002</v>
      </c>
      <c r="J220" s="542">
        <f>+I31</f>
        <v>240511.98</v>
      </c>
      <c r="K220" s="542">
        <f>+J31</f>
        <v>240511.98</v>
      </c>
      <c r="L220" s="542">
        <f>+K31</f>
        <v>240511.98</v>
      </c>
    </row>
    <row r="221" spans="2:12" ht="13.15" customHeight="1" x14ac:dyDescent="0.2">
      <c r="B221" s="317"/>
      <c r="C221" s="539" t="s">
        <v>354</v>
      </c>
      <c r="D221" s="539"/>
      <c r="E221" s="539"/>
      <c r="F221" s="539"/>
      <c r="H221" s="542">
        <f>G42</f>
        <v>47870.400000000001</v>
      </c>
      <c r="I221" s="542">
        <f>+H42</f>
        <v>120118.07</v>
      </c>
      <c r="J221" s="542">
        <f>+I42</f>
        <v>63134.55</v>
      </c>
      <c r="K221" s="542">
        <f>+J42</f>
        <v>63134.55</v>
      </c>
      <c r="L221" s="542">
        <f>+K42</f>
        <v>63134.55</v>
      </c>
    </row>
    <row r="222" spans="2:12" ht="13.15" customHeight="1" x14ac:dyDescent="0.2">
      <c r="B222" s="317"/>
      <c r="C222" s="544" t="s">
        <v>364</v>
      </c>
      <c r="D222" s="539"/>
      <c r="E222" s="539"/>
      <c r="F222" s="539"/>
      <c r="H222" s="542">
        <f>+G46</f>
        <v>0</v>
      </c>
      <c r="I222" s="542">
        <f>+H46</f>
        <v>0</v>
      </c>
      <c r="J222" s="542">
        <f>+I46</f>
        <v>0</v>
      </c>
      <c r="K222" s="542">
        <f>+J46</f>
        <v>0</v>
      </c>
      <c r="L222" s="542">
        <f>+K46</f>
        <v>0</v>
      </c>
    </row>
    <row r="223" spans="2:12" ht="13.15" customHeight="1" x14ac:dyDescent="0.2">
      <c r="B223" s="317"/>
      <c r="C223" s="539" t="s">
        <v>357</v>
      </c>
      <c r="D223" s="539"/>
      <c r="E223" s="539"/>
      <c r="F223" s="539"/>
      <c r="H223" s="542">
        <f>+G74</f>
        <v>10132.48</v>
      </c>
      <c r="I223" s="542">
        <f>+H74</f>
        <v>0</v>
      </c>
      <c r="J223" s="542">
        <f>+I74</f>
        <v>0</v>
      </c>
      <c r="K223" s="542">
        <f>+J74</f>
        <v>0</v>
      </c>
      <c r="L223" s="542">
        <f>+K74</f>
        <v>0</v>
      </c>
    </row>
    <row r="224" spans="2:12" ht="13.15" customHeight="1" x14ac:dyDescent="0.2">
      <c r="B224" s="317"/>
      <c r="C224" s="539" t="s">
        <v>293</v>
      </c>
      <c r="D224" s="539"/>
      <c r="E224" s="539"/>
      <c r="F224" s="539"/>
      <c r="H224" s="542">
        <f>+G87-G80</f>
        <v>0</v>
      </c>
      <c r="I224" s="542">
        <f>+H87-H80</f>
        <v>49767.519999999997</v>
      </c>
      <c r="J224" s="542">
        <f>+I87-I80</f>
        <v>0</v>
      </c>
      <c r="K224" s="542">
        <f>+J87-J80</f>
        <v>0</v>
      </c>
      <c r="L224" s="542">
        <f>+K87-K80</f>
        <v>0</v>
      </c>
    </row>
    <row r="225" spans="2:12" ht="13.15" customHeight="1" x14ac:dyDescent="0.2">
      <c r="B225" s="317"/>
      <c r="C225" s="539" t="s">
        <v>292</v>
      </c>
      <c r="D225" s="539"/>
      <c r="E225" s="539"/>
      <c r="F225" s="539"/>
      <c r="H225" s="542">
        <f t="shared" ref="H225:L227" si="28">+G80</f>
        <v>0</v>
      </c>
      <c r="I225" s="542">
        <f t="shared" si="28"/>
        <v>0</v>
      </c>
      <c r="J225" s="542">
        <f t="shared" si="28"/>
        <v>0</v>
      </c>
      <c r="K225" s="542">
        <f t="shared" si="28"/>
        <v>0</v>
      </c>
      <c r="L225" s="542">
        <f t="shared" si="28"/>
        <v>0</v>
      </c>
    </row>
    <row r="226" spans="2:12" ht="13.15" customHeight="1" x14ac:dyDescent="0.2">
      <c r="B226" s="317"/>
      <c r="C226" s="539" t="s">
        <v>259</v>
      </c>
      <c r="D226" s="539"/>
      <c r="E226" s="539"/>
      <c r="F226" s="539"/>
      <c r="H226" s="542">
        <f t="shared" si="28"/>
        <v>0</v>
      </c>
      <c r="I226" s="542">
        <f t="shared" si="28"/>
        <v>0</v>
      </c>
      <c r="J226" s="542">
        <f t="shared" si="28"/>
        <v>0</v>
      </c>
      <c r="K226" s="542">
        <f t="shared" si="28"/>
        <v>0</v>
      </c>
      <c r="L226" s="542">
        <f t="shared" si="28"/>
        <v>0</v>
      </c>
    </row>
    <row r="227" spans="2:12" ht="13.15" customHeight="1" x14ac:dyDescent="0.2">
      <c r="B227" s="317"/>
      <c r="C227" s="539" t="s">
        <v>260</v>
      </c>
      <c r="D227" s="539"/>
      <c r="E227" s="539"/>
      <c r="F227" s="539"/>
      <c r="H227" s="542">
        <f t="shared" si="28"/>
        <v>0</v>
      </c>
      <c r="I227" s="542">
        <f t="shared" si="28"/>
        <v>0</v>
      </c>
      <c r="J227" s="542">
        <f t="shared" si="28"/>
        <v>0</v>
      </c>
      <c r="K227" s="542">
        <f t="shared" si="28"/>
        <v>0</v>
      </c>
      <c r="L227" s="542">
        <f t="shared" si="28"/>
        <v>0</v>
      </c>
    </row>
    <row r="228" spans="2:12" ht="13.15" customHeight="1" x14ac:dyDescent="0.2">
      <c r="B228" s="317"/>
      <c r="C228" s="539" t="s">
        <v>369</v>
      </c>
      <c r="D228" s="539"/>
      <c r="E228" s="539"/>
      <c r="F228" s="539"/>
      <c r="H228" s="542">
        <f>SUM(H216:H227)-H222</f>
        <v>2920204.1539999996</v>
      </c>
      <c r="I228" s="542">
        <f>SUM(I216:I227)-I222</f>
        <v>3644768.9575999998</v>
      </c>
      <c r="J228" s="542">
        <f>SUM(J216:J227)-J222</f>
        <v>3695141.52</v>
      </c>
      <c r="K228" s="542">
        <f>SUM(K216:K227)-K222</f>
        <v>3713287.51</v>
      </c>
      <c r="L228" s="542">
        <f>SUM(L216:L227)-L222</f>
        <v>3731433.5</v>
      </c>
    </row>
    <row r="229" spans="2:12" ht="13.15" customHeight="1" x14ac:dyDescent="0.2">
      <c r="B229" s="317"/>
      <c r="C229" s="539"/>
      <c r="D229" s="539"/>
      <c r="E229" s="539"/>
      <c r="F229" s="539"/>
      <c r="H229" s="540"/>
      <c r="I229" s="540"/>
      <c r="J229" s="540"/>
      <c r="K229" s="540"/>
      <c r="L229" s="540"/>
    </row>
    <row r="230" spans="2:12" ht="13.15" customHeight="1" x14ac:dyDescent="0.2">
      <c r="B230" s="317"/>
      <c r="C230" s="539" t="s">
        <v>355</v>
      </c>
      <c r="D230" s="539"/>
      <c r="E230" s="539"/>
      <c r="F230" s="539"/>
      <c r="H230" s="540"/>
      <c r="I230" s="540"/>
      <c r="J230" s="540"/>
      <c r="K230" s="540"/>
      <c r="L230" s="540"/>
    </row>
    <row r="231" spans="2:12" ht="13.15" customHeight="1" x14ac:dyDescent="0.2">
      <c r="B231" s="317"/>
      <c r="C231" s="539" t="s">
        <v>584</v>
      </c>
      <c r="D231" s="539"/>
      <c r="E231" s="539"/>
      <c r="F231" s="539"/>
      <c r="H231" s="542">
        <f>5/12*G109+7/12*H109</f>
        <v>203358.26833333337</v>
      </c>
      <c r="I231" s="542">
        <f>5/12*H109+7/12*I109</f>
        <v>223641.03833333333</v>
      </c>
      <c r="J231" s="542">
        <f>5/12*I109+7/12*J109</f>
        <v>232648.88</v>
      </c>
      <c r="K231" s="542">
        <f>5/12*J109+7/12*K109</f>
        <v>232648.88</v>
      </c>
      <c r="L231" s="542">
        <f>5/12*K109+7/12*L109</f>
        <v>232648.88</v>
      </c>
    </row>
    <row r="232" spans="2:12" ht="13.15" customHeight="1" x14ac:dyDescent="0.2">
      <c r="B232" s="317"/>
      <c r="C232" s="539" t="s">
        <v>352</v>
      </c>
      <c r="D232" s="539"/>
      <c r="E232" s="539"/>
      <c r="F232" s="539"/>
      <c r="H232" s="542">
        <f>5/12*G114+7/12*H114</f>
        <v>134664.3775</v>
      </c>
      <c r="I232" s="542">
        <f>5/12*H114+7/12*I114</f>
        <v>145191.73250000001</v>
      </c>
      <c r="J232" s="542">
        <f>5/12*I114+7/12*J114</f>
        <v>148788.37</v>
      </c>
      <c r="K232" s="542">
        <f>5/12*J114+7/12*K114</f>
        <v>148788.37</v>
      </c>
      <c r="L232" s="542">
        <f>5/12*K114+7/12*L114</f>
        <v>148788.37</v>
      </c>
    </row>
    <row r="233" spans="2:12" ht="13.15" customHeight="1" x14ac:dyDescent="0.2">
      <c r="B233" s="317"/>
      <c r="C233" s="539" t="s">
        <v>435</v>
      </c>
      <c r="D233" s="539"/>
      <c r="E233" s="539"/>
      <c r="F233" s="539"/>
      <c r="H233" s="542">
        <f>5/12*G144+7/12*H144</f>
        <v>11979.400000000001</v>
      </c>
      <c r="I233" s="542">
        <f>5/12*H144+7/12*I144</f>
        <v>11093.735833333332</v>
      </c>
      <c r="J233" s="542">
        <f>5/12*I144+7/12*J144</f>
        <v>7334.44</v>
      </c>
      <c r="K233" s="542">
        <f>5/12*J144+7/12*K144</f>
        <v>7334.44</v>
      </c>
      <c r="L233" s="542">
        <f>5/12*K144+7/12*L144</f>
        <v>7334.44</v>
      </c>
    </row>
    <row r="234" spans="2:12" ht="13.15" customHeight="1" x14ac:dyDescent="0.2">
      <c r="B234" s="317"/>
      <c r="C234" s="539" t="s">
        <v>354</v>
      </c>
      <c r="D234" s="539"/>
      <c r="E234" s="539"/>
      <c r="F234" s="539"/>
      <c r="H234" s="542">
        <f>5/12*(G121+G127)+7/12*(H121+H127)</f>
        <v>0</v>
      </c>
      <c r="I234" s="542">
        <f>5/12*(H121+H127)+7/12*(I121+I127)</f>
        <v>0</v>
      </c>
      <c r="J234" s="542">
        <f>5/12*(I121+I127)+7/12*(J121+J127)</f>
        <v>0</v>
      </c>
      <c r="K234" s="542">
        <f>5/12*(J121+J127)+7/12*(K121+K127)</f>
        <v>0</v>
      </c>
      <c r="L234" s="542">
        <f>5/12*(K121+K127)+7/12*(L121+L127)</f>
        <v>0</v>
      </c>
    </row>
    <row r="235" spans="2:12" ht="13.15" customHeight="1" x14ac:dyDescent="0.2">
      <c r="B235" s="317"/>
      <c r="C235" s="544" t="s">
        <v>364</v>
      </c>
      <c r="D235" s="539"/>
      <c r="E235" s="539"/>
      <c r="F235" s="539"/>
      <c r="H235" s="542">
        <f>5/12*G132+7/12*H132</f>
        <v>0</v>
      </c>
      <c r="I235" s="542">
        <f>5/12*H132+7/12*I132</f>
        <v>0</v>
      </c>
      <c r="J235" s="542">
        <f>5/12*I132+7/12*J132</f>
        <v>0</v>
      </c>
      <c r="K235" s="542">
        <f>5/12*J132+7/12*K132</f>
        <v>0</v>
      </c>
      <c r="L235" s="542">
        <f>5/12*K132+7/12*L132</f>
        <v>0</v>
      </c>
    </row>
    <row r="236" spans="2:12" ht="13.15" customHeight="1" x14ac:dyDescent="0.2">
      <c r="B236" s="317"/>
      <c r="C236" s="539" t="s">
        <v>357</v>
      </c>
      <c r="D236" s="539"/>
      <c r="E236" s="539"/>
      <c r="F236" s="539"/>
      <c r="H236" s="542">
        <f>5/12*G158+7/12*H158</f>
        <v>0</v>
      </c>
      <c r="I236" s="542">
        <f>5/12*H158+7/12*I158</f>
        <v>0</v>
      </c>
      <c r="J236" s="542">
        <f>5/12*I158+7/12*J158</f>
        <v>0</v>
      </c>
      <c r="K236" s="542">
        <f>5/12*J158+7/12*K158</f>
        <v>0</v>
      </c>
      <c r="L236" s="542">
        <f>5/12*K158+7/12*L158</f>
        <v>0</v>
      </c>
    </row>
    <row r="237" spans="2:12" ht="13.15" customHeight="1" x14ac:dyDescent="0.2">
      <c r="B237" s="317"/>
      <c r="C237" s="539" t="s">
        <v>293</v>
      </c>
      <c r="D237" s="539"/>
      <c r="E237" s="539"/>
      <c r="F237" s="539"/>
      <c r="H237" s="542">
        <f>5/12*(G171-G164)+7/12*(H171-H164)</f>
        <v>0</v>
      </c>
      <c r="I237" s="542">
        <f>5/12*(H171-H164)+7/12*(I171-I164)</f>
        <v>0</v>
      </c>
      <c r="J237" s="542">
        <f>5/12*(I171-I164)+7/12*(J171-J164)</f>
        <v>0</v>
      </c>
      <c r="K237" s="542">
        <f>5/12*(J171-J164)+7/12*(K171-K164)</f>
        <v>0</v>
      </c>
      <c r="L237" s="542">
        <f>5/12*(K171-K164)+7/12*(L171-L164)</f>
        <v>0</v>
      </c>
    </row>
    <row r="238" spans="2:12" ht="13.15" customHeight="1" x14ac:dyDescent="0.2">
      <c r="B238" s="317"/>
      <c r="C238" s="539" t="s">
        <v>292</v>
      </c>
      <c r="D238" s="539"/>
      <c r="E238" s="539"/>
      <c r="F238" s="539"/>
      <c r="H238" s="542">
        <f t="shared" ref="H238:L240" si="29">5/12*G164+7/12*H164</f>
        <v>0</v>
      </c>
      <c r="I238" s="542">
        <f t="shared" si="29"/>
        <v>0</v>
      </c>
      <c r="J238" s="542">
        <f t="shared" si="29"/>
        <v>0</v>
      </c>
      <c r="K238" s="542">
        <f t="shared" si="29"/>
        <v>0</v>
      </c>
      <c r="L238" s="542">
        <f t="shared" si="29"/>
        <v>0</v>
      </c>
    </row>
    <row r="239" spans="2:12" ht="13.15" customHeight="1" x14ac:dyDescent="0.2">
      <c r="B239" s="317"/>
      <c r="C239" s="539" t="s">
        <v>259</v>
      </c>
      <c r="D239" s="539"/>
      <c r="E239" s="539"/>
      <c r="F239" s="539"/>
      <c r="H239" s="542">
        <f t="shared" si="29"/>
        <v>0</v>
      </c>
      <c r="I239" s="542">
        <f t="shared" si="29"/>
        <v>0</v>
      </c>
      <c r="J239" s="542">
        <f t="shared" si="29"/>
        <v>0</v>
      </c>
      <c r="K239" s="542">
        <f t="shared" si="29"/>
        <v>0</v>
      </c>
      <c r="L239" s="542">
        <f t="shared" si="29"/>
        <v>0</v>
      </c>
    </row>
    <row r="240" spans="2:12" ht="13.15" customHeight="1" x14ac:dyDescent="0.2">
      <c r="B240" s="317"/>
      <c r="C240" s="539" t="s">
        <v>260</v>
      </c>
      <c r="D240" s="539"/>
      <c r="E240" s="539"/>
      <c r="F240" s="539"/>
      <c r="H240" s="542">
        <f t="shared" si="29"/>
        <v>0</v>
      </c>
      <c r="I240" s="542">
        <f t="shared" si="29"/>
        <v>0</v>
      </c>
      <c r="J240" s="542">
        <f t="shared" si="29"/>
        <v>0</v>
      </c>
      <c r="K240" s="542">
        <f t="shared" si="29"/>
        <v>0</v>
      </c>
      <c r="L240" s="542">
        <f t="shared" si="29"/>
        <v>0</v>
      </c>
    </row>
    <row r="241" spans="2:12" ht="13.15" customHeight="1" x14ac:dyDescent="0.2">
      <c r="B241" s="317"/>
      <c r="C241" s="539" t="s">
        <v>370</v>
      </c>
      <c r="D241" s="539"/>
      <c r="E241" s="539"/>
      <c r="F241" s="539"/>
      <c r="H241" s="542">
        <f>SUM(H231:H240)-H235</f>
        <v>350002.0458333334</v>
      </c>
      <c r="I241" s="542">
        <f>SUM(I231:I240)-I235</f>
        <v>379926.50666666671</v>
      </c>
      <c r="J241" s="542">
        <f>SUM(J231:J240)-J235</f>
        <v>388771.69</v>
      </c>
      <c r="K241" s="542">
        <f>SUM(K231:K240)-K235</f>
        <v>388771.69</v>
      </c>
      <c r="L241" s="542">
        <f>SUM(L231:L240)-L235</f>
        <v>388771.69</v>
      </c>
    </row>
    <row r="242" spans="2:12" ht="13.15" customHeight="1" x14ac:dyDescent="0.2">
      <c r="B242" s="317"/>
      <c r="C242" s="539" t="s">
        <v>416</v>
      </c>
      <c r="D242" s="539"/>
      <c r="E242" s="539"/>
      <c r="F242" s="539"/>
      <c r="H242" s="542">
        <f>+H228+H241</f>
        <v>3270206.199833333</v>
      </c>
      <c r="I242" s="542">
        <f>+I228+I241</f>
        <v>4024695.4642666667</v>
      </c>
      <c r="J242" s="542">
        <f>+J228+J241</f>
        <v>4083913.21</v>
      </c>
      <c r="K242" s="542">
        <f>+K228+K241</f>
        <v>4102059.1999999997</v>
      </c>
      <c r="L242" s="542">
        <f>+L228+L241</f>
        <v>4120205.19</v>
      </c>
    </row>
    <row r="243" spans="2:12" ht="13.15" customHeight="1" x14ac:dyDescent="0.2">
      <c r="B243" s="317"/>
      <c r="C243" s="539"/>
      <c r="D243" s="539"/>
      <c r="E243" s="317"/>
      <c r="F243" s="317"/>
      <c r="G243" s="326"/>
      <c r="H243" s="326"/>
      <c r="I243" s="326"/>
      <c r="J243" s="326"/>
      <c r="K243" s="326"/>
    </row>
    <row r="244" spans="2:12" ht="13.15" customHeight="1" x14ac:dyDescent="0.2">
      <c r="C244" s="545"/>
      <c r="D244" s="545"/>
    </row>
    <row r="245" spans="2:12" ht="13.15" customHeight="1" x14ac:dyDescent="0.2">
      <c r="C245" s="545"/>
      <c r="D245" s="545"/>
    </row>
    <row r="246" spans="2:12" ht="13.15" customHeight="1" x14ac:dyDescent="0.2">
      <c r="C246" s="545"/>
      <c r="D246" s="545"/>
    </row>
    <row r="247" spans="2:12" ht="13.15" customHeight="1" x14ac:dyDescent="0.2">
      <c r="C247" s="545"/>
      <c r="D247" s="545"/>
    </row>
    <row r="248" spans="2:12" ht="13.15" customHeight="1" x14ac:dyDescent="0.2">
      <c r="C248" s="545"/>
      <c r="D248" s="545" t="s">
        <v>73</v>
      </c>
      <c r="E248" s="315">
        <v>12</v>
      </c>
    </row>
    <row r="249" spans="2:12" ht="13.15" customHeight="1" x14ac:dyDescent="0.2">
      <c r="C249" s="545"/>
      <c r="D249" s="545" t="s">
        <v>4</v>
      </c>
      <c r="E249" s="315">
        <v>7</v>
      </c>
    </row>
    <row r="250" spans="2:12" ht="13.15" customHeight="1" x14ac:dyDescent="0.2">
      <c r="C250" s="545"/>
      <c r="D250" s="545" t="s">
        <v>39</v>
      </c>
    </row>
    <row r="251" spans="2:12" ht="13.15" customHeight="1" x14ac:dyDescent="0.2">
      <c r="C251" s="545"/>
      <c r="D251" s="545"/>
    </row>
    <row r="252" spans="2:12" ht="13.15" customHeight="1" x14ac:dyDescent="0.2">
      <c r="C252" s="545"/>
      <c r="D252" s="545" t="s">
        <v>45</v>
      </c>
    </row>
    <row r="253" spans="2:12" ht="13.15" customHeight="1" x14ac:dyDescent="0.2">
      <c r="C253" s="545"/>
      <c r="D253" s="546" t="s">
        <v>47</v>
      </c>
    </row>
    <row r="254" spans="2:12" ht="13.15" customHeight="1" x14ac:dyDescent="0.2">
      <c r="C254" s="545"/>
      <c r="D254" s="546" t="s">
        <v>81</v>
      </c>
    </row>
    <row r="255" spans="2:12" ht="13.15" customHeight="1" x14ac:dyDescent="0.2">
      <c r="C255" s="545"/>
      <c r="D255" s="546" t="s">
        <v>46</v>
      </c>
    </row>
    <row r="256" spans="2:12" ht="13.15" customHeight="1" x14ac:dyDescent="0.2">
      <c r="C256" s="545"/>
      <c r="D256" s="546" t="s">
        <v>83</v>
      </c>
    </row>
    <row r="257" spans="4:4" ht="12.6" customHeight="1" x14ac:dyDescent="0.2">
      <c r="D257" s="5"/>
    </row>
    <row r="258" spans="4:4" ht="12.6" customHeight="1" x14ac:dyDescent="0.2">
      <c r="D258" s="5"/>
    </row>
    <row r="259" spans="4:4" ht="12.6" customHeight="1" x14ac:dyDescent="0.2">
      <c r="D259" s="5"/>
    </row>
    <row r="260" spans="4:4" ht="12.6" customHeight="1" x14ac:dyDescent="0.2">
      <c r="D260" s="531"/>
    </row>
    <row r="261" spans="4:4" ht="12.6" customHeight="1" x14ac:dyDescent="0.2">
      <c r="D261" s="532"/>
    </row>
    <row r="262" spans="4:4" ht="12.6" customHeight="1" x14ac:dyDescent="0.2">
      <c r="D262" s="317"/>
    </row>
    <row r="263" spans="4:4" ht="12.6" customHeight="1" x14ac:dyDescent="0.2">
      <c r="D263" s="317"/>
    </row>
    <row r="264" spans="4:4" ht="12.6" customHeight="1" x14ac:dyDescent="0.2">
      <c r="D264" s="317"/>
    </row>
    <row r="265" spans="4:4" ht="12.6" customHeight="1" x14ac:dyDescent="0.2">
      <c r="D265" s="317"/>
    </row>
    <row r="266" spans="4:4" ht="12.6" customHeight="1" x14ac:dyDescent="0.2">
      <c r="D266" s="317"/>
    </row>
    <row r="267" spans="4:4" ht="12.6" customHeight="1" x14ac:dyDescent="0.2">
      <c r="D267" s="317"/>
    </row>
    <row r="268" spans="4:4" ht="12.6" customHeight="1" x14ac:dyDescent="0.2">
      <c r="D268" s="317"/>
    </row>
    <row r="269" spans="4:4" ht="12.6" customHeight="1" x14ac:dyDescent="0.2">
      <c r="D269" s="317"/>
    </row>
    <row r="270" spans="4:4" ht="12.6" customHeight="1" x14ac:dyDescent="0.2">
      <c r="D270" s="317"/>
    </row>
    <row r="271" spans="4:4" ht="12.6" customHeight="1" x14ac:dyDescent="0.2">
      <c r="D271" s="317"/>
    </row>
    <row r="272" spans="4:4" ht="12.6" customHeight="1" x14ac:dyDescent="0.2">
      <c r="D272" s="317"/>
    </row>
    <row r="273" spans="4:4" ht="12.6" customHeight="1" x14ac:dyDescent="0.2">
      <c r="D273" s="533"/>
    </row>
    <row r="274" spans="4:4" ht="12.6" customHeight="1" x14ac:dyDescent="0.2">
      <c r="D274" s="534"/>
    </row>
    <row r="275" spans="4:4" ht="13.15" customHeight="1" x14ac:dyDescent="0.2">
      <c r="D275" s="317"/>
    </row>
    <row r="276" spans="4:4" ht="13.15" customHeight="1" x14ac:dyDescent="0.2">
      <c r="D276" s="317"/>
    </row>
    <row r="277" spans="4:4" ht="13.15" customHeight="1" x14ac:dyDescent="0.2">
      <c r="D277" s="317"/>
    </row>
  </sheetData>
  <sheetProtection algorithmName="SHA-512" hashValue="CL2anxq/fwD0Rnb3mK67YPmvVpEWA2deP/p/pbHAGBV5MVffLeLOTlC1V2cib8/9Etd7kRVYSvuFXSznbGdGPQ==" saltValue="8ipf3CAEl+gYVofKbK026A==" spinCount="100000" sheet="1" objects="1" scenarios="1"/>
  <mergeCells count="20">
    <mergeCell ref="D71:E71"/>
    <mergeCell ref="D72:E72"/>
    <mergeCell ref="D83:E83"/>
    <mergeCell ref="D155:E155"/>
    <mergeCell ref="D156:E156"/>
    <mergeCell ref="D167:E167"/>
    <mergeCell ref="D169:E169"/>
    <mergeCell ref="D35:E35"/>
    <mergeCell ref="D36:E36"/>
    <mergeCell ref="D41:E41"/>
    <mergeCell ref="D168:E168"/>
    <mergeCell ref="D84:E84"/>
    <mergeCell ref="D85:E85"/>
    <mergeCell ref="D123:E123"/>
    <mergeCell ref="D124:E124"/>
    <mergeCell ref="D125:E125"/>
    <mergeCell ref="D154:E154"/>
    <mergeCell ref="D68:E68"/>
    <mergeCell ref="D69:E69"/>
    <mergeCell ref="D70:E70"/>
  </mergeCells>
  <dataValidations disablePrompts="1" count="2">
    <dataValidation type="list" allowBlank="1" showInputMessage="1" showErrorMessage="1" sqref="E117" xr:uid="{00000000-0002-0000-0200-000000000000}">
      <formula1>$D$252:$D$256</formula1>
    </dataValidation>
    <dataValidation type="list" allowBlank="1" showInputMessage="1" showErrorMessage="1" sqref="E116 E120 E118" xr:uid="{00000000-0002-0000-0200-000001000000}">
      <formula1>"ja, nee"</formula1>
    </dataValidation>
  </dataValidations>
  <printOptions heading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rowBreaks count="2" manualBreakCount="2">
    <brk id="94" min="1" max="12" man="1"/>
    <brk id="17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hidden="1" customWidth="1"/>
    <col min="9" max="9" width="14.85546875" style="315" hidden="1" customWidth="1"/>
    <col min="10" max="13" width="14.85546875" style="315" customWidth="1"/>
    <col min="14" max="14" width="14.7109375" style="315" customWidth="1"/>
    <col min="15" max="15" width="2.5703125" style="315" customWidth="1"/>
    <col min="16" max="16384" width="9.140625" style="315"/>
  </cols>
  <sheetData>
    <row r="2" spans="2:15" ht="12.6" customHeight="1" x14ac:dyDescent="0.2">
      <c r="B2" s="382"/>
      <c r="C2" s="383"/>
      <c r="D2" s="383"/>
      <c r="E2" s="383"/>
      <c r="F2" s="1169"/>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339</v>
      </c>
      <c r="D4" s="344"/>
      <c r="E4" s="344"/>
      <c r="F4" s="354"/>
      <c r="G4" s="344"/>
      <c r="H4" s="344"/>
      <c r="I4" s="344"/>
      <c r="J4" s="344"/>
      <c r="K4" s="344"/>
      <c r="L4" s="344"/>
      <c r="M4" s="344"/>
      <c r="N4" s="344"/>
      <c r="O4" s="386"/>
    </row>
    <row r="5" spans="2:15" ht="16.149999999999999" customHeight="1" x14ac:dyDescent="0.25">
      <c r="B5" s="316"/>
      <c r="C5" s="388" t="str">
        <f>+geg!H9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3" t="s">
        <v>48</v>
      </c>
      <c r="G8" s="344"/>
      <c r="H8" s="344"/>
      <c r="I8" s="567" t="str">
        <f>+tab!D2</f>
        <v>2019/20</v>
      </c>
      <c r="J8" s="567" t="str">
        <f>+tab!E2</f>
        <v>2020/21</v>
      </c>
      <c r="K8" s="567" t="str">
        <f>+tab!F2</f>
        <v>2021/22</v>
      </c>
      <c r="L8" s="567" t="str">
        <f>+tab!G2</f>
        <v>2022/23</v>
      </c>
      <c r="M8" s="567" t="str">
        <f>+tab!H2</f>
        <v>2023/24</v>
      </c>
      <c r="N8" s="567" t="str">
        <f>+tab!I2</f>
        <v>2024/25</v>
      </c>
      <c r="O8" s="401"/>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3" t="s">
        <v>527</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4" t="s">
        <v>199</v>
      </c>
      <c r="E13" s="348"/>
      <c r="F13" s="565" t="s">
        <v>337</v>
      </c>
      <c r="G13" s="349"/>
      <c r="H13" s="350"/>
      <c r="I13" s="350"/>
      <c r="J13" s="350"/>
      <c r="K13" s="351"/>
      <c r="L13" s="351"/>
      <c r="M13" s="351"/>
      <c r="N13" s="351"/>
      <c r="O13" s="386"/>
    </row>
    <row r="14" spans="2:15" ht="13.15" customHeight="1" x14ac:dyDescent="0.2">
      <c r="B14" s="316"/>
      <c r="C14" s="318"/>
      <c r="D14" s="322" t="s">
        <v>265</v>
      </c>
      <c r="E14" s="322"/>
      <c r="F14" s="407"/>
      <c r="G14" s="320"/>
      <c r="H14" s="318"/>
      <c r="I14" s="568">
        <f>dir!$S$31+dir!$S$58</f>
        <v>75473.600000000006</v>
      </c>
      <c r="J14" s="568">
        <f>dir!$S$85</f>
        <v>79968</v>
      </c>
      <c r="K14" s="568">
        <f>dir!$S$112</f>
        <v>82483.200000000026</v>
      </c>
      <c r="L14" s="568">
        <f>dir!$S$139</f>
        <v>85075.200000000012</v>
      </c>
      <c r="M14" s="568">
        <f>dir!$S$166</f>
        <v>87744</v>
      </c>
      <c r="N14" s="1260">
        <f>dir!$S$193</f>
        <v>90489.600000000006</v>
      </c>
      <c r="O14" s="386"/>
    </row>
    <row r="15" spans="2:15" ht="13.15" customHeight="1" x14ac:dyDescent="0.2">
      <c r="B15" s="316"/>
      <c r="C15" s="318"/>
      <c r="D15" s="322" t="s">
        <v>281</v>
      </c>
      <c r="E15" s="322"/>
      <c r="F15" s="407"/>
      <c r="G15" s="320"/>
      <c r="H15" s="318"/>
      <c r="I15" s="568">
        <f>+op!$S$116</f>
        <v>67841.60000000002</v>
      </c>
      <c r="J15" s="568">
        <f>+op!$S$228</f>
        <v>71423.999999999985</v>
      </c>
      <c r="K15" s="568">
        <f>+op!$S$340</f>
        <v>73824</v>
      </c>
      <c r="L15" s="568">
        <f>+op!$S$452</f>
        <v>76339.199999999997</v>
      </c>
      <c r="M15" s="568">
        <f>+op!$S$564</f>
        <v>78912</v>
      </c>
      <c r="N15" s="1260">
        <f>+op!$S$676</f>
        <v>81580.800000000003</v>
      </c>
      <c r="O15" s="386"/>
    </row>
    <row r="16" spans="2:15" ht="13.15" customHeight="1" x14ac:dyDescent="0.2">
      <c r="B16" s="316"/>
      <c r="C16" s="318"/>
      <c r="D16" s="322" t="s">
        <v>267</v>
      </c>
      <c r="E16" s="322"/>
      <c r="F16" s="407"/>
      <c r="G16" s="320"/>
      <c r="H16" s="318"/>
      <c r="I16" s="568">
        <f>+obp!$S$65</f>
        <v>55356.799999999996</v>
      </c>
      <c r="J16" s="568">
        <f>+obp!$S$127</f>
        <v>57945.600000000006</v>
      </c>
      <c r="K16" s="568">
        <f>+obp!$S$189</f>
        <v>59135.999999999993</v>
      </c>
      <c r="L16" s="568">
        <f>+obp!$S$251</f>
        <v>60403.200000000004</v>
      </c>
      <c r="M16" s="568">
        <f>+obp!$S$313</f>
        <v>61670.400000000009</v>
      </c>
      <c r="N16" s="1260">
        <f>+obp!$S$375</f>
        <v>62841.600000000006</v>
      </c>
      <c r="O16" s="386"/>
    </row>
    <row r="17" spans="2:15" ht="13.15" customHeight="1" x14ac:dyDescent="0.2">
      <c r="B17" s="316"/>
      <c r="C17" s="318"/>
      <c r="D17" s="323"/>
      <c r="E17" s="323"/>
      <c r="F17" s="355"/>
      <c r="G17" s="320"/>
      <c r="H17" s="324"/>
      <c r="I17" s="571">
        <f t="shared" ref="I17:N17" si="0">SUM(I14:I16)</f>
        <v>198672</v>
      </c>
      <c r="J17" s="571">
        <f t="shared" si="0"/>
        <v>209337.60000000001</v>
      </c>
      <c r="K17" s="571">
        <f t="shared" si="0"/>
        <v>215443.20000000001</v>
      </c>
      <c r="L17" s="571">
        <f t="shared" si="0"/>
        <v>221817.60000000003</v>
      </c>
      <c r="M17" s="571">
        <f t="shared" si="0"/>
        <v>228326.40000000002</v>
      </c>
      <c r="N17" s="571">
        <f t="shared" si="0"/>
        <v>234912.00000000003</v>
      </c>
      <c r="O17" s="386"/>
    </row>
    <row r="18" spans="2:15" ht="13.15" customHeight="1" x14ac:dyDescent="0.2">
      <c r="B18" s="316"/>
      <c r="C18" s="370"/>
      <c r="D18" s="489"/>
      <c r="E18" s="489"/>
      <c r="F18" s="490"/>
      <c r="G18" s="373"/>
      <c r="H18" s="491"/>
      <c r="I18" s="553"/>
      <c r="J18" s="553"/>
      <c r="K18" s="553"/>
      <c r="L18" s="553"/>
      <c r="M18" s="553"/>
      <c r="N18" s="553"/>
      <c r="O18" s="386"/>
    </row>
    <row r="19" spans="2:15" ht="13.15" customHeight="1" x14ac:dyDescent="0.2">
      <c r="B19" s="316"/>
      <c r="C19" s="318"/>
      <c r="D19" s="551" t="s">
        <v>200</v>
      </c>
      <c r="E19" s="321"/>
      <c r="F19" s="566" t="s">
        <v>337</v>
      </c>
      <c r="G19" s="320"/>
      <c r="H19" s="318"/>
      <c r="I19" s="320"/>
      <c r="J19" s="320"/>
      <c r="K19" s="320"/>
      <c r="L19" s="320"/>
      <c r="M19" s="320"/>
      <c r="N19" s="320"/>
      <c r="O19" s="386"/>
    </row>
    <row r="20" spans="2:15" ht="13.15" customHeight="1" x14ac:dyDescent="0.2">
      <c r="B20" s="316"/>
      <c r="C20" s="318"/>
      <c r="D20" s="393" t="s">
        <v>318</v>
      </c>
      <c r="E20" s="405"/>
      <c r="F20" s="409"/>
      <c r="G20" s="381"/>
      <c r="H20" s="318"/>
      <c r="I20" s="411">
        <v>0</v>
      </c>
      <c r="J20" s="412">
        <v>0</v>
      </c>
      <c r="K20" s="412">
        <f t="shared" ref="K20:N41" si="1">J20</f>
        <v>0</v>
      </c>
      <c r="L20" s="412">
        <f t="shared" si="1"/>
        <v>0</v>
      </c>
      <c r="M20" s="412">
        <f t="shared" si="1"/>
        <v>0</v>
      </c>
      <c r="N20" s="412">
        <f t="shared" si="1"/>
        <v>0</v>
      </c>
      <c r="O20" s="386"/>
    </row>
    <row r="21" spans="2:15" ht="13.15" customHeight="1" x14ac:dyDescent="0.2">
      <c r="B21" s="316"/>
      <c r="C21" s="318"/>
      <c r="D21" s="393" t="s">
        <v>578</v>
      </c>
      <c r="E21" s="405"/>
      <c r="F21" s="409"/>
      <c r="G21" s="381"/>
      <c r="H21" s="318"/>
      <c r="I21" s="1287">
        <f>(dir!J58+op!J116+obp!J65)*875</f>
        <v>2625</v>
      </c>
      <c r="J21" s="1208"/>
      <c r="K21" s="1208"/>
      <c r="L21" s="1208"/>
      <c r="M21" s="1208"/>
      <c r="N21" s="1208"/>
      <c r="O21" s="401"/>
    </row>
    <row r="22" spans="2:15" ht="13.15" customHeight="1" x14ac:dyDescent="0.2">
      <c r="B22" s="316"/>
      <c r="C22" s="318"/>
      <c r="D22" s="1209" t="s">
        <v>582</v>
      </c>
      <c r="E22" s="405"/>
      <c r="F22" s="409"/>
      <c r="G22" s="381"/>
      <c r="H22" s="318"/>
      <c r="I22" s="1287">
        <f>ROUND(J17/12*33%,0)</f>
        <v>5757</v>
      </c>
      <c r="J22" s="1208"/>
      <c r="K22" s="1208"/>
      <c r="L22" s="1208"/>
      <c r="M22" s="1208"/>
      <c r="N22" s="1208"/>
      <c r="O22" s="401"/>
    </row>
    <row r="23" spans="2:15" ht="13.15" customHeight="1" x14ac:dyDescent="0.2">
      <c r="B23" s="316"/>
      <c r="C23" s="318"/>
      <c r="D23" s="1284" t="s">
        <v>647</v>
      </c>
      <c r="E23" s="1283"/>
      <c r="F23" s="410"/>
      <c r="G23" s="381"/>
      <c r="H23" s="318"/>
      <c r="I23" s="1285">
        <v>0</v>
      </c>
      <c r="J23" s="412">
        <v>0</v>
      </c>
      <c r="K23" s="412">
        <f t="shared" si="1"/>
        <v>0</v>
      </c>
      <c r="L23" s="412">
        <f t="shared" si="1"/>
        <v>0</v>
      </c>
      <c r="M23" s="412">
        <f t="shared" si="1"/>
        <v>0</v>
      </c>
      <c r="N23" s="412">
        <f t="shared" si="1"/>
        <v>0</v>
      </c>
      <c r="O23" s="386"/>
    </row>
    <row r="24" spans="2:15" ht="13.15" customHeight="1" x14ac:dyDescent="0.2">
      <c r="B24" s="316"/>
      <c r="C24" s="318"/>
      <c r="D24" s="1209" t="s">
        <v>645</v>
      </c>
      <c r="E24" s="405"/>
      <c r="F24" s="410"/>
      <c r="G24" s="381"/>
      <c r="H24" s="318"/>
      <c r="I24" s="1285">
        <v>0</v>
      </c>
      <c r="J24" s="1288">
        <f>0.7%*(I17*5/12+J17*7/12+I21+I22+J23)</f>
        <v>1492.9291999999996</v>
      </c>
      <c r="K24" s="1289">
        <v>0</v>
      </c>
      <c r="L24" s="1289">
        <f t="shared" si="1"/>
        <v>0</v>
      </c>
      <c r="M24" s="1289">
        <f t="shared" si="1"/>
        <v>0</v>
      </c>
      <c r="N24" s="1289">
        <f t="shared" si="1"/>
        <v>0</v>
      </c>
      <c r="O24" s="386"/>
    </row>
    <row r="25" spans="2:15" ht="13.15" customHeight="1" x14ac:dyDescent="0.2">
      <c r="B25" s="316"/>
      <c r="C25" s="318"/>
      <c r="D25" s="408" t="s">
        <v>321</v>
      </c>
      <c r="E25" s="405"/>
      <c r="F25" s="410"/>
      <c r="G25" s="381"/>
      <c r="H25" s="318"/>
      <c r="I25" s="413">
        <v>0</v>
      </c>
      <c r="J25" s="412">
        <v>0</v>
      </c>
      <c r="K25" s="412">
        <f t="shared" si="1"/>
        <v>0</v>
      </c>
      <c r="L25" s="412">
        <f t="shared" si="1"/>
        <v>0</v>
      </c>
      <c r="M25" s="412">
        <f t="shared" si="1"/>
        <v>0</v>
      </c>
      <c r="N25" s="412">
        <f t="shared" si="1"/>
        <v>0</v>
      </c>
      <c r="O25" s="386"/>
    </row>
    <row r="26" spans="2:15" ht="13.15" customHeight="1" x14ac:dyDescent="0.2">
      <c r="B26" s="316"/>
      <c r="C26" s="318"/>
      <c r="D26" s="408" t="s">
        <v>322</v>
      </c>
      <c r="E26" s="405"/>
      <c r="F26" s="410"/>
      <c r="G26" s="381"/>
      <c r="H26" s="318"/>
      <c r="I26" s="413">
        <v>0</v>
      </c>
      <c r="J26" s="412">
        <v>0</v>
      </c>
      <c r="K26" s="412">
        <f t="shared" si="1"/>
        <v>0</v>
      </c>
      <c r="L26" s="412">
        <f t="shared" si="1"/>
        <v>0</v>
      </c>
      <c r="M26" s="412">
        <f t="shared" si="1"/>
        <v>0</v>
      </c>
      <c r="N26" s="412">
        <f t="shared" si="1"/>
        <v>0</v>
      </c>
      <c r="O26" s="386"/>
    </row>
    <row r="27" spans="2:15" ht="13.15" customHeight="1" x14ac:dyDescent="0.2">
      <c r="B27" s="316"/>
      <c r="C27" s="318"/>
      <c r="D27" s="408" t="s">
        <v>323</v>
      </c>
      <c r="E27" s="405"/>
      <c r="F27" s="410"/>
      <c r="G27" s="381"/>
      <c r="H27" s="318"/>
      <c r="I27" s="413">
        <v>0</v>
      </c>
      <c r="J27" s="412">
        <v>0</v>
      </c>
      <c r="K27" s="412">
        <f t="shared" si="1"/>
        <v>0</v>
      </c>
      <c r="L27" s="412">
        <f t="shared" si="1"/>
        <v>0</v>
      </c>
      <c r="M27" s="412">
        <f t="shared" si="1"/>
        <v>0</v>
      </c>
      <c r="N27" s="412">
        <f t="shared" si="1"/>
        <v>0</v>
      </c>
      <c r="O27" s="386"/>
    </row>
    <row r="28" spans="2:15" ht="13.15" customHeight="1" x14ac:dyDescent="0.2">
      <c r="B28" s="316"/>
      <c r="C28" s="318"/>
      <c r="D28" s="408" t="s">
        <v>324</v>
      </c>
      <c r="E28" s="405"/>
      <c r="F28" s="410"/>
      <c r="G28" s="381"/>
      <c r="H28" s="318"/>
      <c r="I28" s="413">
        <v>0</v>
      </c>
      <c r="J28" s="412">
        <v>0</v>
      </c>
      <c r="K28" s="412">
        <f t="shared" si="1"/>
        <v>0</v>
      </c>
      <c r="L28" s="412">
        <f t="shared" si="1"/>
        <v>0</v>
      </c>
      <c r="M28" s="412">
        <f t="shared" si="1"/>
        <v>0</v>
      </c>
      <c r="N28" s="412">
        <f t="shared" si="1"/>
        <v>0</v>
      </c>
      <c r="O28" s="386"/>
    </row>
    <row r="29" spans="2:15" ht="13.15" customHeight="1" x14ac:dyDescent="0.2">
      <c r="B29" s="316"/>
      <c r="C29" s="318"/>
      <c r="D29" s="408" t="s">
        <v>325</v>
      </c>
      <c r="E29" s="405"/>
      <c r="F29" s="410"/>
      <c r="G29" s="381"/>
      <c r="H29" s="318"/>
      <c r="I29" s="413">
        <v>0</v>
      </c>
      <c r="J29" s="412">
        <v>0</v>
      </c>
      <c r="K29" s="412">
        <f t="shared" si="1"/>
        <v>0</v>
      </c>
      <c r="L29" s="412">
        <f t="shared" si="1"/>
        <v>0</v>
      </c>
      <c r="M29" s="412">
        <f t="shared" si="1"/>
        <v>0</v>
      </c>
      <c r="N29" s="412">
        <f t="shared" si="1"/>
        <v>0</v>
      </c>
      <c r="O29" s="386"/>
    </row>
    <row r="30" spans="2:15" ht="13.15" customHeight="1" x14ac:dyDescent="0.2">
      <c r="B30" s="316"/>
      <c r="C30" s="318"/>
      <c r="D30" s="408" t="s">
        <v>326</v>
      </c>
      <c r="E30" s="405"/>
      <c r="F30" s="410"/>
      <c r="G30" s="381"/>
      <c r="H30" s="318"/>
      <c r="I30" s="413">
        <v>0</v>
      </c>
      <c r="J30" s="412">
        <v>0</v>
      </c>
      <c r="K30" s="412">
        <f t="shared" si="1"/>
        <v>0</v>
      </c>
      <c r="L30" s="412">
        <f t="shared" si="1"/>
        <v>0</v>
      </c>
      <c r="M30" s="412">
        <f t="shared" si="1"/>
        <v>0</v>
      </c>
      <c r="N30" s="412">
        <f t="shared" si="1"/>
        <v>0</v>
      </c>
      <c r="O30" s="386"/>
    </row>
    <row r="31" spans="2:15" ht="13.15" customHeight="1" x14ac:dyDescent="0.2">
      <c r="B31" s="316"/>
      <c r="C31" s="318"/>
      <c r="D31" s="408" t="s">
        <v>327</v>
      </c>
      <c r="E31" s="405"/>
      <c r="F31" s="410"/>
      <c r="G31" s="381"/>
      <c r="H31" s="318"/>
      <c r="I31" s="413">
        <v>0</v>
      </c>
      <c r="J31" s="412">
        <v>0</v>
      </c>
      <c r="K31" s="412">
        <f t="shared" si="1"/>
        <v>0</v>
      </c>
      <c r="L31" s="412">
        <f t="shared" si="1"/>
        <v>0</v>
      </c>
      <c r="M31" s="412">
        <f t="shared" si="1"/>
        <v>0</v>
      </c>
      <c r="N31" s="412">
        <f t="shared" si="1"/>
        <v>0</v>
      </c>
      <c r="O31" s="386"/>
    </row>
    <row r="32" spans="2:15" ht="13.15" customHeight="1" x14ac:dyDescent="0.2">
      <c r="B32" s="316"/>
      <c r="C32" s="318"/>
      <c r="D32" s="408" t="s">
        <v>328</v>
      </c>
      <c r="E32" s="405"/>
      <c r="F32" s="410"/>
      <c r="G32" s="381"/>
      <c r="H32" s="318"/>
      <c r="I32" s="413">
        <v>0</v>
      </c>
      <c r="J32" s="412">
        <v>0</v>
      </c>
      <c r="K32" s="412">
        <f t="shared" si="1"/>
        <v>0</v>
      </c>
      <c r="L32" s="412">
        <f t="shared" si="1"/>
        <v>0</v>
      </c>
      <c r="M32" s="412">
        <f t="shared" si="1"/>
        <v>0</v>
      </c>
      <c r="N32" s="412">
        <f t="shared" si="1"/>
        <v>0</v>
      </c>
      <c r="O32" s="386"/>
    </row>
    <row r="33" spans="2:15" ht="13.15" customHeight="1" x14ac:dyDescent="0.2">
      <c r="B33" s="316"/>
      <c r="C33" s="318"/>
      <c r="D33" s="408" t="s">
        <v>329</v>
      </c>
      <c r="E33" s="405"/>
      <c r="F33" s="410"/>
      <c r="G33" s="381"/>
      <c r="H33" s="318"/>
      <c r="I33" s="413">
        <v>0</v>
      </c>
      <c r="J33" s="412">
        <v>0</v>
      </c>
      <c r="K33" s="412">
        <f t="shared" si="1"/>
        <v>0</v>
      </c>
      <c r="L33" s="412">
        <f t="shared" si="1"/>
        <v>0</v>
      </c>
      <c r="M33" s="412">
        <f t="shared" si="1"/>
        <v>0</v>
      </c>
      <c r="N33" s="412">
        <f t="shared" si="1"/>
        <v>0</v>
      </c>
      <c r="O33" s="386"/>
    </row>
    <row r="34" spans="2:15" ht="13.15" customHeight="1" x14ac:dyDescent="0.2">
      <c r="B34" s="316"/>
      <c r="C34" s="318"/>
      <c r="D34" s="408" t="s">
        <v>330</v>
      </c>
      <c r="E34" s="405"/>
      <c r="F34" s="410"/>
      <c r="G34" s="381"/>
      <c r="H34" s="318"/>
      <c r="I34" s="413">
        <v>0</v>
      </c>
      <c r="J34" s="412">
        <v>0</v>
      </c>
      <c r="K34" s="412">
        <f t="shared" si="1"/>
        <v>0</v>
      </c>
      <c r="L34" s="412">
        <f t="shared" si="1"/>
        <v>0</v>
      </c>
      <c r="M34" s="412">
        <f t="shared" si="1"/>
        <v>0</v>
      </c>
      <c r="N34" s="412">
        <f t="shared" si="1"/>
        <v>0</v>
      </c>
      <c r="O34" s="386"/>
    </row>
    <row r="35" spans="2:15" ht="13.15" customHeight="1" x14ac:dyDescent="0.2">
      <c r="B35" s="316"/>
      <c r="C35" s="318"/>
      <c r="D35" s="408" t="s">
        <v>319</v>
      </c>
      <c r="E35" s="405"/>
      <c r="F35" s="410"/>
      <c r="G35" s="381"/>
      <c r="H35" s="318"/>
      <c r="I35" s="413">
        <v>0</v>
      </c>
      <c r="J35" s="412">
        <v>0</v>
      </c>
      <c r="K35" s="412">
        <f t="shared" si="1"/>
        <v>0</v>
      </c>
      <c r="L35" s="412">
        <f t="shared" si="1"/>
        <v>0</v>
      </c>
      <c r="M35" s="412">
        <f t="shared" si="1"/>
        <v>0</v>
      </c>
      <c r="N35" s="412">
        <f t="shared" si="1"/>
        <v>0</v>
      </c>
      <c r="O35" s="386"/>
    </row>
    <row r="36" spans="2:15" ht="13.15" customHeight="1" x14ac:dyDescent="0.2">
      <c r="B36" s="316"/>
      <c r="C36" s="318"/>
      <c r="D36" s="408" t="s">
        <v>320</v>
      </c>
      <c r="E36" s="405"/>
      <c r="F36" s="410"/>
      <c r="G36" s="381"/>
      <c r="H36" s="318"/>
      <c r="I36" s="413">
        <v>0</v>
      </c>
      <c r="J36" s="412">
        <v>0</v>
      </c>
      <c r="K36" s="412">
        <f t="shared" si="1"/>
        <v>0</v>
      </c>
      <c r="L36" s="412">
        <f t="shared" si="1"/>
        <v>0</v>
      </c>
      <c r="M36" s="412">
        <f t="shared" si="1"/>
        <v>0</v>
      </c>
      <c r="N36" s="412">
        <f t="shared" si="1"/>
        <v>0</v>
      </c>
      <c r="O36" s="386"/>
    </row>
    <row r="37" spans="2:15" ht="13.15" customHeight="1" x14ac:dyDescent="0.2">
      <c r="B37" s="316"/>
      <c r="C37" s="318"/>
      <c r="D37" s="408"/>
      <c r="E37" s="405"/>
      <c r="F37" s="410"/>
      <c r="G37" s="381"/>
      <c r="H37" s="318"/>
      <c r="I37" s="413">
        <v>0</v>
      </c>
      <c r="J37" s="412">
        <v>0</v>
      </c>
      <c r="K37" s="412">
        <f t="shared" si="1"/>
        <v>0</v>
      </c>
      <c r="L37" s="412">
        <f t="shared" si="1"/>
        <v>0</v>
      </c>
      <c r="M37" s="412">
        <f t="shared" si="1"/>
        <v>0</v>
      </c>
      <c r="N37" s="412">
        <f t="shared" si="1"/>
        <v>0</v>
      </c>
      <c r="O37" s="386"/>
    </row>
    <row r="38" spans="2:15" ht="13.15" customHeight="1" x14ac:dyDescent="0.2">
      <c r="B38" s="316"/>
      <c r="C38" s="318"/>
      <c r="D38" s="408"/>
      <c r="E38" s="405"/>
      <c r="F38" s="410"/>
      <c r="G38" s="381"/>
      <c r="H38" s="318"/>
      <c r="I38" s="413">
        <v>0</v>
      </c>
      <c r="J38" s="412">
        <v>0</v>
      </c>
      <c r="K38" s="412">
        <f t="shared" si="1"/>
        <v>0</v>
      </c>
      <c r="L38" s="412">
        <f t="shared" si="1"/>
        <v>0</v>
      </c>
      <c r="M38" s="412">
        <f t="shared" si="1"/>
        <v>0</v>
      </c>
      <c r="N38" s="412">
        <f t="shared" si="1"/>
        <v>0</v>
      </c>
      <c r="O38" s="386"/>
    </row>
    <row r="39" spans="2:15" ht="13.15" customHeight="1" x14ac:dyDescent="0.2">
      <c r="B39" s="316"/>
      <c r="C39" s="318"/>
      <c r="D39" s="408"/>
      <c r="E39" s="405"/>
      <c r="F39" s="410"/>
      <c r="G39" s="381"/>
      <c r="H39" s="318"/>
      <c r="I39" s="413">
        <v>0</v>
      </c>
      <c r="J39" s="412">
        <v>0</v>
      </c>
      <c r="K39" s="412">
        <f t="shared" si="1"/>
        <v>0</v>
      </c>
      <c r="L39" s="412">
        <f t="shared" si="1"/>
        <v>0</v>
      </c>
      <c r="M39" s="412">
        <f t="shared" si="1"/>
        <v>0</v>
      </c>
      <c r="N39" s="412">
        <f t="shared" si="1"/>
        <v>0</v>
      </c>
      <c r="O39" s="386"/>
    </row>
    <row r="40" spans="2:15" ht="13.15" customHeight="1" x14ac:dyDescent="0.2">
      <c r="B40" s="316"/>
      <c r="C40" s="318"/>
      <c r="D40" s="408"/>
      <c r="E40" s="405"/>
      <c r="F40" s="410"/>
      <c r="G40" s="381"/>
      <c r="H40" s="318"/>
      <c r="I40" s="411">
        <v>0</v>
      </c>
      <c r="J40" s="412">
        <v>0</v>
      </c>
      <c r="K40" s="412">
        <f t="shared" si="1"/>
        <v>0</v>
      </c>
      <c r="L40" s="412">
        <f t="shared" si="1"/>
        <v>0</v>
      </c>
      <c r="M40" s="412">
        <f t="shared" si="1"/>
        <v>0</v>
      </c>
      <c r="N40" s="412">
        <f t="shared" si="1"/>
        <v>0</v>
      </c>
      <c r="O40" s="386"/>
    </row>
    <row r="41" spans="2:15" ht="13.15" customHeight="1" x14ac:dyDescent="0.2">
      <c r="B41" s="316"/>
      <c r="C41" s="318"/>
      <c r="D41" s="408"/>
      <c r="E41" s="405"/>
      <c r="F41" s="410"/>
      <c r="G41" s="381"/>
      <c r="H41" s="318"/>
      <c r="I41" s="413">
        <v>0</v>
      </c>
      <c r="J41" s="412">
        <v>0</v>
      </c>
      <c r="K41" s="412">
        <f t="shared" si="1"/>
        <v>0</v>
      </c>
      <c r="L41" s="412">
        <f t="shared" si="1"/>
        <v>0</v>
      </c>
      <c r="M41" s="412">
        <f t="shared" si="1"/>
        <v>0</v>
      </c>
      <c r="N41" s="412">
        <f t="shared" si="1"/>
        <v>0</v>
      </c>
      <c r="O41" s="386"/>
    </row>
    <row r="42" spans="2:15" ht="13.15" customHeight="1" x14ac:dyDescent="0.2">
      <c r="B42" s="316"/>
      <c r="C42" s="318"/>
      <c r="D42" s="318"/>
      <c r="E42" s="318"/>
      <c r="F42" s="1160"/>
      <c r="G42" s="318"/>
      <c r="H42" s="318"/>
      <c r="I42" s="572">
        <f t="shared" ref="I42:N42" si="2">SUM(I20:I41)</f>
        <v>8382</v>
      </c>
      <c r="J42" s="572">
        <f t="shared" si="2"/>
        <v>1492.9291999999996</v>
      </c>
      <c r="K42" s="572">
        <f t="shared" si="2"/>
        <v>0</v>
      </c>
      <c r="L42" s="572">
        <f t="shared" si="2"/>
        <v>0</v>
      </c>
      <c r="M42" s="572">
        <f t="shared" si="2"/>
        <v>0</v>
      </c>
      <c r="N42" s="572">
        <f t="shared" si="2"/>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61" t="s">
        <v>331</v>
      </c>
      <c r="E44" s="319"/>
      <c r="F44" s="1160"/>
      <c r="G44" s="320"/>
      <c r="H44" s="318"/>
      <c r="I44" s="571">
        <f t="shared" ref="I44:N44" si="3">I17+I42</f>
        <v>207054</v>
      </c>
      <c r="J44" s="571">
        <f t="shared" si="3"/>
        <v>210830.52920000002</v>
      </c>
      <c r="K44" s="571">
        <f t="shared" si="3"/>
        <v>215443.20000000001</v>
      </c>
      <c r="L44" s="571">
        <f t="shared" si="3"/>
        <v>221817.60000000003</v>
      </c>
      <c r="M44" s="571">
        <f t="shared" si="3"/>
        <v>228326.40000000002</v>
      </c>
      <c r="N44" s="571">
        <f t="shared" si="3"/>
        <v>234912.00000000003</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4"/>
      <c r="I47" s="344"/>
      <c r="J47" s="369"/>
      <c r="K47" s="369"/>
      <c r="L47" s="369"/>
      <c r="M47" s="369"/>
      <c r="N47" s="369"/>
      <c r="O47" s="386"/>
    </row>
    <row r="48" spans="2:15" ht="13.15" customHeight="1" x14ac:dyDescent="0.2">
      <c r="B48" s="316"/>
      <c r="C48" s="344"/>
      <c r="D48" s="365"/>
      <c r="E48" s="365"/>
      <c r="F48" s="366"/>
      <c r="G48" s="368"/>
      <c r="H48" s="554"/>
      <c r="I48" s="344"/>
      <c r="J48" s="369"/>
      <c r="K48" s="369"/>
      <c r="L48" s="369"/>
      <c r="M48" s="369"/>
      <c r="N48" s="369"/>
      <c r="O48" s="386"/>
    </row>
    <row r="49" spans="2:15" ht="13.15" customHeight="1" x14ac:dyDescent="0.2">
      <c r="B49" s="316"/>
      <c r="C49" s="344"/>
      <c r="D49" s="365"/>
      <c r="E49" s="365"/>
      <c r="F49" s="584" t="s">
        <v>51</v>
      </c>
      <c r="G49" s="368"/>
      <c r="H49" s="582"/>
      <c r="I49" s="582">
        <f>+tab!D4</f>
        <v>2019</v>
      </c>
      <c r="J49" s="582">
        <f>+tab!E4</f>
        <v>2020</v>
      </c>
      <c r="K49" s="582">
        <f>+tab!F4</f>
        <v>2021</v>
      </c>
      <c r="L49" s="582">
        <f>+tab!G4</f>
        <v>2022</v>
      </c>
      <c r="M49" s="582">
        <f>+tab!H4</f>
        <v>2023</v>
      </c>
      <c r="N49" s="582">
        <f>+tab!I4</f>
        <v>2024</v>
      </c>
      <c r="O49" s="386"/>
    </row>
    <row r="50" spans="2:15" ht="13.15" customHeight="1" x14ac:dyDescent="0.2">
      <c r="B50" s="316"/>
      <c r="C50" s="344"/>
      <c r="D50" s="365"/>
      <c r="E50" s="365"/>
      <c r="F50" s="366"/>
      <c r="G50" s="368"/>
      <c r="H50" s="554"/>
      <c r="I50" s="344"/>
      <c r="J50" s="369"/>
      <c r="K50" s="369"/>
      <c r="L50" s="369"/>
      <c r="M50" s="369"/>
      <c r="N50" s="369"/>
      <c r="O50" s="386"/>
    </row>
    <row r="51" spans="2:15" ht="13.15" customHeight="1" x14ac:dyDescent="0.2">
      <c r="B51" s="316"/>
      <c r="C51" s="318"/>
      <c r="D51" s="329"/>
      <c r="E51" s="329"/>
      <c r="F51" s="1160"/>
      <c r="G51" s="331"/>
      <c r="H51" s="318"/>
      <c r="I51" s="318"/>
      <c r="J51" s="332"/>
      <c r="K51" s="332"/>
      <c r="L51" s="332"/>
      <c r="M51" s="332"/>
      <c r="N51" s="332"/>
      <c r="O51" s="386"/>
    </row>
    <row r="52" spans="2:15" ht="13.15" customHeight="1" x14ac:dyDescent="0.2">
      <c r="B52" s="316"/>
      <c r="C52" s="318"/>
      <c r="D52" s="580" t="s">
        <v>188</v>
      </c>
      <c r="E52" s="329"/>
      <c r="F52" s="566" t="s">
        <v>337</v>
      </c>
      <c r="G52" s="333"/>
      <c r="H52" s="318"/>
      <c r="I52" s="318"/>
      <c r="J52" s="332"/>
      <c r="K52" s="332"/>
      <c r="L52" s="332"/>
      <c r="M52" s="332"/>
      <c r="N52" s="332"/>
      <c r="O52" s="386"/>
    </row>
    <row r="53" spans="2:15" ht="13.15" customHeight="1" x14ac:dyDescent="0.2">
      <c r="B53" s="316"/>
      <c r="C53" s="318"/>
      <c r="D53" s="329"/>
      <c r="E53" s="329"/>
      <c r="F53" s="1160"/>
      <c r="G53" s="320"/>
      <c r="H53" s="318"/>
      <c r="I53" s="318"/>
      <c r="J53" s="332"/>
      <c r="K53" s="332"/>
      <c r="L53" s="332"/>
      <c r="M53" s="332"/>
      <c r="N53" s="332"/>
      <c r="O53" s="386"/>
    </row>
    <row r="54" spans="2:15" ht="13.15" customHeight="1" x14ac:dyDescent="0.2">
      <c r="B54" s="316"/>
      <c r="C54" s="318"/>
      <c r="D54" s="334" t="s">
        <v>181</v>
      </c>
      <c r="E54" s="334"/>
      <c r="F54" s="414"/>
      <c r="G54" s="406"/>
      <c r="H54" s="1217"/>
      <c r="I54" s="569">
        <f>+act!F34</f>
        <v>0</v>
      </c>
      <c r="J54" s="569">
        <f>+act!G34</f>
        <v>0</v>
      </c>
      <c r="K54" s="569">
        <f>+act!H34</f>
        <v>0</v>
      </c>
      <c r="L54" s="569">
        <f>+act!I34</f>
        <v>0</v>
      </c>
      <c r="M54" s="569">
        <f>+act!J34</f>
        <v>0</v>
      </c>
      <c r="N54" s="569">
        <f>+act!K34</f>
        <v>0</v>
      </c>
      <c r="O54" s="386"/>
    </row>
    <row r="55" spans="2:15" ht="13.15" customHeight="1" x14ac:dyDescent="0.2">
      <c r="B55" s="316"/>
      <c r="C55" s="318"/>
      <c r="D55" s="334" t="s">
        <v>182</v>
      </c>
      <c r="E55" s="334"/>
      <c r="F55" s="414"/>
      <c r="G55" s="406"/>
      <c r="H55" s="1217"/>
      <c r="I55" s="569">
        <f>+act!F35</f>
        <v>0</v>
      </c>
      <c r="J55" s="569">
        <f>+act!G35</f>
        <v>0</v>
      </c>
      <c r="K55" s="569">
        <f>+act!H35</f>
        <v>0</v>
      </c>
      <c r="L55" s="569">
        <f>+act!I35</f>
        <v>0</v>
      </c>
      <c r="M55" s="569">
        <f>+act!J35</f>
        <v>0</v>
      </c>
      <c r="N55" s="569">
        <f>+act!K35</f>
        <v>0</v>
      </c>
      <c r="O55" s="386"/>
    </row>
    <row r="56" spans="2:15" ht="13.15" customHeight="1" x14ac:dyDescent="0.2">
      <c r="B56" s="316"/>
      <c r="C56" s="318"/>
      <c r="D56" s="335" t="s">
        <v>183</v>
      </c>
      <c r="E56" s="335"/>
      <c r="F56" s="414"/>
      <c r="G56" s="406"/>
      <c r="H56" s="1217"/>
      <c r="I56" s="569">
        <f>+act!F36</f>
        <v>15000</v>
      </c>
      <c r="J56" s="569">
        <f>+act!G36</f>
        <v>15000</v>
      </c>
      <c r="K56" s="569">
        <f>+act!H36</f>
        <v>15000</v>
      </c>
      <c r="L56" s="569">
        <f>+act!I36</f>
        <v>15000</v>
      </c>
      <c r="M56" s="569">
        <f>+act!J36</f>
        <v>15000</v>
      </c>
      <c r="N56" s="569">
        <f>+act!K36</f>
        <v>15000</v>
      </c>
      <c r="O56" s="386"/>
    </row>
    <row r="57" spans="2:15" ht="13.15" customHeight="1" x14ac:dyDescent="0.2">
      <c r="B57" s="316"/>
      <c r="C57" s="318"/>
      <c r="D57" s="335" t="s">
        <v>184</v>
      </c>
      <c r="E57" s="335"/>
      <c r="F57" s="414"/>
      <c r="G57" s="406"/>
      <c r="H57" s="1217"/>
      <c r="I57" s="569">
        <f>+act!F37</f>
        <v>0</v>
      </c>
      <c r="J57" s="569">
        <f>+act!G37</f>
        <v>0</v>
      </c>
      <c r="K57" s="569">
        <f>+act!H37</f>
        <v>0</v>
      </c>
      <c r="L57" s="569">
        <f>+act!I37</f>
        <v>0</v>
      </c>
      <c r="M57" s="569">
        <f>+act!J37</f>
        <v>0</v>
      </c>
      <c r="N57" s="569">
        <f>+act!K37</f>
        <v>0</v>
      </c>
      <c r="O57" s="386"/>
    </row>
    <row r="58" spans="2:15" ht="13.15" customHeight="1" x14ac:dyDescent="0.2">
      <c r="B58" s="316"/>
      <c r="C58" s="318"/>
      <c r="D58" s="334" t="s">
        <v>185</v>
      </c>
      <c r="E58" s="334"/>
      <c r="F58" s="414"/>
      <c r="G58" s="406"/>
      <c r="H58" s="1217"/>
      <c r="I58" s="569">
        <f>+act!F38</f>
        <v>0</v>
      </c>
      <c r="J58" s="569">
        <f>+act!G38</f>
        <v>0</v>
      </c>
      <c r="K58" s="569">
        <f>+act!H38</f>
        <v>0</v>
      </c>
      <c r="L58" s="569">
        <f>+act!I38</f>
        <v>0</v>
      </c>
      <c r="M58" s="569">
        <f>+act!J38</f>
        <v>0</v>
      </c>
      <c r="N58" s="569">
        <f>+act!K38</f>
        <v>0</v>
      </c>
      <c r="O58" s="386"/>
    </row>
    <row r="59" spans="2:15" ht="13.15" customHeight="1" x14ac:dyDescent="0.2">
      <c r="B59" s="316"/>
      <c r="C59" s="318"/>
      <c r="D59" s="334" t="s">
        <v>186</v>
      </c>
      <c r="E59" s="334"/>
      <c r="F59" s="414"/>
      <c r="G59" s="406"/>
      <c r="H59" s="1217"/>
      <c r="I59" s="569">
        <f>+act!F39</f>
        <v>0</v>
      </c>
      <c r="J59" s="569">
        <f>+act!G39</f>
        <v>0</v>
      </c>
      <c r="K59" s="569">
        <f>+act!H39</f>
        <v>0</v>
      </c>
      <c r="L59" s="569">
        <f>+act!I39</f>
        <v>0</v>
      </c>
      <c r="M59" s="569">
        <f>+act!J39</f>
        <v>0</v>
      </c>
      <c r="N59" s="569">
        <f>+act!K39</f>
        <v>0</v>
      </c>
      <c r="O59" s="386"/>
    </row>
    <row r="60" spans="2:15" ht="13.15" customHeight="1" x14ac:dyDescent="0.2">
      <c r="B60" s="316"/>
      <c r="C60" s="318"/>
      <c r="D60" s="329"/>
      <c r="E60" s="329"/>
      <c r="F60" s="1160"/>
      <c r="G60" s="336"/>
      <c r="H60" s="332"/>
      <c r="I60" s="332"/>
      <c r="J60" s="332"/>
      <c r="K60" s="332"/>
      <c r="L60" s="332"/>
      <c r="M60" s="332"/>
      <c r="N60" s="332"/>
      <c r="O60" s="386"/>
    </row>
    <row r="61" spans="2:15" ht="13.15" customHeight="1" x14ac:dyDescent="0.2">
      <c r="B61" s="316"/>
      <c r="C61" s="318"/>
      <c r="D61" s="514" t="s">
        <v>141</v>
      </c>
      <c r="E61" s="324"/>
      <c r="F61" s="1160"/>
      <c r="G61" s="336"/>
      <c r="H61" s="340"/>
      <c r="I61" s="573">
        <f t="shared" ref="I61:N61" si="4">SUM(I54:I59)</f>
        <v>15000</v>
      </c>
      <c r="J61" s="573">
        <f t="shared" si="4"/>
        <v>15000</v>
      </c>
      <c r="K61" s="573">
        <f t="shared" si="4"/>
        <v>15000</v>
      </c>
      <c r="L61" s="573">
        <f t="shared" si="4"/>
        <v>15000</v>
      </c>
      <c r="M61" s="573">
        <f t="shared" si="4"/>
        <v>15000</v>
      </c>
      <c r="N61" s="573">
        <f t="shared" si="4"/>
        <v>15000</v>
      </c>
      <c r="O61" s="386"/>
    </row>
    <row r="62" spans="2:15" ht="13.15" customHeight="1" x14ac:dyDescent="0.2">
      <c r="B62" s="316"/>
      <c r="C62" s="318"/>
      <c r="D62" s="330"/>
      <c r="E62" s="330"/>
      <c r="F62" s="1160"/>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60"/>
      <c r="G64" s="336"/>
      <c r="H64" s="318"/>
      <c r="I64" s="318"/>
      <c r="J64" s="332"/>
      <c r="K64" s="332"/>
      <c r="L64" s="332"/>
      <c r="M64" s="332"/>
      <c r="N64" s="332"/>
      <c r="O64" s="386"/>
    </row>
    <row r="65" spans="2:15" ht="13.15" customHeight="1" x14ac:dyDescent="0.2">
      <c r="B65" s="316"/>
      <c r="C65" s="318"/>
      <c r="D65" s="514" t="s">
        <v>294</v>
      </c>
      <c r="E65" s="324"/>
      <c r="F65" s="566" t="s">
        <v>337</v>
      </c>
      <c r="G65" s="333"/>
      <c r="H65" s="337"/>
      <c r="I65" s="337"/>
      <c r="J65" s="338"/>
      <c r="K65" s="338"/>
      <c r="L65" s="338"/>
      <c r="M65" s="338"/>
      <c r="N65" s="338"/>
      <c r="O65" s="386"/>
    </row>
    <row r="66" spans="2:15" ht="13.15" customHeight="1" x14ac:dyDescent="0.2">
      <c r="B66" s="316"/>
      <c r="C66" s="318"/>
      <c r="D66" s="324"/>
      <c r="E66" s="324"/>
      <c r="F66" s="1160"/>
      <c r="G66" s="336"/>
      <c r="H66" s="337"/>
      <c r="I66" s="337"/>
      <c r="J66" s="338"/>
      <c r="K66" s="338"/>
      <c r="L66" s="338"/>
      <c r="M66" s="338"/>
      <c r="N66" s="338"/>
      <c r="O66" s="386"/>
    </row>
    <row r="67" spans="2:15" ht="13.15" customHeight="1" x14ac:dyDescent="0.2">
      <c r="B67" s="316"/>
      <c r="C67" s="318"/>
      <c r="D67" s="339" t="s">
        <v>341</v>
      </c>
      <c r="E67" s="339"/>
      <c r="F67" s="414"/>
      <c r="G67" s="336"/>
      <c r="H67" s="332"/>
      <c r="I67" s="570">
        <f>+mop!G17</f>
        <v>0</v>
      </c>
      <c r="J67" s="570">
        <f>+mop!H17</f>
        <v>0</v>
      </c>
      <c r="K67" s="570">
        <f>+mop!I17</f>
        <v>0</v>
      </c>
      <c r="L67" s="570">
        <f>+mop!J17</f>
        <v>0</v>
      </c>
      <c r="M67" s="570">
        <f>+mop!K17</f>
        <v>0</v>
      </c>
      <c r="N67" s="570">
        <f>+mop!L17</f>
        <v>0</v>
      </c>
      <c r="O67" s="386"/>
    </row>
    <row r="68" spans="2:15" ht="13.15" customHeight="1" x14ac:dyDescent="0.2">
      <c r="B68" s="316"/>
      <c r="C68" s="318"/>
      <c r="D68" s="408"/>
      <c r="E68" s="393"/>
      <c r="F68" s="416"/>
      <c r="G68" s="406"/>
      <c r="H68" s="1217"/>
      <c r="I68" s="415">
        <v>0</v>
      </c>
      <c r="J68" s="415">
        <v>0</v>
      </c>
      <c r="K68" s="415">
        <v>0</v>
      </c>
      <c r="L68" s="415">
        <v>0</v>
      </c>
      <c r="M68" s="415">
        <v>0</v>
      </c>
      <c r="N68" s="415">
        <v>0</v>
      </c>
      <c r="O68" s="386"/>
    </row>
    <row r="69" spans="2:15" ht="13.15" customHeight="1" x14ac:dyDescent="0.2">
      <c r="B69" s="316"/>
      <c r="C69" s="318"/>
      <c r="D69" s="408"/>
      <c r="E69" s="393"/>
      <c r="F69" s="416"/>
      <c r="G69" s="406"/>
      <c r="H69" s="1217"/>
      <c r="I69" s="415">
        <v>0</v>
      </c>
      <c r="J69" s="415">
        <v>0</v>
      </c>
      <c r="K69" s="415">
        <v>0</v>
      </c>
      <c r="L69" s="415">
        <v>0</v>
      </c>
      <c r="M69" s="415">
        <v>0</v>
      </c>
      <c r="N69" s="415">
        <v>0</v>
      </c>
      <c r="O69" s="386"/>
    </row>
    <row r="70" spans="2:15" ht="13.15" customHeight="1" x14ac:dyDescent="0.2">
      <c r="B70" s="316"/>
      <c r="C70" s="318"/>
      <c r="D70" s="408"/>
      <c r="E70" s="393"/>
      <c r="F70" s="416"/>
      <c r="G70" s="406"/>
      <c r="H70" s="1217"/>
      <c r="I70" s="415">
        <v>0</v>
      </c>
      <c r="J70" s="415">
        <v>0</v>
      </c>
      <c r="K70" s="415">
        <v>0</v>
      </c>
      <c r="L70" s="415">
        <v>0</v>
      </c>
      <c r="M70" s="415">
        <v>0</v>
      </c>
      <c r="N70" s="415">
        <v>0</v>
      </c>
      <c r="O70" s="386"/>
    </row>
    <row r="71" spans="2:15" ht="13.15" customHeight="1" x14ac:dyDescent="0.2">
      <c r="B71" s="316"/>
      <c r="C71" s="318"/>
      <c r="D71" s="408"/>
      <c r="E71" s="393"/>
      <c r="F71" s="416"/>
      <c r="G71" s="406"/>
      <c r="H71" s="1217"/>
      <c r="I71" s="415">
        <v>0</v>
      </c>
      <c r="J71" s="415">
        <v>0</v>
      </c>
      <c r="K71" s="415">
        <v>0</v>
      </c>
      <c r="L71" s="415">
        <v>0</v>
      </c>
      <c r="M71" s="415">
        <v>0</v>
      </c>
      <c r="N71" s="415">
        <v>0</v>
      </c>
      <c r="O71" s="386"/>
    </row>
    <row r="72" spans="2:15" ht="13.15" customHeight="1" x14ac:dyDescent="0.2">
      <c r="B72" s="316"/>
      <c r="C72" s="318"/>
      <c r="D72" s="408"/>
      <c r="E72" s="393"/>
      <c r="F72" s="416"/>
      <c r="G72" s="406"/>
      <c r="H72" s="1217"/>
      <c r="I72" s="415">
        <v>0</v>
      </c>
      <c r="J72" s="415">
        <v>0</v>
      </c>
      <c r="K72" s="415">
        <v>0</v>
      </c>
      <c r="L72" s="415">
        <v>0</v>
      </c>
      <c r="M72" s="415">
        <v>0</v>
      </c>
      <c r="N72" s="415">
        <v>0</v>
      </c>
      <c r="O72" s="386"/>
    </row>
    <row r="73" spans="2:15" ht="13.15" customHeight="1" x14ac:dyDescent="0.2">
      <c r="B73" s="316"/>
      <c r="C73" s="318"/>
      <c r="D73" s="408"/>
      <c r="E73" s="393"/>
      <c r="F73" s="416"/>
      <c r="G73" s="406"/>
      <c r="H73" s="1217"/>
      <c r="I73" s="415">
        <v>0</v>
      </c>
      <c r="J73" s="415">
        <v>0</v>
      </c>
      <c r="K73" s="415">
        <v>0</v>
      </c>
      <c r="L73" s="415">
        <v>0</v>
      </c>
      <c r="M73" s="415">
        <v>0</v>
      </c>
      <c r="N73" s="415">
        <v>0</v>
      </c>
      <c r="O73" s="386"/>
    </row>
    <row r="74" spans="2:15" ht="13.15" customHeight="1" x14ac:dyDescent="0.2">
      <c r="B74" s="316"/>
      <c r="C74" s="318"/>
      <c r="D74" s="408"/>
      <c r="E74" s="393"/>
      <c r="F74" s="416"/>
      <c r="G74" s="406"/>
      <c r="H74" s="1217"/>
      <c r="I74" s="415">
        <v>0</v>
      </c>
      <c r="J74" s="415">
        <v>0</v>
      </c>
      <c r="K74" s="415">
        <v>0</v>
      </c>
      <c r="L74" s="415">
        <v>0</v>
      </c>
      <c r="M74" s="415">
        <v>0</v>
      </c>
      <c r="N74" s="415">
        <v>0</v>
      </c>
      <c r="O74" s="386"/>
    </row>
    <row r="75" spans="2:15" ht="13.15" customHeight="1" x14ac:dyDescent="0.2">
      <c r="B75" s="316"/>
      <c r="C75" s="318"/>
      <c r="D75" s="408"/>
      <c r="E75" s="393"/>
      <c r="F75" s="416"/>
      <c r="G75" s="406"/>
      <c r="H75" s="1217"/>
      <c r="I75" s="415">
        <v>0</v>
      </c>
      <c r="J75" s="415">
        <v>0</v>
      </c>
      <c r="K75" s="415">
        <v>0</v>
      </c>
      <c r="L75" s="415">
        <v>0</v>
      </c>
      <c r="M75" s="415">
        <v>0</v>
      </c>
      <c r="N75" s="415">
        <v>0</v>
      </c>
      <c r="O75" s="386"/>
    </row>
    <row r="76" spans="2:15" ht="13.15" customHeight="1" x14ac:dyDescent="0.2">
      <c r="B76" s="316"/>
      <c r="C76" s="318"/>
      <c r="D76" s="408"/>
      <c r="E76" s="393"/>
      <c r="F76" s="416"/>
      <c r="G76" s="406"/>
      <c r="H76" s="1217"/>
      <c r="I76" s="415">
        <v>0</v>
      </c>
      <c r="J76" s="415">
        <v>0</v>
      </c>
      <c r="K76" s="415">
        <v>0</v>
      </c>
      <c r="L76" s="415">
        <v>0</v>
      </c>
      <c r="M76" s="415">
        <v>0</v>
      </c>
      <c r="N76" s="415">
        <v>0</v>
      </c>
      <c r="O76" s="386"/>
    </row>
    <row r="77" spans="2:15" ht="13.15" customHeight="1" x14ac:dyDescent="0.2">
      <c r="B77" s="316"/>
      <c r="C77" s="318"/>
      <c r="D77" s="408"/>
      <c r="E77" s="393"/>
      <c r="F77" s="416"/>
      <c r="G77" s="406"/>
      <c r="H77" s="1217"/>
      <c r="I77" s="415">
        <v>0</v>
      </c>
      <c r="J77" s="415">
        <v>0</v>
      </c>
      <c r="K77" s="415">
        <v>0</v>
      </c>
      <c r="L77" s="415">
        <v>0</v>
      </c>
      <c r="M77" s="415">
        <v>0</v>
      </c>
      <c r="N77" s="415">
        <v>0</v>
      </c>
      <c r="O77" s="386"/>
    </row>
    <row r="78" spans="2:15" ht="13.15" customHeight="1" x14ac:dyDescent="0.2">
      <c r="B78" s="316"/>
      <c r="C78" s="318"/>
      <c r="D78" s="408"/>
      <c r="E78" s="393"/>
      <c r="F78" s="416"/>
      <c r="G78" s="406"/>
      <c r="H78" s="1217"/>
      <c r="I78" s="415">
        <v>0</v>
      </c>
      <c r="J78" s="415">
        <v>0</v>
      </c>
      <c r="K78" s="415">
        <v>0</v>
      </c>
      <c r="L78" s="415">
        <v>0</v>
      </c>
      <c r="M78" s="415">
        <v>0</v>
      </c>
      <c r="N78" s="415">
        <v>0</v>
      </c>
      <c r="O78" s="386"/>
    </row>
    <row r="79" spans="2:15" ht="13.15" customHeight="1" x14ac:dyDescent="0.2">
      <c r="B79" s="316"/>
      <c r="C79" s="318"/>
      <c r="D79" s="408"/>
      <c r="E79" s="393"/>
      <c r="F79" s="416"/>
      <c r="G79" s="406"/>
      <c r="H79" s="1217"/>
      <c r="I79" s="415">
        <v>0</v>
      </c>
      <c r="J79" s="415">
        <v>0</v>
      </c>
      <c r="K79" s="415">
        <v>0</v>
      </c>
      <c r="L79" s="415">
        <v>0</v>
      </c>
      <c r="M79" s="415">
        <v>0</v>
      </c>
      <c r="N79" s="415">
        <v>0</v>
      </c>
      <c r="O79" s="386"/>
    </row>
    <row r="80" spans="2:15" ht="13.15" customHeight="1" x14ac:dyDescent="0.2">
      <c r="B80" s="316"/>
      <c r="C80" s="318"/>
      <c r="D80" s="408"/>
      <c r="E80" s="393"/>
      <c r="F80" s="416"/>
      <c r="G80" s="406"/>
      <c r="H80" s="1217"/>
      <c r="I80" s="415">
        <v>0</v>
      </c>
      <c r="J80" s="415">
        <v>0</v>
      </c>
      <c r="K80" s="415">
        <v>0</v>
      </c>
      <c r="L80" s="415">
        <v>0</v>
      </c>
      <c r="M80" s="415">
        <v>0</v>
      </c>
      <c r="N80" s="415">
        <v>0</v>
      </c>
      <c r="O80" s="386"/>
    </row>
    <row r="81" spans="2:15" ht="13.15" customHeight="1" x14ac:dyDescent="0.2">
      <c r="B81" s="316"/>
      <c r="C81" s="318"/>
      <c r="D81" s="408"/>
      <c r="E81" s="393"/>
      <c r="F81" s="416"/>
      <c r="G81" s="406"/>
      <c r="H81" s="1217"/>
      <c r="I81" s="415">
        <v>0</v>
      </c>
      <c r="J81" s="415">
        <v>0</v>
      </c>
      <c r="K81" s="415">
        <v>0</v>
      </c>
      <c r="L81" s="415">
        <v>0</v>
      </c>
      <c r="M81" s="415">
        <v>0</v>
      </c>
      <c r="N81" s="415">
        <v>0</v>
      </c>
      <c r="O81" s="386"/>
    </row>
    <row r="82" spans="2:15" ht="13.15" customHeight="1" x14ac:dyDescent="0.2">
      <c r="B82" s="316"/>
      <c r="C82" s="318"/>
      <c r="D82" s="408"/>
      <c r="E82" s="393"/>
      <c r="F82" s="416"/>
      <c r="G82" s="406"/>
      <c r="H82" s="1217"/>
      <c r="I82" s="415">
        <v>0</v>
      </c>
      <c r="J82" s="415">
        <v>0</v>
      </c>
      <c r="K82" s="415">
        <v>0</v>
      </c>
      <c r="L82" s="415">
        <v>0</v>
      </c>
      <c r="M82" s="415">
        <v>0</v>
      </c>
      <c r="N82" s="415">
        <v>0</v>
      </c>
      <c r="O82" s="386"/>
    </row>
    <row r="83" spans="2:15" ht="13.15" customHeight="1" x14ac:dyDescent="0.2">
      <c r="B83" s="316"/>
      <c r="C83" s="318"/>
      <c r="D83" s="408"/>
      <c r="E83" s="393"/>
      <c r="F83" s="416"/>
      <c r="G83" s="406"/>
      <c r="H83" s="1217"/>
      <c r="I83" s="415">
        <v>0</v>
      </c>
      <c r="J83" s="415">
        <v>0</v>
      </c>
      <c r="K83" s="415">
        <v>0</v>
      </c>
      <c r="L83" s="415">
        <v>0</v>
      </c>
      <c r="M83" s="415">
        <v>0</v>
      </c>
      <c r="N83" s="415">
        <v>0</v>
      </c>
      <c r="O83" s="386"/>
    </row>
    <row r="84" spans="2:15" ht="13.15" customHeight="1" x14ac:dyDescent="0.2">
      <c r="B84" s="316"/>
      <c r="C84" s="318"/>
      <c r="D84" s="408"/>
      <c r="E84" s="393"/>
      <c r="F84" s="416"/>
      <c r="G84" s="406"/>
      <c r="H84" s="1217"/>
      <c r="I84" s="415">
        <v>0</v>
      </c>
      <c r="J84" s="415">
        <v>0</v>
      </c>
      <c r="K84" s="415">
        <v>0</v>
      </c>
      <c r="L84" s="415">
        <v>0</v>
      </c>
      <c r="M84" s="415">
        <v>0</v>
      </c>
      <c r="N84" s="415">
        <v>0</v>
      </c>
      <c r="O84" s="386"/>
    </row>
    <row r="85" spans="2:15" ht="13.15" customHeight="1" x14ac:dyDescent="0.2">
      <c r="B85" s="316"/>
      <c r="C85" s="318"/>
      <c r="D85" s="408"/>
      <c r="E85" s="393"/>
      <c r="F85" s="416"/>
      <c r="G85" s="406"/>
      <c r="H85" s="1217"/>
      <c r="I85" s="415">
        <v>0</v>
      </c>
      <c r="J85" s="415">
        <v>0</v>
      </c>
      <c r="K85" s="415">
        <v>0</v>
      </c>
      <c r="L85" s="415">
        <v>0</v>
      </c>
      <c r="M85" s="415">
        <v>0</v>
      </c>
      <c r="N85" s="415">
        <v>0</v>
      </c>
      <c r="O85" s="386"/>
    </row>
    <row r="86" spans="2:15" ht="13.15" customHeight="1" x14ac:dyDescent="0.2">
      <c r="B86" s="316"/>
      <c r="C86" s="318"/>
      <c r="D86" s="408"/>
      <c r="E86" s="393"/>
      <c r="F86" s="416"/>
      <c r="G86" s="406"/>
      <c r="H86" s="1217"/>
      <c r="I86" s="415">
        <v>0</v>
      </c>
      <c r="J86" s="415">
        <v>0</v>
      </c>
      <c r="K86" s="415">
        <v>0</v>
      </c>
      <c r="L86" s="415">
        <v>0</v>
      </c>
      <c r="M86" s="415">
        <v>0</v>
      </c>
      <c r="N86" s="415">
        <v>0</v>
      </c>
      <c r="O86" s="386"/>
    </row>
    <row r="87" spans="2:15" ht="13.15" customHeight="1" x14ac:dyDescent="0.2">
      <c r="B87" s="316"/>
      <c r="C87" s="318"/>
      <c r="D87" s="329"/>
      <c r="E87" s="329"/>
      <c r="F87" s="1160"/>
      <c r="G87" s="336"/>
      <c r="H87" s="332"/>
      <c r="I87" s="332"/>
      <c r="J87" s="332"/>
      <c r="K87" s="332"/>
      <c r="L87" s="332"/>
      <c r="M87" s="332"/>
      <c r="N87" s="332"/>
      <c r="O87" s="386"/>
    </row>
    <row r="88" spans="2:15" ht="13.15" customHeight="1" x14ac:dyDescent="0.2">
      <c r="B88" s="316"/>
      <c r="C88" s="318"/>
      <c r="D88" s="514" t="s">
        <v>141</v>
      </c>
      <c r="E88" s="324"/>
      <c r="F88" s="1160"/>
      <c r="G88" s="336"/>
      <c r="H88" s="340"/>
      <c r="I88" s="573">
        <f t="shared" ref="I88:N88" si="5">SUM(I67:I87)</f>
        <v>0</v>
      </c>
      <c r="J88" s="573">
        <f t="shared" si="5"/>
        <v>0</v>
      </c>
      <c r="K88" s="573">
        <f t="shared" si="5"/>
        <v>0</v>
      </c>
      <c r="L88" s="573">
        <f t="shared" si="5"/>
        <v>0</v>
      </c>
      <c r="M88" s="573">
        <f t="shared" si="5"/>
        <v>0</v>
      </c>
      <c r="N88" s="573">
        <f t="shared" si="5"/>
        <v>0</v>
      </c>
      <c r="O88" s="386"/>
    </row>
    <row r="89" spans="2:15" ht="13.15" customHeight="1" x14ac:dyDescent="0.2">
      <c r="B89" s="316"/>
      <c r="C89" s="318"/>
      <c r="D89" s="329"/>
      <c r="E89" s="329"/>
      <c r="F89" s="1160"/>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70"/>
      <c r="E91" s="1170"/>
      <c r="F91" s="1171"/>
      <c r="G91" s="1172"/>
      <c r="H91" s="352"/>
      <c r="I91" s="352"/>
      <c r="J91" s="779"/>
      <c r="K91" s="779"/>
      <c r="L91" s="779"/>
      <c r="M91" s="779"/>
      <c r="N91" s="779"/>
      <c r="O91" s="389"/>
    </row>
    <row r="92" spans="2:15" ht="13.15" customHeight="1" x14ac:dyDescent="0.2">
      <c r="B92" s="382"/>
      <c r="C92" s="383"/>
      <c r="D92" s="1173"/>
      <c r="E92" s="1173"/>
      <c r="F92" s="1169"/>
      <c r="G92" s="1174"/>
      <c r="H92" s="383"/>
      <c r="I92" s="383"/>
      <c r="J92" s="925"/>
      <c r="K92" s="925"/>
      <c r="L92" s="925"/>
      <c r="M92" s="925"/>
      <c r="N92" s="925"/>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4" t="s">
        <v>51</v>
      </c>
      <c r="G94" s="368"/>
      <c r="H94" s="582"/>
      <c r="I94" s="582">
        <f>+tab!D4</f>
        <v>2019</v>
      </c>
      <c r="J94" s="582">
        <f>+tab!E4</f>
        <v>2020</v>
      </c>
      <c r="K94" s="582">
        <f>+tab!F4</f>
        <v>2021</v>
      </c>
      <c r="L94" s="582">
        <f>+tab!G4</f>
        <v>2022</v>
      </c>
      <c r="M94" s="582">
        <f>+tab!H4</f>
        <v>2023</v>
      </c>
      <c r="N94" s="582">
        <f>+tab!I4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6"/>
      <c r="E96" s="486"/>
      <c r="F96" s="374"/>
      <c r="G96" s="487"/>
      <c r="H96" s="347"/>
      <c r="I96" s="347"/>
      <c r="J96" s="488"/>
      <c r="K96" s="488"/>
      <c r="L96" s="488"/>
      <c r="M96" s="488"/>
      <c r="N96" s="488"/>
      <c r="O96" s="386"/>
    </row>
    <row r="97" spans="2:15" ht="13.15" customHeight="1" x14ac:dyDescent="0.2">
      <c r="B97" s="316"/>
      <c r="C97" s="324"/>
      <c r="D97" s="580" t="s">
        <v>338</v>
      </c>
      <c r="E97" s="329"/>
      <c r="F97" s="566" t="s">
        <v>337</v>
      </c>
      <c r="G97" s="333"/>
      <c r="H97" s="318"/>
      <c r="I97" s="318"/>
      <c r="J97" s="340"/>
      <c r="K97" s="340"/>
      <c r="L97" s="340"/>
      <c r="M97" s="340"/>
      <c r="N97" s="340"/>
      <c r="O97" s="386"/>
    </row>
    <row r="98" spans="2:15" ht="13.15" customHeight="1" x14ac:dyDescent="0.2">
      <c r="B98" s="316"/>
      <c r="C98" s="324"/>
      <c r="D98" s="329"/>
      <c r="E98" s="329"/>
      <c r="F98" s="1160"/>
      <c r="G98" s="341"/>
      <c r="H98" s="318"/>
      <c r="I98" s="318"/>
      <c r="J98" s="340"/>
      <c r="K98" s="340"/>
      <c r="L98" s="340"/>
      <c r="M98" s="340"/>
      <c r="N98" s="340"/>
      <c r="O98" s="386"/>
    </row>
    <row r="99" spans="2:15" ht="13.15" customHeight="1" x14ac:dyDescent="0.2">
      <c r="B99" s="316"/>
      <c r="C99" s="318"/>
      <c r="D99" s="408"/>
      <c r="E99" s="393"/>
      <c r="F99" s="416"/>
      <c r="G99" s="406"/>
      <c r="H99" s="1217"/>
      <c r="I99" s="415">
        <f t="shared" ref="I99:I133" si="6">H99</f>
        <v>0</v>
      </c>
      <c r="J99" s="415">
        <f t="shared" ref="J99:J133" si="7">I99</f>
        <v>0</v>
      </c>
      <c r="K99" s="415">
        <f t="shared" ref="K99:L119" si="8">J99</f>
        <v>0</v>
      </c>
      <c r="L99" s="415">
        <f t="shared" si="8"/>
        <v>0</v>
      </c>
      <c r="M99" s="415">
        <f t="shared" ref="M99:N133" si="9">L99</f>
        <v>0</v>
      </c>
      <c r="N99" s="415">
        <f t="shared" si="9"/>
        <v>0</v>
      </c>
      <c r="O99" s="386"/>
    </row>
    <row r="100" spans="2:15" ht="13.15" customHeight="1" x14ac:dyDescent="0.2">
      <c r="B100" s="316"/>
      <c r="C100" s="318"/>
      <c r="D100" s="408"/>
      <c r="E100" s="393"/>
      <c r="F100" s="416"/>
      <c r="G100" s="406"/>
      <c r="H100" s="1217"/>
      <c r="I100" s="415">
        <f t="shared" si="6"/>
        <v>0</v>
      </c>
      <c r="J100" s="415">
        <f t="shared" si="7"/>
        <v>0</v>
      </c>
      <c r="K100" s="415">
        <f t="shared" si="8"/>
        <v>0</v>
      </c>
      <c r="L100" s="415">
        <f t="shared" si="8"/>
        <v>0</v>
      </c>
      <c r="M100" s="415">
        <f t="shared" si="9"/>
        <v>0</v>
      </c>
      <c r="N100" s="415">
        <f t="shared" si="9"/>
        <v>0</v>
      </c>
      <c r="O100" s="386"/>
    </row>
    <row r="101" spans="2:15" ht="13.15" customHeight="1" x14ac:dyDescent="0.2">
      <c r="B101" s="316"/>
      <c r="C101" s="318"/>
      <c r="D101" s="408"/>
      <c r="E101" s="393"/>
      <c r="F101" s="416"/>
      <c r="G101" s="406"/>
      <c r="H101" s="1217"/>
      <c r="I101" s="415">
        <f t="shared" si="6"/>
        <v>0</v>
      </c>
      <c r="J101" s="415">
        <f t="shared" si="7"/>
        <v>0</v>
      </c>
      <c r="K101" s="415">
        <f t="shared" si="8"/>
        <v>0</v>
      </c>
      <c r="L101" s="415">
        <f t="shared" si="8"/>
        <v>0</v>
      </c>
      <c r="M101" s="415">
        <f t="shared" si="9"/>
        <v>0</v>
      </c>
      <c r="N101" s="415">
        <f t="shared" si="9"/>
        <v>0</v>
      </c>
      <c r="O101" s="386"/>
    </row>
    <row r="102" spans="2:15" ht="13.15" customHeight="1" x14ac:dyDescent="0.2">
      <c r="B102" s="316"/>
      <c r="C102" s="318"/>
      <c r="D102" s="408"/>
      <c r="E102" s="393"/>
      <c r="F102" s="416"/>
      <c r="G102" s="406"/>
      <c r="H102" s="1217"/>
      <c r="I102" s="415">
        <f t="shared" si="6"/>
        <v>0</v>
      </c>
      <c r="J102" s="415">
        <f t="shared" si="7"/>
        <v>0</v>
      </c>
      <c r="K102" s="415">
        <f t="shared" si="8"/>
        <v>0</v>
      </c>
      <c r="L102" s="415">
        <f t="shared" si="8"/>
        <v>0</v>
      </c>
      <c r="M102" s="415">
        <f t="shared" si="9"/>
        <v>0</v>
      </c>
      <c r="N102" s="415">
        <f t="shared" si="9"/>
        <v>0</v>
      </c>
      <c r="O102" s="386"/>
    </row>
    <row r="103" spans="2:15" ht="13.15" customHeight="1" x14ac:dyDescent="0.2">
      <c r="B103" s="316"/>
      <c r="C103" s="318"/>
      <c r="D103" s="408"/>
      <c r="E103" s="393"/>
      <c r="F103" s="416"/>
      <c r="G103" s="406"/>
      <c r="H103" s="1217"/>
      <c r="I103" s="415">
        <f t="shared" si="6"/>
        <v>0</v>
      </c>
      <c r="J103" s="415">
        <f t="shared" si="7"/>
        <v>0</v>
      </c>
      <c r="K103" s="415">
        <f t="shared" si="8"/>
        <v>0</v>
      </c>
      <c r="L103" s="415">
        <f t="shared" si="8"/>
        <v>0</v>
      </c>
      <c r="M103" s="415">
        <f t="shared" si="9"/>
        <v>0</v>
      </c>
      <c r="N103" s="415">
        <f t="shared" si="9"/>
        <v>0</v>
      </c>
      <c r="O103" s="386"/>
    </row>
    <row r="104" spans="2:15" ht="13.15" customHeight="1" x14ac:dyDescent="0.2">
      <c r="B104" s="316"/>
      <c r="C104" s="318"/>
      <c r="D104" s="408"/>
      <c r="E104" s="393"/>
      <c r="F104" s="416"/>
      <c r="G104" s="406"/>
      <c r="H104" s="1217"/>
      <c r="I104" s="415">
        <f t="shared" si="6"/>
        <v>0</v>
      </c>
      <c r="J104" s="415">
        <f t="shared" si="7"/>
        <v>0</v>
      </c>
      <c r="K104" s="415">
        <f t="shared" si="8"/>
        <v>0</v>
      </c>
      <c r="L104" s="415">
        <f t="shared" si="8"/>
        <v>0</v>
      </c>
      <c r="M104" s="415">
        <f t="shared" si="9"/>
        <v>0</v>
      </c>
      <c r="N104" s="415">
        <f t="shared" si="9"/>
        <v>0</v>
      </c>
      <c r="O104" s="386"/>
    </row>
    <row r="105" spans="2:15" ht="13.15" customHeight="1" x14ac:dyDescent="0.2">
      <c r="B105" s="316"/>
      <c r="C105" s="318"/>
      <c r="D105" s="408"/>
      <c r="E105" s="393"/>
      <c r="F105" s="416"/>
      <c r="G105" s="406"/>
      <c r="H105" s="1217"/>
      <c r="I105" s="415">
        <f t="shared" si="6"/>
        <v>0</v>
      </c>
      <c r="J105" s="415">
        <f t="shared" si="7"/>
        <v>0</v>
      </c>
      <c r="K105" s="415">
        <f t="shared" si="8"/>
        <v>0</v>
      </c>
      <c r="L105" s="415">
        <f t="shared" si="8"/>
        <v>0</v>
      </c>
      <c r="M105" s="415">
        <f t="shared" si="9"/>
        <v>0</v>
      </c>
      <c r="N105" s="415">
        <f t="shared" si="9"/>
        <v>0</v>
      </c>
      <c r="O105" s="386"/>
    </row>
    <row r="106" spans="2:15" ht="13.15" customHeight="1" x14ac:dyDescent="0.2">
      <c r="B106" s="316"/>
      <c r="C106" s="318"/>
      <c r="D106" s="408"/>
      <c r="E106" s="393"/>
      <c r="F106" s="416"/>
      <c r="G106" s="406"/>
      <c r="H106" s="1217"/>
      <c r="I106" s="415">
        <f t="shared" si="6"/>
        <v>0</v>
      </c>
      <c r="J106" s="415">
        <f t="shared" si="7"/>
        <v>0</v>
      </c>
      <c r="K106" s="415">
        <f t="shared" si="8"/>
        <v>0</v>
      </c>
      <c r="L106" s="415">
        <f t="shared" si="8"/>
        <v>0</v>
      </c>
      <c r="M106" s="415">
        <f t="shared" si="9"/>
        <v>0</v>
      </c>
      <c r="N106" s="415">
        <f t="shared" si="9"/>
        <v>0</v>
      </c>
      <c r="O106" s="386"/>
    </row>
    <row r="107" spans="2:15" ht="13.15" customHeight="1" x14ac:dyDescent="0.2">
      <c r="B107" s="316"/>
      <c r="C107" s="318"/>
      <c r="D107" s="408"/>
      <c r="E107" s="393"/>
      <c r="F107" s="416"/>
      <c r="G107" s="406"/>
      <c r="H107" s="1217"/>
      <c r="I107" s="415">
        <f t="shared" si="6"/>
        <v>0</v>
      </c>
      <c r="J107" s="415">
        <f t="shared" si="7"/>
        <v>0</v>
      </c>
      <c r="K107" s="415">
        <f t="shared" si="8"/>
        <v>0</v>
      </c>
      <c r="L107" s="415">
        <f t="shared" si="8"/>
        <v>0</v>
      </c>
      <c r="M107" s="415">
        <f t="shared" si="9"/>
        <v>0</v>
      </c>
      <c r="N107" s="415">
        <f t="shared" si="9"/>
        <v>0</v>
      </c>
      <c r="O107" s="386"/>
    </row>
    <row r="108" spans="2:15" ht="13.15" customHeight="1" x14ac:dyDescent="0.2">
      <c r="B108" s="316"/>
      <c r="C108" s="318"/>
      <c r="D108" s="408"/>
      <c r="E108" s="393"/>
      <c r="F108" s="416"/>
      <c r="G108" s="406"/>
      <c r="H108" s="1217"/>
      <c r="I108" s="415">
        <f t="shared" si="6"/>
        <v>0</v>
      </c>
      <c r="J108" s="415">
        <f t="shared" si="7"/>
        <v>0</v>
      </c>
      <c r="K108" s="415">
        <f t="shared" si="8"/>
        <v>0</v>
      </c>
      <c r="L108" s="415">
        <f t="shared" si="8"/>
        <v>0</v>
      </c>
      <c r="M108" s="415">
        <f t="shared" si="9"/>
        <v>0</v>
      </c>
      <c r="N108" s="415">
        <f t="shared" si="9"/>
        <v>0</v>
      </c>
      <c r="O108" s="386"/>
    </row>
    <row r="109" spans="2:15" ht="13.15" customHeight="1" x14ac:dyDescent="0.2">
      <c r="B109" s="316"/>
      <c r="C109" s="318"/>
      <c r="D109" s="408"/>
      <c r="E109" s="393"/>
      <c r="F109" s="416"/>
      <c r="G109" s="406"/>
      <c r="H109" s="1217"/>
      <c r="I109" s="415">
        <f t="shared" si="6"/>
        <v>0</v>
      </c>
      <c r="J109" s="415">
        <f t="shared" si="7"/>
        <v>0</v>
      </c>
      <c r="K109" s="415">
        <f t="shared" si="8"/>
        <v>0</v>
      </c>
      <c r="L109" s="415">
        <f t="shared" si="8"/>
        <v>0</v>
      </c>
      <c r="M109" s="415">
        <f t="shared" si="9"/>
        <v>0</v>
      </c>
      <c r="N109" s="415">
        <f t="shared" si="9"/>
        <v>0</v>
      </c>
      <c r="O109" s="386"/>
    </row>
    <row r="110" spans="2:15" ht="13.15" customHeight="1" x14ac:dyDescent="0.2">
      <c r="B110" s="316"/>
      <c r="C110" s="318"/>
      <c r="D110" s="408"/>
      <c r="E110" s="393"/>
      <c r="F110" s="416"/>
      <c r="G110" s="406"/>
      <c r="H110" s="1217"/>
      <c r="I110" s="415">
        <f t="shared" si="6"/>
        <v>0</v>
      </c>
      <c r="J110" s="415">
        <f t="shared" si="7"/>
        <v>0</v>
      </c>
      <c r="K110" s="415">
        <f t="shared" si="8"/>
        <v>0</v>
      </c>
      <c r="L110" s="415">
        <f t="shared" si="8"/>
        <v>0</v>
      </c>
      <c r="M110" s="415">
        <f t="shared" si="9"/>
        <v>0</v>
      </c>
      <c r="N110" s="415">
        <f t="shared" si="9"/>
        <v>0</v>
      </c>
      <c r="O110" s="386"/>
    </row>
    <row r="111" spans="2:15" ht="13.15" customHeight="1" x14ac:dyDescent="0.2">
      <c r="B111" s="316"/>
      <c r="C111" s="318"/>
      <c r="D111" s="408"/>
      <c r="E111" s="393"/>
      <c r="F111" s="416"/>
      <c r="G111" s="406"/>
      <c r="H111" s="1217"/>
      <c r="I111" s="415">
        <f t="shared" si="6"/>
        <v>0</v>
      </c>
      <c r="J111" s="415">
        <f t="shared" si="7"/>
        <v>0</v>
      </c>
      <c r="K111" s="415">
        <f t="shared" si="8"/>
        <v>0</v>
      </c>
      <c r="L111" s="415">
        <f t="shared" si="8"/>
        <v>0</v>
      </c>
      <c r="M111" s="415">
        <f t="shared" si="9"/>
        <v>0</v>
      </c>
      <c r="N111" s="415">
        <f t="shared" si="9"/>
        <v>0</v>
      </c>
      <c r="O111" s="386"/>
    </row>
    <row r="112" spans="2:15" ht="13.15" customHeight="1" x14ac:dyDescent="0.2">
      <c r="B112" s="316"/>
      <c r="C112" s="318"/>
      <c r="D112" s="408"/>
      <c r="E112" s="393"/>
      <c r="F112" s="416"/>
      <c r="G112" s="406"/>
      <c r="H112" s="1217"/>
      <c r="I112" s="415">
        <f t="shared" si="6"/>
        <v>0</v>
      </c>
      <c r="J112" s="415">
        <f t="shared" si="7"/>
        <v>0</v>
      </c>
      <c r="K112" s="415">
        <f t="shared" si="8"/>
        <v>0</v>
      </c>
      <c r="L112" s="415">
        <f t="shared" si="8"/>
        <v>0</v>
      </c>
      <c r="M112" s="415">
        <f t="shared" si="9"/>
        <v>0</v>
      </c>
      <c r="N112" s="415">
        <f t="shared" si="9"/>
        <v>0</v>
      </c>
      <c r="O112" s="386"/>
    </row>
    <row r="113" spans="2:15" ht="13.15" customHeight="1" x14ac:dyDescent="0.2">
      <c r="B113" s="316"/>
      <c r="C113" s="318"/>
      <c r="D113" s="408"/>
      <c r="E113" s="393"/>
      <c r="F113" s="416"/>
      <c r="G113" s="406"/>
      <c r="H113" s="1217"/>
      <c r="I113" s="415">
        <f t="shared" si="6"/>
        <v>0</v>
      </c>
      <c r="J113" s="415">
        <f t="shared" si="7"/>
        <v>0</v>
      </c>
      <c r="K113" s="415">
        <f t="shared" si="8"/>
        <v>0</v>
      </c>
      <c r="L113" s="415">
        <f t="shared" si="8"/>
        <v>0</v>
      </c>
      <c r="M113" s="415">
        <f t="shared" si="9"/>
        <v>0</v>
      </c>
      <c r="N113" s="415">
        <f t="shared" si="9"/>
        <v>0</v>
      </c>
      <c r="O113" s="386"/>
    </row>
    <row r="114" spans="2:15" ht="13.15" customHeight="1" x14ac:dyDescent="0.2">
      <c r="B114" s="316"/>
      <c r="C114" s="318"/>
      <c r="D114" s="408"/>
      <c r="E114" s="393"/>
      <c r="F114" s="416"/>
      <c r="G114" s="406"/>
      <c r="H114" s="1217"/>
      <c r="I114" s="415">
        <f t="shared" si="6"/>
        <v>0</v>
      </c>
      <c r="J114" s="415">
        <f t="shared" si="7"/>
        <v>0</v>
      </c>
      <c r="K114" s="415">
        <f t="shared" si="8"/>
        <v>0</v>
      </c>
      <c r="L114" s="415">
        <f t="shared" si="8"/>
        <v>0</v>
      </c>
      <c r="M114" s="415">
        <f t="shared" si="9"/>
        <v>0</v>
      </c>
      <c r="N114" s="415">
        <f t="shared" si="9"/>
        <v>0</v>
      </c>
      <c r="O114" s="386"/>
    </row>
    <row r="115" spans="2:15" ht="13.15" customHeight="1" x14ac:dyDescent="0.2">
      <c r="B115" s="316"/>
      <c r="C115" s="318"/>
      <c r="D115" s="408"/>
      <c r="E115" s="393"/>
      <c r="F115" s="416"/>
      <c r="G115" s="406"/>
      <c r="H115" s="1217"/>
      <c r="I115" s="415">
        <f t="shared" si="6"/>
        <v>0</v>
      </c>
      <c r="J115" s="415">
        <f t="shared" si="7"/>
        <v>0</v>
      </c>
      <c r="K115" s="415">
        <f t="shared" si="8"/>
        <v>0</v>
      </c>
      <c r="L115" s="415">
        <f t="shared" si="8"/>
        <v>0</v>
      </c>
      <c r="M115" s="415">
        <f t="shared" si="9"/>
        <v>0</v>
      </c>
      <c r="N115" s="415">
        <f t="shared" si="9"/>
        <v>0</v>
      </c>
      <c r="O115" s="386"/>
    </row>
    <row r="116" spans="2:15" ht="13.15" customHeight="1" x14ac:dyDescent="0.2">
      <c r="B116" s="316"/>
      <c r="C116" s="318"/>
      <c r="D116" s="408"/>
      <c r="E116" s="393"/>
      <c r="F116" s="416"/>
      <c r="G116" s="406"/>
      <c r="H116" s="1217"/>
      <c r="I116" s="415">
        <f t="shared" si="6"/>
        <v>0</v>
      </c>
      <c r="J116" s="415">
        <f t="shared" si="7"/>
        <v>0</v>
      </c>
      <c r="K116" s="415">
        <f t="shared" si="8"/>
        <v>0</v>
      </c>
      <c r="L116" s="415">
        <f t="shared" si="8"/>
        <v>0</v>
      </c>
      <c r="M116" s="415">
        <f t="shared" si="9"/>
        <v>0</v>
      </c>
      <c r="N116" s="415">
        <f t="shared" si="9"/>
        <v>0</v>
      </c>
      <c r="O116" s="386"/>
    </row>
    <row r="117" spans="2:15" ht="13.15" customHeight="1" x14ac:dyDescent="0.2">
      <c r="B117" s="316"/>
      <c r="C117" s="318"/>
      <c r="D117" s="408"/>
      <c r="E117" s="393"/>
      <c r="F117" s="416"/>
      <c r="G117" s="406"/>
      <c r="H117" s="1217"/>
      <c r="I117" s="415">
        <f t="shared" si="6"/>
        <v>0</v>
      </c>
      <c r="J117" s="415">
        <f t="shared" si="7"/>
        <v>0</v>
      </c>
      <c r="K117" s="415">
        <f t="shared" si="8"/>
        <v>0</v>
      </c>
      <c r="L117" s="415">
        <f t="shared" si="8"/>
        <v>0</v>
      </c>
      <c r="M117" s="415">
        <f t="shared" si="9"/>
        <v>0</v>
      </c>
      <c r="N117" s="415">
        <f t="shared" si="9"/>
        <v>0</v>
      </c>
      <c r="O117" s="386"/>
    </row>
    <row r="118" spans="2:15" ht="13.15" customHeight="1" x14ac:dyDescent="0.2">
      <c r="B118" s="316"/>
      <c r="C118" s="318"/>
      <c r="D118" s="408"/>
      <c r="E118" s="393"/>
      <c r="F118" s="416"/>
      <c r="G118" s="406"/>
      <c r="H118" s="1217"/>
      <c r="I118" s="415">
        <f t="shared" si="6"/>
        <v>0</v>
      </c>
      <c r="J118" s="415">
        <f t="shared" si="7"/>
        <v>0</v>
      </c>
      <c r="K118" s="415">
        <f t="shared" si="8"/>
        <v>0</v>
      </c>
      <c r="L118" s="415">
        <f t="shared" si="8"/>
        <v>0</v>
      </c>
      <c r="M118" s="415">
        <f t="shared" si="9"/>
        <v>0</v>
      </c>
      <c r="N118" s="415">
        <f t="shared" si="9"/>
        <v>0</v>
      </c>
      <c r="O118" s="386"/>
    </row>
    <row r="119" spans="2:15" ht="13.15" customHeight="1" x14ac:dyDescent="0.2">
      <c r="B119" s="316"/>
      <c r="C119" s="318"/>
      <c r="D119" s="408"/>
      <c r="E119" s="393"/>
      <c r="F119" s="416"/>
      <c r="G119" s="406"/>
      <c r="H119" s="1217"/>
      <c r="I119" s="415">
        <f t="shared" si="6"/>
        <v>0</v>
      </c>
      <c r="J119" s="415">
        <f t="shared" si="7"/>
        <v>0</v>
      </c>
      <c r="K119" s="415">
        <f t="shared" si="8"/>
        <v>0</v>
      </c>
      <c r="L119" s="415">
        <f t="shared" si="8"/>
        <v>0</v>
      </c>
      <c r="M119" s="415">
        <f t="shared" si="9"/>
        <v>0</v>
      </c>
      <c r="N119" s="415">
        <f t="shared" si="9"/>
        <v>0</v>
      </c>
      <c r="O119" s="386"/>
    </row>
    <row r="120" spans="2:15" ht="13.15" customHeight="1" x14ac:dyDescent="0.2">
      <c r="B120" s="316"/>
      <c r="C120" s="318"/>
      <c r="D120" s="408"/>
      <c r="E120" s="393"/>
      <c r="F120" s="416"/>
      <c r="G120" s="406"/>
      <c r="H120" s="1217"/>
      <c r="I120" s="415">
        <f t="shared" si="6"/>
        <v>0</v>
      </c>
      <c r="J120" s="415">
        <f t="shared" si="7"/>
        <v>0</v>
      </c>
      <c r="K120" s="415">
        <f t="shared" ref="K120:L133" si="10">J120</f>
        <v>0</v>
      </c>
      <c r="L120" s="415">
        <f t="shared" si="10"/>
        <v>0</v>
      </c>
      <c r="M120" s="415">
        <f t="shared" si="9"/>
        <v>0</v>
      </c>
      <c r="N120" s="415">
        <f t="shared" si="9"/>
        <v>0</v>
      </c>
      <c r="O120" s="386"/>
    </row>
    <row r="121" spans="2:15" ht="13.15" customHeight="1" x14ac:dyDescent="0.2">
      <c r="B121" s="316"/>
      <c r="C121" s="318"/>
      <c r="D121" s="408"/>
      <c r="E121" s="393"/>
      <c r="F121" s="416"/>
      <c r="G121" s="406"/>
      <c r="H121" s="1217"/>
      <c r="I121" s="415">
        <f t="shared" si="6"/>
        <v>0</v>
      </c>
      <c r="J121" s="415">
        <f t="shared" si="7"/>
        <v>0</v>
      </c>
      <c r="K121" s="415">
        <f t="shared" si="10"/>
        <v>0</v>
      </c>
      <c r="L121" s="415">
        <f t="shared" si="10"/>
        <v>0</v>
      </c>
      <c r="M121" s="415">
        <f t="shared" si="9"/>
        <v>0</v>
      </c>
      <c r="N121" s="415">
        <f t="shared" si="9"/>
        <v>0</v>
      </c>
      <c r="O121" s="386"/>
    </row>
    <row r="122" spans="2:15" ht="13.15" customHeight="1" x14ac:dyDescent="0.2">
      <c r="B122" s="316"/>
      <c r="C122" s="318"/>
      <c r="D122" s="408"/>
      <c r="E122" s="393"/>
      <c r="F122" s="416"/>
      <c r="G122" s="406"/>
      <c r="H122" s="1217"/>
      <c r="I122" s="415">
        <f t="shared" si="6"/>
        <v>0</v>
      </c>
      <c r="J122" s="415">
        <f t="shared" si="7"/>
        <v>0</v>
      </c>
      <c r="K122" s="415">
        <f t="shared" si="10"/>
        <v>0</v>
      </c>
      <c r="L122" s="415">
        <f t="shared" si="10"/>
        <v>0</v>
      </c>
      <c r="M122" s="415">
        <f t="shared" si="9"/>
        <v>0</v>
      </c>
      <c r="N122" s="415">
        <f t="shared" si="9"/>
        <v>0</v>
      </c>
      <c r="O122" s="386"/>
    </row>
    <row r="123" spans="2:15" ht="13.15" customHeight="1" x14ac:dyDescent="0.2">
      <c r="B123" s="316"/>
      <c r="C123" s="318"/>
      <c r="D123" s="408"/>
      <c r="E123" s="393"/>
      <c r="F123" s="416"/>
      <c r="G123" s="406"/>
      <c r="H123" s="1217"/>
      <c r="I123" s="415">
        <f t="shared" si="6"/>
        <v>0</v>
      </c>
      <c r="J123" s="415">
        <f t="shared" si="7"/>
        <v>0</v>
      </c>
      <c r="K123" s="415">
        <f t="shared" si="10"/>
        <v>0</v>
      </c>
      <c r="L123" s="415">
        <f t="shared" si="10"/>
        <v>0</v>
      </c>
      <c r="M123" s="415">
        <f t="shared" si="9"/>
        <v>0</v>
      </c>
      <c r="N123" s="415">
        <f t="shared" si="9"/>
        <v>0</v>
      </c>
      <c r="O123" s="386"/>
    </row>
    <row r="124" spans="2:15" ht="13.15" customHeight="1" x14ac:dyDescent="0.2">
      <c r="B124" s="316"/>
      <c r="C124" s="318"/>
      <c r="D124" s="408"/>
      <c r="E124" s="393"/>
      <c r="F124" s="416"/>
      <c r="G124" s="406"/>
      <c r="H124" s="1217"/>
      <c r="I124" s="415">
        <f t="shared" si="6"/>
        <v>0</v>
      </c>
      <c r="J124" s="415">
        <f t="shared" si="7"/>
        <v>0</v>
      </c>
      <c r="K124" s="415">
        <f t="shared" si="10"/>
        <v>0</v>
      </c>
      <c r="L124" s="415">
        <f t="shared" si="10"/>
        <v>0</v>
      </c>
      <c r="M124" s="415">
        <f t="shared" si="9"/>
        <v>0</v>
      </c>
      <c r="N124" s="415">
        <f t="shared" si="9"/>
        <v>0</v>
      </c>
      <c r="O124" s="386"/>
    </row>
    <row r="125" spans="2:15" ht="13.15" customHeight="1" x14ac:dyDescent="0.2">
      <c r="B125" s="316"/>
      <c r="C125" s="318"/>
      <c r="D125" s="408"/>
      <c r="E125" s="393"/>
      <c r="F125" s="416"/>
      <c r="G125" s="406"/>
      <c r="H125" s="1217"/>
      <c r="I125" s="415">
        <f t="shared" si="6"/>
        <v>0</v>
      </c>
      <c r="J125" s="415">
        <f t="shared" si="7"/>
        <v>0</v>
      </c>
      <c r="K125" s="415">
        <f t="shared" si="10"/>
        <v>0</v>
      </c>
      <c r="L125" s="415">
        <f t="shared" si="10"/>
        <v>0</v>
      </c>
      <c r="M125" s="415">
        <f t="shared" si="9"/>
        <v>0</v>
      </c>
      <c r="N125" s="415">
        <f t="shared" si="9"/>
        <v>0</v>
      </c>
      <c r="O125" s="386"/>
    </row>
    <row r="126" spans="2:15" ht="13.15" customHeight="1" x14ac:dyDescent="0.2">
      <c r="B126" s="316"/>
      <c r="C126" s="318"/>
      <c r="D126" s="408"/>
      <c r="E126" s="393"/>
      <c r="F126" s="416"/>
      <c r="G126" s="406"/>
      <c r="H126" s="1217"/>
      <c r="I126" s="415">
        <f t="shared" si="6"/>
        <v>0</v>
      </c>
      <c r="J126" s="415">
        <f t="shared" si="7"/>
        <v>0</v>
      </c>
      <c r="K126" s="415">
        <f t="shared" si="10"/>
        <v>0</v>
      </c>
      <c r="L126" s="415">
        <f t="shared" si="10"/>
        <v>0</v>
      </c>
      <c r="M126" s="415">
        <f t="shared" si="9"/>
        <v>0</v>
      </c>
      <c r="N126" s="415">
        <f t="shared" si="9"/>
        <v>0</v>
      </c>
      <c r="O126" s="386"/>
    </row>
    <row r="127" spans="2:15" ht="13.15" customHeight="1" x14ac:dyDescent="0.2">
      <c r="B127" s="316"/>
      <c r="C127" s="318"/>
      <c r="D127" s="408"/>
      <c r="E127" s="393"/>
      <c r="F127" s="416"/>
      <c r="G127" s="406"/>
      <c r="H127" s="1217"/>
      <c r="I127" s="415">
        <f t="shared" si="6"/>
        <v>0</v>
      </c>
      <c r="J127" s="415">
        <f t="shared" si="7"/>
        <v>0</v>
      </c>
      <c r="K127" s="415">
        <f t="shared" si="10"/>
        <v>0</v>
      </c>
      <c r="L127" s="415">
        <f t="shared" si="10"/>
        <v>0</v>
      </c>
      <c r="M127" s="415">
        <f t="shared" si="9"/>
        <v>0</v>
      </c>
      <c r="N127" s="415">
        <f t="shared" si="9"/>
        <v>0</v>
      </c>
      <c r="O127" s="386"/>
    </row>
    <row r="128" spans="2:15" ht="13.15" customHeight="1" x14ac:dyDescent="0.2">
      <c r="B128" s="316"/>
      <c r="C128" s="318"/>
      <c r="D128" s="408"/>
      <c r="E128" s="393"/>
      <c r="F128" s="416"/>
      <c r="G128" s="406"/>
      <c r="H128" s="1217"/>
      <c r="I128" s="415">
        <f t="shared" si="6"/>
        <v>0</v>
      </c>
      <c r="J128" s="415">
        <f t="shared" si="7"/>
        <v>0</v>
      </c>
      <c r="K128" s="415">
        <f t="shared" si="10"/>
        <v>0</v>
      </c>
      <c r="L128" s="415">
        <f t="shared" si="10"/>
        <v>0</v>
      </c>
      <c r="M128" s="415">
        <f t="shared" si="9"/>
        <v>0</v>
      </c>
      <c r="N128" s="415">
        <f t="shared" si="9"/>
        <v>0</v>
      </c>
      <c r="O128" s="386"/>
    </row>
    <row r="129" spans="2:15" ht="13.15" customHeight="1" x14ac:dyDescent="0.2">
      <c r="B129" s="316"/>
      <c r="C129" s="318"/>
      <c r="D129" s="408"/>
      <c r="E129" s="393"/>
      <c r="F129" s="416"/>
      <c r="G129" s="406"/>
      <c r="H129" s="1217"/>
      <c r="I129" s="415">
        <f t="shared" si="6"/>
        <v>0</v>
      </c>
      <c r="J129" s="415">
        <f t="shared" si="7"/>
        <v>0</v>
      </c>
      <c r="K129" s="415">
        <f t="shared" si="10"/>
        <v>0</v>
      </c>
      <c r="L129" s="415">
        <f t="shared" si="10"/>
        <v>0</v>
      </c>
      <c r="M129" s="415">
        <f t="shared" si="9"/>
        <v>0</v>
      </c>
      <c r="N129" s="415">
        <f t="shared" si="9"/>
        <v>0</v>
      </c>
      <c r="O129" s="386"/>
    </row>
    <row r="130" spans="2:15" ht="13.15" customHeight="1" x14ac:dyDescent="0.2">
      <c r="B130" s="316"/>
      <c r="C130" s="318"/>
      <c r="D130" s="408"/>
      <c r="E130" s="393"/>
      <c r="F130" s="416"/>
      <c r="G130" s="406"/>
      <c r="H130" s="1217"/>
      <c r="I130" s="415">
        <f t="shared" si="6"/>
        <v>0</v>
      </c>
      <c r="J130" s="415">
        <f t="shared" si="7"/>
        <v>0</v>
      </c>
      <c r="K130" s="415">
        <f t="shared" si="10"/>
        <v>0</v>
      </c>
      <c r="L130" s="415">
        <f t="shared" si="10"/>
        <v>0</v>
      </c>
      <c r="M130" s="415">
        <f t="shared" si="9"/>
        <v>0</v>
      </c>
      <c r="N130" s="415">
        <f t="shared" si="9"/>
        <v>0</v>
      </c>
      <c r="O130" s="386"/>
    </row>
    <row r="131" spans="2:15" ht="13.15" customHeight="1" x14ac:dyDescent="0.2">
      <c r="B131" s="316"/>
      <c r="C131" s="318"/>
      <c r="D131" s="408"/>
      <c r="E131" s="393"/>
      <c r="F131" s="416"/>
      <c r="G131" s="406"/>
      <c r="H131" s="1217"/>
      <c r="I131" s="415">
        <f t="shared" si="6"/>
        <v>0</v>
      </c>
      <c r="J131" s="415">
        <f t="shared" si="7"/>
        <v>0</v>
      </c>
      <c r="K131" s="415">
        <f t="shared" si="10"/>
        <v>0</v>
      </c>
      <c r="L131" s="415">
        <f t="shared" si="10"/>
        <v>0</v>
      </c>
      <c r="M131" s="415">
        <f t="shared" si="9"/>
        <v>0</v>
      </c>
      <c r="N131" s="415">
        <f t="shared" si="9"/>
        <v>0</v>
      </c>
      <c r="O131" s="386"/>
    </row>
    <row r="132" spans="2:15" ht="13.15" customHeight="1" x14ac:dyDescent="0.2">
      <c r="B132" s="316"/>
      <c r="C132" s="318"/>
      <c r="D132" s="408"/>
      <c r="E132" s="393"/>
      <c r="F132" s="416"/>
      <c r="G132" s="406"/>
      <c r="H132" s="1217"/>
      <c r="I132" s="415">
        <f t="shared" si="6"/>
        <v>0</v>
      </c>
      <c r="J132" s="415">
        <f t="shared" si="7"/>
        <v>0</v>
      </c>
      <c r="K132" s="415">
        <f t="shared" si="10"/>
        <v>0</v>
      </c>
      <c r="L132" s="415">
        <f t="shared" si="10"/>
        <v>0</v>
      </c>
      <c r="M132" s="415">
        <f t="shared" si="9"/>
        <v>0</v>
      </c>
      <c r="N132" s="415">
        <f t="shared" si="9"/>
        <v>0</v>
      </c>
      <c r="O132" s="386"/>
    </row>
    <row r="133" spans="2:15" ht="13.15" customHeight="1" x14ac:dyDescent="0.2">
      <c r="B133" s="316"/>
      <c r="C133" s="318"/>
      <c r="D133" s="408"/>
      <c r="E133" s="393"/>
      <c r="F133" s="416"/>
      <c r="G133" s="406"/>
      <c r="H133" s="1217"/>
      <c r="I133" s="415">
        <f t="shared" si="6"/>
        <v>0</v>
      </c>
      <c r="J133" s="415">
        <f t="shared" si="7"/>
        <v>0</v>
      </c>
      <c r="K133" s="415">
        <f t="shared" si="10"/>
        <v>0</v>
      </c>
      <c r="L133" s="415">
        <f t="shared" si="10"/>
        <v>0</v>
      </c>
      <c r="M133" s="415">
        <f t="shared" si="9"/>
        <v>0</v>
      </c>
      <c r="N133" s="415">
        <f t="shared" si="9"/>
        <v>0</v>
      </c>
      <c r="O133" s="386"/>
    </row>
    <row r="134" spans="2:15" ht="13.15" customHeight="1" x14ac:dyDescent="0.2">
      <c r="B134" s="316"/>
      <c r="C134" s="318"/>
      <c r="D134" s="329"/>
      <c r="E134" s="329"/>
      <c r="F134" s="1160"/>
      <c r="G134" s="320"/>
      <c r="H134" s="332"/>
      <c r="I134" s="332"/>
      <c r="J134" s="332"/>
      <c r="K134" s="332"/>
      <c r="L134" s="332"/>
      <c r="M134" s="332"/>
      <c r="N134" s="332"/>
      <c r="O134" s="386"/>
    </row>
    <row r="135" spans="2:15" ht="13.15" customHeight="1" x14ac:dyDescent="0.2">
      <c r="B135" s="316"/>
      <c r="C135" s="318"/>
      <c r="D135" s="514" t="s">
        <v>141</v>
      </c>
      <c r="E135" s="324"/>
      <c r="F135" s="1160"/>
      <c r="G135" s="331"/>
      <c r="H135" s="340"/>
      <c r="I135" s="573">
        <f t="shared" ref="I135:N135" si="11">SUM(I99:I133)</f>
        <v>0</v>
      </c>
      <c r="J135" s="573">
        <f t="shared" si="11"/>
        <v>0</v>
      </c>
      <c r="K135" s="573">
        <f t="shared" si="11"/>
        <v>0</v>
      </c>
      <c r="L135" s="573">
        <f t="shared" si="11"/>
        <v>0</v>
      </c>
      <c r="M135" s="573">
        <f t="shared" si="11"/>
        <v>0</v>
      </c>
      <c r="N135" s="573">
        <f t="shared" si="11"/>
        <v>0</v>
      </c>
      <c r="O135" s="386"/>
    </row>
    <row r="136" spans="2:15" ht="13.15" customHeight="1" x14ac:dyDescent="0.2">
      <c r="B136" s="316"/>
      <c r="C136" s="318"/>
      <c r="D136" s="329"/>
      <c r="E136" s="329"/>
      <c r="F136" s="1160"/>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60"/>
      <c r="G139" s="320"/>
      <c r="H139" s="332"/>
      <c r="I139" s="332"/>
      <c r="J139" s="332"/>
      <c r="K139" s="332"/>
      <c r="L139" s="332"/>
      <c r="M139" s="332"/>
      <c r="N139" s="332"/>
      <c r="O139" s="386"/>
    </row>
    <row r="140" spans="2:15" ht="13.15" customHeight="1" x14ac:dyDescent="0.2">
      <c r="B140" s="316"/>
      <c r="C140" s="318"/>
      <c r="D140" s="580" t="s">
        <v>528</v>
      </c>
      <c r="E140" s="329"/>
      <c r="F140" s="1160"/>
      <c r="G140" s="406"/>
      <c r="H140" s="1217"/>
      <c r="I140" s="771">
        <f t="shared" ref="I140:N140" si="12">I61+I88+I135</f>
        <v>15000</v>
      </c>
      <c r="J140" s="771">
        <f t="shared" si="12"/>
        <v>15000</v>
      </c>
      <c r="K140" s="771">
        <f t="shared" si="12"/>
        <v>15000</v>
      </c>
      <c r="L140" s="771">
        <f t="shared" si="12"/>
        <v>15000</v>
      </c>
      <c r="M140" s="771">
        <f t="shared" si="12"/>
        <v>15000</v>
      </c>
      <c r="N140" s="771">
        <f t="shared" si="12"/>
        <v>15000</v>
      </c>
      <c r="O140" s="386"/>
    </row>
    <row r="141" spans="2:15" ht="13.15" customHeight="1" x14ac:dyDescent="0.2">
      <c r="B141" s="316"/>
      <c r="C141" s="318"/>
      <c r="D141" s="329"/>
      <c r="E141" s="329"/>
      <c r="F141" s="1160"/>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71"/>
      <c r="G143" s="353"/>
      <c r="H143" s="352"/>
      <c r="I143" s="353"/>
      <c r="J143" s="353"/>
      <c r="K143" s="353"/>
      <c r="L143" s="353"/>
      <c r="M143" s="1175"/>
      <c r="N143" s="1175"/>
      <c r="O143" s="389"/>
    </row>
    <row r="144" spans="2:15" ht="13.15" customHeight="1" x14ac:dyDescent="0.2">
      <c r="H144" s="328"/>
      <c r="J144" s="328"/>
      <c r="K144" s="328"/>
      <c r="L144" s="328"/>
      <c r="M144" s="328"/>
      <c r="N144" s="328"/>
    </row>
    <row r="145" spans="4:14" s="317" customFormat="1" ht="13.15" customHeight="1" x14ac:dyDescent="0.2">
      <c r="F145" s="555"/>
      <c r="H145" s="326"/>
      <c r="J145" s="326"/>
      <c r="K145" s="326"/>
      <c r="L145" s="326"/>
      <c r="M145" s="326"/>
      <c r="N145" s="326"/>
    </row>
    <row r="146" spans="4:14" s="317" customFormat="1" ht="13.15" customHeight="1" x14ac:dyDescent="0.2">
      <c r="F146" s="555"/>
      <c r="H146" s="326"/>
      <c r="J146" s="326"/>
      <c r="K146" s="326"/>
      <c r="L146" s="326"/>
      <c r="M146" s="326"/>
      <c r="N146" s="326"/>
    </row>
    <row r="147" spans="4:14" s="317" customFormat="1" ht="13.15" customHeight="1" x14ac:dyDescent="0.2">
      <c r="F147" s="555"/>
      <c r="H147" s="326"/>
      <c r="J147" s="326"/>
      <c r="K147" s="326"/>
      <c r="L147" s="326"/>
      <c r="M147" s="326"/>
      <c r="N147" s="326"/>
    </row>
    <row r="148" spans="4:14" s="317" customFormat="1" ht="13.15" customHeight="1" x14ac:dyDescent="0.2">
      <c r="F148" s="555"/>
      <c r="H148" s="585"/>
      <c r="J148" s="326"/>
      <c r="K148" s="326"/>
      <c r="L148" s="326"/>
      <c r="M148" s="326"/>
      <c r="N148" s="326"/>
    </row>
    <row r="149" spans="4:14" s="317" customFormat="1" ht="13.15" customHeight="1" x14ac:dyDescent="0.2">
      <c r="D149" s="547" t="s">
        <v>350</v>
      </c>
      <c r="E149" s="539"/>
      <c r="F149" s="574"/>
      <c r="G149" s="539"/>
      <c r="I149" s="586">
        <f t="shared" ref="I149:N149" si="13">+I94</f>
        <v>2019</v>
      </c>
      <c r="J149" s="586">
        <f t="shared" si="13"/>
        <v>2020</v>
      </c>
      <c r="K149" s="586">
        <f t="shared" si="13"/>
        <v>2021</v>
      </c>
      <c r="L149" s="586">
        <f t="shared" si="13"/>
        <v>2022</v>
      </c>
      <c r="M149" s="586">
        <f t="shared" si="13"/>
        <v>2023</v>
      </c>
      <c r="N149" s="586">
        <f t="shared" si="13"/>
        <v>2024</v>
      </c>
    </row>
    <row r="150" spans="4:14" s="317" customFormat="1" ht="13.15" customHeight="1" x14ac:dyDescent="0.2">
      <c r="D150" s="539" t="s">
        <v>199</v>
      </c>
      <c r="E150" s="539"/>
      <c r="F150" s="574"/>
      <c r="G150" s="539"/>
      <c r="I150" s="587">
        <f>7/12*I17+5/12*J17</f>
        <v>203116</v>
      </c>
      <c r="J150" s="587">
        <f>7/12*J17+5/12*K17</f>
        <v>211881.60000000003</v>
      </c>
      <c r="K150" s="587">
        <f>7/12*K17+5/12*L17</f>
        <v>218099.20000000001</v>
      </c>
      <c r="L150" s="587">
        <f>7/12*L17+5/12*M17</f>
        <v>224529.60000000003</v>
      </c>
      <c r="M150" s="587">
        <f>7/12*M17+5/12*N17</f>
        <v>231070.40000000002</v>
      </c>
      <c r="N150" s="587">
        <f>N17</f>
        <v>234912.00000000003</v>
      </c>
    </row>
    <row r="151" spans="4:14" s="317" customFormat="1" ht="13.15" customHeight="1" x14ac:dyDescent="0.2">
      <c r="D151" s="539" t="s">
        <v>359</v>
      </c>
      <c r="E151" s="539"/>
      <c r="F151" s="574"/>
      <c r="G151" s="539"/>
      <c r="I151" s="575">
        <f>7/12*(I42-I21-I22)+5/12*(J42-J23-J24)</f>
        <v>0</v>
      </c>
      <c r="J151" s="575">
        <f>7/12*(J42-J23-J24)+I21+I22+J23+J24</f>
        <v>9874.9291999999987</v>
      </c>
      <c r="K151" s="575">
        <f>7/12*K42+5/12*L42</f>
        <v>0</v>
      </c>
      <c r="L151" s="575">
        <f>7/12*L42+5/12*M42</f>
        <v>0</v>
      </c>
      <c r="M151" s="575">
        <f>7/12*M42+5/12*N42</f>
        <v>0</v>
      </c>
      <c r="N151" s="575">
        <f>N42</f>
        <v>0</v>
      </c>
    </row>
    <row r="152" spans="4:14" s="317" customFormat="1" ht="13.15" customHeight="1" x14ac:dyDescent="0.2">
      <c r="D152" s="539" t="s">
        <v>188</v>
      </c>
      <c r="E152" s="539"/>
      <c r="F152" s="574"/>
      <c r="G152" s="539"/>
      <c r="I152" s="575">
        <f t="shared" ref="I152:N152" si="14">+I61</f>
        <v>15000</v>
      </c>
      <c r="J152" s="575">
        <f t="shared" si="14"/>
        <v>15000</v>
      </c>
      <c r="K152" s="575">
        <f t="shared" si="14"/>
        <v>15000</v>
      </c>
      <c r="L152" s="575">
        <f t="shared" si="14"/>
        <v>15000</v>
      </c>
      <c r="M152" s="575">
        <f t="shared" si="14"/>
        <v>15000</v>
      </c>
      <c r="N152" s="575">
        <f t="shared" si="14"/>
        <v>15000</v>
      </c>
    </row>
    <row r="153" spans="4:14" s="317" customFormat="1" ht="13.15" customHeight="1" x14ac:dyDescent="0.2">
      <c r="D153" s="539" t="s">
        <v>294</v>
      </c>
      <c r="E153" s="539"/>
      <c r="F153" s="574"/>
      <c r="G153" s="539"/>
      <c r="I153" s="575">
        <f t="shared" ref="I153:N153" si="15">I88</f>
        <v>0</v>
      </c>
      <c r="J153" s="575">
        <f t="shared" si="15"/>
        <v>0</v>
      </c>
      <c r="K153" s="575">
        <f t="shared" si="15"/>
        <v>0</v>
      </c>
      <c r="L153" s="575">
        <f t="shared" si="15"/>
        <v>0</v>
      </c>
      <c r="M153" s="575">
        <f t="shared" si="15"/>
        <v>0</v>
      </c>
      <c r="N153" s="575">
        <f t="shared" si="15"/>
        <v>0</v>
      </c>
    </row>
    <row r="154" spans="4:14" s="317" customFormat="1" ht="13.15" customHeight="1" x14ac:dyDescent="0.2">
      <c r="D154" s="539" t="s">
        <v>295</v>
      </c>
      <c r="E154" s="539"/>
      <c r="F154" s="574"/>
      <c r="G154" s="539"/>
      <c r="I154" s="575">
        <f t="shared" ref="I154:N154" si="16">I135</f>
        <v>0</v>
      </c>
      <c r="J154" s="575">
        <f t="shared" si="16"/>
        <v>0</v>
      </c>
      <c r="K154" s="575">
        <f t="shared" si="16"/>
        <v>0</v>
      </c>
      <c r="L154" s="575">
        <f t="shared" si="16"/>
        <v>0</v>
      </c>
      <c r="M154" s="575">
        <f t="shared" si="16"/>
        <v>0</v>
      </c>
      <c r="N154" s="575">
        <f t="shared" si="16"/>
        <v>0</v>
      </c>
    </row>
    <row r="155" spans="4:14" s="317" customFormat="1" ht="13.15" customHeight="1" x14ac:dyDescent="0.2">
      <c r="D155" s="544" t="s">
        <v>332</v>
      </c>
      <c r="E155" s="539"/>
      <c r="F155" s="574"/>
      <c r="G155" s="539"/>
      <c r="I155" s="576">
        <f t="shared" ref="I155:M157" si="17">7/12*I14+5/12*J14</f>
        <v>77346.266666666663</v>
      </c>
      <c r="J155" s="576">
        <f t="shared" si="17"/>
        <v>81016.000000000015</v>
      </c>
      <c r="K155" s="576">
        <f t="shared" si="17"/>
        <v>83563.200000000026</v>
      </c>
      <c r="L155" s="576">
        <f t="shared" si="17"/>
        <v>86187.200000000012</v>
      </c>
      <c r="M155" s="576">
        <f t="shared" si="17"/>
        <v>88888</v>
      </c>
      <c r="N155" s="576">
        <f>7/12*N14+5/12*N14</f>
        <v>90489.600000000006</v>
      </c>
    </row>
    <row r="156" spans="4:14" s="317" customFormat="1" ht="13.15" customHeight="1" x14ac:dyDescent="0.2">
      <c r="D156" s="544" t="s">
        <v>333</v>
      </c>
      <c r="E156" s="539"/>
      <c r="F156" s="574"/>
      <c r="G156" s="539"/>
      <c r="I156" s="576">
        <f t="shared" si="17"/>
        <v>69334.266666666677</v>
      </c>
      <c r="J156" s="576">
        <f t="shared" si="17"/>
        <v>72424</v>
      </c>
      <c r="K156" s="576">
        <f t="shared" si="17"/>
        <v>74872</v>
      </c>
      <c r="L156" s="576">
        <f t="shared" si="17"/>
        <v>77411.200000000012</v>
      </c>
      <c r="M156" s="576">
        <f t="shared" si="17"/>
        <v>80024</v>
      </c>
      <c r="N156" s="576">
        <f>7/12*N15+5/12*N15</f>
        <v>81580.800000000003</v>
      </c>
    </row>
    <row r="157" spans="4:14" s="317" customFormat="1" ht="13.15" customHeight="1" x14ac:dyDescent="0.2">
      <c r="D157" s="544" t="s">
        <v>334</v>
      </c>
      <c r="E157" s="539"/>
      <c r="F157" s="574"/>
      <c r="G157" s="539"/>
      <c r="I157" s="576">
        <f t="shared" si="17"/>
        <v>56435.466666666674</v>
      </c>
      <c r="J157" s="576">
        <f t="shared" si="17"/>
        <v>58441.600000000006</v>
      </c>
      <c r="K157" s="576">
        <f t="shared" si="17"/>
        <v>59664</v>
      </c>
      <c r="L157" s="576">
        <f t="shared" si="17"/>
        <v>60931.200000000012</v>
      </c>
      <c r="M157" s="576">
        <f t="shared" si="17"/>
        <v>62158.400000000009</v>
      </c>
      <c r="N157" s="576">
        <f>7/12*N16+5/12*N16</f>
        <v>62841.600000000006</v>
      </c>
    </row>
    <row r="158" spans="4:14" s="317" customFormat="1" ht="13.15" customHeight="1" x14ac:dyDescent="0.2">
      <c r="D158" s="544" t="s">
        <v>335</v>
      </c>
      <c r="E158" s="539"/>
      <c r="F158" s="574"/>
      <c r="G158" s="539"/>
      <c r="I158" s="576">
        <f t="shared" ref="I158:N158" si="18">SUM(I155:I157)</f>
        <v>203116</v>
      </c>
      <c r="J158" s="576">
        <f t="shared" si="18"/>
        <v>211881.60000000001</v>
      </c>
      <c r="K158" s="576">
        <f t="shared" si="18"/>
        <v>218099.20000000001</v>
      </c>
      <c r="L158" s="576">
        <f t="shared" si="18"/>
        <v>224529.60000000003</v>
      </c>
      <c r="M158" s="576">
        <f t="shared" si="18"/>
        <v>231070.40000000002</v>
      </c>
      <c r="N158" s="576">
        <f t="shared" si="18"/>
        <v>234912.00000000003</v>
      </c>
    </row>
    <row r="159" spans="4:14" s="317" customFormat="1" ht="13.15" customHeight="1" x14ac:dyDescent="0.2">
      <c r="D159" s="544" t="s">
        <v>468</v>
      </c>
      <c r="E159" s="539"/>
      <c r="F159" s="574"/>
      <c r="G159" s="539"/>
      <c r="I159" s="576">
        <f t="shared" ref="I159:K160" si="19">7/12*I175+5/12*J175</f>
        <v>3881.358515839529</v>
      </c>
      <c r="J159" s="576">
        <f t="shared" si="19"/>
        <v>4862.9375125577662</v>
      </c>
      <c r="K159" s="576">
        <f t="shared" si="19"/>
        <v>5108.6582278481019</v>
      </c>
      <c r="L159" s="576">
        <f t="shared" ref="L159:N161" si="20">L175</f>
        <v>5194.5316455696211</v>
      </c>
      <c r="M159" s="576">
        <f t="shared" si="20"/>
        <v>5348.2242314647383</v>
      </c>
      <c r="N159" s="576">
        <f t="shared" si="20"/>
        <v>5505.1573236889699</v>
      </c>
    </row>
    <row r="160" spans="4:14" s="317" customFormat="1" ht="13.15" customHeight="1" x14ac:dyDescent="0.2">
      <c r="D160" s="544" t="s">
        <v>336</v>
      </c>
      <c r="E160" s="539"/>
      <c r="F160" s="574"/>
      <c r="G160" s="539"/>
      <c r="I160" s="576">
        <f t="shared" si="19"/>
        <v>0</v>
      </c>
      <c r="J160" s="576">
        <f t="shared" si="19"/>
        <v>0</v>
      </c>
      <c r="K160" s="576">
        <f t="shared" si="19"/>
        <v>0</v>
      </c>
      <c r="L160" s="576">
        <f t="shared" si="20"/>
        <v>0</v>
      </c>
      <c r="M160" s="576">
        <f t="shared" si="20"/>
        <v>0</v>
      </c>
      <c r="N160" s="576">
        <f t="shared" si="20"/>
        <v>0</v>
      </c>
    </row>
    <row r="161" spans="4:14" s="317" customFormat="1" ht="13.15" customHeight="1" x14ac:dyDescent="0.2">
      <c r="D161" s="544" t="s">
        <v>308</v>
      </c>
      <c r="E161" s="539"/>
      <c r="F161" s="574"/>
      <c r="G161" s="539"/>
      <c r="I161" s="576">
        <f>7/12*I177+5/12*J177</f>
        <v>908.19750000000022</v>
      </c>
      <c r="J161" s="576">
        <f>7/12*J177+5/12*K177</f>
        <v>0</v>
      </c>
      <c r="K161" s="576">
        <f>7/12*K177+5/12*L177</f>
        <v>0</v>
      </c>
      <c r="L161" s="576">
        <f t="shared" si="20"/>
        <v>0</v>
      </c>
      <c r="M161" s="576">
        <f t="shared" si="20"/>
        <v>0</v>
      </c>
      <c r="N161" s="576">
        <f t="shared" si="20"/>
        <v>0</v>
      </c>
    </row>
    <row r="162" spans="4:14" s="317" customFormat="1" ht="13.15" customHeight="1" x14ac:dyDescent="0.2">
      <c r="D162" s="539" t="s">
        <v>264</v>
      </c>
      <c r="E162" s="539"/>
      <c r="F162" s="574"/>
      <c r="G162" s="539"/>
      <c r="I162" s="577">
        <f t="shared" ref="I162:N162" si="21">SUM(I150:I151)</f>
        <v>203116</v>
      </c>
      <c r="J162" s="577">
        <f t="shared" si="21"/>
        <v>221756.52920000005</v>
      </c>
      <c r="K162" s="577">
        <f t="shared" si="21"/>
        <v>218099.20000000001</v>
      </c>
      <c r="L162" s="577">
        <f t="shared" si="21"/>
        <v>224529.60000000003</v>
      </c>
      <c r="M162" s="577">
        <f t="shared" si="21"/>
        <v>231070.40000000002</v>
      </c>
      <c r="N162" s="577">
        <f t="shared" si="21"/>
        <v>234912.00000000003</v>
      </c>
    </row>
    <row r="163" spans="4:14" s="317" customFormat="1" ht="13.15" customHeight="1" x14ac:dyDescent="0.2">
      <c r="D163" s="539" t="s">
        <v>372</v>
      </c>
      <c r="E163" s="539"/>
      <c r="F163" s="574"/>
      <c r="G163" s="539"/>
      <c r="I163" s="575">
        <f t="shared" ref="I163:N163" si="22">SUM(I152:I154)</f>
        <v>15000</v>
      </c>
      <c r="J163" s="575">
        <f t="shared" si="22"/>
        <v>15000</v>
      </c>
      <c r="K163" s="575">
        <f t="shared" si="22"/>
        <v>15000</v>
      </c>
      <c r="L163" s="575">
        <f t="shared" si="22"/>
        <v>15000</v>
      </c>
      <c r="M163" s="575">
        <f t="shared" si="22"/>
        <v>15000</v>
      </c>
      <c r="N163" s="575">
        <f t="shared" si="22"/>
        <v>15000</v>
      </c>
    </row>
    <row r="164" spans="4:14" s="317" customFormat="1" ht="13.15" customHeight="1" x14ac:dyDescent="0.2">
      <c r="D164" s="539"/>
      <c r="E164" s="539"/>
      <c r="F164" s="574"/>
      <c r="G164" s="539"/>
      <c r="I164" s="539"/>
      <c r="J164" s="539"/>
      <c r="K164" s="539"/>
      <c r="L164" s="539"/>
      <c r="M164" s="539"/>
      <c r="N164" s="539"/>
    </row>
    <row r="165" spans="4:14" s="317" customFormat="1" ht="13.15" customHeight="1" x14ac:dyDescent="0.2">
      <c r="D165" s="552" t="s">
        <v>356</v>
      </c>
      <c r="E165" s="539"/>
      <c r="F165" s="539"/>
      <c r="G165" s="574"/>
      <c r="I165" s="578" t="str">
        <f t="shared" ref="I165:N165" si="23">+I8</f>
        <v>2019/20</v>
      </c>
      <c r="J165" s="578" t="str">
        <f t="shared" si="23"/>
        <v>2020/21</v>
      </c>
      <c r="K165" s="578" t="str">
        <f t="shared" si="23"/>
        <v>2021/22</v>
      </c>
      <c r="L165" s="578" t="str">
        <f t="shared" si="23"/>
        <v>2022/23</v>
      </c>
      <c r="M165" s="578" t="str">
        <f t="shared" si="23"/>
        <v>2023/24</v>
      </c>
      <c r="N165" s="578" t="str">
        <f t="shared" si="23"/>
        <v>2024/25</v>
      </c>
    </row>
    <row r="166" spans="4:14" s="317" customFormat="1" ht="13.15" customHeight="1" x14ac:dyDescent="0.2">
      <c r="D166" s="539" t="s">
        <v>199</v>
      </c>
      <c r="E166" s="539"/>
      <c r="F166" s="574"/>
      <c r="G166" s="539"/>
      <c r="I166" s="577">
        <f t="shared" ref="I166:N166" si="24">+I17</f>
        <v>198672</v>
      </c>
      <c r="J166" s="577">
        <f t="shared" si="24"/>
        <v>209337.60000000001</v>
      </c>
      <c r="K166" s="577">
        <f t="shared" si="24"/>
        <v>215443.20000000001</v>
      </c>
      <c r="L166" s="577">
        <f t="shared" si="24"/>
        <v>221817.60000000003</v>
      </c>
      <c r="M166" s="577">
        <f t="shared" si="24"/>
        <v>228326.40000000002</v>
      </c>
      <c r="N166" s="577">
        <f t="shared" si="24"/>
        <v>234912.00000000003</v>
      </c>
    </row>
    <row r="167" spans="4:14" s="317" customFormat="1" ht="13.15" customHeight="1" x14ac:dyDescent="0.2">
      <c r="D167" s="539" t="s">
        <v>359</v>
      </c>
      <c r="E167" s="539"/>
      <c r="F167" s="574"/>
      <c r="G167" s="539"/>
      <c r="I167" s="577">
        <f t="shared" ref="I167:N167" si="25">+I42</f>
        <v>8382</v>
      </c>
      <c r="J167" s="577">
        <f t="shared" si="25"/>
        <v>1492.9291999999996</v>
      </c>
      <c r="K167" s="577">
        <f t="shared" si="25"/>
        <v>0</v>
      </c>
      <c r="L167" s="577">
        <f t="shared" si="25"/>
        <v>0</v>
      </c>
      <c r="M167" s="577">
        <f t="shared" si="25"/>
        <v>0</v>
      </c>
      <c r="N167" s="577">
        <f t="shared" si="25"/>
        <v>0</v>
      </c>
    </row>
    <row r="168" spans="4:14" s="317" customFormat="1" ht="13.15" customHeight="1" x14ac:dyDescent="0.2">
      <c r="D168" s="539" t="s">
        <v>188</v>
      </c>
      <c r="E168" s="539"/>
      <c r="F168" s="574"/>
      <c r="G168" s="539"/>
      <c r="I168" s="575">
        <f t="shared" ref="I168:N168" si="26">5/12*H61+7/12*I61</f>
        <v>8750</v>
      </c>
      <c r="J168" s="575">
        <f>5/12*I61+7/12*J61</f>
        <v>15000</v>
      </c>
      <c r="K168" s="575">
        <f t="shared" si="26"/>
        <v>15000</v>
      </c>
      <c r="L168" s="575">
        <f t="shared" si="26"/>
        <v>15000</v>
      </c>
      <c r="M168" s="575">
        <f t="shared" si="26"/>
        <v>15000</v>
      </c>
      <c r="N168" s="575">
        <f t="shared" si="26"/>
        <v>15000</v>
      </c>
    </row>
    <row r="169" spans="4:14" s="317" customFormat="1" ht="13.15" customHeight="1" x14ac:dyDescent="0.2">
      <c r="D169" s="539" t="s">
        <v>294</v>
      </c>
      <c r="E169" s="539"/>
      <c r="F169" s="574"/>
      <c r="G169" s="539"/>
      <c r="I169" s="575">
        <f t="shared" ref="I169:N169" si="27">5/12*H88+7/12*I88</f>
        <v>0</v>
      </c>
      <c r="J169" s="575">
        <f>5/12*I88+7/12*J88</f>
        <v>0</v>
      </c>
      <c r="K169" s="575">
        <f t="shared" si="27"/>
        <v>0</v>
      </c>
      <c r="L169" s="575">
        <f t="shared" si="27"/>
        <v>0</v>
      </c>
      <c r="M169" s="575">
        <f t="shared" si="27"/>
        <v>0</v>
      </c>
      <c r="N169" s="575">
        <f t="shared" si="27"/>
        <v>0</v>
      </c>
    </row>
    <row r="170" spans="4:14" s="317" customFormat="1" ht="13.15" customHeight="1" x14ac:dyDescent="0.2">
      <c r="D170" s="539" t="s">
        <v>295</v>
      </c>
      <c r="E170" s="539"/>
      <c r="F170" s="574"/>
      <c r="G170" s="539"/>
      <c r="I170" s="575">
        <f t="shared" ref="I170:N170" si="28">5/12*H135+7/12*I135</f>
        <v>0</v>
      </c>
      <c r="J170" s="575">
        <f>5/12*I135+7/12*J135</f>
        <v>0</v>
      </c>
      <c r="K170" s="575">
        <f t="shared" si="28"/>
        <v>0</v>
      </c>
      <c r="L170" s="575">
        <f t="shared" si="28"/>
        <v>0</v>
      </c>
      <c r="M170" s="575">
        <f t="shared" si="28"/>
        <v>0</v>
      </c>
      <c r="N170" s="575">
        <f t="shared" si="28"/>
        <v>0</v>
      </c>
    </row>
    <row r="171" spans="4:14" s="317" customFormat="1" ht="13.15" customHeight="1" x14ac:dyDescent="0.2">
      <c r="D171" s="544" t="s">
        <v>332</v>
      </c>
      <c r="E171" s="539"/>
      <c r="F171" s="574"/>
      <c r="G171" s="539"/>
      <c r="I171" s="577">
        <f t="shared" ref="I171:N173" si="29">+I14</f>
        <v>75473.600000000006</v>
      </c>
      <c r="J171" s="577">
        <f t="shared" si="29"/>
        <v>79968</v>
      </c>
      <c r="K171" s="577">
        <f t="shared" si="29"/>
        <v>82483.200000000026</v>
      </c>
      <c r="L171" s="577">
        <f t="shared" si="29"/>
        <v>85075.200000000012</v>
      </c>
      <c r="M171" s="577">
        <f t="shared" si="29"/>
        <v>87744</v>
      </c>
      <c r="N171" s="577">
        <f t="shared" si="29"/>
        <v>90489.600000000006</v>
      </c>
    </row>
    <row r="172" spans="4:14" s="317" customFormat="1" ht="13.15" customHeight="1" x14ac:dyDescent="0.2">
      <c r="D172" s="544" t="s">
        <v>333</v>
      </c>
      <c r="E172" s="539"/>
      <c r="F172" s="574"/>
      <c r="G172" s="539"/>
      <c r="I172" s="577">
        <f t="shared" si="29"/>
        <v>67841.60000000002</v>
      </c>
      <c r="J172" s="577">
        <f t="shared" si="29"/>
        <v>71423.999999999985</v>
      </c>
      <c r="K172" s="577">
        <f t="shared" si="29"/>
        <v>73824</v>
      </c>
      <c r="L172" s="577">
        <f t="shared" si="29"/>
        <v>76339.199999999997</v>
      </c>
      <c r="M172" s="577">
        <f t="shared" si="29"/>
        <v>78912</v>
      </c>
      <c r="N172" s="577">
        <f t="shared" si="29"/>
        <v>81580.800000000003</v>
      </c>
    </row>
    <row r="173" spans="4:14" s="317" customFormat="1" ht="13.15" customHeight="1" x14ac:dyDescent="0.2">
      <c r="D173" s="544" t="s">
        <v>334</v>
      </c>
      <c r="E173" s="539"/>
      <c r="F173" s="574"/>
      <c r="G173" s="539"/>
      <c r="I173" s="577">
        <f t="shared" si="29"/>
        <v>55356.799999999996</v>
      </c>
      <c r="J173" s="577">
        <f t="shared" si="29"/>
        <v>57945.600000000006</v>
      </c>
      <c r="K173" s="577">
        <f t="shared" si="29"/>
        <v>59135.999999999993</v>
      </c>
      <c r="L173" s="577">
        <f t="shared" si="29"/>
        <v>60403.200000000004</v>
      </c>
      <c r="M173" s="577">
        <f t="shared" si="29"/>
        <v>61670.400000000009</v>
      </c>
      <c r="N173" s="577">
        <f t="shared" si="29"/>
        <v>62841.600000000006</v>
      </c>
    </row>
    <row r="174" spans="4:14" s="317" customFormat="1" ht="13.15" customHeight="1" x14ac:dyDescent="0.2">
      <c r="D174" s="544" t="s">
        <v>335</v>
      </c>
      <c r="E174" s="539"/>
      <c r="F174" s="574"/>
      <c r="G174" s="539"/>
      <c r="I174" s="577">
        <f t="shared" ref="I174:N174" si="30">SUM(I171:I173)</f>
        <v>198672</v>
      </c>
      <c r="J174" s="577">
        <f t="shared" si="30"/>
        <v>209337.60000000001</v>
      </c>
      <c r="K174" s="577">
        <f t="shared" si="30"/>
        <v>215443.20000000001</v>
      </c>
      <c r="L174" s="577">
        <f t="shared" si="30"/>
        <v>221817.60000000003</v>
      </c>
      <c r="M174" s="577">
        <f t="shared" si="30"/>
        <v>228326.40000000002</v>
      </c>
      <c r="N174" s="577">
        <f t="shared" si="30"/>
        <v>234912.00000000003</v>
      </c>
    </row>
    <row r="175" spans="4:14" s="317" customFormat="1" ht="13.15" customHeight="1" x14ac:dyDescent="0.2">
      <c r="D175" s="544" t="s">
        <v>468</v>
      </c>
      <c r="E175" s="539"/>
      <c r="F175" s="574"/>
      <c r="G175" s="539"/>
      <c r="I175" s="576">
        <f>+dir!R31+op!R116+obp!R65</f>
        <v>3274.3033956198515</v>
      </c>
      <c r="J175" s="576">
        <f>+dir!R58+dir!R85*7/12+op!R116+obp!R65</f>
        <v>4731.2356841470773</v>
      </c>
      <c r="K175" s="576">
        <f>+dir!R85+op!R228+obp!R127</f>
        <v>5047.3200723327309</v>
      </c>
      <c r="L175" s="576">
        <f>+dir!R112+op!R340+obp!R189</f>
        <v>5194.5316455696211</v>
      </c>
      <c r="M175" s="576">
        <f>+dir!R139+op!R452+obp!R251</f>
        <v>5348.2242314647383</v>
      </c>
      <c r="N175" s="576">
        <f>+dir!R166+op!R564+obp!R313</f>
        <v>5505.1573236889699</v>
      </c>
    </row>
    <row r="176" spans="4:14" s="317" customFormat="1" ht="13.15" customHeight="1" x14ac:dyDescent="0.2">
      <c r="D176" s="544" t="s">
        <v>336</v>
      </c>
      <c r="E176" s="539"/>
      <c r="F176" s="574"/>
      <c r="G176" s="539"/>
      <c r="I176" s="576">
        <f t="shared" ref="I176:N176" si="31">+I20</f>
        <v>0</v>
      </c>
      <c r="J176" s="576">
        <f t="shared" si="31"/>
        <v>0</v>
      </c>
      <c r="K176" s="576">
        <f t="shared" si="31"/>
        <v>0</v>
      </c>
      <c r="L176" s="576">
        <f t="shared" si="31"/>
        <v>0</v>
      </c>
      <c r="M176" s="576">
        <f t="shared" si="31"/>
        <v>0</v>
      </c>
      <c r="N176" s="576">
        <f t="shared" si="31"/>
        <v>0</v>
      </c>
    </row>
    <row r="177" spans="1:14" s="317" customFormat="1" ht="13.15" customHeight="1" x14ac:dyDescent="0.2">
      <c r="D177" s="544" t="s">
        <v>308</v>
      </c>
      <c r="E177" s="539"/>
      <c r="F177" s="574"/>
      <c r="G177" s="539"/>
      <c r="I177" s="576">
        <f>+dir!AG31+dir!AG58+op!AG116+obp!AG65</f>
        <v>1556.9100000000003</v>
      </c>
      <c r="J177" s="576">
        <f>+dir!AG85+op!AG228+obp!AG127</f>
        <v>0</v>
      </c>
      <c r="K177" s="576">
        <f>+dir!AG112+op!AG340+obp!AG189</f>
        <v>0</v>
      </c>
      <c r="L177" s="576">
        <f>+dir!AG139+op!AG452+obp!AG251</f>
        <v>0</v>
      </c>
      <c r="M177" s="576">
        <f>+dir!AG166+op!AG564+obp!AG313</f>
        <v>0</v>
      </c>
      <c r="N177" s="576">
        <f>+dir!AG193+op!AG676+obp!AG375</f>
        <v>0</v>
      </c>
    </row>
    <row r="178" spans="1:14" s="317" customFormat="1" ht="13.15" customHeight="1" x14ac:dyDescent="0.2">
      <c r="B178" s="343"/>
      <c r="C178" s="343"/>
      <c r="D178" s="398"/>
      <c r="E178" s="398"/>
      <c r="F178" s="555"/>
      <c r="I178" s="556"/>
      <c r="J178" s="556"/>
      <c r="K178" s="556"/>
      <c r="L178" s="556"/>
      <c r="M178" s="556"/>
    </row>
    <row r="179" spans="1:14" s="317" customFormat="1" ht="13.15" customHeight="1" x14ac:dyDescent="0.2">
      <c r="F179" s="555"/>
      <c r="H179" s="556"/>
      <c r="I179" s="556"/>
      <c r="J179" s="556"/>
      <c r="K179" s="556"/>
      <c r="L179" s="556"/>
      <c r="M179" s="556"/>
    </row>
    <row r="180" spans="1:14" s="317" customFormat="1" ht="13.15" customHeight="1" x14ac:dyDescent="0.2">
      <c r="F180" s="555"/>
      <c r="H180" s="556"/>
      <c r="I180" s="556"/>
      <c r="J180" s="556"/>
      <c r="K180" s="556"/>
      <c r="L180" s="556"/>
      <c r="M180" s="556"/>
    </row>
    <row r="181" spans="1:14" s="317" customFormat="1" ht="13.15" customHeight="1" x14ac:dyDescent="0.2">
      <c r="F181" s="555"/>
      <c r="H181" s="556"/>
      <c r="I181" s="556"/>
      <c r="J181" s="556"/>
      <c r="K181" s="556"/>
      <c r="L181" s="556"/>
      <c r="M181" s="556"/>
    </row>
    <row r="182" spans="1:14" s="317" customFormat="1" ht="13.15" customHeight="1" x14ac:dyDescent="0.2">
      <c r="D182" s="343"/>
      <c r="E182" s="343"/>
      <c r="F182" s="555"/>
      <c r="H182" s="557"/>
      <c r="I182" s="557"/>
      <c r="J182" s="557"/>
      <c r="K182" s="557"/>
      <c r="L182" s="557"/>
      <c r="M182" s="557"/>
    </row>
    <row r="183" spans="1:14" ht="13.15" customHeight="1" x14ac:dyDescent="0.2">
      <c r="A183" s="317"/>
      <c r="B183" s="317"/>
      <c r="C183" s="317"/>
      <c r="D183" s="325"/>
      <c r="E183" s="325"/>
      <c r="F183" s="555"/>
      <c r="G183" s="317"/>
      <c r="H183" s="556"/>
      <c r="I183" s="556"/>
      <c r="J183" s="556"/>
      <c r="K183" s="556"/>
      <c r="L183" s="556"/>
      <c r="M183" s="556"/>
    </row>
    <row r="184" spans="1:14" ht="13.15" customHeight="1" x14ac:dyDescent="0.2">
      <c r="D184" s="532"/>
      <c r="E184" s="532"/>
      <c r="G184" s="328"/>
      <c r="I184" s="328"/>
      <c r="J184" s="328"/>
      <c r="K184" s="328"/>
      <c r="L184" s="328"/>
    </row>
    <row r="185" spans="1:14" ht="13.15" customHeight="1" x14ac:dyDescent="0.2">
      <c r="D185" s="531"/>
      <c r="E185" s="531"/>
      <c r="G185" s="328"/>
      <c r="H185" s="558"/>
      <c r="I185" s="558"/>
      <c r="J185" s="558"/>
      <c r="K185" s="558"/>
      <c r="L185" s="558"/>
      <c r="M185" s="558"/>
    </row>
    <row r="186" spans="1:14" ht="13.15" customHeight="1" x14ac:dyDescent="0.2">
      <c r="D186" s="532"/>
      <c r="E186" s="532"/>
      <c r="G186" s="328"/>
      <c r="H186" s="328"/>
      <c r="I186" s="328"/>
      <c r="J186" s="328"/>
      <c r="K186" s="328"/>
      <c r="L186" s="328"/>
      <c r="M186" s="328"/>
    </row>
    <row r="187" spans="1:14" ht="13.15" customHeight="1" x14ac:dyDescent="0.2">
      <c r="D187" s="317"/>
      <c r="E187" s="317"/>
      <c r="G187" s="317"/>
      <c r="H187" s="559"/>
      <c r="I187" s="559"/>
      <c r="J187" s="559"/>
      <c r="K187" s="559"/>
      <c r="L187" s="559"/>
      <c r="M187" s="559"/>
    </row>
    <row r="188" spans="1:14" ht="13.15" customHeight="1" x14ac:dyDescent="0.2">
      <c r="D188" s="317"/>
      <c r="E188" s="317"/>
      <c r="G188" s="317"/>
      <c r="H188" s="559"/>
      <c r="I188" s="559"/>
      <c r="J188" s="559"/>
      <c r="K188" s="559"/>
      <c r="L188" s="559"/>
      <c r="M188" s="559"/>
    </row>
    <row r="189" spans="1:14" ht="13.15" customHeight="1" x14ac:dyDescent="0.2">
      <c r="D189" s="317"/>
      <c r="E189" s="317"/>
      <c r="G189" s="317"/>
      <c r="H189" s="559"/>
      <c r="I189" s="559"/>
      <c r="J189" s="559"/>
      <c r="K189" s="559"/>
      <c r="L189" s="559"/>
      <c r="M189" s="559"/>
    </row>
    <row r="190" spans="1:14" ht="13.15" customHeight="1" x14ac:dyDescent="0.2">
      <c r="D190" s="317"/>
      <c r="E190" s="317"/>
      <c r="G190" s="317"/>
      <c r="H190" s="559"/>
      <c r="I190" s="559"/>
      <c r="J190" s="559"/>
      <c r="K190" s="559"/>
      <c r="L190" s="559"/>
      <c r="M190" s="559"/>
    </row>
    <row r="191" spans="1:14" ht="13.15" customHeight="1" x14ac:dyDescent="0.2">
      <c r="D191" s="317"/>
      <c r="E191" s="317"/>
      <c r="G191" s="317"/>
      <c r="H191" s="559"/>
      <c r="I191" s="559"/>
      <c r="J191" s="559"/>
      <c r="K191" s="559"/>
      <c r="L191" s="559"/>
      <c r="M191" s="559"/>
    </row>
    <row r="192" spans="1:14" ht="13.15" customHeight="1" x14ac:dyDescent="0.2">
      <c r="D192" s="317"/>
      <c r="E192" s="317"/>
      <c r="G192" s="317"/>
      <c r="H192" s="559"/>
      <c r="I192" s="559"/>
      <c r="J192" s="559"/>
      <c r="K192" s="559"/>
      <c r="L192" s="559"/>
      <c r="M192" s="559"/>
    </row>
    <row r="193" spans="4:13" ht="13.15" customHeight="1" x14ac:dyDescent="0.2">
      <c r="D193" s="317"/>
      <c r="E193" s="317"/>
      <c r="G193" s="317"/>
      <c r="H193" s="559"/>
      <c r="I193" s="559"/>
      <c r="J193" s="559"/>
      <c r="K193" s="559"/>
      <c r="L193" s="559"/>
      <c r="M193" s="559"/>
    </row>
    <row r="194" spans="4:13" ht="13.15" customHeight="1" x14ac:dyDescent="0.2">
      <c r="D194" s="317"/>
      <c r="E194" s="317"/>
      <c r="G194" s="317"/>
      <c r="H194" s="559"/>
      <c r="I194" s="559"/>
      <c r="J194" s="559"/>
      <c r="K194" s="559"/>
      <c r="L194" s="559"/>
      <c r="M194" s="559"/>
    </row>
    <row r="195" spans="4:13" ht="13.15" customHeight="1" x14ac:dyDescent="0.2">
      <c r="D195" s="317"/>
      <c r="E195" s="317"/>
      <c r="G195" s="317"/>
      <c r="H195" s="559"/>
      <c r="I195" s="559"/>
      <c r="J195" s="559"/>
      <c r="K195" s="559"/>
      <c r="L195" s="559"/>
      <c r="M195" s="559"/>
    </row>
    <row r="196" spans="4:13" ht="13.15" customHeight="1" x14ac:dyDescent="0.2">
      <c r="D196" s="317"/>
      <c r="E196" s="317"/>
      <c r="G196" s="317"/>
      <c r="H196" s="559"/>
      <c r="I196" s="559"/>
      <c r="J196" s="559"/>
      <c r="K196" s="559"/>
      <c r="L196" s="559"/>
      <c r="M196" s="559"/>
    </row>
    <row r="197" spans="4:13" ht="13.15" customHeight="1" x14ac:dyDescent="0.2">
      <c r="D197" s="317"/>
      <c r="E197" s="317"/>
      <c r="G197" s="317"/>
      <c r="H197" s="559"/>
      <c r="I197" s="559"/>
      <c r="J197" s="559"/>
      <c r="K197" s="559"/>
      <c r="L197" s="559"/>
      <c r="M197" s="559"/>
    </row>
    <row r="198" spans="4:13" ht="13.15" customHeight="1" x14ac:dyDescent="0.2">
      <c r="D198" s="533"/>
      <c r="E198" s="533"/>
      <c r="G198" s="317"/>
      <c r="H198" s="560"/>
      <c r="I198" s="560"/>
      <c r="J198" s="560"/>
      <c r="K198" s="560"/>
      <c r="L198" s="560"/>
      <c r="M198" s="560"/>
    </row>
    <row r="199" spans="4:13" ht="12.6" customHeight="1" x14ac:dyDescent="0.2">
      <c r="D199" s="534"/>
      <c r="E199" s="534"/>
      <c r="G199" s="317"/>
      <c r="H199" s="561"/>
      <c r="I199" s="561"/>
      <c r="J199" s="561"/>
      <c r="K199" s="561"/>
      <c r="L199" s="561"/>
      <c r="M199" s="561"/>
    </row>
    <row r="200" spans="4:13" ht="12.6" customHeight="1" x14ac:dyDescent="0.2">
      <c r="D200" s="317"/>
      <c r="E200" s="317"/>
      <c r="G200" s="317"/>
      <c r="H200" s="560"/>
      <c r="I200" s="560"/>
      <c r="J200" s="560"/>
      <c r="K200" s="560"/>
      <c r="L200" s="560"/>
      <c r="M200" s="560"/>
    </row>
    <row r="201" spans="4:13" ht="12.6" customHeight="1" x14ac:dyDescent="0.2">
      <c r="D201" s="317"/>
      <c r="E201" s="317"/>
      <c r="G201" s="317"/>
      <c r="H201" s="560"/>
      <c r="I201" s="560"/>
      <c r="J201" s="560"/>
      <c r="K201" s="560"/>
      <c r="L201" s="560"/>
      <c r="M201" s="560"/>
    </row>
    <row r="202" spans="4:13" ht="12.6" customHeight="1" x14ac:dyDescent="0.2">
      <c r="D202" s="317"/>
      <c r="E202" s="317"/>
      <c r="G202" s="317"/>
      <c r="H202" s="560"/>
      <c r="I202" s="560"/>
      <c r="J202" s="560"/>
      <c r="K202" s="560"/>
      <c r="L202" s="560"/>
      <c r="M202" s="560"/>
    </row>
    <row r="203" spans="4:13" ht="12.6" customHeight="1" x14ac:dyDescent="0.2">
      <c r="H203" s="559"/>
      <c r="I203" s="559"/>
      <c r="J203" s="559"/>
      <c r="K203" s="559"/>
      <c r="L203" s="559"/>
      <c r="M203" s="559"/>
    </row>
    <row r="204" spans="4:13" ht="12.6" customHeight="1" x14ac:dyDescent="0.2">
      <c r="H204" s="560"/>
      <c r="I204" s="560"/>
      <c r="J204" s="560"/>
      <c r="K204" s="560"/>
      <c r="L204" s="560"/>
      <c r="M204" s="560"/>
    </row>
  </sheetData>
  <sheetProtection algorithmName="SHA-512" hashValue="7ANrYf4vxA89lEqXDDVi0xv6Il0iRS3ekk4e6wL31g+PWVLXHYVHPHnj7XorPYvSTQKd5454bw9Mhb/m5bC6sg==" saltValue="nLMvLLCY+7tUE1f7SRXmRw=="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18" customWidth="1"/>
    <col min="23" max="23" width="7.7109375" style="718" customWidth="1"/>
    <col min="24" max="24" width="10.7109375" style="659" customWidth="1"/>
    <col min="25" max="25" width="7.85546875" style="544" customWidth="1"/>
    <col min="26" max="26" width="10" style="544" customWidth="1"/>
    <col min="27" max="27" width="12.5703125" style="544" customWidth="1"/>
    <col min="28" max="28" width="9.85546875" style="544" customWidth="1"/>
    <col min="29" max="29" width="9.7109375" style="718" customWidth="1"/>
    <col min="30" max="30" width="8.7109375" style="544" customWidth="1"/>
    <col min="31" max="31" width="8.7109375" style="694" customWidth="1"/>
    <col min="32" max="32" width="8.85546875" style="730" customWidth="1"/>
    <col min="33" max="33" width="8.5703125" style="544" customWidth="1"/>
    <col min="34" max="37" width="8.7109375" style="544" customWidth="1"/>
    <col min="38" max="38" width="6.7109375" style="544" customWidth="1"/>
    <col min="39" max="39" width="12.7109375" style="544" customWidth="1"/>
    <col min="40" max="40" width="12.7109375" style="694" customWidth="1"/>
    <col min="41" max="41" width="12.7109375" style="730"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82"/>
      <c r="T2" s="85"/>
      <c r="U2" s="969"/>
    </row>
    <row r="3" spans="2:43" ht="12.6" customHeight="1" x14ac:dyDescent="0.2">
      <c r="B3" s="18"/>
      <c r="C3" s="20"/>
      <c r="D3" s="60"/>
      <c r="E3" s="60"/>
      <c r="F3" s="60"/>
      <c r="G3" s="86"/>
      <c r="H3" s="87"/>
      <c r="I3" s="87"/>
      <c r="J3" s="88"/>
      <c r="K3" s="20"/>
      <c r="L3" s="89"/>
      <c r="M3" s="21"/>
      <c r="N3" s="21"/>
      <c r="O3" s="21"/>
      <c r="P3" s="21"/>
      <c r="Q3" s="368"/>
      <c r="R3" s="162"/>
      <c r="S3" s="783"/>
      <c r="T3" s="91"/>
      <c r="U3" s="494"/>
    </row>
    <row r="4" spans="2:43" s="620" customFormat="1" ht="19.899999999999999" customHeight="1" x14ac:dyDescent="0.3">
      <c r="B4" s="612"/>
      <c r="C4" s="360" t="s">
        <v>124</v>
      </c>
      <c r="D4" s="613"/>
      <c r="E4" s="613"/>
      <c r="F4" s="613"/>
      <c r="G4" s="621"/>
      <c r="H4" s="622"/>
      <c r="I4" s="622"/>
      <c r="J4" s="615"/>
      <c r="K4" s="613"/>
      <c r="L4" s="614"/>
      <c r="M4" s="616"/>
      <c r="N4" s="616"/>
      <c r="O4" s="616"/>
      <c r="P4" s="616"/>
      <c r="Q4" s="781"/>
      <c r="R4" s="784"/>
      <c r="S4" s="785"/>
      <c r="T4" s="617"/>
      <c r="U4" s="970"/>
      <c r="V4" s="733"/>
      <c r="W4" s="733"/>
      <c r="X4" s="731"/>
      <c r="Y4" s="732"/>
      <c r="Z4" s="732"/>
      <c r="AA4" s="732"/>
      <c r="AB4" s="732"/>
      <c r="AC4" s="733"/>
      <c r="AD4" s="732"/>
      <c r="AE4" s="734"/>
      <c r="AF4" s="731"/>
      <c r="AG4" s="734"/>
      <c r="AH4" s="734"/>
      <c r="AI4" s="734"/>
      <c r="AJ4" s="734"/>
      <c r="AK4" s="735"/>
      <c r="AL4" s="736"/>
      <c r="AM4" s="737"/>
      <c r="AN4" s="738"/>
      <c r="AO4" s="735"/>
    </row>
    <row r="5" spans="2:43" s="92" customFormat="1" ht="13.9" customHeight="1" x14ac:dyDescent="0.3">
      <c r="B5" s="589"/>
      <c r="C5" s="194" t="str">
        <f>+geg!H9</f>
        <v>M.L. Kingschool</v>
      </c>
      <c r="D5" s="590"/>
      <c r="E5" s="590"/>
      <c r="F5" s="590"/>
      <c r="G5" s="602"/>
      <c r="H5" s="603"/>
      <c r="I5" s="603"/>
      <c r="J5" s="592"/>
      <c r="K5" s="590"/>
      <c r="L5" s="591"/>
      <c r="M5" s="593"/>
      <c r="N5" s="593"/>
      <c r="O5" s="593"/>
      <c r="P5" s="593"/>
      <c r="Q5" s="526"/>
      <c r="R5" s="786"/>
      <c r="S5" s="787"/>
      <c r="T5" s="594"/>
      <c r="U5" s="971"/>
      <c r="V5" s="733"/>
      <c r="W5" s="733"/>
      <c r="X5" s="731"/>
      <c r="Y5" s="732"/>
      <c r="Z5" s="732"/>
      <c r="AA5" s="732"/>
      <c r="AB5" s="732"/>
      <c r="AC5" s="733"/>
      <c r="AD5" s="732"/>
      <c r="AE5" s="734"/>
      <c r="AF5" s="731"/>
      <c r="AG5" s="734"/>
      <c r="AH5" s="734"/>
      <c r="AI5" s="734"/>
      <c r="AJ5" s="734"/>
      <c r="AK5" s="735"/>
      <c r="AL5" s="736"/>
      <c r="AM5" s="737"/>
      <c r="AN5" s="738"/>
      <c r="AO5" s="735"/>
    </row>
    <row r="6" spans="2:43" ht="12.6" customHeight="1" x14ac:dyDescent="0.2">
      <c r="B6" s="18"/>
      <c r="C6" s="20"/>
      <c r="D6" s="20"/>
      <c r="E6" s="20"/>
      <c r="F6" s="60"/>
      <c r="G6" s="86"/>
      <c r="H6" s="87"/>
      <c r="I6" s="87"/>
      <c r="J6" s="88"/>
      <c r="K6" s="20"/>
      <c r="L6" s="89"/>
      <c r="M6" s="21"/>
      <c r="N6" s="21"/>
      <c r="O6" s="21"/>
      <c r="P6" s="21"/>
      <c r="Q6" s="368"/>
      <c r="R6" s="162"/>
      <c r="S6" s="783"/>
      <c r="T6" s="91"/>
      <c r="U6" s="494"/>
      <c r="AE6" s="658"/>
      <c r="AF6" s="659"/>
      <c r="AG6" s="658"/>
      <c r="AH6" s="658"/>
      <c r="AI6" s="658"/>
      <c r="AJ6" s="658"/>
      <c r="AK6" s="660"/>
      <c r="AL6" s="661"/>
      <c r="AM6" s="662"/>
      <c r="AN6" s="663"/>
      <c r="AO6" s="660"/>
    </row>
    <row r="7" spans="2:43" ht="12.6" customHeight="1" x14ac:dyDescent="0.2">
      <c r="B7" s="18"/>
      <c r="C7" s="20"/>
      <c r="D7" s="20"/>
      <c r="E7" s="20"/>
      <c r="F7" s="60"/>
      <c r="G7" s="86"/>
      <c r="H7" s="87"/>
      <c r="I7" s="87"/>
      <c r="J7" s="88"/>
      <c r="K7" s="20"/>
      <c r="L7" s="89"/>
      <c r="M7" s="21"/>
      <c r="N7" s="21"/>
      <c r="O7" s="21"/>
      <c r="P7" s="21"/>
      <c r="Q7" s="368"/>
      <c r="R7" s="162"/>
      <c r="S7" s="783"/>
      <c r="T7" s="91"/>
      <c r="U7" s="494"/>
      <c r="AE7" s="658"/>
      <c r="AF7" s="659"/>
      <c r="AG7" s="658"/>
      <c r="AH7" s="658"/>
      <c r="AI7" s="658"/>
      <c r="AJ7" s="658"/>
      <c r="AK7" s="660"/>
      <c r="AL7" s="661"/>
      <c r="AM7" s="662"/>
      <c r="AN7" s="663"/>
      <c r="AO7" s="660"/>
    </row>
    <row r="8" spans="2:43" s="645" customFormat="1" ht="12.6" hidden="1" customHeight="1" x14ac:dyDescent="0.25">
      <c r="B8" s="635"/>
      <c r="C8" s="636" t="s">
        <v>48</v>
      </c>
      <c r="D8" s="637"/>
      <c r="E8" s="638" t="str">
        <f>tab!D2</f>
        <v>2019/20</v>
      </c>
      <c r="F8" s="639"/>
      <c r="G8" s="713"/>
      <c r="H8" s="714"/>
      <c r="I8" s="714"/>
      <c r="J8" s="641"/>
      <c r="K8" s="642"/>
      <c r="L8" s="640"/>
      <c r="M8" s="643"/>
      <c r="N8" s="643"/>
      <c r="O8" s="643"/>
      <c r="P8" s="643"/>
      <c r="Q8" s="581"/>
      <c r="R8" s="788"/>
      <c r="S8" s="789"/>
      <c r="T8" s="644"/>
      <c r="U8" s="972"/>
      <c r="V8" s="715"/>
      <c r="W8" s="715"/>
      <c r="X8" s="647"/>
      <c r="AC8" s="715"/>
      <c r="AE8" s="646"/>
      <c r="AF8" s="647"/>
      <c r="AG8" s="646"/>
      <c r="AH8" s="646"/>
      <c r="AI8" s="646"/>
      <c r="AJ8" s="646"/>
      <c r="AK8" s="648"/>
      <c r="AL8" s="649"/>
      <c r="AM8" s="650"/>
      <c r="AN8" s="651"/>
      <c r="AO8" s="648"/>
    </row>
    <row r="9" spans="2:43" s="544" customFormat="1" ht="12.6" hidden="1" customHeight="1" x14ac:dyDescent="0.2">
      <c r="B9" s="652"/>
      <c r="C9" s="637" t="s">
        <v>125</v>
      </c>
      <c r="D9" s="637"/>
      <c r="E9" s="638">
        <f>tab!E3</f>
        <v>43739</v>
      </c>
      <c r="F9" s="653"/>
      <c r="G9" s="716"/>
      <c r="H9" s="717"/>
      <c r="I9" s="717"/>
      <c r="J9" s="655"/>
      <c r="K9" s="636"/>
      <c r="L9" s="654"/>
      <c r="M9" s="656"/>
      <c r="N9" s="656"/>
      <c r="O9" s="656"/>
      <c r="P9" s="656"/>
      <c r="Q9" s="581"/>
      <c r="R9" s="790"/>
      <c r="S9" s="791"/>
      <c r="T9" s="657"/>
      <c r="U9" s="681"/>
      <c r="V9" s="718"/>
      <c r="W9" s="718"/>
      <c r="X9" s="659"/>
      <c r="AC9" s="718"/>
      <c r="AE9" s="658"/>
      <c r="AF9" s="659"/>
      <c r="AG9" s="658"/>
      <c r="AH9" s="658"/>
      <c r="AI9" s="658"/>
      <c r="AJ9" s="658"/>
      <c r="AK9" s="660"/>
      <c r="AL9" s="661"/>
      <c r="AM9" s="662"/>
      <c r="AN9" s="663"/>
      <c r="AO9" s="660"/>
    </row>
    <row r="10" spans="2:43" s="544" customFormat="1" ht="12.6" hidden="1" customHeight="1" x14ac:dyDescent="0.25">
      <c r="B10" s="652"/>
      <c r="C10" s="636"/>
      <c r="D10" s="664"/>
      <c r="E10" s="665"/>
      <c r="F10" s="653"/>
      <c r="G10" s="716"/>
      <c r="H10" s="717"/>
      <c r="I10" s="717"/>
      <c r="J10" s="655"/>
      <c r="K10" s="636"/>
      <c r="L10" s="654"/>
      <c r="M10" s="656"/>
      <c r="N10" s="656"/>
      <c r="O10" s="656"/>
      <c r="P10" s="656"/>
      <c r="Q10" s="581"/>
      <c r="R10" s="790"/>
      <c r="S10" s="791"/>
      <c r="T10" s="657"/>
      <c r="U10" s="681"/>
      <c r="V10" s="718"/>
      <c r="W10" s="718"/>
      <c r="X10" s="659"/>
      <c r="AC10" s="718"/>
      <c r="AE10" s="658"/>
      <c r="AF10" s="659"/>
      <c r="AG10" s="658"/>
      <c r="AH10" s="658"/>
      <c r="AI10" s="658"/>
      <c r="AJ10" s="658"/>
      <c r="AK10" s="660"/>
      <c r="AL10" s="661"/>
      <c r="AM10" s="662"/>
      <c r="AN10" s="663"/>
      <c r="AO10" s="660"/>
    </row>
    <row r="11" spans="2:43" s="544" customFormat="1" ht="13.15" hidden="1" customHeight="1" x14ac:dyDescent="0.2">
      <c r="B11" s="652"/>
      <c r="C11" s="672"/>
      <c r="D11" s="673"/>
      <c r="E11" s="674"/>
      <c r="F11" s="675"/>
      <c r="G11" s="676"/>
      <c r="H11" s="677"/>
      <c r="I11" s="677"/>
      <c r="J11" s="678"/>
      <c r="K11" s="679"/>
      <c r="L11" s="677"/>
      <c r="M11" s="675"/>
      <c r="N11" s="675"/>
      <c r="O11" s="675"/>
      <c r="P11" s="675"/>
      <c r="Q11" s="774"/>
      <c r="R11" s="792"/>
      <c r="S11" s="793"/>
      <c r="T11" s="680"/>
      <c r="U11" s="973"/>
      <c r="V11" s="682"/>
      <c r="W11" s="682"/>
      <c r="X11" s="683"/>
      <c r="Y11" s="684"/>
      <c r="AC11" s="718"/>
      <c r="AE11" s="658"/>
      <c r="AF11" s="659"/>
      <c r="AG11" s="658"/>
      <c r="AH11" s="658"/>
      <c r="AI11" s="658"/>
      <c r="AJ11" s="658"/>
      <c r="AK11" s="660"/>
      <c r="AL11" s="661"/>
      <c r="AM11" s="662"/>
      <c r="AN11" s="663"/>
      <c r="AO11" s="660"/>
    </row>
    <row r="12" spans="2:43" s="694" customFormat="1" ht="13.15" hidden="1" customHeight="1" x14ac:dyDescent="0.2">
      <c r="B12" s="723"/>
      <c r="C12" s="695"/>
      <c r="D12" s="1340" t="s">
        <v>126</v>
      </c>
      <c r="E12" s="1341"/>
      <c r="F12" s="1341"/>
      <c r="G12" s="1341"/>
      <c r="H12" s="1342"/>
      <c r="I12" s="1342"/>
      <c r="J12" s="1342"/>
      <c r="K12" s="685"/>
      <c r="L12" s="1294" t="s">
        <v>440</v>
      </c>
      <c r="M12" s="687"/>
      <c r="N12" s="687"/>
      <c r="O12" s="687"/>
      <c r="P12" s="687"/>
      <c r="Q12" s="794" t="s">
        <v>450</v>
      </c>
      <c r="R12" s="687"/>
      <c r="S12" s="687"/>
      <c r="T12" s="724"/>
      <c r="U12" s="974"/>
      <c r="V12" s="689"/>
      <c r="W12" s="689"/>
      <c r="X12" s="690"/>
      <c r="Y12" s="691"/>
      <c r="Z12" s="692"/>
      <c r="AA12" s="692"/>
      <c r="AB12" s="660"/>
      <c r="AC12" s="725"/>
      <c r="AD12" s="660"/>
      <c r="AP12" s="692"/>
      <c r="AQ12" s="692"/>
    </row>
    <row r="13" spans="2:43" s="694" customFormat="1" ht="13.15" hidden="1" customHeight="1" x14ac:dyDescent="0.2">
      <c r="B13" s="723"/>
      <c r="C13" s="695"/>
      <c r="D13" s="696" t="s">
        <v>529</v>
      </c>
      <c r="E13" s="696" t="s">
        <v>88</v>
      </c>
      <c r="F13" s="697" t="s">
        <v>128</v>
      </c>
      <c r="G13" s="698" t="s">
        <v>129</v>
      </c>
      <c r="H13" s="697" t="s">
        <v>130</v>
      </c>
      <c r="I13" s="697" t="s">
        <v>131</v>
      </c>
      <c r="J13" s="699" t="s">
        <v>132</v>
      </c>
      <c r="K13" s="726"/>
      <c r="L13" s="700" t="s">
        <v>441</v>
      </c>
      <c r="M13" s="700" t="s">
        <v>444</v>
      </c>
      <c r="N13" s="700" t="s">
        <v>446</v>
      </c>
      <c r="O13" s="700" t="s">
        <v>443</v>
      </c>
      <c r="P13" s="722" t="s">
        <v>449</v>
      </c>
      <c r="Q13" s="775" t="s">
        <v>133</v>
      </c>
      <c r="R13" s="702" t="s">
        <v>453</v>
      </c>
      <c r="S13" s="703" t="s">
        <v>133</v>
      </c>
      <c r="T13" s="727"/>
      <c r="U13" s="975"/>
      <c r="V13" s="704"/>
      <c r="W13" s="704"/>
      <c r="X13" s="705" t="s">
        <v>139</v>
      </c>
      <c r="Y13" s="706" t="s">
        <v>454</v>
      </c>
      <c r="Z13" s="707" t="s">
        <v>455</v>
      </c>
      <c r="AA13" s="707" t="s">
        <v>455</v>
      </c>
      <c r="AB13" s="707" t="s">
        <v>456</v>
      </c>
      <c r="AC13" s="721" t="s">
        <v>457</v>
      </c>
      <c r="AD13" s="707" t="s">
        <v>458</v>
      </c>
      <c r="AE13" s="707" t="s">
        <v>459</v>
      </c>
      <c r="AF13" s="707" t="s">
        <v>134</v>
      </c>
      <c r="AG13" s="703" t="s">
        <v>135</v>
      </c>
      <c r="AH13" s="707" t="s">
        <v>143</v>
      </c>
      <c r="AI13" s="707" t="s">
        <v>144</v>
      </c>
      <c r="AJ13" s="707" t="s">
        <v>145</v>
      </c>
      <c r="AK13" s="708" t="s">
        <v>146</v>
      </c>
      <c r="AL13" s="708" t="s">
        <v>1</v>
      </c>
      <c r="AP13" s="692"/>
      <c r="AQ13" s="708"/>
    </row>
    <row r="14" spans="2:43" s="694" customFormat="1" ht="13.15" hidden="1" customHeight="1" x14ac:dyDescent="0.2">
      <c r="B14" s="723"/>
      <c r="C14" s="695"/>
      <c r="D14" s="1295"/>
      <c r="E14" s="696"/>
      <c r="F14" s="697" t="s">
        <v>136</v>
      </c>
      <c r="G14" s="698" t="s">
        <v>137</v>
      </c>
      <c r="H14" s="697"/>
      <c r="I14" s="697"/>
      <c r="J14" s="699" t="s">
        <v>138</v>
      </c>
      <c r="K14" s="726"/>
      <c r="L14" s="700" t="s">
        <v>442</v>
      </c>
      <c r="M14" s="700" t="s">
        <v>445</v>
      </c>
      <c r="N14" s="700" t="s">
        <v>447</v>
      </c>
      <c r="O14" s="700" t="s">
        <v>448</v>
      </c>
      <c r="P14" s="722" t="s">
        <v>141</v>
      </c>
      <c r="Q14" s="586" t="s">
        <v>451</v>
      </c>
      <c r="R14" s="702" t="s">
        <v>452</v>
      </c>
      <c r="S14" s="722" t="s">
        <v>141</v>
      </c>
      <c r="T14" s="727"/>
      <c r="U14" s="975"/>
      <c r="V14" s="704"/>
      <c r="W14" s="704"/>
      <c r="X14" s="707" t="s">
        <v>460</v>
      </c>
      <c r="Y14" s="711">
        <f>tab!C$193</f>
        <v>0.6</v>
      </c>
      <c r="Z14" s="707" t="s">
        <v>461</v>
      </c>
      <c r="AA14" s="707" t="s">
        <v>462</v>
      </c>
      <c r="AB14" s="707" t="s">
        <v>463</v>
      </c>
      <c r="AC14" s="721" t="s">
        <v>464</v>
      </c>
      <c r="AD14" s="707" t="s">
        <v>464</v>
      </c>
      <c r="AE14" s="707" t="s">
        <v>465</v>
      </c>
      <c r="AF14" s="707"/>
      <c r="AG14" s="707" t="s">
        <v>140</v>
      </c>
      <c r="AH14" s="707" t="s">
        <v>147</v>
      </c>
      <c r="AI14" s="707" t="s">
        <v>147</v>
      </c>
      <c r="AJ14" s="707"/>
      <c r="AK14" s="707" t="s">
        <v>1</v>
      </c>
      <c r="AL14" s="728"/>
      <c r="AQ14" s="729"/>
    </row>
    <row r="15" spans="2:43" ht="13.15" hidden="1" customHeight="1" x14ac:dyDescent="0.2">
      <c r="B15" s="18"/>
      <c r="C15" s="31"/>
      <c r="D15" s="1"/>
      <c r="E15" s="1"/>
      <c r="F15" s="108"/>
      <c r="G15" s="109"/>
      <c r="H15" s="110"/>
      <c r="I15" s="110"/>
      <c r="J15" s="111"/>
      <c r="K15" s="108"/>
      <c r="L15" s="599"/>
      <c r="M15" s="113"/>
      <c r="N15" s="113"/>
      <c r="O15" s="113"/>
      <c r="P15" s="113"/>
      <c r="Q15" s="776"/>
      <c r="R15" s="114"/>
      <c r="S15" s="113"/>
      <c r="T15" s="115"/>
      <c r="U15" s="976"/>
      <c r="V15" s="704"/>
      <c r="W15" s="704"/>
      <c r="X15" s="739"/>
      <c r="Y15" s="740"/>
      <c r="AE15" s="544"/>
      <c r="AF15" s="544"/>
      <c r="AN15" s="544"/>
      <c r="AO15" s="544"/>
      <c r="AQ15" s="116"/>
    </row>
    <row r="16" spans="2:43" ht="13.15" hidden="1" customHeight="1" x14ac:dyDescent="0.2">
      <c r="B16" s="18"/>
      <c r="C16" s="31"/>
      <c r="D16" s="117"/>
      <c r="E16" s="117" t="s">
        <v>148</v>
      </c>
      <c r="F16" s="33"/>
      <c r="G16" s="118"/>
      <c r="H16" s="119" t="s">
        <v>108</v>
      </c>
      <c r="I16" s="119">
        <v>6</v>
      </c>
      <c r="J16" s="120">
        <v>1</v>
      </c>
      <c r="K16" s="121"/>
      <c r="L16" s="1139"/>
      <c r="M16" s="1139"/>
      <c r="N16" s="1264">
        <f>IF(J16="","",IF(J16*40&gt;40,40,J16*40)*5/12)</f>
        <v>16.666666666666668</v>
      </c>
      <c r="O16" s="795"/>
      <c r="P16" s="1264">
        <f>IF(J16="","",SUM(L16:O16))</f>
        <v>16.666666666666668</v>
      </c>
      <c r="Q16" s="570">
        <f t="shared" ref="Q16:Q30" si="0">IF(J16="","",(1659*J16-P16)*AA16)</f>
        <v>29944.122161944942</v>
      </c>
      <c r="R16" s="767">
        <f>IF(J16="","",(P16*AB16)+Z16*(AC16+AD16*(1-AE16)))</f>
        <v>303.87783805505325</v>
      </c>
      <c r="S16" s="796">
        <f>IF(E16=0,0,(Q16+R16))</f>
        <v>30247.999999999996</v>
      </c>
      <c r="T16" s="283"/>
      <c r="U16" s="977"/>
      <c r="V16" s="761"/>
      <c r="W16" s="761"/>
      <c r="X16" s="741">
        <f>IF(H16="","",VLOOKUP(H16,Salaris2019,I16+1,FALSE)*5/12)</f>
        <v>1575.4166666666667</v>
      </c>
      <c r="Y16" s="742">
        <f>$Y$14</f>
        <v>0.6</v>
      </c>
      <c r="Z16" s="743">
        <f t="shared" ref="Z16:Z30" si="1">X16*12/1659</f>
        <v>11.395418927064497</v>
      </c>
      <c r="AA16" s="743">
        <f t="shared" ref="AA16:AA30" si="2">X16*12*(1+Y16)/1659</f>
        <v>18.232670283303193</v>
      </c>
      <c r="AB16" s="744">
        <f>AA16-Z16</f>
        <v>6.8372513562386956</v>
      </c>
      <c r="AC16" s="725">
        <f t="shared" ref="AC16:AC30" si="3">N16+O16</f>
        <v>16.666666666666668</v>
      </c>
      <c r="AD16" s="693">
        <f t="shared" ref="AD16:AD30" si="4">L16+M16</f>
        <v>0</v>
      </c>
      <c r="AE16" s="745">
        <f>IF(H16&gt;8,tab!C$194,tab!C$197)</f>
        <v>0.5</v>
      </c>
      <c r="AF16" s="544">
        <f t="shared" ref="AF16:AF30" si="5">IF(F16&lt;25,0,IF(F16=25,25,IF(F16&lt;40,0,IF(F16=40,40,IF(F16&gt;=40,0)))))</f>
        <v>0</v>
      </c>
      <c r="AG16" s="746">
        <f t="shared" ref="AG16:AG30" si="6">IF(AF16=25,(X16*1.08*J16/2),IF(AF16=40,(X16*1.08*J16),IF(AF16=0,0)))</f>
        <v>0</v>
      </c>
      <c r="AN16" s="544"/>
      <c r="AO16" s="544"/>
      <c r="AP16" s="116"/>
      <c r="AQ16" s="77"/>
    </row>
    <row r="17" spans="2:43" ht="13.15" hidden="1" customHeight="1" x14ac:dyDescent="0.2">
      <c r="B17" s="18"/>
      <c r="C17" s="31"/>
      <c r="D17" s="117"/>
      <c r="E17" s="117"/>
      <c r="F17" s="33"/>
      <c r="G17" s="118"/>
      <c r="H17" s="119"/>
      <c r="I17" s="119"/>
      <c r="J17" s="120"/>
      <c r="K17" s="121"/>
      <c r="L17" s="1139"/>
      <c r="M17" s="1139"/>
      <c r="N17" s="1264" t="str">
        <f t="shared" ref="N17:N30" si="7">IF(J17="","",IF(J17*40&gt;40,40,J17*40))</f>
        <v/>
      </c>
      <c r="O17" s="795"/>
      <c r="P17" s="1264" t="str">
        <f t="shared" ref="P17:P30" si="8">IF(J17="","",SUM(L17:O17))</f>
        <v/>
      </c>
      <c r="Q17" s="570" t="str">
        <f t="shared" si="0"/>
        <v/>
      </c>
      <c r="R17" s="767" t="str">
        <f t="shared" ref="R17:R30" si="9">IF(J17="","",(P17*AB17)+Z17*(AC17+AD17*(1-AE17)))</f>
        <v/>
      </c>
      <c r="S17" s="796">
        <f t="shared" ref="S17:S30" si="10">IF(E17=0,0,(Q17+R17))</f>
        <v>0</v>
      </c>
      <c r="T17" s="283"/>
      <c r="U17" s="977"/>
      <c r="V17" s="761"/>
      <c r="W17" s="761"/>
      <c r="X17" s="741" t="str">
        <f t="shared" ref="X17:X30" si="11">IF(H17="","",VLOOKUP(H17,Schaal2016,I17+1,FALSE))</f>
        <v/>
      </c>
      <c r="Y17" s="742">
        <f t="shared" ref="Y17:Y30" si="12">$Y$14</f>
        <v>0.6</v>
      </c>
      <c r="Z17" s="743" t="e">
        <f t="shared" si="1"/>
        <v>#VALUE!</v>
      </c>
      <c r="AA17" s="743" t="e">
        <f t="shared" si="2"/>
        <v>#VALUE!</v>
      </c>
      <c r="AB17" s="744" t="e">
        <f t="shared" ref="AB17:AB30" si="13">AA17-Z17</f>
        <v>#VALUE!</v>
      </c>
      <c r="AC17" s="725" t="e">
        <f t="shared" si="3"/>
        <v>#VALUE!</v>
      </c>
      <c r="AD17" s="693">
        <f t="shared" si="4"/>
        <v>0</v>
      </c>
      <c r="AE17" s="745">
        <f>IF(H17&gt;8,tab!C$194,tab!C$197)</f>
        <v>0.4</v>
      </c>
      <c r="AF17" s="544">
        <f t="shared" si="5"/>
        <v>0</v>
      </c>
      <c r="AG17" s="746">
        <f t="shared" si="6"/>
        <v>0</v>
      </c>
      <c r="AN17" s="544"/>
      <c r="AO17" s="544"/>
      <c r="AP17" s="77"/>
      <c r="AQ17" s="116"/>
    </row>
    <row r="18" spans="2:43" ht="13.15" hidden="1" customHeight="1" x14ac:dyDescent="0.2">
      <c r="B18" s="18"/>
      <c r="C18" s="31"/>
      <c r="D18" s="117"/>
      <c r="E18" s="117"/>
      <c r="F18" s="33"/>
      <c r="G18" s="118"/>
      <c r="H18" s="119"/>
      <c r="I18" s="119"/>
      <c r="J18" s="120"/>
      <c r="K18" s="121"/>
      <c r="L18" s="1139"/>
      <c r="M18" s="1139"/>
      <c r="N18" s="1264" t="str">
        <f t="shared" si="7"/>
        <v/>
      </c>
      <c r="O18" s="795"/>
      <c r="P18" s="1264" t="str">
        <f t="shared" si="8"/>
        <v/>
      </c>
      <c r="Q18" s="570" t="str">
        <f t="shared" si="0"/>
        <v/>
      </c>
      <c r="R18" s="767" t="str">
        <f t="shared" si="9"/>
        <v/>
      </c>
      <c r="S18" s="796">
        <f t="shared" si="10"/>
        <v>0</v>
      </c>
      <c r="T18" s="283"/>
      <c r="U18" s="977"/>
      <c r="V18" s="761"/>
      <c r="W18" s="761"/>
      <c r="X18" s="741" t="str">
        <f t="shared" si="11"/>
        <v/>
      </c>
      <c r="Y18" s="742">
        <f t="shared" si="12"/>
        <v>0.6</v>
      </c>
      <c r="Z18" s="743" t="e">
        <f t="shared" si="1"/>
        <v>#VALUE!</v>
      </c>
      <c r="AA18" s="743" t="e">
        <f t="shared" si="2"/>
        <v>#VALUE!</v>
      </c>
      <c r="AB18" s="744" t="e">
        <f t="shared" si="13"/>
        <v>#VALUE!</v>
      </c>
      <c r="AC18" s="725" t="e">
        <f t="shared" si="3"/>
        <v>#VALUE!</v>
      </c>
      <c r="AD18" s="693">
        <f t="shared" si="4"/>
        <v>0</v>
      </c>
      <c r="AE18" s="745">
        <f>IF(H18&gt;8,tab!C$194,tab!C$197)</f>
        <v>0.4</v>
      </c>
      <c r="AF18" s="544">
        <f t="shared" si="5"/>
        <v>0</v>
      </c>
      <c r="AG18" s="746">
        <f t="shared" si="6"/>
        <v>0</v>
      </c>
      <c r="AN18" s="544"/>
      <c r="AO18" s="544"/>
      <c r="AP18" s="77"/>
      <c r="AQ18" s="116"/>
    </row>
    <row r="19" spans="2:43" ht="13.15" hidden="1" customHeight="1" x14ac:dyDescent="0.2">
      <c r="B19" s="18"/>
      <c r="C19" s="31"/>
      <c r="D19" s="117"/>
      <c r="E19" s="117"/>
      <c r="F19" s="33"/>
      <c r="G19" s="118"/>
      <c r="H19" s="119"/>
      <c r="I19" s="119"/>
      <c r="J19" s="120"/>
      <c r="K19" s="121"/>
      <c r="L19" s="1139"/>
      <c r="M19" s="1139"/>
      <c r="N19" s="1264" t="str">
        <f t="shared" si="7"/>
        <v/>
      </c>
      <c r="O19" s="795"/>
      <c r="P19" s="1264" t="str">
        <f t="shared" si="8"/>
        <v/>
      </c>
      <c r="Q19" s="570" t="str">
        <f t="shared" si="0"/>
        <v/>
      </c>
      <c r="R19" s="767" t="str">
        <f t="shared" si="9"/>
        <v/>
      </c>
      <c r="S19" s="796">
        <f t="shared" si="10"/>
        <v>0</v>
      </c>
      <c r="T19" s="283"/>
      <c r="U19" s="977"/>
      <c r="V19" s="761"/>
      <c r="W19" s="761"/>
      <c r="X19" s="741" t="str">
        <f t="shared" si="11"/>
        <v/>
      </c>
      <c r="Y19" s="742">
        <f t="shared" si="12"/>
        <v>0.6</v>
      </c>
      <c r="Z19" s="743" t="e">
        <f t="shared" si="1"/>
        <v>#VALUE!</v>
      </c>
      <c r="AA19" s="743" t="e">
        <f t="shared" si="2"/>
        <v>#VALUE!</v>
      </c>
      <c r="AB19" s="744" t="e">
        <f t="shared" si="13"/>
        <v>#VALUE!</v>
      </c>
      <c r="AC19" s="725" t="e">
        <f t="shared" si="3"/>
        <v>#VALUE!</v>
      </c>
      <c r="AD19" s="693">
        <f t="shared" si="4"/>
        <v>0</v>
      </c>
      <c r="AE19" s="745">
        <f>IF(H19&gt;8,tab!C$194,tab!C$197)</f>
        <v>0.4</v>
      </c>
      <c r="AF19" s="544">
        <f t="shared" si="5"/>
        <v>0</v>
      </c>
      <c r="AG19" s="746">
        <f t="shared" si="6"/>
        <v>0</v>
      </c>
      <c r="AN19" s="544"/>
      <c r="AO19" s="544"/>
      <c r="AP19" s="77"/>
      <c r="AQ19" s="116"/>
    </row>
    <row r="20" spans="2:43" ht="13.15" hidden="1" customHeight="1" x14ac:dyDescent="0.2">
      <c r="B20" s="18"/>
      <c r="C20" s="31"/>
      <c r="D20" s="117"/>
      <c r="E20" s="117"/>
      <c r="F20" s="33"/>
      <c r="G20" s="118"/>
      <c r="H20" s="119"/>
      <c r="I20" s="119"/>
      <c r="J20" s="120"/>
      <c r="K20" s="121"/>
      <c r="L20" s="1139"/>
      <c r="M20" s="1139"/>
      <c r="N20" s="1264" t="str">
        <f t="shared" si="7"/>
        <v/>
      </c>
      <c r="O20" s="795"/>
      <c r="P20" s="1264" t="str">
        <f t="shared" si="8"/>
        <v/>
      </c>
      <c r="Q20" s="570" t="str">
        <f t="shared" si="0"/>
        <v/>
      </c>
      <c r="R20" s="767" t="str">
        <f t="shared" si="9"/>
        <v/>
      </c>
      <c r="S20" s="796">
        <f t="shared" si="10"/>
        <v>0</v>
      </c>
      <c r="T20" s="283"/>
      <c r="U20" s="977"/>
      <c r="V20" s="761"/>
      <c r="W20" s="761"/>
      <c r="X20" s="741" t="str">
        <f t="shared" si="11"/>
        <v/>
      </c>
      <c r="Y20" s="742">
        <f t="shared" si="12"/>
        <v>0.6</v>
      </c>
      <c r="Z20" s="743" t="e">
        <f t="shared" si="1"/>
        <v>#VALUE!</v>
      </c>
      <c r="AA20" s="743" t="e">
        <f t="shared" si="2"/>
        <v>#VALUE!</v>
      </c>
      <c r="AB20" s="744" t="e">
        <f t="shared" si="13"/>
        <v>#VALUE!</v>
      </c>
      <c r="AC20" s="725" t="e">
        <f t="shared" si="3"/>
        <v>#VALUE!</v>
      </c>
      <c r="AD20" s="693">
        <f t="shared" si="4"/>
        <v>0</v>
      </c>
      <c r="AE20" s="745">
        <f>IF(H20&gt;8,tab!C$194,tab!C$197)</f>
        <v>0.4</v>
      </c>
      <c r="AF20" s="544">
        <f t="shared" si="5"/>
        <v>0</v>
      </c>
      <c r="AG20" s="746">
        <f t="shared" si="6"/>
        <v>0</v>
      </c>
      <c r="AN20" s="544"/>
      <c r="AO20" s="544"/>
      <c r="AP20" s="77"/>
      <c r="AQ20" s="116"/>
    </row>
    <row r="21" spans="2:43" ht="13.15" hidden="1" customHeight="1" x14ac:dyDescent="0.2">
      <c r="B21" s="18"/>
      <c r="C21" s="31"/>
      <c r="D21" s="117"/>
      <c r="E21" s="117"/>
      <c r="F21" s="33"/>
      <c r="G21" s="118"/>
      <c r="H21" s="119"/>
      <c r="I21" s="119"/>
      <c r="J21" s="120"/>
      <c r="K21" s="121"/>
      <c r="L21" s="1139"/>
      <c r="M21" s="1139"/>
      <c r="N21" s="1264" t="str">
        <f t="shared" si="7"/>
        <v/>
      </c>
      <c r="O21" s="795"/>
      <c r="P21" s="1264" t="str">
        <f t="shared" si="8"/>
        <v/>
      </c>
      <c r="Q21" s="570" t="str">
        <f t="shared" si="0"/>
        <v/>
      </c>
      <c r="R21" s="767" t="str">
        <f t="shared" si="9"/>
        <v/>
      </c>
      <c r="S21" s="796">
        <f t="shared" si="10"/>
        <v>0</v>
      </c>
      <c r="T21" s="283"/>
      <c r="U21" s="977"/>
      <c r="V21" s="761"/>
      <c r="W21" s="761"/>
      <c r="X21" s="741" t="str">
        <f t="shared" si="11"/>
        <v/>
      </c>
      <c r="Y21" s="742">
        <f t="shared" si="12"/>
        <v>0.6</v>
      </c>
      <c r="Z21" s="743" t="e">
        <f t="shared" si="1"/>
        <v>#VALUE!</v>
      </c>
      <c r="AA21" s="743" t="e">
        <f t="shared" si="2"/>
        <v>#VALUE!</v>
      </c>
      <c r="AB21" s="744" t="e">
        <f t="shared" si="13"/>
        <v>#VALUE!</v>
      </c>
      <c r="AC21" s="725" t="e">
        <f t="shared" si="3"/>
        <v>#VALUE!</v>
      </c>
      <c r="AD21" s="693">
        <f t="shared" si="4"/>
        <v>0</v>
      </c>
      <c r="AE21" s="745">
        <f>IF(H21&gt;8,tab!C$194,tab!C$197)</f>
        <v>0.4</v>
      </c>
      <c r="AF21" s="544">
        <f t="shared" si="5"/>
        <v>0</v>
      </c>
      <c r="AG21" s="746">
        <f t="shared" si="6"/>
        <v>0</v>
      </c>
      <c r="AN21" s="544"/>
      <c r="AO21" s="544"/>
      <c r="AP21" s="77"/>
      <c r="AQ21" s="116"/>
    </row>
    <row r="22" spans="2:43" ht="13.15" hidden="1" customHeight="1" x14ac:dyDescent="0.2">
      <c r="B22" s="18"/>
      <c r="C22" s="31"/>
      <c r="D22" s="117"/>
      <c r="E22" s="117"/>
      <c r="F22" s="33"/>
      <c r="G22" s="118"/>
      <c r="H22" s="119"/>
      <c r="I22" s="119"/>
      <c r="J22" s="120"/>
      <c r="K22" s="121"/>
      <c r="L22" s="1139"/>
      <c r="M22" s="1139"/>
      <c r="N22" s="1264" t="str">
        <f t="shared" si="7"/>
        <v/>
      </c>
      <c r="O22" s="795"/>
      <c r="P22" s="1264" t="str">
        <f t="shared" si="8"/>
        <v/>
      </c>
      <c r="Q22" s="570" t="str">
        <f t="shared" si="0"/>
        <v/>
      </c>
      <c r="R22" s="767" t="str">
        <f t="shared" si="9"/>
        <v/>
      </c>
      <c r="S22" s="796">
        <f t="shared" si="10"/>
        <v>0</v>
      </c>
      <c r="T22" s="283"/>
      <c r="U22" s="977"/>
      <c r="V22" s="761"/>
      <c r="W22" s="761"/>
      <c r="X22" s="741" t="str">
        <f t="shared" si="11"/>
        <v/>
      </c>
      <c r="Y22" s="742">
        <f t="shared" si="12"/>
        <v>0.6</v>
      </c>
      <c r="Z22" s="743" t="e">
        <f t="shared" si="1"/>
        <v>#VALUE!</v>
      </c>
      <c r="AA22" s="743" t="e">
        <f t="shared" si="2"/>
        <v>#VALUE!</v>
      </c>
      <c r="AB22" s="744" t="e">
        <f t="shared" si="13"/>
        <v>#VALUE!</v>
      </c>
      <c r="AC22" s="725" t="e">
        <f t="shared" si="3"/>
        <v>#VALUE!</v>
      </c>
      <c r="AD22" s="693">
        <f t="shared" si="4"/>
        <v>0</v>
      </c>
      <c r="AE22" s="745">
        <f>IF(H22&gt;8,tab!C$194,tab!C$197)</f>
        <v>0.4</v>
      </c>
      <c r="AF22" s="544">
        <f t="shared" si="5"/>
        <v>0</v>
      </c>
      <c r="AG22" s="746">
        <f t="shared" si="6"/>
        <v>0</v>
      </c>
      <c r="AN22" s="544"/>
      <c r="AO22" s="544"/>
      <c r="AP22" s="77"/>
      <c r="AQ22" s="116"/>
    </row>
    <row r="23" spans="2:43" ht="13.15" hidden="1" customHeight="1" x14ac:dyDescent="0.2">
      <c r="B23" s="18"/>
      <c r="C23" s="31"/>
      <c r="D23" s="117"/>
      <c r="E23" s="117"/>
      <c r="F23" s="33"/>
      <c r="G23" s="118"/>
      <c r="H23" s="119"/>
      <c r="I23" s="119"/>
      <c r="J23" s="120"/>
      <c r="K23" s="121"/>
      <c r="L23" s="1139"/>
      <c r="M23" s="1139"/>
      <c r="N23" s="1264" t="str">
        <f t="shared" si="7"/>
        <v/>
      </c>
      <c r="O23" s="795"/>
      <c r="P23" s="1264" t="str">
        <f t="shared" si="8"/>
        <v/>
      </c>
      <c r="Q23" s="570" t="str">
        <f t="shared" si="0"/>
        <v/>
      </c>
      <c r="R23" s="767" t="str">
        <f t="shared" si="9"/>
        <v/>
      </c>
      <c r="S23" s="796">
        <f t="shared" si="10"/>
        <v>0</v>
      </c>
      <c r="T23" s="283"/>
      <c r="U23" s="977"/>
      <c r="V23" s="761"/>
      <c r="W23" s="761"/>
      <c r="X23" s="741" t="str">
        <f t="shared" si="11"/>
        <v/>
      </c>
      <c r="Y23" s="742">
        <f t="shared" si="12"/>
        <v>0.6</v>
      </c>
      <c r="Z23" s="743" t="e">
        <f t="shared" si="1"/>
        <v>#VALUE!</v>
      </c>
      <c r="AA23" s="743" t="e">
        <f t="shared" si="2"/>
        <v>#VALUE!</v>
      </c>
      <c r="AB23" s="744" t="e">
        <f t="shared" si="13"/>
        <v>#VALUE!</v>
      </c>
      <c r="AC23" s="725" t="e">
        <f t="shared" si="3"/>
        <v>#VALUE!</v>
      </c>
      <c r="AD23" s="693">
        <f t="shared" si="4"/>
        <v>0</v>
      </c>
      <c r="AE23" s="745">
        <f>IF(H23&gt;8,tab!C$194,tab!C$197)</f>
        <v>0.4</v>
      </c>
      <c r="AF23" s="544">
        <f t="shared" si="5"/>
        <v>0</v>
      </c>
      <c r="AG23" s="746">
        <f t="shared" si="6"/>
        <v>0</v>
      </c>
      <c r="AN23" s="544"/>
      <c r="AO23" s="544"/>
      <c r="AP23" s="77"/>
      <c r="AQ23" s="116"/>
    </row>
    <row r="24" spans="2:43" ht="13.15" hidden="1" customHeight="1" x14ac:dyDescent="0.2">
      <c r="B24" s="18"/>
      <c r="C24" s="31"/>
      <c r="D24" s="117"/>
      <c r="E24" s="117"/>
      <c r="F24" s="33"/>
      <c r="G24" s="118"/>
      <c r="H24" s="119"/>
      <c r="I24" s="119"/>
      <c r="J24" s="120"/>
      <c r="K24" s="121"/>
      <c r="L24" s="1139"/>
      <c r="M24" s="1139"/>
      <c r="N24" s="1264" t="str">
        <f t="shared" si="7"/>
        <v/>
      </c>
      <c r="O24" s="795"/>
      <c r="P24" s="1264" t="str">
        <f t="shared" si="8"/>
        <v/>
      </c>
      <c r="Q24" s="570" t="str">
        <f t="shared" si="0"/>
        <v/>
      </c>
      <c r="R24" s="767" t="str">
        <f t="shared" si="9"/>
        <v/>
      </c>
      <c r="S24" s="796">
        <f t="shared" si="10"/>
        <v>0</v>
      </c>
      <c r="T24" s="283"/>
      <c r="U24" s="977"/>
      <c r="V24" s="761"/>
      <c r="W24" s="761"/>
      <c r="X24" s="741" t="str">
        <f t="shared" si="11"/>
        <v/>
      </c>
      <c r="Y24" s="742">
        <f t="shared" si="12"/>
        <v>0.6</v>
      </c>
      <c r="Z24" s="743" t="e">
        <f t="shared" si="1"/>
        <v>#VALUE!</v>
      </c>
      <c r="AA24" s="743" t="e">
        <f t="shared" si="2"/>
        <v>#VALUE!</v>
      </c>
      <c r="AB24" s="744" t="e">
        <f t="shared" si="13"/>
        <v>#VALUE!</v>
      </c>
      <c r="AC24" s="725" t="e">
        <f t="shared" si="3"/>
        <v>#VALUE!</v>
      </c>
      <c r="AD24" s="693">
        <f t="shared" si="4"/>
        <v>0</v>
      </c>
      <c r="AE24" s="745">
        <f>IF(H24&gt;8,tab!C$194,tab!C$197)</f>
        <v>0.4</v>
      </c>
      <c r="AF24" s="544">
        <f t="shared" si="5"/>
        <v>0</v>
      </c>
      <c r="AG24" s="746">
        <f t="shared" si="6"/>
        <v>0</v>
      </c>
      <c r="AN24" s="544"/>
      <c r="AO24" s="544"/>
      <c r="AP24" s="77"/>
      <c r="AQ24" s="116"/>
    </row>
    <row r="25" spans="2:43" ht="13.15" hidden="1" customHeight="1" x14ac:dyDescent="0.2">
      <c r="B25" s="18"/>
      <c r="C25" s="31"/>
      <c r="D25" s="117"/>
      <c r="E25" s="117"/>
      <c r="F25" s="33"/>
      <c r="G25" s="118"/>
      <c r="H25" s="119"/>
      <c r="I25" s="119"/>
      <c r="J25" s="120"/>
      <c r="K25" s="121"/>
      <c r="L25" s="1139"/>
      <c r="M25" s="1139"/>
      <c r="N25" s="1264" t="str">
        <f t="shared" si="7"/>
        <v/>
      </c>
      <c r="O25" s="795"/>
      <c r="P25" s="1264" t="str">
        <f t="shared" si="8"/>
        <v/>
      </c>
      <c r="Q25" s="570" t="str">
        <f t="shared" si="0"/>
        <v/>
      </c>
      <c r="R25" s="767" t="str">
        <f t="shared" si="9"/>
        <v/>
      </c>
      <c r="S25" s="796">
        <f t="shared" si="10"/>
        <v>0</v>
      </c>
      <c r="T25" s="283"/>
      <c r="U25" s="977"/>
      <c r="V25" s="761"/>
      <c r="W25" s="761"/>
      <c r="X25" s="741" t="str">
        <f t="shared" si="11"/>
        <v/>
      </c>
      <c r="Y25" s="742">
        <f t="shared" si="12"/>
        <v>0.6</v>
      </c>
      <c r="Z25" s="743" t="e">
        <f t="shared" si="1"/>
        <v>#VALUE!</v>
      </c>
      <c r="AA25" s="743" t="e">
        <f t="shared" si="2"/>
        <v>#VALUE!</v>
      </c>
      <c r="AB25" s="744" t="e">
        <f t="shared" si="13"/>
        <v>#VALUE!</v>
      </c>
      <c r="AC25" s="725" t="e">
        <f t="shared" si="3"/>
        <v>#VALUE!</v>
      </c>
      <c r="AD25" s="693">
        <f t="shared" si="4"/>
        <v>0</v>
      </c>
      <c r="AE25" s="745">
        <f>IF(H25&gt;8,tab!C$194,tab!C$197)</f>
        <v>0.4</v>
      </c>
      <c r="AF25" s="544">
        <f t="shared" si="5"/>
        <v>0</v>
      </c>
      <c r="AG25" s="746">
        <f t="shared" si="6"/>
        <v>0</v>
      </c>
      <c r="AN25" s="544"/>
      <c r="AO25" s="544"/>
      <c r="AP25" s="77"/>
      <c r="AQ25" s="116"/>
    </row>
    <row r="26" spans="2:43" ht="13.15" hidden="1" customHeight="1" x14ac:dyDescent="0.2">
      <c r="B26" s="18"/>
      <c r="C26" s="31"/>
      <c r="D26" s="117"/>
      <c r="E26" s="117"/>
      <c r="F26" s="33"/>
      <c r="G26" s="118"/>
      <c r="H26" s="119"/>
      <c r="I26" s="119"/>
      <c r="J26" s="120"/>
      <c r="K26" s="121"/>
      <c r="L26" s="1139"/>
      <c r="M26" s="1139"/>
      <c r="N26" s="1264" t="str">
        <f t="shared" si="7"/>
        <v/>
      </c>
      <c r="O26" s="795"/>
      <c r="P26" s="1264" t="str">
        <f t="shared" si="8"/>
        <v/>
      </c>
      <c r="Q26" s="570" t="str">
        <f t="shared" si="0"/>
        <v/>
      </c>
      <c r="R26" s="767" t="str">
        <f t="shared" si="9"/>
        <v/>
      </c>
      <c r="S26" s="796">
        <f t="shared" si="10"/>
        <v>0</v>
      </c>
      <c r="T26" s="283"/>
      <c r="U26" s="977"/>
      <c r="V26" s="761"/>
      <c r="W26" s="761"/>
      <c r="X26" s="741" t="str">
        <f t="shared" si="11"/>
        <v/>
      </c>
      <c r="Y26" s="742">
        <f t="shared" si="12"/>
        <v>0.6</v>
      </c>
      <c r="Z26" s="743" t="e">
        <f t="shared" si="1"/>
        <v>#VALUE!</v>
      </c>
      <c r="AA26" s="743" t="e">
        <f t="shared" si="2"/>
        <v>#VALUE!</v>
      </c>
      <c r="AB26" s="744" t="e">
        <f t="shared" si="13"/>
        <v>#VALUE!</v>
      </c>
      <c r="AC26" s="725" t="e">
        <f t="shared" si="3"/>
        <v>#VALUE!</v>
      </c>
      <c r="AD26" s="693">
        <f t="shared" si="4"/>
        <v>0</v>
      </c>
      <c r="AE26" s="745">
        <f>IF(H26&gt;8,tab!C$194,tab!C$197)</f>
        <v>0.4</v>
      </c>
      <c r="AF26" s="544">
        <f t="shared" si="5"/>
        <v>0</v>
      </c>
      <c r="AG26" s="746">
        <f t="shared" si="6"/>
        <v>0</v>
      </c>
      <c r="AN26" s="544"/>
      <c r="AO26" s="544"/>
      <c r="AP26" s="77"/>
      <c r="AQ26" s="116"/>
    </row>
    <row r="27" spans="2:43" ht="13.15" hidden="1" customHeight="1" x14ac:dyDescent="0.2">
      <c r="B27" s="18"/>
      <c r="C27" s="31"/>
      <c r="D27" s="117"/>
      <c r="E27" s="117"/>
      <c r="F27" s="33"/>
      <c r="G27" s="118"/>
      <c r="H27" s="119"/>
      <c r="I27" s="119"/>
      <c r="J27" s="120"/>
      <c r="K27" s="121"/>
      <c r="L27" s="1139"/>
      <c r="M27" s="1139"/>
      <c r="N27" s="1264" t="str">
        <f t="shared" si="7"/>
        <v/>
      </c>
      <c r="O27" s="795"/>
      <c r="P27" s="1264" t="str">
        <f t="shared" si="8"/>
        <v/>
      </c>
      <c r="Q27" s="570" t="str">
        <f t="shared" si="0"/>
        <v/>
      </c>
      <c r="R27" s="767" t="str">
        <f t="shared" si="9"/>
        <v/>
      </c>
      <c r="S27" s="796">
        <f t="shared" si="10"/>
        <v>0</v>
      </c>
      <c r="T27" s="283"/>
      <c r="U27" s="977"/>
      <c r="V27" s="761"/>
      <c r="W27" s="761"/>
      <c r="X27" s="741" t="str">
        <f t="shared" si="11"/>
        <v/>
      </c>
      <c r="Y27" s="742">
        <f t="shared" si="12"/>
        <v>0.6</v>
      </c>
      <c r="Z27" s="743" t="e">
        <f t="shared" si="1"/>
        <v>#VALUE!</v>
      </c>
      <c r="AA27" s="743" t="e">
        <f t="shared" si="2"/>
        <v>#VALUE!</v>
      </c>
      <c r="AB27" s="744" t="e">
        <f t="shared" si="13"/>
        <v>#VALUE!</v>
      </c>
      <c r="AC27" s="725" t="e">
        <f t="shared" si="3"/>
        <v>#VALUE!</v>
      </c>
      <c r="AD27" s="693">
        <f t="shared" si="4"/>
        <v>0</v>
      </c>
      <c r="AE27" s="745">
        <f>IF(H27&gt;8,tab!C$194,tab!C$197)</f>
        <v>0.4</v>
      </c>
      <c r="AF27" s="544">
        <f t="shared" si="5"/>
        <v>0</v>
      </c>
      <c r="AG27" s="746">
        <f t="shared" si="6"/>
        <v>0</v>
      </c>
      <c r="AN27" s="544"/>
      <c r="AO27" s="544"/>
      <c r="AP27" s="77"/>
      <c r="AQ27" s="116"/>
    </row>
    <row r="28" spans="2:43" ht="13.15" hidden="1" customHeight="1" x14ac:dyDescent="0.2">
      <c r="B28" s="18"/>
      <c r="C28" s="31"/>
      <c r="D28" s="117"/>
      <c r="E28" s="117"/>
      <c r="F28" s="33"/>
      <c r="G28" s="118"/>
      <c r="H28" s="119"/>
      <c r="I28" s="119"/>
      <c r="J28" s="120"/>
      <c r="K28" s="121"/>
      <c r="L28" s="1139"/>
      <c r="M28" s="1139"/>
      <c r="N28" s="1264" t="str">
        <f t="shared" si="7"/>
        <v/>
      </c>
      <c r="O28" s="795"/>
      <c r="P28" s="1264" t="str">
        <f t="shared" si="8"/>
        <v/>
      </c>
      <c r="Q28" s="570" t="str">
        <f t="shared" si="0"/>
        <v/>
      </c>
      <c r="R28" s="767" t="str">
        <f t="shared" si="9"/>
        <v/>
      </c>
      <c r="S28" s="796">
        <f t="shared" si="10"/>
        <v>0</v>
      </c>
      <c r="T28" s="283"/>
      <c r="U28" s="977"/>
      <c r="V28" s="761"/>
      <c r="W28" s="761"/>
      <c r="X28" s="741" t="str">
        <f t="shared" si="11"/>
        <v/>
      </c>
      <c r="Y28" s="742">
        <f t="shared" si="12"/>
        <v>0.6</v>
      </c>
      <c r="Z28" s="743" t="e">
        <f t="shared" si="1"/>
        <v>#VALUE!</v>
      </c>
      <c r="AA28" s="743" t="e">
        <f t="shared" si="2"/>
        <v>#VALUE!</v>
      </c>
      <c r="AB28" s="744" t="e">
        <f t="shared" si="13"/>
        <v>#VALUE!</v>
      </c>
      <c r="AC28" s="725" t="e">
        <f t="shared" si="3"/>
        <v>#VALUE!</v>
      </c>
      <c r="AD28" s="693">
        <f t="shared" si="4"/>
        <v>0</v>
      </c>
      <c r="AE28" s="745">
        <f>IF(H28&gt;8,tab!C$194,tab!C$197)</f>
        <v>0.4</v>
      </c>
      <c r="AF28" s="544">
        <f t="shared" si="5"/>
        <v>0</v>
      </c>
      <c r="AG28" s="746">
        <f t="shared" si="6"/>
        <v>0</v>
      </c>
      <c r="AN28" s="544"/>
      <c r="AO28" s="544"/>
      <c r="AP28" s="77"/>
      <c r="AQ28" s="116"/>
    </row>
    <row r="29" spans="2:43" ht="13.15" hidden="1" customHeight="1" x14ac:dyDescent="0.2">
      <c r="B29" s="18"/>
      <c r="C29" s="31"/>
      <c r="D29" s="117"/>
      <c r="E29" s="117"/>
      <c r="F29" s="33"/>
      <c r="G29" s="118"/>
      <c r="H29" s="119"/>
      <c r="I29" s="119"/>
      <c r="J29" s="120"/>
      <c r="K29" s="121"/>
      <c r="L29" s="1139"/>
      <c r="M29" s="1139"/>
      <c r="N29" s="1264" t="str">
        <f t="shared" si="7"/>
        <v/>
      </c>
      <c r="O29" s="795"/>
      <c r="P29" s="1264" t="str">
        <f t="shared" si="8"/>
        <v/>
      </c>
      <c r="Q29" s="570" t="str">
        <f t="shared" si="0"/>
        <v/>
      </c>
      <c r="R29" s="767" t="str">
        <f t="shared" si="9"/>
        <v/>
      </c>
      <c r="S29" s="796">
        <f t="shared" si="10"/>
        <v>0</v>
      </c>
      <c r="T29" s="283"/>
      <c r="U29" s="977"/>
      <c r="V29" s="761"/>
      <c r="W29" s="761"/>
      <c r="X29" s="741" t="str">
        <f t="shared" si="11"/>
        <v/>
      </c>
      <c r="Y29" s="742">
        <f t="shared" si="12"/>
        <v>0.6</v>
      </c>
      <c r="Z29" s="743" t="e">
        <f t="shared" si="1"/>
        <v>#VALUE!</v>
      </c>
      <c r="AA29" s="743" t="e">
        <f t="shared" si="2"/>
        <v>#VALUE!</v>
      </c>
      <c r="AB29" s="744" t="e">
        <f t="shared" si="13"/>
        <v>#VALUE!</v>
      </c>
      <c r="AC29" s="725" t="e">
        <f t="shared" si="3"/>
        <v>#VALUE!</v>
      </c>
      <c r="AD29" s="693">
        <f t="shared" si="4"/>
        <v>0</v>
      </c>
      <c r="AE29" s="745">
        <f>IF(H29&gt;8,tab!C$194,tab!C$197)</f>
        <v>0.4</v>
      </c>
      <c r="AF29" s="544">
        <f t="shared" si="5"/>
        <v>0</v>
      </c>
      <c r="AG29" s="746">
        <f t="shared" si="6"/>
        <v>0</v>
      </c>
      <c r="AN29" s="544"/>
      <c r="AO29" s="544"/>
      <c r="AP29" s="116"/>
      <c r="AQ29" s="77"/>
    </row>
    <row r="30" spans="2:43" ht="13.15" hidden="1" customHeight="1" x14ac:dyDescent="0.2">
      <c r="B30" s="18"/>
      <c r="C30" s="31"/>
      <c r="D30" s="117"/>
      <c r="E30" s="117"/>
      <c r="F30" s="33"/>
      <c r="G30" s="118"/>
      <c r="H30" s="119"/>
      <c r="I30" s="119"/>
      <c r="J30" s="120"/>
      <c r="K30" s="121"/>
      <c r="L30" s="1139"/>
      <c r="M30" s="1139"/>
      <c r="N30" s="1264" t="str">
        <f t="shared" si="7"/>
        <v/>
      </c>
      <c r="O30" s="795"/>
      <c r="P30" s="1264" t="str">
        <f t="shared" si="8"/>
        <v/>
      </c>
      <c r="Q30" s="570" t="str">
        <f t="shared" si="0"/>
        <v/>
      </c>
      <c r="R30" s="767" t="str">
        <f t="shared" si="9"/>
        <v/>
      </c>
      <c r="S30" s="796">
        <f t="shared" si="10"/>
        <v>0</v>
      </c>
      <c r="T30" s="283"/>
      <c r="U30" s="977"/>
      <c r="V30" s="761"/>
      <c r="W30" s="761"/>
      <c r="X30" s="741" t="str">
        <f t="shared" si="11"/>
        <v/>
      </c>
      <c r="Y30" s="742">
        <f t="shared" si="12"/>
        <v>0.6</v>
      </c>
      <c r="Z30" s="743" t="e">
        <f t="shared" si="1"/>
        <v>#VALUE!</v>
      </c>
      <c r="AA30" s="743" t="e">
        <f t="shared" si="2"/>
        <v>#VALUE!</v>
      </c>
      <c r="AB30" s="744" t="e">
        <f t="shared" si="13"/>
        <v>#VALUE!</v>
      </c>
      <c r="AC30" s="725" t="e">
        <f t="shared" si="3"/>
        <v>#VALUE!</v>
      </c>
      <c r="AD30" s="693">
        <f t="shared" si="4"/>
        <v>0</v>
      </c>
      <c r="AE30" s="745">
        <f>IF(H30&gt;8,tab!C$194,tab!C$197)</f>
        <v>0.4</v>
      </c>
      <c r="AF30" s="544">
        <f t="shared" si="5"/>
        <v>0</v>
      </c>
      <c r="AG30" s="746">
        <f t="shared" si="6"/>
        <v>0</v>
      </c>
      <c r="AN30" s="544"/>
      <c r="AO30" s="544"/>
      <c r="AP30" s="116"/>
      <c r="AQ30" s="77"/>
    </row>
    <row r="31" spans="2:43" ht="13.15" hidden="1" customHeight="1" x14ac:dyDescent="0.2">
      <c r="B31" s="18"/>
      <c r="C31" s="31"/>
      <c r="D31" s="28"/>
      <c r="E31" s="28"/>
      <c r="F31" s="125"/>
      <c r="G31" s="126"/>
      <c r="H31" s="32"/>
      <c r="I31" s="32"/>
      <c r="J31" s="768">
        <f>SUM(J16:J30)</f>
        <v>1</v>
      </c>
      <c r="K31" s="125"/>
      <c r="L31" s="797">
        <f t="shared" ref="L31:X31" si="14">SUM(L16:L30)</f>
        <v>0</v>
      </c>
      <c r="M31" s="797">
        <f t="shared" si="14"/>
        <v>0</v>
      </c>
      <c r="N31" s="802">
        <f t="shared" si="14"/>
        <v>16.666666666666668</v>
      </c>
      <c r="O31" s="797">
        <f t="shared" si="14"/>
        <v>0</v>
      </c>
      <c r="P31" s="802">
        <f t="shared" si="14"/>
        <v>16.666666666666668</v>
      </c>
      <c r="Q31" s="571">
        <f t="shared" si="14"/>
        <v>29944.122161944942</v>
      </c>
      <c r="R31" s="798">
        <f t="shared" si="14"/>
        <v>303.87783805505325</v>
      </c>
      <c r="S31" s="799">
        <f t="shared" si="14"/>
        <v>30247.999999999996</v>
      </c>
      <c r="T31" s="607"/>
      <c r="U31" s="978"/>
      <c r="V31" s="762"/>
      <c r="W31" s="762"/>
      <c r="X31" s="747">
        <f t="shared" si="14"/>
        <v>1575.4166666666667</v>
      </c>
      <c r="Y31" s="748"/>
      <c r="Z31" s="749"/>
      <c r="AA31" s="749"/>
      <c r="AB31" s="660"/>
      <c r="AC31" s="725"/>
      <c r="AD31" s="720"/>
      <c r="AE31" s="544"/>
      <c r="AF31" s="544"/>
      <c r="AG31" s="770">
        <f>SUM(AG16:AG30)</f>
        <v>0</v>
      </c>
      <c r="AN31" s="544"/>
      <c r="AO31" s="544"/>
      <c r="AP31" s="77"/>
      <c r="AQ31" s="116"/>
    </row>
    <row r="32" spans="2:43" ht="13.15" hidden="1" customHeight="1" x14ac:dyDescent="0.2">
      <c r="B32" s="18"/>
      <c r="C32" s="36"/>
      <c r="D32" s="127"/>
      <c r="E32" s="127"/>
      <c r="F32" s="127"/>
      <c r="G32" s="128"/>
      <c r="H32" s="129"/>
      <c r="I32" s="130"/>
      <c r="J32" s="131"/>
      <c r="K32" s="127"/>
      <c r="L32" s="130"/>
      <c r="M32" s="133"/>
      <c r="N32" s="133"/>
      <c r="O32" s="133"/>
      <c r="P32" s="133"/>
      <c r="Q32" s="777"/>
      <c r="R32" s="251"/>
      <c r="S32" s="133"/>
      <c r="T32" s="135"/>
      <c r="U32" s="978"/>
      <c r="V32" s="764"/>
      <c r="W32" s="764"/>
      <c r="X32" s="750"/>
      <c r="Y32" s="751"/>
      <c r="Z32" s="749"/>
      <c r="AA32" s="749"/>
      <c r="AB32" s="660"/>
      <c r="AC32" s="725"/>
      <c r="AD32" s="720"/>
      <c r="AE32" s="544"/>
      <c r="AF32" s="544"/>
      <c r="AN32" s="544"/>
      <c r="AO32" s="544"/>
      <c r="AP32" s="77"/>
      <c r="AQ32" s="116"/>
    </row>
    <row r="33" spans="2:43" ht="13.15" hidden="1" customHeight="1" x14ac:dyDescent="0.2">
      <c r="B33" s="18"/>
      <c r="C33" s="20"/>
      <c r="D33" s="60"/>
      <c r="E33" s="60"/>
      <c r="F33" s="60"/>
      <c r="G33" s="86"/>
      <c r="H33" s="21"/>
      <c r="I33" s="89"/>
      <c r="J33" s="88"/>
      <c r="K33" s="60"/>
      <c r="L33" s="89"/>
      <c r="M33" s="137"/>
      <c r="N33" s="137"/>
      <c r="O33" s="137"/>
      <c r="P33" s="137"/>
      <c r="Q33" s="778"/>
      <c r="R33" s="253"/>
      <c r="S33" s="137"/>
      <c r="T33" s="136"/>
      <c r="U33" s="979"/>
      <c r="V33" s="765"/>
      <c r="W33" s="765"/>
      <c r="X33" s="752"/>
      <c r="Y33" s="658"/>
      <c r="Z33" s="749"/>
      <c r="AA33" s="749"/>
      <c r="AB33" s="660"/>
      <c r="AC33" s="725"/>
      <c r="AD33" s="720"/>
      <c r="AE33" s="544"/>
      <c r="AF33" s="544"/>
      <c r="AN33" s="544"/>
      <c r="AO33" s="544"/>
      <c r="AP33" s="77"/>
      <c r="AQ33" s="116"/>
    </row>
    <row r="34" spans="2:43" ht="13.15" hidden="1" customHeight="1" x14ac:dyDescent="0.2">
      <c r="B34" s="18"/>
      <c r="C34" s="20"/>
      <c r="D34" s="60"/>
      <c r="E34" s="60"/>
      <c r="F34" s="60"/>
      <c r="G34" s="86"/>
      <c r="H34" s="21"/>
      <c r="I34" s="89"/>
      <c r="J34" s="88"/>
      <c r="K34" s="60"/>
      <c r="L34" s="89"/>
      <c r="M34" s="137"/>
      <c r="N34" s="137"/>
      <c r="O34" s="137"/>
      <c r="P34" s="137"/>
      <c r="Q34" s="778"/>
      <c r="R34" s="253"/>
      <c r="S34" s="137"/>
      <c r="T34" s="136"/>
      <c r="U34" s="979"/>
      <c r="V34" s="765"/>
      <c r="W34" s="765"/>
      <c r="X34" s="752"/>
      <c r="Y34" s="658"/>
      <c r="Z34" s="749"/>
      <c r="AA34" s="749"/>
      <c r="AB34" s="660"/>
      <c r="AC34" s="725"/>
      <c r="AD34" s="720"/>
      <c r="AE34" s="544"/>
      <c r="AF34" s="544"/>
      <c r="AN34" s="544"/>
      <c r="AO34" s="544"/>
      <c r="AP34" s="77"/>
      <c r="AQ34" s="116"/>
    </row>
    <row r="35" spans="2:43" ht="13.15" hidden="1" customHeight="1" x14ac:dyDescent="0.2">
      <c r="B35" s="18"/>
      <c r="C35" s="20" t="s">
        <v>48</v>
      </c>
      <c r="D35" s="60"/>
      <c r="E35" s="95" t="str">
        <f>tab!D2</f>
        <v>2019/20</v>
      </c>
      <c r="F35" s="60"/>
      <c r="G35" s="86"/>
      <c r="H35" s="21"/>
      <c r="I35" s="89"/>
      <c r="J35" s="88"/>
      <c r="K35" s="60"/>
      <c r="L35" s="89"/>
      <c r="M35" s="137"/>
      <c r="N35" s="137"/>
      <c r="O35" s="137"/>
      <c r="P35" s="137"/>
      <c r="Q35" s="778"/>
      <c r="R35" s="253"/>
      <c r="S35" s="137"/>
      <c r="T35" s="136"/>
      <c r="U35" s="979"/>
      <c r="V35" s="765"/>
      <c r="W35" s="765"/>
      <c r="X35" s="752"/>
      <c r="Y35" s="658"/>
      <c r="Z35" s="749"/>
      <c r="AA35" s="749"/>
      <c r="AB35" s="660"/>
      <c r="AC35" s="725"/>
      <c r="AD35" s="720"/>
      <c r="AE35" s="544"/>
      <c r="AF35" s="544"/>
      <c r="AN35" s="544"/>
      <c r="AO35" s="544"/>
      <c r="AP35" s="77"/>
      <c r="AQ35" s="116"/>
    </row>
    <row r="36" spans="2:43" ht="13.15" hidden="1" customHeight="1" x14ac:dyDescent="0.2">
      <c r="B36" s="18"/>
      <c r="C36" s="60" t="s">
        <v>125</v>
      </c>
      <c r="D36" s="60"/>
      <c r="E36" s="95">
        <v>43831</v>
      </c>
      <c r="F36" s="60"/>
      <c r="G36" s="86"/>
      <c r="H36" s="21"/>
      <c r="I36" s="89"/>
      <c r="J36" s="88"/>
      <c r="K36" s="60"/>
      <c r="L36" s="89"/>
      <c r="M36" s="137"/>
      <c r="N36" s="137"/>
      <c r="O36" s="137"/>
      <c r="P36" s="137"/>
      <c r="Q36" s="778"/>
      <c r="R36" s="253"/>
      <c r="S36" s="137"/>
      <c r="T36" s="136"/>
      <c r="U36" s="979"/>
      <c r="V36" s="765"/>
      <c r="W36" s="765"/>
      <c r="X36" s="752"/>
      <c r="Y36" s="658"/>
      <c r="Z36" s="749"/>
      <c r="AA36" s="749"/>
      <c r="AB36" s="660"/>
      <c r="AC36" s="725"/>
      <c r="AD36" s="720"/>
      <c r="AE36" s="544"/>
      <c r="AF36" s="544"/>
      <c r="AN36" s="544"/>
      <c r="AO36" s="544"/>
      <c r="AP36" s="77"/>
      <c r="AQ36" s="116"/>
    </row>
    <row r="37" spans="2:43" ht="13.15" hidden="1" customHeight="1" x14ac:dyDescent="0.2">
      <c r="B37" s="18"/>
      <c r="C37" s="20"/>
      <c r="D37" s="60"/>
      <c r="E37" s="60"/>
      <c r="F37" s="60"/>
      <c r="G37" s="86"/>
      <c r="H37" s="21"/>
      <c r="I37" s="89"/>
      <c r="J37" s="88"/>
      <c r="K37" s="60"/>
      <c r="L37" s="89"/>
      <c r="M37" s="137"/>
      <c r="N37" s="137"/>
      <c r="O37" s="137"/>
      <c r="P37" s="137"/>
      <c r="Q37" s="778"/>
      <c r="R37" s="253"/>
      <c r="S37" s="137"/>
      <c r="T37" s="136"/>
      <c r="U37" s="979"/>
      <c r="V37" s="765"/>
      <c r="W37" s="765"/>
      <c r="X37" s="752"/>
      <c r="Y37" s="658"/>
      <c r="Z37" s="749"/>
      <c r="AA37" s="749"/>
      <c r="AB37" s="660"/>
      <c r="AC37" s="725"/>
      <c r="AD37" s="720"/>
      <c r="AE37" s="544"/>
      <c r="AF37" s="544"/>
      <c r="AN37" s="544"/>
      <c r="AO37" s="544"/>
      <c r="AP37" s="77"/>
      <c r="AQ37" s="116"/>
    </row>
    <row r="38" spans="2:43" ht="13.15" hidden="1" customHeight="1" x14ac:dyDescent="0.2">
      <c r="B38" s="18"/>
      <c r="C38" s="23"/>
      <c r="D38" s="100"/>
      <c r="E38" s="101"/>
      <c r="F38" s="25"/>
      <c r="G38" s="102"/>
      <c r="H38" s="103"/>
      <c r="I38" s="103"/>
      <c r="J38" s="104"/>
      <c r="K38" s="24"/>
      <c r="L38" s="103"/>
      <c r="M38" s="25"/>
      <c r="N38" s="25"/>
      <c r="O38" s="25"/>
      <c r="P38" s="25"/>
      <c r="Q38" s="349"/>
      <c r="R38" s="278"/>
      <c r="S38" s="800"/>
      <c r="T38" s="107"/>
      <c r="U38" s="980"/>
      <c r="V38" s="682"/>
      <c r="W38" s="682"/>
      <c r="X38" s="683"/>
      <c r="Y38" s="684"/>
      <c r="AE38" s="658"/>
      <c r="AF38" s="659"/>
      <c r="AG38" s="658"/>
      <c r="AH38" s="658"/>
      <c r="AI38" s="658"/>
      <c r="AJ38" s="658"/>
      <c r="AK38" s="660"/>
      <c r="AL38" s="661"/>
      <c r="AM38" s="662"/>
      <c r="AN38" s="663"/>
      <c r="AO38" s="660"/>
    </row>
    <row r="39" spans="2:43" s="8" customFormat="1" ht="13.15" hidden="1" customHeight="1" x14ac:dyDescent="0.2">
      <c r="B39" s="605"/>
      <c r="C39" s="282"/>
      <c r="D39" s="1340" t="s">
        <v>126</v>
      </c>
      <c r="E39" s="1341"/>
      <c r="F39" s="1341"/>
      <c r="G39" s="1341"/>
      <c r="H39" s="1342"/>
      <c r="I39" s="1342"/>
      <c r="J39" s="1342"/>
      <c r="K39" s="685"/>
      <c r="L39" s="1294" t="s">
        <v>440</v>
      </c>
      <c r="M39" s="687"/>
      <c r="N39" s="687"/>
      <c r="O39" s="687"/>
      <c r="P39" s="687"/>
      <c r="Q39" s="794" t="s">
        <v>450</v>
      </c>
      <c r="R39" s="687"/>
      <c r="S39" s="687"/>
      <c r="T39" s="606"/>
      <c r="U39" s="981"/>
      <c r="V39" s="689"/>
      <c r="W39" s="689"/>
      <c r="X39" s="690"/>
      <c r="Y39" s="691"/>
      <c r="Z39" s="692"/>
      <c r="AA39" s="692"/>
      <c r="AB39" s="660"/>
      <c r="AC39" s="725"/>
      <c r="AD39" s="660"/>
      <c r="AE39" s="694"/>
      <c r="AF39" s="694"/>
      <c r="AG39" s="694"/>
      <c r="AH39" s="694"/>
      <c r="AI39" s="694"/>
      <c r="AJ39" s="694"/>
      <c r="AK39" s="694"/>
      <c r="AL39" s="694"/>
      <c r="AM39" s="694"/>
      <c r="AN39" s="694"/>
      <c r="AO39" s="694"/>
      <c r="AP39" s="165"/>
      <c r="AQ39" s="165"/>
    </row>
    <row r="40" spans="2:43" s="8" customFormat="1" ht="13.15" hidden="1" customHeight="1" x14ac:dyDescent="0.2">
      <c r="B40" s="605"/>
      <c r="C40" s="282"/>
      <c r="D40" s="696" t="s">
        <v>529</v>
      </c>
      <c r="E40" s="696" t="s">
        <v>88</v>
      </c>
      <c r="F40" s="697" t="s">
        <v>128</v>
      </c>
      <c r="G40" s="698" t="s">
        <v>129</v>
      </c>
      <c r="H40" s="697" t="s">
        <v>130</v>
      </c>
      <c r="I40" s="697" t="s">
        <v>131</v>
      </c>
      <c r="J40" s="699" t="s">
        <v>132</v>
      </c>
      <c r="K40" s="726"/>
      <c r="L40" s="700" t="s">
        <v>441</v>
      </c>
      <c r="M40" s="700" t="s">
        <v>444</v>
      </c>
      <c r="N40" s="700" t="s">
        <v>446</v>
      </c>
      <c r="O40" s="700" t="s">
        <v>443</v>
      </c>
      <c r="P40" s="722" t="s">
        <v>449</v>
      </c>
      <c r="Q40" s="775" t="s">
        <v>133</v>
      </c>
      <c r="R40" s="702" t="s">
        <v>453</v>
      </c>
      <c r="S40" s="703" t="s">
        <v>133</v>
      </c>
      <c r="T40" s="115"/>
      <c r="U40" s="976"/>
      <c r="V40" s="704"/>
      <c r="W40" s="704"/>
      <c r="X40" s="705" t="s">
        <v>139</v>
      </c>
      <c r="Y40" s="706" t="s">
        <v>454</v>
      </c>
      <c r="Z40" s="707" t="s">
        <v>455</v>
      </c>
      <c r="AA40" s="707" t="s">
        <v>455</v>
      </c>
      <c r="AB40" s="707" t="s">
        <v>456</v>
      </c>
      <c r="AC40" s="721" t="s">
        <v>457</v>
      </c>
      <c r="AD40" s="707" t="s">
        <v>458</v>
      </c>
      <c r="AE40" s="707" t="s">
        <v>459</v>
      </c>
      <c r="AF40" s="707" t="s">
        <v>134</v>
      </c>
      <c r="AG40" s="703" t="s">
        <v>135</v>
      </c>
      <c r="AH40" s="694"/>
      <c r="AI40" s="694"/>
      <c r="AJ40" s="694"/>
      <c r="AK40" s="694"/>
      <c r="AL40" s="694"/>
      <c r="AM40" s="694"/>
      <c r="AN40" s="694"/>
      <c r="AO40" s="694"/>
      <c r="AP40" s="165"/>
      <c r="AQ40" s="167"/>
    </row>
    <row r="41" spans="2:43" ht="13.15" hidden="1" customHeight="1" x14ac:dyDescent="0.2">
      <c r="B41" s="18"/>
      <c r="C41" s="282"/>
      <c r="D41" s="1295"/>
      <c r="E41" s="696"/>
      <c r="F41" s="697" t="s">
        <v>136</v>
      </c>
      <c r="G41" s="698" t="s">
        <v>137</v>
      </c>
      <c r="H41" s="697"/>
      <c r="I41" s="697"/>
      <c r="J41" s="699" t="s">
        <v>138</v>
      </c>
      <c r="K41" s="726"/>
      <c r="L41" s="700" t="s">
        <v>442</v>
      </c>
      <c r="M41" s="700" t="s">
        <v>445</v>
      </c>
      <c r="N41" s="700" t="s">
        <v>447</v>
      </c>
      <c r="O41" s="700" t="s">
        <v>448</v>
      </c>
      <c r="P41" s="722" t="s">
        <v>141</v>
      </c>
      <c r="Q41" s="586" t="s">
        <v>451</v>
      </c>
      <c r="R41" s="702" t="s">
        <v>452</v>
      </c>
      <c r="S41" s="722" t="s">
        <v>141</v>
      </c>
      <c r="T41" s="115"/>
      <c r="U41" s="976"/>
      <c r="V41" s="704"/>
      <c r="W41" s="704"/>
      <c r="X41" s="707" t="s">
        <v>460</v>
      </c>
      <c r="Y41" s="711">
        <f>tab!C$193</f>
        <v>0.6</v>
      </c>
      <c r="Z41" s="707" t="s">
        <v>461</v>
      </c>
      <c r="AA41" s="707" t="s">
        <v>462</v>
      </c>
      <c r="AB41" s="707" t="s">
        <v>463</v>
      </c>
      <c r="AC41" s="721" t="s">
        <v>464</v>
      </c>
      <c r="AD41" s="707" t="s">
        <v>464</v>
      </c>
      <c r="AE41" s="707" t="s">
        <v>465</v>
      </c>
      <c r="AF41" s="707"/>
      <c r="AG41" s="707" t="s">
        <v>140</v>
      </c>
      <c r="AN41" s="544"/>
      <c r="AO41" s="544"/>
      <c r="AQ41" s="116"/>
    </row>
    <row r="42" spans="2:43" ht="13.15" hidden="1" customHeight="1" x14ac:dyDescent="0.2">
      <c r="B42" s="18"/>
      <c r="C42" s="31"/>
      <c r="D42" s="1"/>
      <c r="E42" s="1"/>
      <c r="F42" s="108"/>
      <c r="G42" s="109"/>
      <c r="H42" s="110"/>
      <c r="I42" s="110"/>
      <c r="J42" s="111"/>
      <c r="K42" s="108"/>
      <c r="L42" s="599"/>
      <c r="M42" s="113"/>
      <c r="N42" s="113"/>
      <c r="O42" s="113"/>
      <c r="P42" s="113"/>
      <c r="Q42" s="776"/>
      <c r="R42" s="114"/>
      <c r="S42" s="113"/>
      <c r="T42" s="115"/>
      <c r="U42" s="976"/>
      <c r="V42" s="704"/>
      <c r="W42" s="704"/>
      <c r="X42" s="739"/>
      <c r="Y42" s="740"/>
      <c r="AE42" s="544"/>
      <c r="AF42" s="544"/>
      <c r="AN42" s="544"/>
      <c r="AO42" s="544"/>
      <c r="AQ42" s="116"/>
    </row>
    <row r="43" spans="2:43" ht="13.15" hidden="1" customHeight="1" x14ac:dyDescent="0.2">
      <c r="B43" s="18"/>
      <c r="C43" s="31"/>
      <c r="D43" s="117" t="str">
        <f>IF(dir!D16=0,"",dir!D16)</f>
        <v/>
      </c>
      <c r="E43" s="117" t="str">
        <f>IF(dir!E16=0,"",dir!E16)</f>
        <v>nn</v>
      </c>
      <c r="F43" s="33" t="str">
        <f>IF(F16="","",F16+1)</f>
        <v/>
      </c>
      <c r="G43" s="118" t="str">
        <f>IF(dir!G16=0,"",dir!G16)</f>
        <v/>
      </c>
      <c r="H43" s="119" t="s">
        <v>610</v>
      </c>
      <c r="I43" s="119">
        <v>7</v>
      </c>
      <c r="J43" s="120">
        <f>IF(dir!J16=0,0,dir!J16)</f>
        <v>1</v>
      </c>
      <c r="K43" s="121"/>
      <c r="L43" s="1139">
        <f>IF(dir!L16=0,0,dir!L16)</f>
        <v>0</v>
      </c>
      <c r="M43" s="1139">
        <f>IF(dir!M16=0,0,dir!M16)</f>
        <v>0</v>
      </c>
      <c r="N43" s="1264">
        <f>IF(J43="","",IF(J43*40&gt;40,40,J43*40)*7/12)</f>
        <v>23.333333333333332</v>
      </c>
      <c r="O43" s="795"/>
      <c r="P43" s="1264">
        <f>IF(J43="","",SUM(L43:O43))</f>
        <v>23.333333333333332</v>
      </c>
      <c r="Q43" s="570">
        <f t="shared" ref="Q43:Q57" si="15">IF(J43="","",(1659*J43-P43)*AA43)</f>
        <v>44589.515611814357</v>
      </c>
      <c r="R43" s="767">
        <f>IF(J43="","",(P43*AB43)+Z43*(AC43+AD43*(1-AE43)))</f>
        <v>636.08438818565401</v>
      </c>
      <c r="S43" s="796">
        <f>IF(E43="","",(Q43+R43))</f>
        <v>45225.600000000013</v>
      </c>
      <c r="T43" s="283"/>
      <c r="U43" s="977"/>
      <c r="V43" s="761"/>
      <c r="W43" s="761"/>
      <c r="X43" s="741">
        <f>IF(H43="","",7/12*VLOOKUP(H43,Salaris2020,I43+1,FALSE))</f>
        <v>2355.5</v>
      </c>
      <c r="Y43" s="742">
        <f>$Y$14</f>
        <v>0.6</v>
      </c>
      <c r="Z43" s="743">
        <f t="shared" ref="Z43:Z57" si="16">X43*12/1659</f>
        <v>17.037974683544302</v>
      </c>
      <c r="AA43" s="743">
        <f t="shared" ref="AA43:AA57" si="17">X43*12*(1+Y43)/1659</f>
        <v>27.260759493670889</v>
      </c>
      <c r="AB43" s="744">
        <f>AA43-Z43</f>
        <v>10.222784810126587</v>
      </c>
      <c r="AC43" s="725">
        <f t="shared" ref="AC43:AC57" si="18">N43+O43</f>
        <v>23.333333333333332</v>
      </c>
      <c r="AD43" s="693">
        <f t="shared" ref="AD43:AD57" si="19">L43+M43</f>
        <v>0</v>
      </c>
      <c r="AE43" s="745">
        <f>IF(H43&gt;8,tab!C$194,tab!C$197)</f>
        <v>0.5</v>
      </c>
      <c r="AF43" s="544">
        <f t="shared" ref="AF43:AF57" si="20">IF(F43&lt;25,0,IF(F43=25,25,IF(F43&lt;40,0,IF(F43=40,40,IF(F43&gt;=40,0)))))</f>
        <v>0</v>
      </c>
      <c r="AG43" s="746">
        <f t="shared" ref="AG43:AG57" si="21">IF(AF43=25,(X43*1.08*J43/2),IF(AF43=40,(X43*1.08*J43),IF(AF43=0,0)))</f>
        <v>0</v>
      </c>
      <c r="AL43" s="753"/>
    </row>
    <row r="44" spans="2:43" ht="13.15" hidden="1"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39">
        <f>IF(dir!L17=0,0,dir!L17)</f>
        <v>0</v>
      </c>
      <c r="M44" s="1139">
        <f>IF(dir!M17=0,0,dir!M17)</f>
        <v>0</v>
      </c>
      <c r="N44" s="1264" t="str">
        <f t="shared" ref="N44:N57" si="23">IF(J44="","",IF(J44*40&gt;40,40,J44*40))</f>
        <v/>
      </c>
      <c r="O44" s="795"/>
      <c r="P44" s="1264" t="str">
        <f t="shared" ref="P44:P57" si="24">IF(J44="","",SUM(L44:O44))</f>
        <v/>
      </c>
      <c r="Q44" s="570" t="str">
        <f t="shared" si="15"/>
        <v/>
      </c>
      <c r="R44" s="767" t="str">
        <f t="shared" ref="R44:R57" si="25">IF(J44="","",(P44*AB44)+Z44*(AC44+AD44*(1-AE44)))</f>
        <v/>
      </c>
      <c r="S44" s="796" t="str">
        <f t="shared" ref="S44:S57" si="26">IF(E44="","",(Q44+R44))</f>
        <v/>
      </c>
      <c r="T44" s="283"/>
      <c r="U44" s="977"/>
      <c r="V44" s="761"/>
      <c r="W44" s="761"/>
      <c r="X44" s="741" t="str">
        <f t="shared" ref="X44:X57" si="27">IF(H44="","",1/12*VLOOKUP(H44,Schaal2016,I44+1,FALSE)+4/12*VLOOKUP(H44,Schaal2018sept,I44+1,FALSE)+7/12*VLOOKUP(H44,Salaris2019,I44+1,FALSE))</f>
        <v/>
      </c>
      <c r="Y44" s="742">
        <f t="shared" ref="Y44:Y57" si="28">$Y$14</f>
        <v>0.6</v>
      </c>
      <c r="Z44" s="743" t="e">
        <f t="shared" si="16"/>
        <v>#VALUE!</v>
      </c>
      <c r="AA44" s="743" t="e">
        <f t="shared" si="17"/>
        <v>#VALUE!</v>
      </c>
      <c r="AB44" s="744" t="e">
        <f t="shared" ref="AB44:AB57" si="29">AA44-Z44</f>
        <v>#VALUE!</v>
      </c>
      <c r="AC44" s="725" t="e">
        <f t="shared" si="18"/>
        <v>#VALUE!</v>
      </c>
      <c r="AD44" s="693">
        <f t="shared" si="19"/>
        <v>0</v>
      </c>
      <c r="AE44" s="745">
        <f>IF(H44&gt;8,tab!C$194,tab!C$197)</f>
        <v>0.4</v>
      </c>
      <c r="AF44" s="544">
        <f t="shared" si="20"/>
        <v>0</v>
      </c>
      <c r="AG44" s="746">
        <f t="shared" si="21"/>
        <v>0</v>
      </c>
      <c r="AL44" s="753"/>
    </row>
    <row r="45" spans="2:43" ht="13.15" hidden="1"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39">
        <f>IF(dir!L18=0,0,dir!L18)</f>
        <v>0</v>
      </c>
      <c r="M45" s="1139">
        <f>IF(dir!M18=0,0,dir!M18)</f>
        <v>0</v>
      </c>
      <c r="N45" s="1264" t="str">
        <f t="shared" si="23"/>
        <v/>
      </c>
      <c r="O45" s="795"/>
      <c r="P45" s="1264" t="str">
        <f t="shared" si="24"/>
        <v/>
      </c>
      <c r="Q45" s="570" t="str">
        <f t="shared" si="15"/>
        <v/>
      </c>
      <c r="R45" s="767" t="str">
        <f t="shared" si="25"/>
        <v/>
      </c>
      <c r="S45" s="796" t="str">
        <f t="shared" si="26"/>
        <v/>
      </c>
      <c r="T45" s="283"/>
      <c r="U45" s="977"/>
      <c r="V45" s="761"/>
      <c r="W45" s="761"/>
      <c r="X45" s="741" t="str">
        <f t="shared" si="27"/>
        <v/>
      </c>
      <c r="Y45" s="742">
        <f t="shared" si="28"/>
        <v>0.6</v>
      </c>
      <c r="Z45" s="743" t="e">
        <f t="shared" si="16"/>
        <v>#VALUE!</v>
      </c>
      <c r="AA45" s="743" t="e">
        <f t="shared" si="17"/>
        <v>#VALUE!</v>
      </c>
      <c r="AB45" s="744" t="e">
        <f t="shared" si="29"/>
        <v>#VALUE!</v>
      </c>
      <c r="AC45" s="725" t="e">
        <f t="shared" si="18"/>
        <v>#VALUE!</v>
      </c>
      <c r="AD45" s="693">
        <f t="shared" si="19"/>
        <v>0</v>
      </c>
      <c r="AE45" s="745">
        <f>IF(H45&gt;8,tab!C$194,tab!C$197)</f>
        <v>0.4</v>
      </c>
      <c r="AF45" s="544">
        <f t="shared" si="20"/>
        <v>0</v>
      </c>
      <c r="AG45" s="746">
        <f t="shared" si="21"/>
        <v>0</v>
      </c>
      <c r="AL45" s="753"/>
    </row>
    <row r="46" spans="2:43" ht="13.15" hidden="1"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39">
        <f>IF(dir!L19=0,0,dir!L19)</f>
        <v>0</v>
      </c>
      <c r="M46" s="1139">
        <f>IF(dir!M19=0,0,dir!M19)</f>
        <v>0</v>
      </c>
      <c r="N46" s="1264" t="str">
        <f t="shared" si="23"/>
        <v/>
      </c>
      <c r="O46" s="795"/>
      <c r="P46" s="1264" t="str">
        <f t="shared" si="24"/>
        <v/>
      </c>
      <c r="Q46" s="570" t="str">
        <f t="shared" si="15"/>
        <v/>
      </c>
      <c r="R46" s="767" t="str">
        <f t="shared" si="25"/>
        <v/>
      </c>
      <c r="S46" s="796" t="str">
        <f t="shared" si="26"/>
        <v/>
      </c>
      <c r="T46" s="283"/>
      <c r="U46" s="977"/>
      <c r="V46" s="761"/>
      <c r="W46" s="761"/>
      <c r="X46" s="741" t="str">
        <f t="shared" si="27"/>
        <v/>
      </c>
      <c r="Y46" s="742">
        <f t="shared" si="28"/>
        <v>0.6</v>
      </c>
      <c r="Z46" s="743" t="e">
        <f t="shared" si="16"/>
        <v>#VALUE!</v>
      </c>
      <c r="AA46" s="743" t="e">
        <f t="shared" si="17"/>
        <v>#VALUE!</v>
      </c>
      <c r="AB46" s="744" t="e">
        <f t="shared" si="29"/>
        <v>#VALUE!</v>
      </c>
      <c r="AC46" s="725" t="e">
        <f t="shared" si="18"/>
        <v>#VALUE!</v>
      </c>
      <c r="AD46" s="693">
        <f t="shared" si="19"/>
        <v>0</v>
      </c>
      <c r="AE46" s="745">
        <f>IF(H46&gt;8,tab!C$194,tab!C$197)</f>
        <v>0.4</v>
      </c>
      <c r="AF46" s="544">
        <f t="shared" si="20"/>
        <v>0</v>
      </c>
      <c r="AG46" s="746">
        <f t="shared" si="21"/>
        <v>0</v>
      </c>
      <c r="AL46" s="753"/>
    </row>
    <row r="47" spans="2:43" ht="13.15" hidden="1"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39">
        <f>IF(dir!L20=0,0,dir!L20)</f>
        <v>0</v>
      </c>
      <c r="M47" s="1139">
        <f>IF(dir!M20=0,0,dir!M20)</f>
        <v>0</v>
      </c>
      <c r="N47" s="1264" t="str">
        <f t="shared" si="23"/>
        <v/>
      </c>
      <c r="O47" s="795"/>
      <c r="P47" s="1264" t="str">
        <f t="shared" si="24"/>
        <v/>
      </c>
      <c r="Q47" s="570" t="str">
        <f t="shared" si="15"/>
        <v/>
      </c>
      <c r="R47" s="767" t="str">
        <f t="shared" si="25"/>
        <v/>
      </c>
      <c r="S47" s="796" t="str">
        <f t="shared" si="26"/>
        <v/>
      </c>
      <c r="T47" s="283"/>
      <c r="U47" s="977"/>
      <c r="V47" s="761"/>
      <c r="W47" s="761"/>
      <c r="X47" s="741" t="str">
        <f t="shared" si="27"/>
        <v/>
      </c>
      <c r="Y47" s="742">
        <f t="shared" si="28"/>
        <v>0.6</v>
      </c>
      <c r="Z47" s="743" t="e">
        <f t="shared" si="16"/>
        <v>#VALUE!</v>
      </c>
      <c r="AA47" s="743" t="e">
        <f t="shared" si="17"/>
        <v>#VALUE!</v>
      </c>
      <c r="AB47" s="744" t="e">
        <f t="shared" si="29"/>
        <v>#VALUE!</v>
      </c>
      <c r="AC47" s="725" t="e">
        <f t="shared" si="18"/>
        <v>#VALUE!</v>
      </c>
      <c r="AD47" s="693">
        <f t="shared" si="19"/>
        <v>0</v>
      </c>
      <c r="AE47" s="745">
        <f>IF(H47&gt;8,tab!C$194,tab!C$197)</f>
        <v>0.4</v>
      </c>
      <c r="AF47" s="544">
        <f t="shared" si="20"/>
        <v>0</v>
      </c>
      <c r="AG47" s="746">
        <f t="shared" si="21"/>
        <v>0</v>
      </c>
      <c r="AL47" s="753"/>
    </row>
    <row r="48" spans="2:43" ht="13.15" hidden="1"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39">
        <f>IF(dir!L21=0,0,dir!L21)</f>
        <v>0</v>
      </c>
      <c r="M48" s="1139">
        <f>IF(dir!M21=0,0,dir!M21)</f>
        <v>0</v>
      </c>
      <c r="N48" s="1264" t="str">
        <f t="shared" si="23"/>
        <v/>
      </c>
      <c r="O48" s="795"/>
      <c r="P48" s="1264" t="str">
        <f t="shared" si="24"/>
        <v/>
      </c>
      <c r="Q48" s="570" t="str">
        <f t="shared" si="15"/>
        <v/>
      </c>
      <c r="R48" s="767" t="str">
        <f t="shared" si="25"/>
        <v/>
      </c>
      <c r="S48" s="796" t="str">
        <f t="shared" si="26"/>
        <v/>
      </c>
      <c r="T48" s="283"/>
      <c r="U48" s="977"/>
      <c r="V48" s="761"/>
      <c r="W48" s="761"/>
      <c r="X48" s="741" t="str">
        <f t="shared" si="27"/>
        <v/>
      </c>
      <c r="Y48" s="742">
        <f t="shared" si="28"/>
        <v>0.6</v>
      </c>
      <c r="Z48" s="743" t="e">
        <f t="shared" si="16"/>
        <v>#VALUE!</v>
      </c>
      <c r="AA48" s="743" t="e">
        <f t="shared" si="17"/>
        <v>#VALUE!</v>
      </c>
      <c r="AB48" s="744" t="e">
        <f t="shared" si="29"/>
        <v>#VALUE!</v>
      </c>
      <c r="AC48" s="725" t="e">
        <f t="shared" si="18"/>
        <v>#VALUE!</v>
      </c>
      <c r="AD48" s="693">
        <f t="shared" si="19"/>
        <v>0</v>
      </c>
      <c r="AE48" s="745">
        <f>IF(H48&gt;8,tab!C$194,tab!C$197)</f>
        <v>0.4</v>
      </c>
      <c r="AF48" s="544">
        <f t="shared" si="20"/>
        <v>0</v>
      </c>
      <c r="AG48" s="746">
        <f t="shared" si="21"/>
        <v>0</v>
      </c>
      <c r="AL48" s="753"/>
    </row>
    <row r="49" spans="2:41" ht="13.15" hidden="1"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39">
        <f>IF(dir!L22=0,0,dir!L22)</f>
        <v>0</v>
      </c>
      <c r="M49" s="1139">
        <f>IF(dir!M22=0,0,dir!M22)</f>
        <v>0</v>
      </c>
      <c r="N49" s="1264" t="str">
        <f t="shared" si="23"/>
        <v/>
      </c>
      <c r="O49" s="795"/>
      <c r="P49" s="1264" t="str">
        <f t="shared" si="24"/>
        <v/>
      </c>
      <c r="Q49" s="570" t="str">
        <f t="shared" si="15"/>
        <v/>
      </c>
      <c r="R49" s="767" t="str">
        <f t="shared" si="25"/>
        <v/>
      </c>
      <c r="S49" s="796" t="str">
        <f t="shared" si="26"/>
        <v/>
      </c>
      <c r="T49" s="283"/>
      <c r="U49" s="977"/>
      <c r="V49" s="761"/>
      <c r="W49" s="761"/>
      <c r="X49" s="741" t="str">
        <f t="shared" si="27"/>
        <v/>
      </c>
      <c r="Y49" s="742">
        <f t="shared" si="28"/>
        <v>0.6</v>
      </c>
      <c r="Z49" s="743" t="e">
        <f t="shared" si="16"/>
        <v>#VALUE!</v>
      </c>
      <c r="AA49" s="743" t="e">
        <f t="shared" si="17"/>
        <v>#VALUE!</v>
      </c>
      <c r="AB49" s="744" t="e">
        <f t="shared" si="29"/>
        <v>#VALUE!</v>
      </c>
      <c r="AC49" s="725" t="e">
        <f t="shared" si="18"/>
        <v>#VALUE!</v>
      </c>
      <c r="AD49" s="693">
        <f t="shared" si="19"/>
        <v>0</v>
      </c>
      <c r="AE49" s="745">
        <f>IF(H49&gt;8,tab!C$194,tab!C$197)</f>
        <v>0.4</v>
      </c>
      <c r="AF49" s="544">
        <f t="shared" si="20"/>
        <v>0</v>
      </c>
      <c r="AG49" s="746">
        <f t="shared" si="21"/>
        <v>0</v>
      </c>
      <c r="AL49" s="753"/>
      <c r="AN49" s="544"/>
      <c r="AO49" s="544"/>
    </row>
    <row r="50" spans="2:41" ht="13.15" hidden="1"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39">
        <f>IF(dir!L23=0,0,dir!L23)</f>
        <v>0</v>
      </c>
      <c r="M50" s="1139">
        <f>IF(dir!M23=0,0,dir!M23)</f>
        <v>0</v>
      </c>
      <c r="N50" s="1264" t="str">
        <f t="shared" si="23"/>
        <v/>
      </c>
      <c r="O50" s="795"/>
      <c r="P50" s="1264" t="str">
        <f t="shared" si="24"/>
        <v/>
      </c>
      <c r="Q50" s="570" t="str">
        <f t="shared" si="15"/>
        <v/>
      </c>
      <c r="R50" s="767" t="str">
        <f t="shared" si="25"/>
        <v/>
      </c>
      <c r="S50" s="796" t="str">
        <f t="shared" si="26"/>
        <v/>
      </c>
      <c r="T50" s="283"/>
      <c r="U50" s="977"/>
      <c r="V50" s="761"/>
      <c r="W50" s="761"/>
      <c r="X50" s="741" t="str">
        <f t="shared" si="27"/>
        <v/>
      </c>
      <c r="Y50" s="742">
        <f t="shared" si="28"/>
        <v>0.6</v>
      </c>
      <c r="Z50" s="743" t="e">
        <f t="shared" si="16"/>
        <v>#VALUE!</v>
      </c>
      <c r="AA50" s="743" t="e">
        <f t="shared" si="17"/>
        <v>#VALUE!</v>
      </c>
      <c r="AB50" s="744" t="e">
        <f t="shared" si="29"/>
        <v>#VALUE!</v>
      </c>
      <c r="AC50" s="725" t="e">
        <f t="shared" si="18"/>
        <v>#VALUE!</v>
      </c>
      <c r="AD50" s="693">
        <f t="shared" si="19"/>
        <v>0</v>
      </c>
      <c r="AE50" s="745">
        <f>IF(H50&gt;8,tab!C$194,tab!C$197)</f>
        <v>0.4</v>
      </c>
      <c r="AF50" s="544">
        <f t="shared" si="20"/>
        <v>0</v>
      </c>
      <c r="AG50" s="746">
        <f t="shared" si="21"/>
        <v>0</v>
      </c>
      <c r="AL50" s="753"/>
      <c r="AN50" s="544"/>
      <c r="AO50" s="544"/>
    </row>
    <row r="51" spans="2:41" ht="13.15" hidden="1"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39">
        <f>IF(dir!L24=0,0,dir!L24)</f>
        <v>0</v>
      </c>
      <c r="M51" s="1139">
        <f>IF(dir!M24=0,0,dir!M24)</f>
        <v>0</v>
      </c>
      <c r="N51" s="1264" t="str">
        <f t="shared" si="23"/>
        <v/>
      </c>
      <c r="O51" s="795"/>
      <c r="P51" s="1264" t="str">
        <f t="shared" si="24"/>
        <v/>
      </c>
      <c r="Q51" s="570" t="str">
        <f t="shared" si="15"/>
        <v/>
      </c>
      <c r="R51" s="767" t="str">
        <f t="shared" si="25"/>
        <v/>
      </c>
      <c r="S51" s="796" t="str">
        <f t="shared" si="26"/>
        <v/>
      </c>
      <c r="T51" s="283"/>
      <c r="U51" s="977"/>
      <c r="V51" s="761"/>
      <c r="W51" s="761"/>
      <c r="X51" s="741" t="str">
        <f t="shared" si="27"/>
        <v/>
      </c>
      <c r="Y51" s="742">
        <f t="shared" si="28"/>
        <v>0.6</v>
      </c>
      <c r="Z51" s="743" t="e">
        <f t="shared" si="16"/>
        <v>#VALUE!</v>
      </c>
      <c r="AA51" s="743" t="e">
        <f t="shared" si="17"/>
        <v>#VALUE!</v>
      </c>
      <c r="AB51" s="744" t="e">
        <f t="shared" si="29"/>
        <v>#VALUE!</v>
      </c>
      <c r="AC51" s="725" t="e">
        <f t="shared" si="18"/>
        <v>#VALUE!</v>
      </c>
      <c r="AD51" s="693">
        <f t="shared" si="19"/>
        <v>0</v>
      </c>
      <c r="AE51" s="745">
        <f>IF(H51&gt;8,tab!C$194,tab!C$197)</f>
        <v>0.4</v>
      </c>
      <c r="AF51" s="544">
        <f t="shared" si="20"/>
        <v>0</v>
      </c>
      <c r="AG51" s="746">
        <f t="shared" si="21"/>
        <v>0</v>
      </c>
      <c r="AL51" s="753"/>
      <c r="AN51" s="544"/>
      <c r="AO51" s="544"/>
    </row>
    <row r="52" spans="2:41" ht="13.15" hidden="1"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39">
        <f>IF(dir!L25=0,0,dir!L25)</f>
        <v>0</v>
      </c>
      <c r="M52" s="1139">
        <f>IF(dir!M25=0,0,dir!M25)</f>
        <v>0</v>
      </c>
      <c r="N52" s="1264" t="str">
        <f t="shared" si="23"/>
        <v/>
      </c>
      <c r="O52" s="795"/>
      <c r="P52" s="1264" t="str">
        <f t="shared" si="24"/>
        <v/>
      </c>
      <c r="Q52" s="570" t="str">
        <f t="shared" si="15"/>
        <v/>
      </c>
      <c r="R52" s="767" t="str">
        <f t="shared" si="25"/>
        <v/>
      </c>
      <c r="S52" s="796" t="str">
        <f t="shared" si="26"/>
        <v/>
      </c>
      <c r="T52" s="283"/>
      <c r="U52" s="977"/>
      <c r="V52" s="761"/>
      <c r="W52" s="761"/>
      <c r="X52" s="741" t="str">
        <f t="shared" si="27"/>
        <v/>
      </c>
      <c r="Y52" s="742">
        <f t="shared" si="28"/>
        <v>0.6</v>
      </c>
      <c r="Z52" s="743" t="e">
        <f t="shared" si="16"/>
        <v>#VALUE!</v>
      </c>
      <c r="AA52" s="743" t="e">
        <f t="shared" si="17"/>
        <v>#VALUE!</v>
      </c>
      <c r="AB52" s="744" t="e">
        <f t="shared" si="29"/>
        <v>#VALUE!</v>
      </c>
      <c r="AC52" s="725" t="e">
        <f t="shared" si="18"/>
        <v>#VALUE!</v>
      </c>
      <c r="AD52" s="693">
        <f t="shared" si="19"/>
        <v>0</v>
      </c>
      <c r="AE52" s="745">
        <f>IF(H52&gt;8,tab!C$194,tab!C$197)</f>
        <v>0.4</v>
      </c>
      <c r="AF52" s="544">
        <f t="shared" si="20"/>
        <v>0</v>
      </c>
      <c r="AG52" s="746">
        <f t="shared" si="21"/>
        <v>0</v>
      </c>
      <c r="AL52" s="753"/>
      <c r="AN52" s="544"/>
      <c r="AO52" s="544"/>
    </row>
    <row r="53" spans="2:41" ht="13.15" hidden="1"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39">
        <f>IF(dir!L26=0,0,dir!L26)</f>
        <v>0</v>
      </c>
      <c r="M53" s="1139">
        <f>IF(dir!M26=0,0,dir!M26)</f>
        <v>0</v>
      </c>
      <c r="N53" s="1264" t="str">
        <f t="shared" si="23"/>
        <v/>
      </c>
      <c r="O53" s="795"/>
      <c r="P53" s="1264" t="str">
        <f t="shared" si="24"/>
        <v/>
      </c>
      <c r="Q53" s="570" t="str">
        <f t="shared" si="15"/>
        <v/>
      </c>
      <c r="R53" s="767" t="str">
        <f t="shared" si="25"/>
        <v/>
      </c>
      <c r="S53" s="796" t="str">
        <f t="shared" si="26"/>
        <v/>
      </c>
      <c r="T53" s="283"/>
      <c r="U53" s="977"/>
      <c r="V53" s="761"/>
      <c r="W53" s="761"/>
      <c r="X53" s="741" t="str">
        <f t="shared" si="27"/>
        <v/>
      </c>
      <c r="Y53" s="742">
        <f t="shared" si="28"/>
        <v>0.6</v>
      </c>
      <c r="Z53" s="743" t="e">
        <f t="shared" si="16"/>
        <v>#VALUE!</v>
      </c>
      <c r="AA53" s="743" t="e">
        <f t="shared" si="17"/>
        <v>#VALUE!</v>
      </c>
      <c r="AB53" s="744" t="e">
        <f t="shared" si="29"/>
        <v>#VALUE!</v>
      </c>
      <c r="AC53" s="725" t="e">
        <f t="shared" si="18"/>
        <v>#VALUE!</v>
      </c>
      <c r="AD53" s="693">
        <f t="shared" si="19"/>
        <v>0</v>
      </c>
      <c r="AE53" s="745">
        <f>IF(H53&gt;8,tab!C$194,tab!C$197)</f>
        <v>0.4</v>
      </c>
      <c r="AF53" s="544">
        <f t="shared" si="20"/>
        <v>0</v>
      </c>
      <c r="AG53" s="746">
        <f t="shared" si="21"/>
        <v>0</v>
      </c>
      <c r="AL53" s="753"/>
      <c r="AN53" s="544"/>
      <c r="AO53" s="544"/>
    </row>
    <row r="54" spans="2:41" ht="13.15" hidden="1"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39">
        <f>IF(dir!L27=0,0,dir!L27)</f>
        <v>0</v>
      </c>
      <c r="M54" s="1139">
        <f>IF(dir!M27=0,0,dir!M27)</f>
        <v>0</v>
      </c>
      <c r="N54" s="1264" t="str">
        <f t="shared" si="23"/>
        <v/>
      </c>
      <c r="O54" s="795"/>
      <c r="P54" s="1264" t="str">
        <f t="shared" si="24"/>
        <v/>
      </c>
      <c r="Q54" s="570" t="str">
        <f t="shared" si="15"/>
        <v/>
      </c>
      <c r="R54" s="767" t="str">
        <f t="shared" si="25"/>
        <v/>
      </c>
      <c r="S54" s="796" t="str">
        <f t="shared" si="26"/>
        <v/>
      </c>
      <c r="T54" s="283"/>
      <c r="U54" s="977"/>
      <c r="V54" s="761"/>
      <c r="W54" s="761"/>
      <c r="X54" s="741" t="str">
        <f t="shared" si="27"/>
        <v/>
      </c>
      <c r="Y54" s="742">
        <f t="shared" si="28"/>
        <v>0.6</v>
      </c>
      <c r="Z54" s="743" t="e">
        <f t="shared" si="16"/>
        <v>#VALUE!</v>
      </c>
      <c r="AA54" s="743" t="e">
        <f t="shared" si="17"/>
        <v>#VALUE!</v>
      </c>
      <c r="AB54" s="744" t="e">
        <f t="shared" si="29"/>
        <v>#VALUE!</v>
      </c>
      <c r="AC54" s="725" t="e">
        <f t="shared" si="18"/>
        <v>#VALUE!</v>
      </c>
      <c r="AD54" s="693">
        <f t="shared" si="19"/>
        <v>0</v>
      </c>
      <c r="AE54" s="745">
        <f>IF(H54&gt;8,tab!C$194,tab!C$197)</f>
        <v>0.4</v>
      </c>
      <c r="AF54" s="544">
        <f t="shared" si="20"/>
        <v>0</v>
      </c>
      <c r="AG54" s="746">
        <f t="shared" si="21"/>
        <v>0</v>
      </c>
      <c r="AL54" s="753"/>
      <c r="AN54" s="544"/>
      <c r="AO54" s="544"/>
    </row>
    <row r="55" spans="2:41" ht="13.15" hidden="1"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39">
        <f>IF(dir!L28=0,0,dir!L28)</f>
        <v>0</v>
      </c>
      <c r="M55" s="1139">
        <f>IF(dir!M28=0,0,dir!M28)</f>
        <v>0</v>
      </c>
      <c r="N55" s="1264" t="str">
        <f t="shared" si="23"/>
        <v/>
      </c>
      <c r="O55" s="795"/>
      <c r="P55" s="1264" t="str">
        <f t="shared" si="24"/>
        <v/>
      </c>
      <c r="Q55" s="570" t="str">
        <f t="shared" si="15"/>
        <v/>
      </c>
      <c r="R55" s="767" t="str">
        <f t="shared" si="25"/>
        <v/>
      </c>
      <c r="S55" s="796" t="str">
        <f t="shared" si="26"/>
        <v/>
      </c>
      <c r="T55" s="283"/>
      <c r="U55" s="977"/>
      <c r="V55" s="761"/>
      <c r="W55" s="761"/>
      <c r="X55" s="741" t="str">
        <f t="shared" si="27"/>
        <v/>
      </c>
      <c r="Y55" s="742">
        <f t="shared" si="28"/>
        <v>0.6</v>
      </c>
      <c r="Z55" s="743" t="e">
        <f t="shared" si="16"/>
        <v>#VALUE!</v>
      </c>
      <c r="AA55" s="743" t="e">
        <f t="shared" si="17"/>
        <v>#VALUE!</v>
      </c>
      <c r="AB55" s="744" t="e">
        <f t="shared" si="29"/>
        <v>#VALUE!</v>
      </c>
      <c r="AC55" s="725" t="e">
        <f t="shared" si="18"/>
        <v>#VALUE!</v>
      </c>
      <c r="AD55" s="693">
        <f t="shared" si="19"/>
        <v>0</v>
      </c>
      <c r="AE55" s="745">
        <f>IF(H55&gt;8,tab!C$194,tab!C$197)</f>
        <v>0.4</v>
      </c>
      <c r="AF55" s="544">
        <f t="shared" si="20"/>
        <v>0</v>
      </c>
      <c r="AG55" s="746">
        <f t="shared" si="21"/>
        <v>0</v>
      </c>
      <c r="AL55" s="753"/>
      <c r="AN55" s="544"/>
      <c r="AO55" s="544"/>
    </row>
    <row r="56" spans="2:41" ht="13.15" hidden="1"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39">
        <f>IF(dir!L29=0,0,dir!L29)</f>
        <v>0</v>
      </c>
      <c r="M56" s="1139">
        <f>IF(dir!M29=0,0,dir!M29)</f>
        <v>0</v>
      </c>
      <c r="N56" s="1264" t="str">
        <f t="shared" si="23"/>
        <v/>
      </c>
      <c r="O56" s="795"/>
      <c r="P56" s="1264" t="str">
        <f t="shared" si="24"/>
        <v/>
      </c>
      <c r="Q56" s="570" t="str">
        <f t="shared" si="15"/>
        <v/>
      </c>
      <c r="R56" s="767" t="str">
        <f t="shared" si="25"/>
        <v/>
      </c>
      <c r="S56" s="796" t="str">
        <f t="shared" si="26"/>
        <v/>
      </c>
      <c r="T56" s="283"/>
      <c r="U56" s="977"/>
      <c r="V56" s="761"/>
      <c r="W56" s="761"/>
      <c r="X56" s="741" t="str">
        <f t="shared" si="27"/>
        <v/>
      </c>
      <c r="Y56" s="742">
        <f t="shared" si="28"/>
        <v>0.6</v>
      </c>
      <c r="Z56" s="743" t="e">
        <f t="shared" si="16"/>
        <v>#VALUE!</v>
      </c>
      <c r="AA56" s="743" t="e">
        <f t="shared" si="17"/>
        <v>#VALUE!</v>
      </c>
      <c r="AB56" s="744" t="e">
        <f t="shared" si="29"/>
        <v>#VALUE!</v>
      </c>
      <c r="AC56" s="725" t="e">
        <f t="shared" si="18"/>
        <v>#VALUE!</v>
      </c>
      <c r="AD56" s="693">
        <f t="shared" si="19"/>
        <v>0</v>
      </c>
      <c r="AE56" s="745">
        <f>IF(H56&gt;8,tab!C$194,tab!C$197)</f>
        <v>0.4</v>
      </c>
      <c r="AF56" s="544">
        <f t="shared" si="20"/>
        <v>0</v>
      </c>
      <c r="AG56" s="746">
        <f t="shared" si="21"/>
        <v>0</v>
      </c>
      <c r="AL56" s="753"/>
      <c r="AN56" s="544"/>
      <c r="AO56" s="544"/>
    </row>
    <row r="57" spans="2:41" ht="13.15" hidden="1"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39">
        <f>IF(dir!L30=0,0,dir!L30)</f>
        <v>0</v>
      </c>
      <c r="M57" s="1139">
        <f>IF(dir!M30=0,0,dir!M30)</f>
        <v>0</v>
      </c>
      <c r="N57" s="1264" t="str">
        <f t="shared" si="23"/>
        <v/>
      </c>
      <c r="O57" s="795"/>
      <c r="P57" s="1264" t="str">
        <f t="shared" si="24"/>
        <v/>
      </c>
      <c r="Q57" s="570" t="str">
        <f t="shared" si="15"/>
        <v/>
      </c>
      <c r="R57" s="767" t="str">
        <f t="shared" si="25"/>
        <v/>
      </c>
      <c r="S57" s="796" t="str">
        <f t="shared" si="26"/>
        <v/>
      </c>
      <c r="T57" s="283"/>
      <c r="U57" s="977"/>
      <c r="V57" s="761"/>
      <c r="W57" s="761"/>
      <c r="X57" s="741" t="str">
        <f t="shared" si="27"/>
        <v/>
      </c>
      <c r="Y57" s="742">
        <f t="shared" si="28"/>
        <v>0.6</v>
      </c>
      <c r="Z57" s="743" t="e">
        <f t="shared" si="16"/>
        <v>#VALUE!</v>
      </c>
      <c r="AA57" s="743" t="e">
        <f t="shared" si="17"/>
        <v>#VALUE!</v>
      </c>
      <c r="AB57" s="744" t="e">
        <f t="shared" si="29"/>
        <v>#VALUE!</v>
      </c>
      <c r="AC57" s="725" t="e">
        <f t="shared" si="18"/>
        <v>#VALUE!</v>
      </c>
      <c r="AD57" s="693">
        <f t="shared" si="19"/>
        <v>0</v>
      </c>
      <c r="AE57" s="745">
        <f>IF(H57&gt;8,tab!C$194,tab!C$197)</f>
        <v>0.4</v>
      </c>
      <c r="AF57" s="544">
        <f t="shared" si="20"/>
        <v>0</v>
      </c>
      <c r="AG57" s="746">
        <f t="shared" si="21"/>
        <v>0</v>
      </c>
      <c r="AL57" s="753"/>
      <c r="AN57" s="544"/>
      <c r="AO57" s="544"/>
    </row>
    <row r="58" spans="2:41" ht="13.15" hidden="1" customHeight="1" x14ac:dyDescent="0.2">
      <c r="B58" s="18"/>
      <c r="C58" s="31"/>
      <c r="D58" s="28"/>
      <c r="E58" s="28"/>
      <c r="F58" s="125"/>
      <c r="G58" s="126"/>
      <c r="H58" s="32"/>
      <c r="I58" s="32"/>
      <c r="J58" s="768">
        <f>SUM(J43:J57)</f>
        <v>1</v>
      </c>
      <c r="K58" s="125"/>
      <c r="L58" s="797">
        <f t="shared" ref="L58:S58" si="30">SUM(L43:L57)</f>
        <v>0</v>
      </c>
      <c r="M58" s="797">
        <f t="shared" si="30"/>
        <v>0</v>
      </c>
      <c r="N58" s="802">
        <f t="shared" si="30"/>
        <v>23.333333333333332</v>
      </c>
      <c r="O58" s="797">
        <f t="shared" si="30"/>
        <v>0</v>
      </c>
      <c r="P58" s="802">
        <f t="shared" si="30"/>
        <v>23.333333333333332</v>
      </c>
      <c r="Q58" s="571">
        <f t="shared" si="30"/>
        <v>44589.515611814357</v>
      </c>
      <c r="R58" s="798">
        <f t="shared" si="30"/>
        <v>636.08438818565401</v>
      </c>
      <c r="S58" s="799">
        <f t="shared" si="30"/>
        <v>45225.600000000013</v>
      </c>
      <c r="T58" s="607"/>
      <c r="U58" s="978"/>
      <c r="V58" s="762"/>
      <c r="W58" s="762"/>
      <c r="X58" s="747">
        <f>SUM(X43:X57)</f>
        <v>2355.5</v>
      </c>
      <c r="Y58" s="748"/>
      <c r="Z58" s="749"/>
      <c r="AA58" s="749"/>
      <c r="AB58" s="660"/>
      <c r="AC58" s="725"/>
      <c r="AD58" s="720"/>
      <c r="AE58" s="544"/>
      <c r="AF58" s="544"/>
      <c r="AG58" s="746">
        <f>SUM(AG43:AG57)</f>
        <v>0</v>
      </c>
      <c r="AL58" s="753"/>
      <c r="AN58" s="544"/>
      <c r="AO58" s="544"/>
    </row>
    <row r="59" spans="2:41" ht="13.15" hidden="1" customHeight="1" x14ac:dyDescent="0.2">
      <c r="B59" s="18"/>
      <c r="C59" s="36"/>
      <c r="D59" s="127"/>
      <c r="E59" s="127"/>
      <c r="F59" s="127"/>
      <c r="G59" s="128"/>
      <c r="H59" s="129"/>
      <c r="I59" s="130"/>
      <c r="J59" s="131"/>
      <c r="K59" s="127"/>
      <c r="L59" s="130"/>
      <c r="M59" s="133"/>
      <c r="N59" s="133"/>
      <c r="O59" s="133"/>
      <c r="P59" s="133"/>
      <c r="Q59" s="777"/>
      <c r="R59" s="251"/>
      <c r="S59" s="133"/>
      <c r="T59" s="135"/>
      <c r="U59" s="978"/>
      <c r="V59" s="764"/>
      <c r="W59" s="764"/>
      <c r="X59" s="750"/>
      <c r="Y59" s="751"/>
      <c r="AC59" s="754"/>
      <c r="AL59" s="753"/>
      <c r="AN59" s="544"/>
      <c r="AO59" s="544"/>
    </row>
    <row r="60" spans="2:41" ht="13.15" hidden="1" customHeight="1" x14ac:dyDescent="0.2">
      <c r="B60" s="39"/>
      <c r="C60" s="40"/>
      <c r="D60" s="63"/>
      <c r="E60" s="63"/>
      <c r="F60" s="63"/>
      <c r="G60" s="139"/>
      <c r="H60" s="41"/>
      <c r="I60" s="140"/>
      <c r="J60" s="141"/>
      <c r="K60" s="40"/>
      <c r="L60" s="143"/>
      <c r="M60" s="143"/>
      <c r="N60" s="143"/>
      <c r="O60" s="143"/>
      <c r="P60" s="143"/>
      <c r="Q60" s="779"/>
      <c r="R60" s="144"/>
      <c r="S60" s="143"/>
      <c r="T60" s="145"/>
      <c r="U60" s="982"/>
      <c r="V60" s="725"/>
      <c r="W60" s="725"/>
      <c r="X60" s="755"/>
      <c r="AN60" s="544"/>
      <c r="AO60" s="544"/>
    </row>
    <row r="61" spans="2:41" ht="13.15" hidden="1" customHeight="1" x14ac:dyDescent="0.2">
      <c r="B61" s="1301"/>
      <c r="H61" s="8"/>
      <c r="I61" s="75"/>
      <c r="J61" s="123"/>
      <c r="L61" s="147"/>
      <c r="M61" s="147"/>
      <c r="N61" s="147"/>
      <c r="O61" s="147"/>
      <c r="P61" s="147"/>
      <c r="Q61" s="780"/>
      <c r="S61" s="147"/>
      <c r="T61" s="149"/>
      <c r="U61" s="1302"/>
      <c r="V61" s="725"/>
      <c r="W61" s="725"/>
      <c r="X61" s="755"/>
      <c r="AN61" s="544"/>
      <c r="AO61" s="544"/>
    </row>
    <row r="62" spans="2:41" ht="13.15" customHeight="1" x14ac:dyDescent="0.2">
      <c r="B62" s="1301"/>
      <c r="C62" s="34" t="s">
        <v>48</v>
      </c>
      <c r="E62" s="150" t="str">
        <f>tab!E2</f>
        <v>2020/21</v>
      </c>
      <c r="H62" s="8"/>
      <c r="I62" s="75"/>
      <c r="J62" s="123"/>
      <c r="L62" s="147"/>
      <c r="M62" s="147"/>
      <c r="N62" s="147"/>
      <c r="O62" s="147"/>
      <c r="P62" s="147"/>
      <c r="Q62" s="780"/>
      <c r="S62" s="147"/>
      <c r="T62" s="149"/>
      <c r="U62" s="1303"/>
      <c r="V62" s="725"/>
      <c r="W62" s="725"/>
      <c r="X62" s="755"/>
      <c r="AN62" s="544"/>
      <c r="AO62" s="544"/>
    </row>
    <row r="63" spans="2:41" ht="13.15" customHeight="1" x14ac:dyDescent="0.2">
      <c r="B63" s="1301"/>
      <c r="C63" s="71" t="s">
        <v>125</v>
      </c>
      <c r="E63" s="150">
        <f>tab!F3</f>
        <v>44105</v>
      </c>
      <c r="H63" s="8"/>
      <c r="I63" s="75"/>
      <c r="J63" s="123"/>
      <c r="L63" s="147"/>
      <c r="M63" s="147"/>
      <c r="N63" s="147"/>
      <c r="O63" s="147"/>
      <c r="P63" s="147"/>
      <c r="Q63" s="780"/>
      <c r="S63" s="147"/>
      <c r="T63" s="149"/>
      <c r="U63" s="1303"/>
      <c r="V63" s="725"/>
      <c r="W63" s="725"/>
      <c r="X63" s="755"/>
      <c r="AN63" s="544"/>
      <c r="AO63" s="544"/>
    </row>
    <row r="64" spans="2:41" ht="13.15" customHeight="1" x14ac:dyDescent="0.2">
      <c r="B64" s="1301"/>
      <c r="H64" s="8"/>
      <c r="I64" s="75"/>
      <c r="J64" s="123"/>
      <c r="L64" s="147"/>
      <c r="M64" s="147"/>
      <c r="N64" s="147"/>
      <c r="O64" s="147"/>
      <c r="P64" s="147"/>
      <c r="Q64" s="780"/>
      <c r="S64" s="147"/>
      <c r="T64" s="149"/>
      <c r="U64" s="1303"/>
      <c r="V64" s="725"/>
      <c r="W64" s="725"/>
      <c r="X64" s="755"/>
    </row>
    <row r="65" spans="2:43" ht="13.15" customHeight="1" x14ac:dyDescent="0.2">
      <c r="B65" s="1301"/>
      <c r="C65" s="23"/>
      <c r="D65" s="100"/>
      <c r="E65" s="101"/>
      <c r="F65" s="25"/>
      <c r="G65" s="102"/>
      <c r="H65" s="103"/>
      <c r="I65" s="103"/>
      <c r="J65" s="104"/>
      <c r="K65" s="24"/>
      <c r="L65" s="103"/>
      <c r="M65" s="25"/>
      <c r="N65" s="25"/>
      <c r="O65" s="25"/>
      <c r="P65" s="25"/>
      <c r="Q65" s="349"/>
      <c r="R65" s="278"/>
      <c r="S65" s="800"/>
      <c r="T65" s="499"/>
      <c r="U65" s="1304"/>
      <c r="V65" s="682"/>
      <c r="W65" s="682"/>
      <c r="X65" s="683"/>
      <c r="Y65" s="684"/>
      <c r="AE65" s="658"/>
      <c r="AF65" s="659"/>
      <c r="AG65" s="658"/>
      <c r="AH65" s="658"/>
      <c r="AI65" s="658"/>
      <c r="AJ65" s="658"/>
      <c r="AK65" s="660"/>
      <c r="AL65" s="661"/>
      <c r="AM65" s="662"/>
      <c r="AN65" s="663"/>
      <c r="AO65" s="660"/>
    </row>
    <row r="66" spans="2:43" s="8" customFormat="1" ht="13.15" customHeight="1" x14ac:dyDescent="0.2">
      <c r="B66" s="1305"/>
      <c r="C66" s="282"/>
      <c r="D66" s="1340" t="s">
        <v>126</v>
      </c>
      <c r="E66" s="1341"/>
      <c r="F66" s="1341"/>
      <c r="G66" s="1341"/>
      <c r="H66" s="1342"/>
      <c r="I66" s="1342"/>
      <c r="J66" s="1342"/>
      <c r="K66" s="685"/>
      <c r="L66" s="1294" t="s">
        <v>440</v>
      </c>
      <c r="M66" s="687"/>
      <c r="N66" s="687"/>
      <c r="O66" s="687"/>
      <c r="P66" s="687"/>
      <c r="Q66" s="794" t="s">
        <v>450</v>
      </c>
      <c r="R66" s="687"/>
      <c r="S66" s="687"/>
      <c r="T66" s="608"/>
      <c r="U66" s="1306"/>
      <c r="V66" s="689"/>
      <c r="W66" s="689"/>
      <c r="X66" s="690"/>
      <c r="Y66" s="691"/>
      <c r="Z66" s="692"/>
      <c r="AA66" s="692"/>
      <c r="AB66" s="660"/>
      <c r="AC66" s="725"/>
      <c r="AD66" s="660"/>
      <c r="AE66" s="694"/>
      <c r="AF66" s="694"/>
      <c r="AG66" s="694"/>
      <c r="AH66" s="694"/>
      <c r="AI66" s="694"/>
      <c r="AJ66" s="694"/>
      <c r="AK66" s="694"/>
      <c r="AL66" s="694"/>
      <c r="AM66" s="694"/>
      <c r="AN66" s="694"/>
      <c r="AO66" s="694"/>
      <c r="AP66" s="165"/>
      <c r="AQ66" s="165"/>
    </row>
    <row r="67" spans="2:43" s="8" customFormat="1" ht="13.15" customHeight="1" x14ac:dyDescent="0.2">
      <c r="B67" s="1305"/>
      <c r="C67" s="282"/>
      <c r="D67" s="696" t="s">
        <v>529</v>
      </c>
      <c r="E67" s="696" t="s">
        <v>88</v>
      </c>
      <c r="F67" s="697" t="s">
        <v>128</v>
      </c>
      <c r="G67" s="698" t="s">
        <v>129</v>
      </c>
      <c r="H67" s="697" t="s">
        <v>130</v>
      </c>
      <c r="I67" s="697" t="s">
        <v>131</v>
      </c>
      <c r="J67" s="699" t="s">
        <v>132</v>
      </c>
      <c r="K67" s="726"/>
      <c r="L67" s="700" t="s">
        <v>441</v>
      </c>
      <c r="M67" s="700" t="s">
        <v>444</v>
      </c>
      <c r="N67" s="700" t="s">
        <v>446</v>
      </c>
      <c r="O67" s="700" t="s">
        <v>443</v>
      </c>
      <c r="P67" s="722" t="s">
        <v>449</v>
      </c>
      <c r="Q67" s="775" t="s">
        <v>133</v>
      </c>
      <c r="R67" s="702" t="s">
        <v>453</v>
      </c>
      <c r="S67" s="703" t="s">
        <v>133</v>
      </c>
      <c r="T67" s="500"/>
      <c r="U67" s="1307"/>
      <c r="V67" s="704"/>
      <c r="W67" s="704"/>
      <c r="X67" s="705" t="s">
        <v>139</v>
      </c>
      <c r="Y67" s="706" t="s">
        <v>454</v>
      </c>
      <c r="Z67" s="707" t="s">
        <v>455</v>
      </c>
      <c r="AA67" s="707" t="s">
        <v>455</v>
      </c>
      <c r="AB67" s="707" t="s">
        <v>456</v>
      </c>
      <c r="AC67" s="721" t="s">
        <v>457</v>
      </c>
      <c r="AD67" s="707" t="s">
        <v>458</v>
      </c>
      <c r="AE67" s="707" t="s">
        <v>459</v>
      </c>
      <c r="AF67" s="707" t="s">
        <v>134</v>
      </c>
      <c r="AG67" s="703" t="s">
        <v>135</v>
      </c>
      <c r="AH67" s="694"/>
      <c r="AI67" s="694"/>
      <c r="AJ67" s="694"/>
      <c r="AK67" s="694"/>
      <c r="AL67" s="694"/>
      <c r="AM67" s="694"/>
      <c r="AN67" s="694"/>
      <c r="AO67" s="694"/>
      <c r="AP67" s="165"/>
      <c r="AQ67" s="167"/>
    </row>
    <row r="68" spans="2:43" ht="13.15" customHeight="1" x14ac:dyDescent="0.2">
      <c r="B68" s="1301"/>
      <c r="C68" s="282"/>
      <c r="D68" s="1295"/>
      <c r="E68" s="696"/>
      <c r="F68" s="697" t="s">
        <v>136</v>
      </c>
      <c r="G68" s="698" t="s">
        <v>137</v>
      </c>
      <c r="H68" s="697"/>
      <c r="I68" s="697"/>
      <c r="J68" s="699" t="s">
        <v>138</v>
      </c>
      <c r="K68" s="726"/>
      <c r="L68" s="700" t="s">
        <v>442</v>
      </c>
      <c r="M68" s="700" t="s">
        <v>445</v>
      </c>
      <c r="N68" s="700" t="s">
        <v>447</v>
      </c>
      <c r="O68" s="700" t="s">
        <v>448</v>
      </c>
      <c r="P68" s="722" t="s">
        <v>141</v>
      </c>
      <c r="Q68" s="586" t="s">
        <v>451</v>
      </c>
      <c r="R68" s="702" t="s">
        <v>452</v>
      </c>
      <c r="S68" s="722" t="s">
        <v>141</v>
      </c>
      <c r="T68" s="500"/>
      <c r="U68" s="1307"/>
      <c r="V68" s="704"/>
      <c r="W68" s="704"/>
      <c r="X68" s="707" t="s">
        <v>460</v>
      </c>
      <c r="Y68" s="711">
        <f>tab!C$193</f>
        <v>0.6</v>
      </c>
      <c r="Z68" s="707" t="s">
        <v>461</v>
      </c>
      <c r="AA68" s="707" t="s">
        <v>462</v>
      </c>
      <c r="AB68" s="707" t="s">
        <v>463</v>
      </c>
      <c r="AC68" s="721" t="s">
        <v>464</v>
      </c>
      <c r="AD68" s="707" t="s">
        <v>464</v>
      </c>
      <c r="AE68" s="707" t="s">
        <v>465</v>
      </c>
      <c r="AF68" s="707"/>
      <c r="AG68" s="707" t="s">
        <v>140</v>
      </c>
      <c r="AN68" s="544"/>
      <c r="AO68" s="544"/>
      <c r="AQ68" s="116"/>
    </row>
    <row r="69" spans="2:43" ht="13.15" customHeight="1" x14ac:dyDescent="0.2">
      <c r="B69" s="1301"/>
      <c r="C69" s="31"/>
      <c r="D69" s="1"/>
      <c r="E69" s="1"/>
      <c r="F69" s="108"/>
      <c r="G69" s="109"/>
      <c r="H69" s="110"/>
      <c r="I69" s="110"/>
      <c r="J69" s="111"/>
      <c r="K69" s="108"/>
      <c r="L69" s="599"/>
      <c r="M69" s="113"/>
      <c r="N69" s="113"/>
      <c r="O69" s="113"/>
      <c r="P69" s="113"/>
      <c r="Q69" s="776"/>
      <c r="R69" s="114"/>
      <c r="S69" s="113"/>
      <c r="T69" s="500"/>
      <c r="U69" s="1307"/>
      <c r="V69" s="704"/>
      <c r="W69" s="704"/>
      <c r="X69" s="739"/>
      <c r="Y69" s="740"/>
      <c r="AE69" s="544"/>
      <c r="AF69" s="544"/>
      <c r="AN69" s="544"/>
      <c r="AO69" s="544"/>
      <c r="AQ69" s="116"/>
    </row>
    <row r="70" spans="2:43" ht="13.15" customHeight="1" x14ac:dyDescent="0.2">
      <c r="B70" s="1301"/>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39">
        <f>IF(dir!L43=0,0,dir!L43)</f>
        <v>0</v>
      </c>
      <c r="M70" s="1139">
        <f>IF(dir!M43=0,0,dir!M43)</f>
        <v>0</v>
      </c>
      <c r="N70" s="795">
        <f t="shared" ref="N70:N84" si="31">IF(J70="","",IF(J70*40&gt;40,40,J70*40))</f>
        <v>40</v>
      </c>
      <c r="O70" s="795"/>
      <c r="P70" s="795">
        <f>IF(J70="","",SUM(L70:O70))</f>
        <v>40</v>
      </c>
      <c r="Q70" s="570">
        <f t="shared" ref="Q70:Q84" si="32">IF(J70="","",(1659*J70-P70)*AA70)</f>
        <v>78039.898734177215</v>
      </c>
      <c r="R70" s="767">
        <f>IF(J70="","",(P70*AB70)+Z70*(AC70+AD70*(1-AE70)))</f>
        <v>1928.1012658227851</v>
      </c>
      <c r="S70" s="796">
        <f t="shared" ref="S70:S84" si="33">IF(E70="","",(Q70+R70))</f>
        <v>79968</v>
      </c>
      <c r="T70" s="501"/>
      <c r="U70" s="1303"/>
      <c r="V70" s="761"/>
      <c r="W70" s="761"/>
      <c r="X70" s="741">
        <f>IF(H70="","",5/12*VLOOKUP(H70,Salaris2020,I70+1,FALSE)+7/12*VLOOKUP(H70,Salaris2021,I70+1,FALSE))</f>
        <v>4165</v>
      </c>
      <c r="Y70" s="742">
        <f>$Y$14</f>
        <v>0.6</v>
      </c>
      <c r="Z70" s="743">
        <f t="shared" ref="Z70:Z84" si="34">X70*12/1659</f>
        <v>30.126582278481013</v>
      </c>
      <c r="AA70" s="743">
        <f t="shared" ref="AA70:AA84" si="35">X70*12*(1+Y70)/1659</f>
        <v>48.202531645569621</v>
      </c>
      <c r="AB70" s="744">
        <f>AA70-Z70</f>
        <v>18.075949367088608</v>
      </c>
      <c r="AC70" s="725">
        <f t="shared" ref="AC70:AC84" si="36">N70+O70</f>
        <v>40</v>
      </c>
      <c r="AD70" s="693">
        <f t="shared" ref="AD70:AD84" si="37">L70+M70</f>
        <v>0</v>
      </c>
      <c r="AE70" s="745">
        <f>IF(H70&gt;8,tab!C$194,tab!C$197)</f>
        <v>0.5</v>
      </c>
      <c r="AF70" s="544">
        <f t="shared" ref="AF70:AF84" si="38">IF(F70&lt;25,0,IF(F70=25,25,IF(F70&lt;40,0,IF(F70=40,40,IF(F70&gt;=40,0)))))</f>
        <v>0</v>
      </c>
      <c r="AG70" s="746">
        <f t="shared" ref="AG70:AG84" si="39">IF(AF70=25,(X70*1.08*J70/2),IF(AF70=40,(X70*1.08*J70),IF(AF70=0,0)))</f>
        <v>0</v>
      </c>
      <c r="AL70" s="753"/>
    </row>
    <row r="71" spans="2:43" ht="13.15" customHeight="1" x14ac:dyDescent="0.2">
      <c r="B71" s="1301"/>
      <c r="C71" s="31"/>
      <c r="D71" s="117" t="str">
        <f>IF(dir!D44=0,"",dir!D44)</f>
        <v/>
      </c>
      <c r="E71" s="117" t="str">
        <f>IF(dir!E44=0,"",dir!E44)</f>
        <v/>
      </c>
      <c r="F71" s="33" t="str">
        <f t="shared" ref="F71:F84" si="40">IF(F44="","",F44+1)</f>
        <v/>
      </c>
      <c r="G71" s="118" t="str">
        <f>IF(dir!G44=0,"",dir!G44)</f>
        <v/>
      </c>
      <c r="H71" s="119" t="str">
        <f t="shared" ref="H71:H84" si="41">IF(H44="","",H44)</f>
        <v/>
      </c>
      <c r="I71" s="119" t="str">
        <f>IF(E71="","",IF(dir!I44+1&gt;VLOOKUP(H71,Schaal2016,22,FALSE),dir!I44,dir!I44+1))</f>
        <v/>
      </c>
      <c r="J71" s="120" t="str">
        <f>IF(dir!J44=0,0,dir!J44)</f>
        <v/>
      </c>
      <c r="K71" s="121"/>
      <c r="L71" s="1139">
        <f>IF(dir!L44=0,0,dir!L44)</f>
        <v>0</v>
      </c>
      <c r="M71" s="1139">
        <f>IF(dir!M44=0,0,dir!M44)</f>
        <v>0</v>
      </c>
      <c r="N71" s="795" t="str">
        <f t="shared" si="31"/>
        <v/>
      </c>
      <c r="O71" s="795"/>
      <c r="P71" s="795" t="str">
        <f t="shared" ref="P71:P84" si="42">IF(J71="","",SUM(L71:O71))</f>
        <v/>
      </c>
      <c r="Q71" s="570" t="str">
        <f t="shared" si="32"/>
        <v/>
      </c>
      <c r="R71" s="767" t="str">
        <f t="shared" ref="R71:R84" si="43">IF(J71="","",(P71*AB71)+Z71*(AC71+AD71*(1-AE71)))</f>
        <v/>
      </c>
      <c r="S71" s="796" t="str">
        <f t="shared" si="33"/>
        <v/>
      </c>
      <c r="T71" s="501"/>
      <c r="U71" s="1303"/>
      <c r="V71" s="761"/>
      <c r="W71" s="761"/>
      <c r="X71" s="741" t="str">
        <f t="shared" ref="X71:X84" si="44">IF(H71="","",5/12*VLOOKUP(H71,Salaris2019,I71+1,FALSE)+7/12*VLOOKUP(H71,Salaris2020,I71+1,FALSE))</f>
        <v/>
      </c>
      <c r="Y71" s="742">
        <f t="shared" ref="Y71:Y84" si="45">$Y$14</f>
        <v>0.6</v>
      </c>
      <c r="Z71" s="743" t="e">
        <f t="shared" si="34"/>
        <v>#VALUE!</v>
      </c>
      <c r="AA71" s="743" t="e">
        <f t="shared" si="35"/>
        <v>#VALUE!</v>
      </c>
      <c r="AB71" s="744" t="e">
        <f t="shared" ref="AB71:AB84" si="46">AA71-Z71</f>
        <v>#VALUE!</v>
      </c>
      <c r="AC71" s="725" t="e">
        <f t="shared" si="36"/>
        <v>#VALUE!</v>
      </c>
      <c r="AD71" s="693">
        <f t="shared" si="37"/>
        <v>0</v>
      </c>
      <c r="AE71" s="745">
        <f>IF(H71&gt;8,tab!C$194,tab!C$197)</f>
        <v>0.5</v>
      </c>
      <c r="AF71" s="544">
        <f t="shared" si="38"/>
        <v>0</v>
      </c>
      <c r="AG71" s="746">
        <f t="shared" si="39"/>
        <v>0</v>
      </c>
      <c r="AL71" s="753"/>
    </row>
    <row r="72" spans="2:43" ht="13.15" customHeight="1" x14ac:dyDescent="0.2">
      <c r="B72" s="1301"/>
      <c r="C72" s="31"/>
      <c r="D72" s="117" t="str">
        <f>IF(dir!D45=0,"",dir!D45)</f>
        <v/>
      </c>
      <c r="E72" s="117" t="str">
        <f>IF(dir!E45=0,"",dir!E45)</f>
        <v/>
      </c>
      <c r="F72" s="33" t="str">
        <f t="shared" si="40"/>
        <v/>
      </c>
      <c r="G72" s="118" t="str">
        <f>IF(dir!G45=0,"",dir!G45)</f>
        <v/>
      </c>
      <c r="H72" s="119" t="str">
        <f t="shared" si="41"/>
        <v/>
      </c>
      <c r="I72" s="119" t="str">
        <f>IF(E72="","",IF(dir!I45+1&gt;VLOOKUP(H72,Schaal2016,22,FALSE),dir!I45,dir!I45+1))</f>
        <v/>
      </c>
      <c r="J72" s="120" t="str">
        <f>IF(dir!J45=0,0,dir!J45)</f>
        <v/>
      </c>
      <c r="K72" s="121"/>
      <c r="L72" s="1139">
        <f>IF(dir!L45=0,0,dir!L45)</f>
        <v>0</v>
      </c>
      <c r="M72" s="1139">
        <f>IF(dir!M45=0,0,dir!M45)</f>
        <v>0</v>
      </c>
      <c r="N72" s="795" t="str">
        <f t="shared" si="31"/>
        <v/>
      </c>
      <c r="O72" s="795"/>
      <c r="P72" s="795" t="str">
        <f t="shared" si="42"/>
        <v/>
      </c>
      <c r="Q72" s="570" t="str">
        <f t="shared" si="32"/>
        <v/>
      </c>
      <c r="R72" s="767" t="str">
        <f t="shared" si="43"/>
        <v/>
      </c>
      <c r="S72" s="796" t="str">
        <f t="shared" si="33"/>
        <v/>
      </c>
      <c r="T72" s="501"/>
      <c r="U72" s="1303"/>
      <c r="V72" s="761"/>
      <c r="W72" s="761"/>
      <c r="X72" s="741" t="str">
        <f t="shared" si="44"/>
        <v/>
      </c>
      <c r="Y72" s="742">
        <f t="shared" si="45"/>
        <v>0.6</v>
      </c>
      <c r="Z72" s="743" t="e">
        <f t="shared" si="34"/>
        <v>#VALUE!</v>
      </c>
      <c r="AA72" s="743" t="e">
        <f t="shared" si="35"/>
        <v>#VALUE!</v>
      </c>
      <c r="AB72" s="744" t="e">
        <f t="shared" si="46"/>
        <v>#VALUE!</v>
      </c>
      <c r="AC72" s="725" t="e">
        <f t="shared" si="36"/>
        <v>#VALUE!</v>
      </c>
      <c r="AD72" s="693">
        <f t="shared" si="37"/>
        <v>0</v>
      </c>
      <c r="AE72" s="745">
        <f>IF(H72&gt;8,tab!C$194,tab!C$197)</f>
        <v>0.5</v>
      </c>
      <c r="AF72" s="544">
        <f t="shared" si="38"/>
        <v>0</v>
      </c>
      <c r="AG72" s="746">
        <f t="shared" si="39"/>
        <v>0</v>
      </c>
      <c r="AL72" s="753"/>
    </row>
    <row r="73" spans="2:43" ht="13.15" customHeight="1" x14ac:dyDescent="0.2">
      <c r="B73" s="1301"/>
      <c r="C73" s="31"/>
      <c r="D73" s="117" t="str">
        <f>IF(dir!D46=0,"",dir!D46)</f>
        <v/>
      </c>
      <c r="E73" s="117" t="str">
        <f>IF(dir!E46=0,"",dir!E46)</f>
        <v/>
      </c>
      <c r="F73" s="33" t="str">
        <f t="shared" si="40"/>
        <v/>
      </c>
      <c r="G73" s="118" t="str">
        <f>IF(dir!G46=0,"",dir!G46)</f>
        <v/>
      </c>
      <c r="H73" s="119" t="str">
        <f t="shared" si="41"/>
        <v/>
      </c>
      <c r="I73" s="119" t="str">
        <f>IF(E73="","",IF(dir!I46+1&gt;VLOOKUP(H73,Schaal2016,22,FALSE),dir!I46,dir!I46+1))</f>
        <v/>
      </c>
      <c r="J73" s="120" t="str">
        <f>IF(dir!J46=0,0,dir!J46)</f>
        <v/>
      </c>
      <c r="K73" s="121"/>
      <c r="L73" s="1139">
        <f>IF(dir!L46=0,0,dir!L46)</f>
        <v>0</v>
      </c>
      <c r="M73" s="1139">
        <f>IF(dir!M46=0,0,dir!M46)</f>
        <v>0</v>
      </c>
      <c r="N73" s="795" t="str">
        <f t="shared" si="31"/>
        <v/>
      </c>
      <c r="O73" s="795"/>
      <c r="P73" s="795" t="str">
        <f t="shared" si="42"/>
        <v/>
      </c>
      <c r="Q73" s="570" t="str">
        <f t="shared" si="32"/>
        <v/>
      </c>
      <c r="R73" s="767" t="str">
        <f t="shared" si="43"/>
        <v/>
      </c>
      <c r="S73" s="796" t="str">
        <f t="shared" si="33"/>
        <v/>
      </c>
      <c r="T73" s="501"/>
      <c r="U73" s="1303"/>
      <c r="V73" s="761"/>
      <c r="W73" s="761"/>
      <c r="X73" s="741" t="str">
        <f t="shared" si="44"/>
        <v/>
      </c>
      <c r="Y73" s="742">
        <f t="shared" si="45"/>
        <v>0.6</v>
      </c>
      <c r="Z73" s="743" t="e">
        <f t="shared" si="34"/>
        <v>#VALUE!</v>
      </c>
      <c r="AA73" s="743" t="e">
        <f t="shared" si="35"/>
        <v>#VALUE!</v>
      </c>
      <c r="AB73" s="744" t="e">
        <f t="shared" si="46"/>
        <v>#VALUE!</v>
      </c>
      <c r="AC73" s="725" t="e">
        <f t="shared" si="36"/>
        <v>#VALUE!</v>
      </c>
      <c r="AD73" s="693">
        <f t="shared" si="37"/>
        <v>0</v>
      </c>
      <c r="AE73" s="745">
        <f>IF(H73&gt;8,tab!C$194,tab!C$197)</f>
        <v>0.5</v>
      </c>
      <c r="AF73" s="544">
        <f t="shared" si="38"/>
        <v>0</v>
      </c>
      <c r="AG73" s="746">
        <f t="shared" si="39"/>
        <v>0</v>
      </c>
      <c r="AL73" s="753"/>
    </row>
    <row r="74" spans="2:43" ht="13.15" customHeight="1" x14ac:dyDescent="0.2">
      <c r="B74" s="1301"/>
      <c r="C74" s="31"/>
      <c r="D74" s="117" t="str">
        <f>IF(dir!D47=0,"",dir!D47)</f>
        <v/>
      </c>
      <c r="E74" s="117" t="str">
        <f>IF(dir!E47=0,"",dir!E47)</f>
        <v/>
      </c>
      <c r="F74" s="33" t="str">
        <f t="shared" si="40"/>
        <v/>
      </c>
      <c r="G74" s="118" t="str">
        <f>IF(dir!G47=0,"",dir!G47)</f>
        <v/>
      </c>
      <c r="H74" s="119" t="str">
        <f t="shared" si="41"/>
        <v/>
      </c>
      <c r="I74" s="119" t="str">
        <f>IF(E74="","",IF(dir!I47+1&gt;VLOOKUP(H74,Schaal2016,22,FALSE),dir!I47,dir!I47+1))</f>
        <v/>
      </c>
      <c r="J74" s="120" t="str">
        <f>IF(dir!J47=0,0,dir!J47)</f>
        <v/>
      </c>
      <c r="K74" s="121"/>
      <c r="L74" s="1139">
        <f>IF(dir!L47=0,0,dir!L47)</f>
        <v>0</v>
      </c>
      <c r="M74" s="1139">
        <f>IF(dir!M47=0,0,dir!M47)</f>
        <v>0</v>
      </c>
      <c r="N74" s="795" t="str">
        <f t="shared" si="31"/>
        <v/>
      </c>
      <c r="O74" s="795"/>
      <c r="P74" s="795" t="str">
        <f t="shared" si="42"/>
        <v/>
      </c>
      <c r="Q74" s="570" t="str">
        <f t="shared" si="32"/>
        <v/>
      </c>
      <c r="R74" s="767" t="str">
        <f t="shared" si="43"/>
        <v/>
      </c>
      <c r="S74" s="796" t="str">
        <f t="shared" si="33"/>
        <v/>
      </c>
      <c r="T74" s="501"/>
      <c r="U74" s="1303"/>
      <c r="V74" s="761"/>
      <c r="W74" s="761"/>
      <c r="X74" s="741" t="str">
        <f t="shared" si="44"/>
        <v/>
      </c>
      <c r="Y74" s="742">
        <f t="shared" si="45"/>
        <v>0.6</v>
      </c>
      <c r="Z74" s="743" t="e">
        <f t="shared" si="34"/>
        <v>#VALUE!</v>
      </c>
      <c r="AA74" s="743" t="e">
        <f t="shared" si="35"/>
        <v>#VALUE!</v>
      </c>
      <c r="AB74" s="744" t="e">
        <f t="shared" si="46"/>
        <v>#VALUE!</v>
      </c>
      <c r="AC74" s="725" t="e">
        <f t="shared" si="36"/>
        <v>#VALUE!</v>
      </c>
      <c r="AD74" s="693">
        <f t="shared" si="37"/>
        <v>0</v>
      </c>
      <c r="AE74" s="745">
        <f>IF(H74&gt;8,tab!C$194,tab!C$197)</f>
        <v>0.5</v>
      </c>
      <c r="AF74" s="544">
        <f t="shared" si="38"/>
        <v>0</v>
      </c>
      <c r="AG74" s="746">
        <f t="shared" si="39"/>
        <v>0</v>
      </c>
      <c r="AL74" s="753"/>
    </row>
    <row r="75" spans="2:43" ht="13.15" customHeight="1" x14ac:dyDescent="0.2">
      <c r="B75" s="1301"/>
      <c r="C75" s="31"/>
      <c r="D75" s="117" t="str">
        <f>IF(dir!D48=0,"",dir!D48)</f>
        <v/>
      </c>
      <c r="E75" s="117" t="str">
        <f>IF(dir!E48=0,"",dir!E48)</f>
        <v/>
      </c>
      <c r="F75" s="33" t="str">
        <f t="shared" si="40"/>
        <v/>
      </c>
      <c r="G75" s="118" t="str">
        <f>IF(dir!G48=0,"",dir!G48)</f>
        <v/>
      </c>
      <c r="H75" s="119" t="str">
        <f t="shared" si="41"/>
        <v/>
      </c>
      <c r="I75" s="119" t="str">
        <f>IF(E75="","",IF(dir!I48+1&gt;VLOOKUP(H75,Schaal2016,22,FALSE),dir!I48,dir!I48+1))</f>
        <v/>
      </c>
      <c r="J75" s="120" t="str">
        <f>IF(dir!J48=0,0,dir!J48)</f>
        <v/>
      </c>
      <c r="K75" s="121"/>
      <c r="L75" s="1139">
        <f>IF(dir!L48=0,0,dir!L48)</f>
        <v>0</v>
      </c>
      <c r="M75" s="1139">
        <f>IF(dir!M48=0,0,dir!M48)</f>
        <v>0</v>
      </c>
      <c r="N75" s="795" t="str">
        <f t="shared" si="31"/>
        <v/>
      </c>
      <c r="O75" s="795"/>
      <c r="P75" s="795" t="str">
        <f t="shared" si="42"/>
        <v/>
      </c>
      <c r="Q75" s="570" t="str">
        <f t="shared" si="32"/>
        <v/>
      </c>
      <c r="R75" s="767" t="str">
        <f t="shared" si="43"/>
        <v/>
      </c>
      <c r="S75" s="796" t="str">
        <f t="shared" si="33"/>
        <v/>
      </c>
      <c r="T75" s="501"/>
      <c r="U75" s="1303"/>
      <c r="V75" s="761"/>
      <c r="W75" s="761"/>
      <c r="X75" s="741" t="str">
        <f t="shared" si="44"/>
        <v/>
      </c>
      <c r="Y75" s="742">
        <f t="shared" si="45"/>
        <v>0.6</v>
      </c>
      <c r="Z75" s="743" t="e">
        <f t="shared" si="34"/>
        <v>#VALUE!</v>
      </c>
      <c r="AA75" s="743" t="e">
        <f t="shared" si="35"/>
        <v>#VALUE!</v>
      </c>
      <c r="AB75" s="744" t="e">
        <f t="shared" si="46"/>
        <v>#VALUE!</v>
      </c>
      <c r="AC75" s="725" t="e">
        <f t="shared" si="36"/>
        <v>#VALUE!</v>
      </c>
      <c r="AD75" s="693">
        <f t="shared" si="37"/>
        <v>0</v>
      </c>
      <c r="AE75" s="745">
        <f>IF(H75&gt;8,tab!C$194,tab!C$197)</f>
        <v>0.5</v>
      </c>
      <c r="AF75" s="544">
        <f t="shared" si="38"/>
        <v>0</v>
      </c>
      <c r="AG75" s="746">
        <f t="shared" si="39"/>
        <v>0</v>
      </c>
      <c r="AL75" s="753"/>
    </row>
    <row r="76" spans="2:43" ht="13.15" customHeight="1" x14ac:dyDescent="0.2">
      <c r="B76" s="1301"/>
      <c r="C76" s="31"/>
      <c r="D76" s="117" t="str">
        <f>IF(dir!D49=0,"",dir!D49)</f>
        <v/>
      </c>
      <c r="E76" s="117" t="str">
        <f>IF(dir!E49=0,"",dir!E49)</f>
        <v/>
      </c>
      <c r="F76" s="33" t="str">
        <f t="shared" si="40"/>
        <v/>
      </c>
      <c r="G76" s="118" t="str">
        <f>IF(dir!G49=0,"",dir!G49)</f>
        <v/>
      </c>
      <c r="H76" s="119" t="str">
        <f t="shared" si="41"/>
        <v/>
      </c>
      <c r="I76" s="119" t="str">
        <f>IF(E76="","",IF(dir!I49+1&gt;VLOOKUP(H76,Schaal2016,22,FALSE),dir!I49,dir!I49+1))</f>
        <v/>
      </c>
      <c r="J76" s="120" t="str">
        <f>IF(dir!J49=0,0,dir!J49)</f>
        <v/>
      </c>
      <c r="K76" s="121"/>
      <c r="L76" s="1139">
        <f>IF(dir!L49=0,0,dir!L49)</f>
        <v>0</v>
      </c>
      <c r="M76" s="1139">
        <f>IF(dir!M49=0,0,dir!M49)</f>
        <v>0</v>
      </c>
      <c r="N76" s="795" t="str">
        <f t="shared" si="31"/>
        <v/>
      </c>
      <c r="O76" s="795"/>
      <c r="P76" s="795" t="str">
        <f t="shared" si="42"/>
        <v/>
      </c>
      <c r="Q76" s="570" t="str">
        <f t="shared" si="32"/>
        <v/>
      </c>
      <c r="R76" s="767" t="str">
        <f t="shared" si="43"/>
        <v/>
      </c>
      <c r="S76" s="796" t="str">
        <f t="shared" si="33"/>
        <v/>
      </c>
      <c r="T76" s="501"/>
      <c r="U76" s="1303"/>
      <c r="V76" s="761"/>
      <c r="W76" s="761"/>
      <c r="X76" s="741" t="str">
        <f t="shared" si="44"/>
        <v/>
      </c>
      <c r="Y76" s="742">
        <f t="shared" si="45"/>
        <v>0.6</v>
      </c>
      <c r="Z76" s="743" t="e">
        <f t="shared" si="34"/>
        <v>#VALUE!</v>
      </c>
      <c r="AA76" s="743" t="e">
        <f t="shared" si="35"/>
        <v>#VALUE!</v>
      </c>
      <c r="AB76" s="744" t="e">
        <f t="shared" si="46"/>
        <v>#VALUE!</v>
      </c>
      <c r="AC76" s="725" t="e">
        <f t="shared" si="36"/>
        <v>#VALUE!</v>
      </c>
      <c r="AD76" s="693">
        <f t="shared" si="37"/>
        <v>0</v>
      </c>
      <c r="AE76" s="745">
        <f>IF(H76&gt;8,tab!C$194,tab!C$197)</f>
        <v>0.5</v>
      </c>
      <c r="AF76" s="544">
        <f t="shared" si="38"/>
        <v>0</v>
      </c>
      <c r="AG76" s="746">
        <f t="shared" si="39"/>
        <v>0</v>
      </c>
      <c r="AL76" s="753"/>
    </row>
    <row r="77" spans="2:43" ht="13.15" customHeight="1" x14ac:dyDescent="0.2">
      <c r="B77" s="1301"/>
      <c r="C77" s="31"/>
      <c r="D77" s="117" t="str">
        <f>IF(dir!D50=0,"",dir!D50)</f>
        <v/>
      </c>
      <c r="E77" s="117" t="str">
        <f>IF(dir!E50=0,"",dir!E50)</f>
        <v/>
      </c>
      <c r="F77" s="33" t="str">
        <f t="shared" si="40"/>
        <v/>
      </c>
      <c r="G77" s="118" t="str">
        <f>IF(dir!G50=0,"",dir!G50)</f>
        <v/>
      </c>
      <c r="H77" s="119" t="str">
        <f t="shared" si="41"/>
        <v/>
      </c>
      <c r="I77" s="119" t="str">
        <f>IF(E77="","",IF(dir!I50+1&gt;VLOOKUP(H77,Schaal2016,22,FALSE),dir!I50,dir!I50+1))</f>
        <v/>
      </c>
      <c r="J77" s="120" t="str">
        <f>IF(dir!J50=0,0,dir!J50)</f>
        <v/>
      </c>
      <c r="K77" s="121"/>
      <c r="L77" s="1139">
        <f>IF(dir!L50=0,0,dir!L50)</f>
        <v>0</v>
      </c>
      <c r="M77" s="1139">
        <f>IF(dir!M50=0,0,dir!M50)</f>
        <v>0</v>
      </c>
      <c r="N77" s="795" t="str">
        <f t="shared" si="31"/>
        <v/>
      </c>
      <c r="O77" s="795"/>
      <c r="P77" s="795" t="str">
        <f t="shared" si="42"/>
        <v/>
      </c>
      <c r="Q77" s="570" t="str">
        <f t="shared" si="32"/>
        <v/>
      </c>
      <c r="R77" s="767" t="str">
        <f t="shared" si="43"/>
        <v/>
      </c>
      <c r="S77" s="796" t="str">
        <f t="shared" si="33"/>
        <v/>
      </c>
      <c r="T77" s="501"/>
      <c r="U77" s="1303"/>
      <c r="V77" s="761"/>
      <c r="W77" s="761"/>
      <c r="X77" s="741" t="str">
        <f t="shared" si="44"/>
        <v/>
      </c>
      <c r="Y77" s="742">
        <f t="shared" si="45"/>
        <v>0.6</v>
      </c>
      <c r="Z77" s="743" t="e">
        <f t="shared" si="34"/>
        <v>#VALUE!</v>
      </c>
      <c r="AA77" s="743" t="e">
        <f t="shared" si="35"/>
        <v>#VALUE!</v>
      </c>
      <c r="AB77" s="744" t="e">
        <f t="shared" si="46"/>
        <v>#VALUE!</v>
      </c>
      <c r="AC77" s="725" t="e">
        <f t="shared" si="36"/>
        <v>#VALUE!</v>
      </c>
      <c r="AD77" s="693">
        <f t="shared" si="37"/>
        <v>0</v>
      </c>
      <c r="AE77" s="745">
        <f>IF(H77&gt;8,tab!C$194,tab!C$197)</f>
        <v>0.5</v>
      </c>
      <c r="AF77" s="544">
        <f t="shared" si="38"/>
        <v>0</v>
      </c>
      <c r="AG77" s="746">
        <f t="shared" si="39"/>
        <v>0</v>
      </c>
      <c r="AL77" s="753"/>
    </row>
    <row r="78" spans="2:43" ht="13.15" customHeight="1" x14ac:dyDescent="0.2">
      <c r="B78" s="1301"/>
      <c r="C78" s="31"/>
      <c r="D78" s="117" t="str">
        <f>IF(dir!D51=0,"",dir!D51)</f>
        <v/>
      </c>
      <c r="E78" s="117" t="str">
        <f>IF(dir!E51=0,"",dir!E51)</f>
        <v/>
      </c>
      <c r="F78" s="33" t="str">
        <f t="shared" si="40"/>
        <v/>
      </c>
      <c r="G78" s="118" t="str">
        <f>IF(dir!G51=0,"",dir!G51)</f>
        <v/>
      </c>
      <c r="H78" s="119" t="str">
        <f t="shared" si="41"/>
        <v/>
      </c>
      <c r="I78" s="119" t="str">
        <f>IF(E78="","",IF(dir!I51+1&gt;VLOOKUP(H78,Schaal2016,22,FALSE),dir!I51,dir!I51+1))</f>
        <v/>
      </c>
      <c r="J78" s="120" t="str">
        <f>IF(dir!J51=0,0,dir!J51)</f>
        <v/>
      </c>
      <c r="K78" s="121"/>
      <c r="L78" s="1139">
        <f>IF(dir!L51=0,0,dir!L51)</f>
        <v>0</v>
      </c>
      <c r="M78" s="1139">
        <f>IF(dir!M51=0,0,dir!M51)</f>
        <v>0</v>
      </c>
      <c r="N78" s="795" t="str">
        <f t="shared" si="31"/>
        <v/>
      </c>
      <c r="O78" s="795"/>
      <c r="P78" s="795" t="str">
        <f t="shared" si="42"/>
        <v/>
      </c>
      <c r="Q78" s="570" t="str">
        <f t="shared" si="32"/>
        <v/>
      </c>
      <c r="R78" s="767" t="str">
        <f t="shared" si="43"/>
        <v/>
      </c>
      <c r="S78" s="796" t="str">
        <f t="shared" si="33"/>
        <v/>
      </c>
      <c r="T78" s="501"/>
      <c r="U78" s="1303"/>
      <c r="V78" s="761"/>
      <c r="W78" s="761"/>
      <c r="X78" s="741" t="str">
        <f t="shared" si="44"/>
        <v/>
      </c>
      <c r="Y78" s="742">
        <f t="shared" si="45"/>
        <v>0.6</v>
      </c>
      <c r="Z78" s="743" t="e">
        <f t="shared" si="34"/>
        <v>#VALUE!</v>
      </c>
      <c r="AA78" s="743" t="e">
        <f t="shared" si="35"/>
        <v>#VALUE!</v>
      </c>
      <c r="AB78" s="744" t="e">
        <f t="shared" si="46"/>
        <v>#VALUE!</v>
      </c>
      <c r="AC78" s="725" t="e">
        <f t="shared" si="36"/>
        <v>#VALUE!</v>
      </c>
      <c r="AD78" s="693">
        <f t="shared" si="37"/>
        <v>0</v>
      </c>
      <c r="AE78" s="745">
        <f>IF(H78&gt;8,tab!C$194,tab!C$197)</f>
        <v>0.5</v>
      </c>
      <c r="AF78" s="544">
        <f t="shared" si="38"/>
        <v>0</v>
      </c>
      <c r="AG78" s="746">
        <f t="shared" si="39"/>
        <v>0</v>
      </c>
      <c r="AL78" s="753"/>
    </row>
    <row r="79" spans="2:43" ht="13.15" customHeight="1" x14ac:dyDescent="0.2">
      <c r="B79" s="1301"/>
      <c r="C79" s="31"/>
      <c r="D79" s="117" t="str">
        <f>IF(dir!D52=0,"",dir!D52)</f>
        <v/>
      </c>
      <c r="E79" s="117" t="str">
        <f>IF(dir!E52=0,"",dir!E52)</f>
        <v/>
      </c>
      <c r="F79" s="33" t="str">
        <f t="shared" si="40"/>
        <v/>
      </c>
      <c r="G79" s="118" t="str">
        <f>IF(dir!G52=0,"",dir!G52)</f>
        <v/>
      </c>
      <c r="H79" s="119" t="str">
        <f t="shared" si="41"/>
        <v/>
      </c>
      <c r="I79" s="119" t="str">
        <f>IF(E79="","",IF(dir!I52+1&gt;VLOOKUP(H79,Schaal2016,22,FALSE),dir!I52,dir!I52+1))</f>
        <v/>
      </c>
      <c r="J79" s="120" t="str">
        <f>IF(dir!J52=0,0,dir!J52)</f>
        <v/>
      </c>
      <c r="K79" s="121"/>
      <c r="L79" s="1139">
        <f>IF(dir!L52=0,0,dir!L52)</f>
        <v>0</v>
      </c>
      <c r="M79" s="1139">
        <f>IF(dir!M52=0,0,dir!M52)</f>
        <v>0</v>
      </c>
      <c r="N79" s="795" t="str">
        <f t="shared" si="31"/>
        <v/>
      </c>
      <c r="O79" s="795"/>
      <c r="P79" s="795" t="str">
        <f t="shared" si="42"/>
        <v/>
      </c>
      <c r="Q79" s="570" t="str">
        <f t="shared" si="32"/>
        <v/>
      </c>
      <c r="R79" s="767" t="str">
        <f t="shared" si="43"/>
        <v/>
      </c>
      <c r="S79" s="796" t="str">
        <f t="shared" si="33"/>
        <v/>
      </c>
      <c r="T79" s="501"/>
      <c r="U79" s="1303"/>
      <c r="V79" s="761"/>
      <c r="W79" s="761"/>
      <c r="X79" s="741" t="str">
        <f t="shared" si="44"/>
        <v/>
      </c>
      <c r="Y79" s="742">
        <f t="shared" si="45"/>
        <v>0.6</v>
      </c>
      <c r="Z79" s="743" t="e">
        <f t="shared" si="34"/>
        <v>#VALUE!</v>
      </c>
      <c r="AA79" s="743" t="e">
        <f t="shared" si="35"/>
        <v>#VALUE!</v>
      </c>
      <c r="AB79" s="744" t="e">
        <f t="shared" si="46"/>
        <v>#VALUE!</v>
      </c>
      <c r="AC79" s="725" t="e">
        <f t="shared" si="36"/>
        <v>#VALUE!</v>
      </c>
      <c r="AD79" s="693">
        <f t="shared" si="37"/>
        <v>0</v>
      </c>
      <c r="AE79" s="745">
        <f>IF(H79&gt;8,tab!C$194,tab!C$197)</f>
        <v>0.5</v>
      </c>
      <c r="AF79" s="544">
        <f t="shared" si="38"/>
        <v>0</v>
      </c>
      <c r="AG79" s="746">
        <f t="shared" si="39"/>
        <v>0</v>
      </c>
      <c r="AL79" s="753"/>
    </row>
    <row r="80" spans="2:43" ht="13.15" customHeight="1" x14ac:dyDescent="0.2">
      <c r="B80" s="1301"/>
      <c r="C80" s="31"/>
      <c r="D80" s="117" t="str">
        <f>IF(dir!D53=0,"",dir!D53)</f>
        <v/>
      </c>
      <c r="E80" s="117" t="str">
        <f>IF(dir!E53=0,"",dir!E53)</f>
        <v/>
      </c>
      <c r="F80" s="33" t="str">
        <f t="shared" si="40"/>
        <v/>
      </c>
      <c r="G80" s="118" t="str">
        <f>IF(dir!G53=0,"",dir!G53)</f>
        <v/>
      </c>
      <c r="H80" s="119" t="str">
        <f t="shared" si="41"/>
        <v/>
      </c>
      <c r="I80" s="119" t="str">
        <f>IF(E80="","",IF(dir!I53+1&gt;VLOOKUP(H80,Schaal2016,22,FALSE),dir!I53,dir!I53+1))</f>
        <v/>
      </c>
      <c r="J80" s="120" t="str">
        <f>IF(dir!J53=0,0,dir!J53)</f>
        <v/>
      </c>
      <c r="K80" s="121"/>
      <c r="L80" s="1139">
        <f>IF(dir!L53=0,0,dir!L53)</f>
        <v>0</v>
      </c>
      <c r="M80" s="1139">
        <f>IF(dir!M53=0,0,dir!M53)</f>
        <v>0</v>
      </c>
      <c r="N80" s="795" t="str">
        <f t="shared" si="31"/>
        <v/>
      </c>
      <c r="O80" s="795"/>
      <c r="P80" s="795" t="str">
        <f t="shared" si="42"/>
        <v/>
      </c>
      <c r="Q80" s="570" t="str">
        <f t="shared" si="32"/>
        <v/>
      </c>
      <c r="R80" s="767" t="str">
        <f t="shared" si="43"/>
        <v/>
      </c>
      <c r="S80" s="796" t="str">
        <f t="shared" si="33"/>
        <v/>
      </c>
      <c r="T80" s="501"/>
      <c r="U80" s="1303"/>
      <c r="V80" s="761"/>
      <c r="W80" s="761"/>
      <c r="X80" s="741" t="str">
        <f t="shared" si="44"/>
        <v/>
      </c>
      <c r="Y80" s="742">
        <f t="shared" si="45"/>
        <v>0.6</v>
      </c>
      <c r="Z80" s="743" t="e">
        <f t="shared" si="34"/>
        <v>#VALUE!</v>
      </c>
      <c r="AA80" s="743" t="e">
        <f t="shared" si="35"/>
        <v>#VALUE!</v>
      </c>
      <c r="AB80" s="744" t="e">
        <f t="shared" si="46"/>
        <v>#VALUE!</v>
      </c>
      <c r="AC80" s="725" t="e">
        <f t="shared" si="36"/>
        <v>#VALUE!</v>
      </c>
      <c r="AD80" s="693">
        <f t="shared" si="37"/>
        <v>0</v>
      </c>
      <c r="AE80" s="745">
        <f>IF(H80&gt;8,tab!C$194,tab!C$197)</f>
        <v>0.5</v>
      </c>
      <c r="AF80" s="544">
        <f t="shared" si="38"/>
        <v>0</v>
      </c>
      <c r="AG80" s="746">
        <f t="shared" si="39"/>
        <v>0</v>
      </c>
      <c r="AL80" s="753"/>
    </row>
    <row r="81" spans="2:43" ht="13.15" customHeight="1" x14ac:dyDescent="0.2">
      <c r="B81" s="1301"/>
      <c r="C81" s="31"/>
      <c r="D81" s="117" t="str">
        <f>IF(dir!D54=0,"",dir!D54)</f>
        <v/>
      </c>
      <c r="E81" s="117" t="str">
        <f>IF(dir!E54=0,"",dir!E54)</f>
        <v/>
      </c>
      <c r="F81" s="33" t="str">
        <f t="shared" si="40"/>
        <v/>
      </c>
      <c r="G81" s="118" t="str">
        <f>IF(dir!G54=0,"",dir!G54)</f>
        <v/>
      </c>
      <c r="H81" s="119" t="str">
        <f t="shared" si="41"/>
        <v/>
      </c>
      <c r="I81" s="119" t="str">
        <f>IF(E81="","",IF(dir!I54+1&gt;VLOOKUP(H81,Schaal2016,22,FALSE),dir!I54,dir!I54+1))</f>
        <v/>
      </c>
      <c r="J81" s="120" t="str">
        <f>IF(dir!J54=0,0,dir!J54)</f>
        <v/>
      </c>
      <c r="K81" s="121"/>
      <c r="L81" s="1139">
        <f>IF(dir!L54=0,0,dir!L54)</f>
        <v>0</v>
      </c>
      <c r="M81" s="1139">
        <f>IF(dir!M54=0,0,dir!M54)</f>
        <v>0</v>
      </c>
      <c r="N81" s="795" t="str">
        <f t="shared" si="31"/>
        <v/>
      </c>
      <c r="O81" s="795"/>
      <c r="P81" s="795" t="str">
        <f t="shared" si="42"/>
        <v/>
      </c>
      <c r="Q81" s="570" t="str">
        <f t="shared" si="32"/>
        <v/>
      </c>
      <c r="R81" s="767" t="str">
        <f t="shared" si="43"/>
        <v/>
      </c>
      <c r="S81" s="796" t="str">
        <f t="shared" si="33"/>
        <v/>
      </c>
      <c r="T81" s="501"/>
      <c r="U81" s="1303"/>
      <c r="V81" s="761"/>
      <c r="W81" s="761"/>
      <c r="X81" s="741" t="str">
        <f t="shared" si="44"/>
        <v/>
      </c>
      <c r="Y81" s="742">
        <f t="shared" si="45"/>
        <v>0.6</v>
      </c>
      <c r="Z81" s="743" t="e">
        <f t="shared" si="34"/>
        <v>#VALUE!</v>
      </c>
      <c r="AA81" s="743" t="e">
        <f t="shared" si="35"/>
        <v>#VALUE!</v>
      </c>
      <c r="AB81" s="744" t="e">
        <f t="shared" si="46"/>
        <v>#VALUE!</v>
      </c>
      <c r="AC81" s="725" t="e">
        <f t="shared" si="36"/>
        <v>#VALUE!</v>
      </c>
      <c r="AD81" s="693">
        <f t="shared" si="37"/>
        <v>0</v>
      </c>
      <c r="AE81" s="745">
        <f>IF(H81&gt;8,tab!C$194,tab!C$197)</f>
        <v>0.5</v>
      </c>
      <c r="AF81" s="544">
        <f t="shared" si="38"/>
        <v>0</v>
      </c>
      <c r="AG81" s="746">
        <f t="shared" si="39"/>
        <v>0</v>
      </c>
      <c r="AL81" s="753"/>
    </row>
    <row r="82" spans="2:43" ht="13.15" customHeight="1" x14ac:dyDescent="0.2">
      <c r="B82" s="1301"/>
      <c r="C82" s="31"/>
      <c r="D82" s="117" t="str">
        <f>IF(dir!D55=0,"",dir!D55)</f>
        <v/>
      </c>
      <c r="E82" s="117" t="str">
        <f>IF(dir!E55=0,"",dir!E55)</f>
        <v/>
      </c>
      <c r="F82" s="33" t="str">
        <f t="shared" si="40"/>
        <v/>
      </c>
      <c r="G82" s="118" t="str">
        <f>IF(dir!G55=0,"",dir!G55)</f>
        <v/>
      </c>
      <c r="H82" s="119" t="str">
        <f t="shared" si="41"/>
        <v/>
      </c>
      <c r="I82" s="119" t="str">
        <f>IF(E82="","",IF(dir!I55+1&gt;VLOOKUP(H82,Schaal2016,22,FALSE),dir!I55,dir!I55+1))</f>
        <v/>
      </c>
      <c r="J82" s="120" t="str">
        <f>IF(dir!J55=0,0,dir!J55)</f>
        <v/>
      </c>
      <c r="K82" s="121"/>
      <c r="L82" s="1139">
        <f>IF(dir!L55=0,0,dir!L55)</f>
        <v>0</v>
      </c>
      <c r="M82" s="1139">
        <f>IF(dir!M55=0,0,dir!M55)</f>
        <v>0</v>
      </c>
      <c r="N82" s="795" t="str">
        <f t="shared" si="31"/>
        <v/>
      </c>
      <c r="O82" s="795"/>
      <c r="P82" s="795" t="str">
        <f t="shared" si="42"/>
        <v/>
      </c>
      <c r="Q82" s="570" t="str">
        <f t="shared" si="32"/>
        <v/>
      </c>
      <c r="R82" s="767" t="str">
        <f t="shared" si="43"/>
        <v/>
      </c>
      <c r="S82" s="796" t="str">
        <f t="shared" si="33"/>
        <v/>
      </c>
      <c r="T82" s="501"/>
      <c r="U82" s="1303"/>
      <c r="V82" s="761"/>
      <c r="W82" s="761"/>
      <c r="X82" s="741" t="str">
        <f t="shared" si="44"/>
        <v/>
      </c>
      <c r="Y82" s="742">
        <f t="shared" si="45"/>
        <v>0.6</v>
      </c>
      <c r="Z82" s="743" t="e">
        <f t="shared" si="34"/>
        <v>#VALUE!</v>
      </c>
      <c r="AA82" s="743" t="e">
        <f t="shared" si="35"/>
        <v>#VALUE!</v>
      </c>
      <c r="AB82" s="744" t="e">
        <f t="shared" si="46"/>
        <v>#VALUE!</v>
      </c>
      <c r="AC82" s="725" t="e">
        <f t="shared" si="36"/>
        <v>#VALUE!</v>
      </c>
      <c r="AD82" s="693">
        <f t="shared" si="37"/>
        <v>0</v>
      </c>
      <c r="AE82" s="745">
        <f>IF(H82&gt;8,tab!C$194,tab!C$197)</f>
        <v>0.5</v>
      </c>
      <c r="AF82" s="544">
        <f t="shared" si="38"/>
        <v>0</v>
      </c>
      <c r="AG82" s="746">
        <f t="shared" si="39"/>
        <v>0</v>
      </c>
      <c r="AL82" s="753"/>
    </row>
    <row r="83" spans="2:43" ht="13.15" customHeight="1" x14ac:dyDescent="0.2">
      <c r="B83" s="1301"/>
      <c r="C83" s="31"/>
      <c r="D83" s="117" t="str">
        <f>IF(dir!D56=0,"",dir!D56)</f>
        <v/>
      </c>
      <c r="E83" s="117" t="str">
        <f>IF(dir!E56=0,"",dir!E56)</f>
        <v/>
      </c>
      <c r="F83" s="33" t="str">
        <f t="shared" si="40"/>
        <v/>
      </c>
      <c r="G83" s="118" t="str">
        <f>IF(dir!G56=0,"",dir!G56)</f>
        <v/>
      </c>
      <c r="H83" s="119" t="str">
        <f t="shared" si="41"/>
        <v/>
      </c>
      <c r="I83" s="119" t="str">
        <f>IF(E83="","",IF(dir!I56+1&gt;VLOOKUP(H83,Schaal2016,22,FALSE),dir!I56,dir!I56+1))</f>
        <v/>
      </c>
      <c r="J83" s="120" t="str">
        <f>IF(dir!J56=0,0,dir!J56)</f>
        <v/>
      </c>
      <c r="K83" s="121"/>
      <c r="L83" s="1139">
        <f>IF(dir!L56=0,0,dir!L56)</f>
        <v>0</v>
      </c>
      <c r="M83" s="1139">
        <f>IF(dir!M56=0,0,dir!M56)</f>
        <v>0</v>
      </c>
      <c r="N83" s="795" t="str">
        <f t="shared" si="31"/>
        <v/>
      </c>
      <c r="O83" s="795"/>
      <c r="P83" s="795" t="str">
        <f t="shared" si="42"/>
        <v/>
      </c>
      <c r="Q83" s="570" t="str">
        <f t="shared" si="32"/>
        <v/>
      </c>
      <c r="R83" s="767" t="str">
        <f t="shared" si="43"/>
        <v/>
      </c>
      <c r="S83" s="796" t="str">
        <f t="shared" si="33"/>
        <v/>
      </c>
      <c r="T83" s="501"/>
      <c r="U83" s="1303"/>
      <c r="V83" s="761"/>
      <c r="W83" s="761"/>
      <c r="X83" s="741" t="str">
        <f t="shared" si="44"/>
        <v/>
      </c>
      <c r="Y83" s="742">
        <f t="shared" si="45"/>
        <v>0.6</v>
      </c>
      <c r="Z83" s="743" t="e">
        <f t="shared" si="34"/>
        <v>#VALUE!</v>
      </c>
      <c r="AA83" s="743" t="e">
        <f t="shared" si="35"/>
        <v>#VALUE!</v>
      </c>
      <c r="AB83" s="744" t="e">
        <f t="shared" si="46"/>
        <v>#VALUE!</v>
      </c>
      <c r="AC83" s="725" t="e">
        <f t="shared" si="36"/>
        <v>#VALUE!</v>
      </c>
      <c r="AD83" s="693">
        <f t="shared" si="37"/>
        <v>0</v>
      </c>
      <c r="AE83" s="745">
        <f>IF(H83&gt;8,tab!C$194,tab!C$197)</f>
        <v>0.5</v>
      </c>
      <c r="AF83" s="544">
        <f t="shared" si="38"/>
        <v>0</v>
      </c>
      <c r="AG83" s="746">
        <f t="shared" si="39"/>
        <v>0</v>
      </c>
      <c r="AL83" s="753"/>
    </row>
    <row r="84" spans="2:43" ht="13.15" customHeight="1" x14ac:dyDescent="0.2">
      <c r="B84" s="1301"/>
      <c r="C84" s="31"/>
      <c r="D84" s="117" t="str">
        <f>IF(dir!D57=0,"",dir!D57)</f>
        <v/>
      </c>
      <c r="E84" s="117" t="str">
        <f>IF(dir!E57=0,"",dir!E57)</f>
        <v/>
      </c>
      <c r="F84" s="33" t="str">
        <f t="shared" si="40"/>
        <v/>
      </c>
      <c r="G84" s="118" t="str">
        <f>IF(dir!G57=0,"",dir!G57)</f>
        <v/>
      </c>
      <c r="H84" s="119" t="str">
        <f t="shared" si="41"/>
        <v/>
      </c>
      <c r="I84" s="119" t="str">
        <f>IF(E84="","",IF(dir!I57+1&gt;VLOOKUP(H84,Schaal2016,22,FALSE),dir!I57,dir!I57+1))</f>
        <v/>
      </c>
      <c r="J84" s="120" t="str">
        <f>IF(dir!J57=0,0,dir!J57)</f>
        <v/>
      </c>
      <c r="K84" s="121"/>
      <c r="L84" s="1139">
        <f>IF(dir!L57=0,0,dir!L57)</f>
        <v>0</v>
      </c>
      <c r="M84" s="1139">
        <f>IF(dir!M57=0,0,dir!M57)</f>
        <v>0</v>
      </c>
      <c r="N84" s="795" t="str">
        <f t="shared" si="31"/>
        <v/>
      </c>
      <c r="O84" s="795"/>
      <c r="P84" s="795" t="str">
        <f t="shared" si="42"/>
        <v/>
      </c>
      <c r="Q84" s="570" t="str">
        <f t="shared" si="32"/>
        <v/>
      </c>
      <c r="R84" s="767" t="str">
        <f t="shared" si="43"/>
        <v/>
      </c>
      <c r="S84" s="796" t="str">
        <f t="shared" si="33"/>
        <v/>
      </c>
      <c r="T84" s="501"/>
      <c r="U84" s="1303"/>
      <c r="V84" s="761"/>
      <c r="W84" s="761"/>
      <c r="X84" s="741" t="str">
        <f t="shared" si="44"/>
        <v/>
      </c>
      <c r="Y84" s="742">
        <f t="shared" si="45"/>
        <v>0.6</v>
      </c>
      <c r="Z84" s="743" t="e">
        <f t="shared" si="34"/>
        <v>#VALUE!</v>
      </c>
      <c r="AA84" s="743" t="e">
        <f t="shared" si="35"/>
        <v>#VALUE!</v>
      </c>
      <c r="AB84" s="744" t="e">
        <f t="shared" si="46"/>
        <v>#VALUE!</v>
      </c>
      <c r="AC84" s="725" t="e">
        <f t="shared" si="36"/>
        <v>#VALUE!</v>
      </c>
      <c r="AD84" s="693">
        <f t="shared" si="37"/>
        <v>0</v>
      </c>
      <c r="AE84" s="745">
        <f>IF(H84&gt;8,tab!C$194,tab!C$197)</f>
        <v>0.5</v>
      </c>
      <c r="AF84" s="544">
        <f t="shared" si="38"/>
        <v>0</v>
      </c>
      <c r="AG84" s="746">
        <f t="shared" si="39"/>
        <v>0</v>
      </c>
      <c r="AL84" s="753"/>
    </row>
    <row r="85" spans="2:43" ht="13.15" customHeight="1" x14ac:dyDescent="0.2">
      <c r="B85" s="1301"/>
      <c r="C85" s="31"/>
      <c r="D85" s="28"/>
      <c r="E85" s="28"/>
      <c r="F85" s="125"/>
      <c r="G85" s="126"/>
      <c r="H85" s="32"/>
      <c r="I85" s="32"/>
      <c r="J85" s="768">
        <f>SUM(J70:J84)</f>
        <v>1</v>
      </c>
      <c r="K85" s="125"/>
      <c r="L85" s="797">
        <f t="shared" ref="L85:S85" si="47">SUM(L70:L84)</f>
        <v>0</v>
      </c>
      <c r="M85" s="797">
        <f t="shared" si="47"/>
        <v>0</v>
      </c>
      <c r="N85" s="797">
        <f t="shared" si="47"/>
        <v>40</v>
      </c>
      <c r="O85" s="797">
        <f t="shared" si="47"/>
        <v>0</v>
      </c>
      <c r="P85" s="797">
        <f t="shared" si="47"/>
        <v>40</v>
      </c>
      <c r="Q85" s="571">
        <f t="shared" si="47"/>
        <v>78039.898734177215</v>
      </c>
      <c r="R85" s="798">
        <f t="shared" si="47"/>
        <v>1928.1012658227851</v>
      </c>
      <c r="S85" s="799">
        <f t="shared" si="47"/>
        <v>79968</v>
      </c>
      <c r="T85" s="609"/>
      <c r="U85" s="1308"/>
      <c r="V85" s="762"/>
      <c r="W85" s="762"/>
      <c r="X85" s="747">
        <f>SUM(X70:X84)</f>
        <v>4165</v>
      </c>
      <c r="Y85" s="748"/>
      <c r="Z85" s="749"/>
      <c r="AA85" s="749"/>
      <c r="AB85" s="660"/>
      <c r="AC85" s="725"/>
      <c r="AD85" s="720"/>
      <c r="AE85" s="544"/>
      <c r="AF85" s="544"/>
      <c r="AG85" s="746">
        <f>SUM(AG70:AG84)</f>
        <v>0</v>
      </c>
      <c r="AL85" s="753"/>
    </row>
    <row r="86" spans="2:43" ht="13.15" customHeight="1" x14ac:dyDescent="0.2">
      <c r="B86" s="1301"/>
      <c r="C86" s="36"/>
      <c r="D86" s="127"/>
      <c r="E86" s="127"/>
      <c r="F86" s="127"/>
      <c r="G86" s="128"/>
      <c r="H86" s="129"/>
      <c r="I86" s="130"/>
      <c r="J86" s="131"/>
      <c r="K86" s="127"/>
      <c r="L86" s="130"/>
      <c r="M86" s="133"/>
      <c r="N86" s="133"/>
      <c r="O86" s="133"/>
      <c r="P86" s="133"/>
      <c r="Q86" s="777"/>
      <c r="R86" s="251"/>
      <c r="S86" s="133"/>
      <c r="T86" s="498"/>
      <c r="U86" s="1309"/>
      <c r="V86" s="763"/>
      <c r="W86" s="766"/>
      <c r="X86" s="756"/>
      <c r="Y86" s="757"/>
      <c r="AC86" s="754"/>
      <c r="AL86" s="753"/>
    </row>
    <row r="87" spans="2:43" ht="13.15" customHeight="1" x14ac:dyDescent="0.2">
      <c r="B87" s="1301"/>
      <c r="H87" s="8"/>
      <c r="I87" s="75"/>
      <c r="J87" s="123"/>
      <c r="L87" s="147"/>
      <c r="M87" s="147"/>
      <c r="N87" s="147"/>
      <c r="O87" s="147"/>
      <c r="P87" s="147"/>
      <c r="Q87" s="780"/>
      <c r="S87" s="147"/>
      <c r="T87" s="149"/>
      <c r="U87" s="1303"/>
      <c r="V87" s="725"/>
      <c r="W87" s="725"/>
      <c r="X87" s="755"/>
    </row>
    <row r="88" spans="2:43" ht="13.15" customHeight="1" x14ac:dyDescent="0.2">
      <c r="B88" s="1301"/>
      <c r="H88" s="8"/>
      <c r="I88" s="75"/>
      <c r="J88" s="123"/>
      <c r="L88" s="147"/>
      <c r="M88" s="147"/>
      <c r="N88" s="147"/>
      <c r="O88" s="147"/>
      <c r="P88" s="147"/>
      <c r="Q88" s="780"/>
      <c r="S88" s="147"/>
      <c r="T88" s="149"/>
      <c r="U88" s="1303"/>
      <c r="V88" s="725"/>
      <c r="W88" s="725"/>
      <c r="X88" s="755"/>
    </row>
    <row r="89" spans="2:43" ht="13.15" customHeight="1" x14ac:dyDescent="0.2">
      <c r="B89" s="1301"/>
      <c r="C89" s="34" t="s">
        <v>48</v>
      </c>
      <c r="E89" s="150" t="str">
        <f>tab!F2</f>
        <v>2021/22</v>
      </c>
      <c r="H89" s="8"/>
      <c r="I89" s="75"/>
      <c r="J89" s="123"/>
      <c r="L89" s="147"/>
      <c r="M89" s="147"/>
      <c r="N89" s="147"/>
      <c r="O89" s="147"/>
      <c r="P89" s="147"/>
      <c r="Q89" s="780"/>
      <c r="S89" s="147"/>
      <c r="T89" s="149"/>
      <c r="U89" s="1303"/>
      <c r="V89" s="725"/>
      <c r="W89" s="725"/>
      <c r="X89" s="755"/>
    </row>
    <row r="90" spans="2:43" ht="13.15" customHeight="1" x14ac:dyDescent="0.2">
      <c r="B90" s="1301"/>
      <c r="C90" s="71" t="s">
        <v>125</v>
      </c>
      <c r="E90" s="150">
        <f>tab!G3</f>
        <v>44470</v>
      </c>
      <c r="H90" s="8"/>
      <c r="I90" s="75"/>
      <c r="J90" s="123"/>
      <c r="L90" s="147"/>
      <c r="M90" s="147"/>
      <c r="N90" s="147"/>
      <c r="O90" s="147"/>
      <c r="P90" s="147"/>
      <c r="Q90" s="780"/>
      <c r="S90" s="147"/>
      <c r="T90" s="149"/>
      <c r="U90" s="1303"/>
      <c r="V90" s="725"/>
      <c r="W90" s="725"/>
      <c r="X90" s="755"/>
    </row>
    <row r="91" spans="2:43" ht="13.15" customHeight="1" x14ac:dyDescent="0.2">
      <c r="B91" s="1301"/>
      <c r="H91" s="8"/>
      <c r="I91" s="75"/>
      <c r="J91" s="123"/>
      <c r="L91" s="147"/>
      <c r="M91" s="147"/>
      <c r="N91" s="147"/>
      <c r="O91" s="147"/>
      <c r="P91" s="147"/>
      <c r="Q91" s="780"/>
      <c r="S91" s="147"/>
      <c r="T91" s="149"/>
      <c r="U91" s="1303"/>
      <c r="V91" s="725"/>
      <c r="W91" s="725"/>
      <c r="X91" s="755"/>
    </row>
    <row r="92" spans="2:43" ht="13.15" customHeight="1" x14ac:dyDescent="0.2">
      <c r="B92" s="1301"/>
      <c r="C92" s="23"/>
      <c r="D92" s="100"/>
      <c r="E92" s="101"/>
      <c r="F92" s="25"/>
      <c r="G92" s="102"/>
      <c r="H92" s="103"/>
      <c r="I92" s="103"/>
      <c r="J92" s="104"/>
      <c r="K92" s="24"/>
      <c r="L92" s="103"/>
      <c r="M92" s="25"/>
      <c r="N92" s="25"/>
      <c r="O92" s="25"/>
      <c r="P92" s="25"/>
      <c r="Q92" s="349"/>
      <c r="R92" s="278"/>
      <c r="S92" s="800"/>
      <c r="T92" s="499"/>
      <c r="U92" s="1304"/>
      <c r="V92" s="682"/>
      <c r="W92" s="682"/>
      <c r="X92" s="683"/>
      <c r="Y92" s="684"/>
      <c r="AE92" s="658"/>
      <c r="AF92" s="659"/>
      <c r="AG92" s="658"/>
      <c r="AH92" s="658"/>
      <c r="AI92" s="658"/>
      <c r="AJ92" s="658"/>
      <c r="AK92" s="660"/>
      <c r="AL92" s="661"/>
      <c r="AM92" s="662"/>
      <c r="AN92" s="663"/>
      <c r="AO92" s="660"/>
    </row>
    <row r="93" spans="2:43" s="151" customFormat="1" ht="13.15" customHeight="1" x14ac:dyDescent="0.2">
      <c r="B93" s="1310"/>
      <c r="C93" s="282"/>
      <c r="D93" s="1340" t="s">
        <v>126</v>
      </c>
      <c r="E93" s="1341"/>
      <c r="F93" s="1341"/>
      <c r="G93" s="1341"/>
      <c r="H93" s="1342"/>
      <c r="I93" s="1342"/>
      <c r="J93" s="1342"/>
      <c r="K93" s="685"/>
      <c r="L93" s="1294" t="s">
        <v>440</v>
      </c>
      <c r="M93" s="687"/>
      <c r="N93" s="687"/>
      <c r="O93" s="687"/>
      <c r="P93" s="687"/>
      <c r="Q93" s="794" t="s">
        <v>450</v>
      </c>
      <c r="R93" s="687"/>
      <c r="S93" s="687"/>
      <c r="T93" s="608"/>
      <c r="U93" s="1306"/>
      <c r="V93" s="689"/>
      <c r="W93" s="689"/>
      <c r="X93" s="690"/>
      <c r="Y93" s="691"/>
      <c r="Z93" s="692"/>
      <c r="AA93" s="692"/>
      <c r="AB93" s="660"/>
      <c r="AC93" s="725"/>
      <c r="AD93" s="660"/>
      <c r="AE93" s="694"/>
      <c r="AF93" s="694"/>
      <c r="AG93" s="694"/>
      <c r="AH93" s="719"/>
      <c r="AI93" s="719"/>
      <c r="AJ93" s="719"/>
      <c r="AK93" s="719"/>
      <c r="AL93" s="719"/>
      <c r="AM93" s="719"/>
      <c r="AN93" s="719"/>
      <c r="AO93" s="719"/>
      <c r="AP93" s="610"/>
      <c r="AQ93" s="610"/>
    </row>
    <row r="94" spans="2:43" s="151" customFormat="1" ht="13.15" customHeight="1" x14ac:dyDescent="0.2">
      <c r="B94" s="1310"/>
      <c r="C94" s="282"/>
      <c r="D94" s="696" t="s">
        <v>529</v>
      </c>
      <c r="E94" s="696" t="s">
        <v>88</v>
      </c>
      <c r="F94" s="697" t="s">
        <v>128</v>
      </c>
      <c r="G94" s="698" t="s">
        <v>129</v>
      </c>
      <c r="H94" s="697" t="s">
        <v>130</v>
      </c>
      <c r="I94" s="697" t="s">
        <v>131</v>
      </c>
      <c r="J94" s="699" t="s">
        <v>132</v>
      </c>
      <c r="K94" s="726"/>
      <c r="L94" s="700" t="s">
        <v>441</v>
      </c>
      <c r="M94" s="700" t="s">
        <v>444</v>
      </c>
      <c r="N94" s="700" t="s">
        <v>446</v>
      </c>
      <c r="O94" s="700" t="s">
        <v>443</v>
      </c>
      <c r="P94" s="722" t="s">
        <v>449</v>
      </c>
      <c r="Q94" s="775" t="s">
        <v>133</v>
      </c>
      <c r="R94" s="702" t="s">
        <v>453</v>
      </c>
      <c r="S94" s="703" t="s">
        <v>133</v>
      </c>
      <c r="T94" s="500"/>
      <c r="U94" s="1307"/>
      <c r="V94" s="704"/>
      <c r="W94" s="704"/>
      <c r="X94" s="705" t="s">
        <v>139</v>
      </c>
      <c r="Y94" s="706" t="s">
        <v>454</v>
      </c>
      <c r="Z94" s="707" t="s">
        <v>455</v>
      </c>
      <c r="AA94" s="707" t="s">
        <v>455</v>
      </c>
      <c r="AB94" s="707" t="s">
        <v>456</v>
      </c>
      <c r="AC94" s="721" t="s">
        <v>457</v>
      </c>
      <c r="AD94" s="707" t="s">
        <v>458</v>
      </c>
      <c r="AE94" s="707" t="s">
        <v>459</v>
      </c>
      <c r="AF94" s="707" t="s">
        <v>134</v>
      </c>
      <c r="AG94" s="703" t="s">
        <v>135</v>
      </c>
      <c r="AH94" s="719"/>
      <c r="AI94" s="719"/>
      <c r="AJ94" s="719"/>
      <c r="AK94" s="719"/>
      <c r="AL94" s="719"/>
      <c r="AM94" s="719"/>
      <c r="AN94" s="719"/>
      <c r="AO94" s="719"/>
      <c r="AP94" s="610"/>
      <c r="AQ94" s="611"/>
    </row>
    <row r="95" spans="2:43" s="151" customFormat="1" ht="13.15" customHeight="1" x14ac:dyDescent="0.2">
      <c r="B95" s="1310"/>
      <c r="C95" s="282"/>
      <c r="D95" s="1295"/>
      <c r="E95" s="696"/>
      <c r="F95" s="697" t="s">
        <v>136</v>
      </c>
      <c r="G95" s="698" t="s">
        <v>137</v>
      </c>
      <c r="H95" s="697"/>
      <c r="I95" s="697"/>
      <c r="J95" s="699" t="s">
        <v>138</v>
      </c>
      <c r="K95" s="726"/>
      <c r="L95" s="700" t="s">
        <v>442</v>
      </c>
      <c r="M95" s="700" t="s">
        <v>445</v>
      </c>
      <c r="N95" s="700" t="s">
        <v>447</v>
      </c>
      <c r="O95" s="700" t="s">
        <v>448</v>
      </c>
      <c r="P95" s="722" t="s">
        <v>141</v>
      </c>
      <c r="Q95" s="586" t="s">
        <v>451</v>
      </c>
      <c r="R95" s="702" t="s">
        <v>452</v>
      </c>
      <c r="S95" s="722" t="s">
        <v>141</v>
      </c>
      <c r="T95" s="500"/>
      <c r="U95" s="1307"/>
      <c r="V95" s="704"/>
      <c r="W95" s="704"/>
      <c r="X95" s="707" t="s">
        <v>460</v>
      </c>
      <c r="Y95" s="711">
        <f>tab!C$193</f>
        <v>0.6</v>
      </c>
      <c r="Z95" s="707" t="s">
        <v>461</v>
      </c>
      <c r="AA95" s="707" t="s">
        <v>462</v>
      </c>
      <c r="AB95" s="707" t="s">
        <v>463</v>
      </c>
      <c r="AC95" s="721" t="s">
        <v>464</v>
      </c>
      <c r="AD95" s="707" t="s">
        <v>464</v>
      </c>
      <c r="AE95" s="707" t="s">
        <v>465</v>
      </c>
      <c r="AF95" s="707"/>
      <c r="AG95" s="707" t="s">
        <v>140</v>
      </c>
      <c r="AH95" s="719"/>
      <c r="AI95" s="719"/>
      <c r="AJ95" s="719"/>
      <c r="AK95" s="719"/>
      <c r="AL95" s="719"/>
      <c r="AM95" s="719"/>
      <c r="AN95" s="719"/>
      <c r="AO95" s="719"/>
      <c r="AQ95" s="146"/>
    </row>
    <row r="96" spans="2:43" s="151" customFormat="1" ht="13.15" customHeight="1" x14ac:dyDescent="0.2">
      <c r="B96" s="1310"/>
      <c r="C96" s="31"/>
      <c r="D96" s="1"/>
      <c r="E96" s="1"/>
      <c r="F96" s="108"/>
      <c r="G96" s="109"/>
      <c r="H96" s="110"/>
      <c r="I96" s="110"/>
      <c r="J96" s="111"/>
      <c r="K96" s="108"/>
      <c r="L96" s="599"/>
      <c r="M96" s="113"/>
      <c r="N96" s="113"/>
      <c r="O96" s="113"/>
      <c r="P96" s="113"/>
      <c r="Q96" s="776"/>
      <c r="R96" s="114"/>
      <c r="S96" s="113"/>
      <c r="T96" s="500"/>
      <c r="U96" s="1307"/>
      <c r="V96" s="704"/>
      <c r="W96" s="704"/>
      <c r="X96" s="739"/>
      <c r="Y96" s="740"/>
      <c r="Z96" s="544"/>
      <c r="AA96" s="544"/>
      <c r="AB96" s="544"/>
      <c r="AC96" s="718"/>
      <c r="AD96" s="544"/>
      <c r="AE96" s="544"/>
      <c r="AF96" s="544"/>
      <c r="AG96" s="544"/>
      <c r="AH96" s="719"/>
      <c r="AI96" s="719"/>
      <c r="AJ96" s="719"/>
      <c r="AK96" s="719"/>
      <c r="AL96" s="719"/>
      <c r="AM96" s="719"/>
      <c r="AN96" s="719"/>
      <c r="AO96" s="719"/>
      <c r="AQ96" s="146"/>
    </row>
    <row r="97" spans="2:38" ht="13.15" customHeight="1" x14ac:dyDescent="0.2">
      <c r="B97" s="1301"/>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39">
        <f>IF(dir!L70=0,0,dir!L70)</f>
        <v>0</v>
      </c>
      <c r="M97" s="1139">
        <f>IF(dir!M70=0,0,dir!M70)</f>
        <v>0</v>
      </c>
      <c r="N97" s="795">
        <f t="shared" ref="N97:N111" si="48">IF(J97="","",IF(J97*40&gt;40,40,J97*40))</f>
        <v>40</v>
      </c>
      <c r="O97" s="795"/>
      <c r="P97" s="795">
        <f>IF(J97="","",SUM(L97:O97))</f>
        <v>40</v>
      </c>
      <c r="Q97" s="570">
        <f t="shared" ref="Q97:Q111" si="49">IF(J97="","",(1659*J97-P97)*AA97)</f>
        <v>80494.454972875246</v>
      </c>
      <c r="R97" s="767">
        <f t="shared" ref="R97:R111" si="50">IF(J97="","",(P97*AB97)+Z97*(AC97+AD97*(1-AE97)))</f>
        <v>1988.7450271247744</v>
      </c>
      <c r="S97" s="796">
        <f t="shared" ref="S97:S111" si="51">IF(E97="","",(Q97+R97))</f>
        <v>82483.200000000026</v>
      </c>
      <c r="T97" s="501"/>
      <c r="U97" s="1303"/>
      <c r="V97" s="761"/>
      <c r="W97" s="761"/>
      <c r="X97" s="741">
        <f t="shared" ref="X97:X111" si="52">IF(H97="","",VLOOKUP(H97,Salaris2020,I97+1,FALSE))</f>
        <v>4296</v>
      </c>
      <c r="Y97" s="742">
        <f>$Y$14</f>
        <v>0.6</v>
      </c>
      <c r="Z97" s="743">
        <f t="shared" ref="Z97:Z111" si="53">X97*12/1659</f>
        <v>31.074141048824593</v>
      </c>
      <c r="AA97" s="743">
        <f t="shared" ref="AA97:AA111" si="54">X97*12*(1+Y97)/1659</f>
        <v>49.718625678119359</v>
      </c>
      <c r="AB97" s="744">
        <f>AA97-Z97</f>
        <v>18.644484629294766</v>
      </c>
      <c r="AC97" s="725">
        <f t="shared" ref="AC97:AC111" si="55">N97+O97</f>
        <v>40</v>
      </c>
      <c r="AD97" s="693">
        <f t="shared" ref="AD97:AD111" si="56">L97+M97</f>
        <v>0</v>
      </c>
      <c r="AE97" s="745">
        <f>IF(H97&gt;8,tab!C$194,tab!C$197)</f>
        <v>0.5</v>
      </c>
      <c r="AF97" s="544">
        <f t="shared" ref="AF97:AF111" si="57">IF(F97&lt;25,0,IF(F97=25,25,IF(F97&lt;40,0,IF(F97=40,40,IF(F97&gt;=40,0)))))</f>
        <v>0</v>
      </c>
      <c r="AG97" s="746">
        <f t="shared" ref="AG97:AG111" si="58">IF(AF97=25,(X97*1.08*J97/2),IF(AF97=40,(X97*1.08*J97),IF(AF97=0,0)))</f>
        <v>0</v>
      </c>
      <c r="AL97" s="753"/>
    </row>
    <row r="98" spans="2:38" ht="13.15" customHeight="1" x14ac:dyDescent="0.2">
      <c r="B98" s="1301"/>
      <c r="C98" s="31"/>
      <c r="D98" s="117" t="str">
        <f>IF(dir!D71=0,"",dir!D71)</f>
        <v/>
      </c>
      <c r="E98" s="117" t="str">
        <f>IF(dir!E71=0,"",dir!E71)</f>
        <v/>
      </c>
      <c r="F98" s="33" t="str">
        <f t="shared" ref="F98:F111" si="59">IF(F71="","",F71+1)</f>
        <v/>
      </c>
      <c r="G98" s="118" t="str">
        <f>IF(dir!G71=0,"",dir!G71)</f>
        <v/>
      </c>
      <c r="H98" s="119" t="str">
        <f t="shared" ref="H98:H111" si="60">IF(H71="","",H71)</f>
        <v/>
      </c>
      <c r="I98" s="119" t="str">
        <f>IF(E98="","",IF(dir!I71+1&gt;VLOOKUP(H98,Schaal2016,22,FALSE),dir!I71,dir!I71+1))</f>
        <v/>
      </c>
      <c r="J98" s="120" t="str">
        <f>IF(dir!J71=0,0,dir!J71)</f>
        <v/>
      </c>
      <c r="K98" s="121"/>
      <c r="L98" s="1139">
        <f>IF(dir!L71=0,0,dir!L71)</f>
        <v>0</v>
      </c>
      <c r="M98" s="1139">
        <f>IF(dir!M71=0,0,dir!M71)</f>
        <v>0</v>
      </c>
      <c r="N98" s="795" t="str">
        <f t="shared" si="48"/>
        <v/>
      </c>
      <c r="O98" s="795"/>
      <c r="P98" s="795" t="str">
        <f t="shared" ref="P98:P111" si="61">IF(J98="","",SUM(L98:O98))</f>
        <v/>
      </c>
      <c r="Q98" s="570" t="str">
        <f t="shared" si="49"/>
        <v/>
      </c>
      <c r="R98" s="767" t="str">
        <f t="shared" si="50"/>
        <v/>
      </c>
      <c r="S98" s="796" t="str">
        <f t="shared" si="51"/>
        <v/>
      </c>
      <c r="T98" s="501"/>
      <c r="U98" s="1303"/>
      <c r="V98" s="761"/>
      <c r="W98" s="761"/>
      <c r="X98" s="741" t="str">
        <f t="shared" si="52"/>
        <v/>
      </c>
      <c r="Y98" s="742">
        <f t="shared" ref="Y98:Y111" si="62">$Y$14</f>
        <v>0.6</v>
      </c>
      <c r="Z98" s="743" t="e">
        <f t="shared" si="53"/>
        <v>#VALUE!</v>
      </c>
      <c r="AA98" s="743" t="e">
        <f t="shared" si="54"/>
        <v>#VALUE!</v>
      </c>
      <c r="AB98" s="744" t="e">
        <f t="shared" ref="AB98:AB111" si="63">AA98-Z98</f>
        <v>#VALUE!</v>
      </c>
      <c r="AC98" s="725" t="e">
        <f t="shared" si="55"/>
        <v>#VALUE!</v>
      </c>
      <c r="AD98" s="693">
        <f t="shared" si="56"/>
        <v>0</v>
      </c>
      <c r="AE98" s="745">
        <f>IF(H98&gt;8,tab!C$194,tab!C$197)</f>
        <v>0.5</v>
      </c>
      <c r="AF98" s="544">
        <f t="shared" si="57"/>
        <v>0</v>
      </c>
      <c r="AG98" s="746">
        <f t="shared" si="58"/>
        <v>0</v>
      </c>
      <c r="AL98" s="753"/>
    </row>
    <row r="99" spans="2:38" ht="13.15" customHeight="1" x14ac:dyDescent="0.2">
      <c r="B99" s="1301"/>
      <c r="C99" s="31"/>
      <c r="D99" s="117" t="str">
        <f>IF(dir!D72=0,"",dir!D72)</f>
        <v/>
      </c>
      <c r="E99" s="117" t="str">
        <f>IF(dir!E72=0,"",dir!E72)</f>
        <v/>
      </c>
      <c r="F99" s="33" t="str">
        <f t="shared" si="59"/>
        <v/>
      </c>
      <c r="G99" s="118" t="str">
        <f>IF(dir!G72=0,"",dir!G72)</f>
        <v/>
      </c>
      <c r="H99" s="119" t="str">
        <f t="shared" si="60"/>
        <v/>
      </c>
      <c r="I99" s="119" t="str">
        <f>IF(E99="","",IF(dir!I72+1&gt;VLOOKUP(H99,Schaal2016,22,FALSE),dir!I72,dir!I72+1))</f>
        <v/>
      </c>
      <c r="J99" s="120" t="str">
        <f>IF(dir!J72=0,0,dir!J72)</f>
        <v/>
      </c>
      <c r="K99" s="121"/>
      <c r="L99" s="1139">
        <f>IF(dir!L72=0,0,dir!L72)</f>
        <v>0</v>
      </c>
      <c r="M99" s="1139">
        <f>IF(dir!M72=0,0,dir!M72)</f>
        <v>0</v>
      </c>
      <c r="N99" s="795" t="str">
        <f t="shared" si="48"/>
        <v/>
      </c>
      <c r="O99" s="795"/>
      <c r="P99" s="795" t="str">
        <f t="shared" si="61"/>
        <v/>
      </c>
      <c r="Q99" s="570" t="str">
        <f t="shared" si="49"/>
        <v/>
      </c>
      <c r="R99" s="767" t="str">
        <f t="shared" si="50"/>
        <v/>
      </c>
      <c r="S99" s="796" t="str">
        <f t="shared" si="51"/>
        <v/>
      </c>
      <c r="T99" s="501"/>
      <c r="U99" s="1303"/>
      <c r="V99" s="761"/>
      <c r="W99" s="761"/>
      <c r="X99" s="741" t="str">
        <f t="shared" si="52"/>
        <v/>
      </c>
      <c r="Y99" s="742">
        <f t="shared" si="62"/>
        <v>0.6</v>
      </c>
      <c r="Z99" s="743" t="e">
        <f t="shared" si="53"/>
        <v>#VALUE!</v>
      </c>
      <c r="AA99" s="743" t="e">
        <f t="shared" si="54"/>
        <v>#VALUE!</v>
      </c>
      <c r="AB99" s="744" t="e">
        <f t="shared" si="63"/>
        <v>#VALUE!</v>
      </c>
      <c r="AC99" s="725" t="e">
        <f t="shared" si="55"/>
        <v>#VALUE!</v>
      </c>
      <c r="AD99" s="693">
        <f t="shared" si="56"/>
        <v>0</v>
      </c>
      <c r="AE99" s="745">
        <f>IF(H99&gt;8,tab!C$194,tab!C$197)</f>
        <v>0.5</v>
      </c>
      <c r="AF99" s="544">
        <f t="shared" si="57"/>
        <v>0</v>
      </c>
      <c r="AG99" s="746">
        <f t="shared" si="58"/>
        <v>0</v>
      </c>
      <c r="AL99" s="753"/>
    </row>
    <row r="100" spans="2:38" ht="13.15" customHeight="1" x14ac:dyDescent="0.2">
      <c r="B100" s="1301"/>
      <c r="C100" s="31"/>
      <c r="D100" s="117" t="str">
        <f>IF(dir!D73=0,"",dir!D73)</f>
        <v/>
      </c>
      <c r="E100" s="117" t="str">
        <f>IF(dir!E73=0,"",dir!E73)</f>
        <v/>
      </c>
      <c r="F100" s="33" t="str">
        <f t="shared" si="59"/>
        <v/>
      </c>
      <c r="G100" s="118" t="str">
        <f>IF(dir!G73=0,"",dir!G73)</f>
        <v/>
      </c>
      <c r="H100" s="119" t="str">
        <f t="shared" si="60"/>
        <v/>
      </c>
      <c r="I100" s="119" t="str">
        <f>IF(E100="","",IF(dir!I73+1&gt;VLOOKUP(H100,Schaal2016,22,FALSE),dir!I73,dir!I73+1))</f>
        <v/>
      </c>
      <c r="J100" s="120" t="str">
        <f>IF(dir!J73=0,0,dir!J73)</f>
        <v/>
      </c>
      <c r="K100" s="121"/>
      <c r="L100" s="1139">
        <f>IF(dir!L73=0,0,dir!L73)</f>
        <v>0</v>
      </c>
      <c r="M100" s="1139">
        <f>IF(dir!M73=0,0,dir!M73)</f>
        <v>0</v>
      </c>
      <c r="N100" s="795" t="str">
        <f t="shared" si="48"/>
        <v/>
      </c>
      <c r="O100" s="795"/>
      <c r="P100" s="795" t="str">
        <f t="shared" si="61"/>
        <v/>
      </c>
      <c r="Q100" s="570" t="str">
        <f t="shared" si="49"/>
        <v/>
      </c>
      <c r="R100" s="767" t="str">
        <f t="shared" si="50"/>
        <v/>
      </c>
      <c r="S100" s="796" t="str">
        <f t="shared" si="51"/>
        <v/>
      </c>
      <c r="T100" s="501"/>
      <c r="U100" s="1303"/>
      <c r="V100" s="761"/>
      <c r="W100" s="761"/>
      <c r="X100" s="741" t="str">
        <f t="shared" si="52"/>
        <v/>
      </c>
      <c r="Y100" s="742">
        <f t="shared" si="62"/>
        <v>0.6</v>
      </c>
      <c r="Z100" s="743" t="e">
        <f t="shared" si="53"/>
        <v>#VALUE!</v>
      </c>
      <c r="AA100" s="743" t="e">
        <f t="shared" si="54"/>
        <v>#VALUE!</v>
      </c>
      <c r="AB100" s="744" t="e">
        <f t="shared" si="63"/>
        <v>#VALUE!</v>
      </c>
      <c r="AC100" s="725" t="e">
        <f t="shared" si="55"/>
        <v>#VALUE!</v>
      </c>
      <c r="AD100" s="693">
        <f t="shared" si="56"/>
        <v>0</v>
      </c>
      <c r="AE100" s="745">
        <f>IF(H100&gt;8,tab!C$194,tab!C$197)</f>
        <v>0.5</v>
      </c>
      <c r="AF100" s="544">
        <f t="shared" si="57"/>
        <v>0</v>
      </c>
      <c r="AG100" s="746">
        <f t="shared" si="58"/>
        <v>0</v>
      </c>
      <c r="AL100" s="753"/>
    </row>
    <row r="101" spans="2:38" ht="13.15" customHeight="1" x14ac:dyDescent="0.2">
      <c r="B101" s="1301"/>
      <c r="C101" s="31"/>
      <c r="D101" s="117" t="str">
        <f>IF(dir!D74=0,"",dir!D74)</f>
        <v/>
      </c>
      <c r="E101" s="117" t="str">
        <f>IF(dir!E74=0,"",dir!E74)</f>
        <v/>
      </c>
      <c r="F101" s="33" t="str">
        <f t="shared" si="59"/>
        <v/>
      </c>
      <c r="G101" s="118" t="str">
        <f>IF(dir!G74=0,"",dir!G74)</f>
        <v/>
      </c>
      <c r="H101" s="119" t="str">
        <f t="shared" si="60"/>
        <v/>
      </c>
      <c r="I101" s="119" t="str">
        <f>IF(E101="","",IF(dir!I74+1&gt;VLOOKUP(H101,Schaal2016,22,FALSE),dir!I74,dir!I74+1))</f>
        <v/>
      </c>
      <c r="J101" s="120" t="str">
        <f>IF(dir!J74=0,0,dir!J74)</f>
        <v/>
      </c>
      <c r="K101" s="121"/>
      <c r="L101" s="1139">
        <f>IF(dir!L74=0,0,dir!L74)</f>
        <v>0</v>
      </c>
      <c r="M101" s="1139">
        <f>IF(dir!M74=0,0,dir!M74)</f>
        <v>0</v>
      </c>
      <c r="N101" s="795" t="str">
        <f t="shared" si="48"/>
        <v/>
      </c>
      <c r="O101" s="795"/>
      <c r="P101" s="795" t="str">
        <f t="shared" si="61"/>
        <v/>
      </c>
      <c r="Q101" s="570" t="str">
        <f t="shared" si="49"/>
        <v/>
      </c>
      <c r="R101" s="767" t="str">
        <f t="shared" si="50"/>
        <v/>
      </c>
      <c r="S101" s="796" t="str">
        <f t="shared" si="51"/>
        <v/>
      </c>
      <c r="T101" s="501"/>
      <c r="U101" s="1303"/>
      <c r="V101" s="761"/>
      <c r="W101" s="761"/>
      <c r="X101" s="741" t="str">
        <f t="shared" si="52"/>
        <v/>
      </c>
      <c r="Y101" s="742">
        <f t="shared" si="62"/>
        <v>0.6</v>
      </c>
      <c r="Z101" s="743" t="e">
        <f t="shared" si="53"/>
        <v>#VALUE!</v>
      </c>
      <c r="AA101" s="743" t="e">
        <f t="shared" si="54"/>
        <v>#VALUE!</v>
      </c>
      <c r="AB101" s="744" t="e">
        <f t="shared" si="63"/>
        <v>#VALUE!</v>
      </c>
      <c r="AC101" s="725" t="e">
        <f t="shared" si="55"/>
        <v>#VALUE!</v>
      </c>
      <c r="AD101" s="693">
        <f t="shared" si="56"/>
        <v>0</v>
      </c>
      <c r="AE101" s="745">
        <f>IF(H101&gt;8,tab!C$194,tab!C$197)</f>
        <v>0.5</v>
      </c>
      <c r="AF101" s="544">
        <f t="shared" si="57"/>
        <v>0</v>
      </c>
      <c r="AG101" s="746">
        <f t="shared" si="58"/>
        <v>0</v>
      </c>
      <c r="AL101" s="753"/>
    </row>
    <row r="102" spans="2:38" ht="13.15" customHeight="1" x14ac:dyDescent="0.2">
      <c r="B102" s="1301"/>
      <c r="C102" s="31"/>
      <c r="D102" s="117" t="str">
        <f>IF(dir!D75=0,"",dir!D75)</f>
        <v/>
      </c>
      <c r="E102" s="117" t="str">
        <f>IF(dir!E75=0,"",dir!E75)</f>
        <v/>
      </c>
      <c r="F102" s="33" t="str">
        <f t="shared" si="59"/>
        <v/>
      </c>
      <c r="G102" s="118" t="str">
        <f>IF(dir!G75=0,"",dir!G75)</f>
        <v/>
      </c>
      <c r="H102" s="119" t="str">
        <f t="shared" si="60"/>
        <v/>
      </c>
      <c r="I102" s="119" t="str">
        <f>IF(E102="","",IF(dir!I75+1&gt;VLOOKUP(H102,Schaal2016,22,FALSE),dir!I75,dir!I75+1))</f>
        <v/>
      </c>
      <c r="J102" s="120" t="str">
        <f>IF(dir!J75=0,0,dir!J75)</f>
        <v/>
      </c>
      <c r="K102" s="121"/>
      <c r="L102" s="1139">
        <f>IF(dir!L75=0,0,dir!L75)</f>
        <v>0</v>
      </c>
      <c r="M102" s="1139">
        <f>IF(dir!M75=0,0,dir!M75)</f>
        <v>0</v>
      </c>
      <c r="N102" s="795" t="str">
        <f t="shared" si="48"/>
        <v/>
      </c>
      <c r="O102" s="795"/>
      <c r="P102" s="795" t="str">
        <f t="shared" si="61"/>
        <v/>
      </c>
      <c r="Q102" s="570" t="str">
        <f t="shared" si="49"/>
        <v/>
      </c>
      <c r="R102" s="767" t="str">
        <f t="shared" si="50"/>
        <v/>
      </c>
      <c r="S102" s="796" t="str">
        <f t="shared" si="51"/>
        <v/>
      </c>
      <c r="T102" s="501"/>
      <c r="U102" s="1303"/>
      <c r="V102" s="761"/>
      <c r="W102" s="761"/>
      <c r="X102" s="741" t="str">
        <f t="shared" si="52"/>
        <v/>
      </c>
      <c r="Y102" s="742">
        <f t="shared" si="62"/>
        <v>0.6</v>
      </c>
      <c r="Z102" s="743" t="e">
        <f t="shared" si="53"/>
        <v>#VALUE!</v>
      </c>
      <c r="AA102" s="743" t="e">
        <f t="shared" si="54"/>
        <v>#VALUE!</v>
      </c>
      <c r="AB102" s="744" t="e">
        <f t="shared" si="63"/>
        <v>#VALUE!</v>
      </c>
      <c r="AC102" s="725" t="e">
        <f t="shared" si="55"/>
        <v>#VALUE!</v>
      </c>
      <c r="AD102" s="693">
        <f t="shared" si="56"/>
        <v>0</v>
      </c>
      <c r="AE102" s="745">
        <f>IF(H102&gt;8,tab!C$194,tab!C$197)</f>
        <v>0.5</v>
      </c>
      <c r="AF102" s="544">
        <f t="shared" si="57"/>
        <v>0</v>
      </c>
      <c r="AG102" s="746">
        <f t="shared" si="58"/>
        <v>0</v>
      </c>
      <c r="AL102" s="753"/>
    </row>
    <row r="103" spans="2:38" ht="13.15" customHeight="1" x14ac:dyDescent="0.2">
      <c r="B103" s="1301"/>
      <c r="C103" s="31"/>
      <c r="D103" s="117" t="str">
        <f>IF(dir!D76=0,"",dir!D76)</f>
        <v/>
      </c>
      <c r="E103" s="117" t="str">
        <f>IF(dir!E76=0,"",dir!E76)</f>
        <v/>
      </c>
      <c r="F103" s="33" t="str">
        <f t="shared" si="59"/>
        <v/>
      </c>
      <c r="G103" s="118" t="str">
        <f>IF(dir!G76=0,"",dir!G76)</f>
        <v/>
      </c>
      <c r="H103" s="119" t="str">
        <f t="shared" si="60"/>
        <v/>
      </c>
      <c r="I103" s="119" t="str">
        <f>IF(E103="","",IF(dir!I76+1&gt;VLOOKUP(H103,Schaal2016,22,FALSE),dir!I76,dir!I76+1))</f>
        <v/>
      </c>
      <c r="J103" s="120" t="str">
        <f>IF(dir!J76=0,0,dir!J76)</f>
        <v/>
      </c>
      <c r="K103" s="121"/>
      <c r="L103" s="1139">
        <f>IF(dir!L76=0,0,dir!L76)</f>
        <v>0</v>
      </c>
      <c r="M103" s="1139">
        <f>IF(dir!M76=0,0,dir!M76)</f>
        <v>0</v>
      </c>
      <c r="N103" s="795" t="str">
        <f t="shared" si="48"/>
        <v/>
      </c>
      <c r="O103" s="795"/>
      <c r="P103" s="795" t="str">
        <f t="shared" si="61"/>
        <v/>
      </c>
      <c r="Q103" s="570" t="str">
        <f t="shared" si="49"/>
        <v/>
      </c>
      <c r="R103" s="767" t="str">
        <f t="shared" si="50"/>
        <v/>
      </c>
      <c r="S103" s="796" t="str">
        <f t="shared" si="51"/>
        <v/>
      </c>
      <c r="T103" s="501"/>
      <c r="U103" s="1303"/>
      <c r="V103" s="761"/>
      <c r="W103" s="761"/>
      <c r="X103" s="741" t="str">
        <f t="shared" si="52"/>
        <v/>
      </c>
      <c r="Y103" s="742">
        <f t="shared" si="62"/>
        <v>0.6</v>
      </c>
      <c r="Z103" s="743" t="e">
        <f t="shared" si="53"/>
        <v>#VALUE!</v>
      </c>
      <c r="AA103" s="743" t="e">
        <f t="shared" si="54"/>
        <v>#VALUE!</v>
      </c>
      <c r="AB103" s="744" t="e">
        <f t="shared" si="63"/>
        <v>#VALUE!</v>
      </c>
      <c r="AC103" s="725" t="e">
        <f t="shared" si="55"/>
        <v>#VALUE!</v>
      </c>
      <c r="AD103" s="693">
        <f t="shared" si="56"/>
        <v>0</v>
      </c>
      <c r="AE103" s="745">
        <f>IF(H103&gt;8,tab!C$194,tab!C$197)</f>
        <v>0.5</v>
      </c>
      <c r="AF103" s="544">
        <f t="shared" si="57"/>
        <v>0</v>
      </c>
      <c r="AG103" s="746">
        <f t="shared" si="58"/>
        <v>0</v>
      </c>
      <c r="AL103" s="753"/>
    </row>
    <row r="104" spans="2:38" ht="13.15" customHeight="1" x14ac:dyDescent="0.2">
      <c r="B104" s="1301"/>
      <c r="C104" s="31"/>
      <c r="D104" s="117" t="str">
        <f>IF(dir!D77=0,"",dir!D77)</f>
        <v/>
      </c>
      <c r="E104" s="117" t="str">
        <f>IF(dir!E77=0,"",dir!E77)</f>
        <v/>
      </c>
      <c r="F104" s="33" t="str">
        <f t="shared" si="59"/>
        <v/>
      </c>
      <c r="G104" s="118" t="str">
        <f>IF(dir!G77=0,"",dir!G77)</f>
        <v/>
      </c>
      <c r="H104" s="119" t="str">
        <f t="shared" si="60"/>
        <v/>
      </c>
      <c r="I104" s="119" t="str">
        <f>IF(E104="","",IF(dir!I77+1&gt;VLOOKUP(H104,Schaal2016,22,FALSE),dir!I77,dir!I77+1))</f>
        <v/>
      </c>
      <c r="J104" s="120" t="str">
        <f>IF(dir!J77=0,0,dir!J77)</f>
        <v/>
      </c>
      <c r="K104" s="121"/>
      <c r="L104" s="1139">
        <f>IF(dir!L77=0,0,dir!L77)</f>
        <v>0</v>
      </c>
      <c r="M104" s="1139">
        <f>IF(dir!M77=0,0,dir!M77)</f>
        <v>0</v>
      </c>
      <c r="N104" s="795" t="str">
        <f t="shared" si="48"/>
        <v/>
      </c>
      <c r="O104" s="795"/>
      <c r="P104" s="795" t="str">
        <f t="shared" si="61"/>
        <v/>
      </c>
      <c r="Q104" s="570" t="str">
        <f t="shared" si="49"/>
        <v/>
      </c>
      <c r="R104" s="767" t="str">
        <f t="shared" si="50"/>
        <v/>
      </c>
      <c r="S104" s="796" t="str">
        <f t="shared" si="51"/>
        <v/>
      </c>
      <c r="T104" s="501"/>
      <c r="U104" s="1303"/>
      <c r="V104" s="761"/>
      <c r="W104" s="761"/>
      <c r="X104" s="741" t="str">
        <f t="shared" si="52"/>
        <v/>
      </c>
      <c r="Y104" s="742">
        <f t="shared" si="62"/>
        <v>0.6</v>
      </c>
      <c r="Z104" s="743" t="e">
        <f t="shared" si="53"/>
        <v>#VALUE!</v>
      </c>
      <c r="AA104" s="743" t="e">
        <f t="shared" si="54"/>
        <v>#VALUE!</v>
      </c>
      <c r="AB104" s="744" t="e">
        <f t="shared" si="63"/>
        <v>#VALUE!</v>
      </c>
      <c r="AC104" s="725" t="e">
        <f t="shared" si="55"/>
        <v>#VALUE!</v>
      </c>
      <c r="AD104" s="693">
        <f t="shared" si="56"/>
        <v>0</v>
      </c>
      <c r="AE104" s="745">
        <f>IF(H104&gt;8,tab!C$194,tab!C$197)</f>
        <v>0.5</v>
      </c>
      <c r="AF104" s="544">
        <f t="shared" si="57"/>
        <v>0</v>
      </c>
      <c r="AG104" s="746">
        <f t="shared" si="58"/>
        <v>0</v>
      </c>
      <c r="AL104" s="753"/>
    </row>
    <row r="105" spans="2:38" ht="13.15" customHeight="1" x14ac:dyDescent="0.2">
      <c r="B105" s="1301"/>
      <c r="C105" s="31"/>
      <c r="D105" s="117" t="str">
        <f>IF(dir!D78=0,"",dir!D78)</f>
        <v/>
      </c>
      <c r="E105" s="117" t="str">
        <f>IF(dir!E78=0,"",dir!E78)</f>
        <v/>
      </c>
      <c r="F105" s="33" t="str">
        <f t="shared" si="59"/>
        <v/>
      </c>
      <c r="G105" s="118" t="str">
        <f>IF(dir!G78=0,"",dir!G78)</f>
        <v/>
      </c>
      <c r="H105" s="119" t="str">
        <f t="shared" si="60"/>
        <v/>
      </c>
      <c r="I105" s="119" t="str">
        <f>IF(E105="","",IF(dir!I78+1&gt;VLOOKUP(H105,Schaal2016,22,FALSE),dir!I78,dir!I78+1))</f>
        <v/>
      </c>
      <c r="J105" s="120" t="str">
        <f>IF(dir!J78=0,0,dir!J78)</f>
        <v/>
      </c>
      <c r="K105" s="121"/>
      <c r="L105" s="1139">
        <f>IF(dir!L78=0,0,dir!L78)</f>
        <v>0</v>
      </c>
      <c r="M105" s="1139">
        <f>IF(dir!M78=0,0,dir!M78)</f>
        <v>0</v>
      </c>
      <c r="N105" s="795" t="str">
        <f t="shared" si="48"/>
        <v/>
      </c>
      <c r="O105" s="795"/>
      <c r="P105" s="795" t="str">
        <f t="shared" si="61"/>
        <v/>
      </c>
      <c r="Q105" s="570" t="str">
        <f t="shared" si="49"/>
        <v/>
      </c>
      <c r="R105" s="767" t="str">
        <f t="shared" si="50"/>
        <v/>
      </c>
      <c r="S105" s="796" t="str">
        <f t="shared" si="51"/>
        <v/>
      </c>
      <c r="T105" s="501"/>
      <c r="U105" s="1303"/>
      <c r="V105" s="761"/>
      <c r="W105" s="761"/>
      <c r="X105" s="741" t="str">
        <f t="shared" si="52"/>
        <v/>
      </c>
      <c r="Y105" s="742">
        <f t="shared" si="62"/>
        <v>0.6</v>
      </c>
      <c r="Z105" s="743" t="e">
        <f t="shared" si="53"/>
        <v>#VALUE!</v>
      </c>
      <c r="AA105" s="743" t="e">
        <f t="shared" si="54"/>
        <v>#VALUE!</v>
      </c>
      <c r="AB105" s="744" t="e">
        <f t="shared" si="63"/>
        <v>#VALUE!</v>
      </c>
      <c r="AC105" s="725" t="e">
        <f t="shared" si="55"/>
        <v>#VALUE!</v>
      </c>
      <c r="AD105" s="693">
        <f t="shared" si="56"/>
        <v>0</v>
      </c>
      <c r="AE105" s="745">
        <f>IF(H105&gt;8,tab!C$194,tab!C$197)</f>
        <v>0.5</v>
      </c>
      <c r="AF105" s="544">
        <f t="shared" si="57"/>
        <v>0</v>
      </c>
      <c r="AG105" s="746">
        <f t="shared" si="58"/>
        <v>0</v>
      </c>
      <c r="AL105" s="753"/>
    </row>
    <row r="106" spans="2:38" ht="13.15" customHeight="1" x14ac:dyDescent="0.2">
      <c r="B106" s="1301"/>
      <c r="C106" s="31"/>
      <c r="D106" s="117" t="str">
        <f>IF(dir!D79=0,"",dir!D79)</f>
        <v/>
      </c>
      <c r="E106" s="117" t="str">
        <f>IF(dir!E79=0,"",dir!E79)</f>
        <v/>
      </c>
      <c r="F106" s="33" t="str">
        <f t="shared" si="59"/>
        <v/>
      </c>
      <c r="G106" s="118" t="str">
        <f>IF(dir!G79=0,"",dir!G79)</f>
        <v/>
      </c>
      <c r="H106" s="119" t="str">
        <f t="shared" si="60"/>
        <v/>
      </c>
      <c r="I106" s="119" t="str">
        <f>IF(E106="","",IF(dir!I79+1&gt;VLOOKUP(H106,Schaal2016,22,FALSE),dir!I79,dir!I79+1))</f>
        <v/>
      </c>
      <c r="J106" s="120" t="str">
        <f>IF(dir!J79=0,0,dir!J79)</f>
        <v/>
      </c>
      <c r="K106" s="121"/>
      <c r="L106" s="1139">
        <f>IF(dir!L79=0,0,dir!L79)</f>
        <v>0</v>
      </c>
      <c r="M106" s="1139">
        <f>IF(dir!M79=0,0,dir!M79)</f>
        <v>0</v>
      </c>
      <c r="N106" s="795" t="str">
        <f t="shared" si="48"/>
        <v/>
      </c>
      <c r="O106" s="795"/>
      <c r="P106" s="795" t="str">
        <f t="shared" si="61"/>
        <v/>
      </c>
      <c r="Q106" s="570" t="str">
        <f t="shared" si="49"/>
        <v/>
      </c>
      <c r="R106" s="767" t="str">
        <f t="shared" si="50"/>
        <v/>
      </c>
      <c r="S106" s="796" t="str">
        <f t="shared" si="51"/>
        <v/>
      </c>
      <c r="T106" s="501"/>
      <c r="U106" s="1303"/>
      <c r="V106" s="761"/>
      <c r="W106" s="761"/>
      <c r="X106" s="741" t="str">
        <f t="shared" si="52"/>
        <v/>
      </c>
      <c r="Y106" s="742">
        <f t="shared" si="62"/>
        <v>0.6</v>
      </c>
      <c r="Z106" s="743" t="e">
        <f t="shared" si="53"/>
        <v>#VALUE!</v>
      </c>
      <c r="AA106" s="743" t="e">
        <f t="shared" si="54"/>
        <v>#VALUE!</v>
      </c>
      <c r="AB106" s="744" t="e">
        <f t="shared" si="63"/>
        <v>#VALUE!</v>
      </c>
      <c r="AC106" s="725" t="e">
        <f t="shared" si="55"/>
        <v>#VALUE!</v>
      </c>
      <c r="AD106" s="693">
        <f t="shared" si="56"/>
        <v>0</v>
      </c>
      <c r="AE106" s="745">
        <f>IF(H106&gt;8,tab!C$194,tab!C$197)</f>
        <v>0.5</v>
      </c>
      <c r="AF106" s="544">
        <f t="shared" si="57"/>
        <v>0</v>
      </c>
      <c r="AG106" s="746">
        <f t="shared" si="58"/>
        <v>0</v>
      </c>
      <c r="AL106" s="753"/>
    </row>
    <row r="107" spans="2:38" ht="13.15" customHeight="1" x14ac:dyDescent="0.2">
      <c r="B107" s="1301"/>
      <c r="C107" s="31"/>
      <c r="D107" s="117" t="str">
        <f>IF(dir!D80=0,"",dir!D80)</f>
        <v/>
      </c>
      <c r="E107" s="117" t="str">
        <f>IF(dir!E80=0,"",dir!E80)</f>
        <v/>
      </c>
      <c r="F107" s="33" t="str">
        <f t="shared" si="59"/>
        <v/>
      </c>
      <c r="G107" s="118" t="str">
        <f>IF(dir!G80=0,"",dir!G80)</f>
        <v/>
      </c>
      <c r="H107" s="119" t="str">
        <f t="shared" si="60"/>
        <v/>
      </c>
      <c r="I107" s="119" t="str">
        <f>IF(E107="","",IF(dir!I80+1&gt;VLOOKUP(H107,Schaal2016,22,FALSE),dir!I80,dir!I80+1))</f>
        <v/>
      </c>
      <c r="J107" s="120" t="str">
        <f>IF(dir!J80=0,0,dir!J80)</f>
        <v/>
      </c>
      <c r="K107" s="121"/>
      <c r="L107" s="1139">
        <f>IF(dir!L80=0,0,dir!L80)</f>
        <v>0</v>
      </c>
      <c r="M107" s="1139">
        <f>IF(dir!M80=0,0,dir!M80)</f>
        <v>0</v>
      </c>
      <c r="N107" s="795" t="str">
        <f t="shared" si="48"/>
        <v/>
      </c>
      <c r="O107" s="795"/>
      <c r="P107" s="795" t="str">
        <f t="shared" si="61"/>
        <v/>
      </c>
      <c r="Q107" s="570" t="str">
        <f t="shared" si="49"/>
        <v/>
      </c>
      <c r="R107" s="767" t="str">
        <f t="shared" si="50"/>
        <v/>
      </c>
      <c r="S107" s="796" t="str">
        <f t="shared" si="51"/>
        <v/>
      </c>
      <c r="T107" s="501"/>
      <c r="U107" s="1303"/>
      <c r="V107" s="761"/>
      <c r="W107" s="761"/>
      <c r="X107" s="741" t="str">
        <f t="shared" si="52"/>
        <v/>
      </c>
      <c r="Y107" s="742">
        <f t="shared" si="62"/>
        <v>0.6</v>
      </c>
      <c r="Z107" s="743" t="e">
        <f t="shared" si="53"/>
        <v>#VALUE!</v>
      </c>
      <c r="AA107" s="743" t="e">
        <f t="shared" si="54"/>
        <v>#VALUE!</v>
      </c>
      <c r="AB107" s="744" t="e">
        <f t="shared" si="63"/>
        <v>#VALUE!</v>
      </c>
      <c r="AC107" s="725" t="e">
        <f t="shared" si="55"/>
        <v>#VALUE!</v>
      </c>
      <c r="AD107" s="693">
        <f t="shared" si="56"/>
        <v>0</v>
      </c>
      <c r="AE107" s="745">
        <f>IF(H107&gt;8,tab!C$194,tab!C$197)</f>
        <v>0.5</v>
      </c>
      <c r="AF107" s="544">
        <f t="shared" si="57"/>
        <v>0</v>
      </c>
      <c r="AG107" s="746">
        <f t="shared" si="58"/>
        <v>0</v>
      </c>
      <c r="AL107" s="753"/>
    </row>
    <row r="108" spans="2:38" ht="13.15" customHeight="1" x14ac:dyDescent="0.2">
      <c r="B108" s="1301"/>
      <c r="C108" s="31"/>
      <c r="D108" s="117" t="str">
        <f>IF(dir!D81=0,"",dir!D81)</f>
        <v/>
      </c>
      <c r="E108" s="117" t="str">
        <f>IF(dir!E81=0,"",dir!E81)</f>
        <v/>
      </c>
      <c r="F108" s="33" t="str">
        <f t="shared" si="59"/>
        <v/>
      </c>
      <c r="G108" s="118" t="str">
        <f>IF(dir!G81=0,"",dir!G81)</f>
        <v/>
      </c>
      <c r="H108" s="119" t="str">
        <f t="shared" si="60"/>
        <v/>
      </c>
      <c r="I108" s="119" t="str">
        <f>IF(E108="","",IF(dir!I81+1&gt;VLOOKUP(H108,Schaal2016,22,FALSE),dir!I81,dir!I81+1))</f>
        <v/>
      </c>
      <c r="J108" s="120" t="str">
        <f>IF(dir!J81=0,0,dir!J81)</f>
        <v/>
      </c>
      <c r="K108" s="121"/>
      <c r="L108" s="1139">
        <f>IF(dir!L81=0,0,dir!L81)</f>
        <v>0</v>
      </c>
      <c r="M108" s="1139">
        <f>IF(dir!M81=0,0,dir!M81)</f>
        <v>0</v>
      </c>
      <c r="N108" s="795" t="str">
        <f t="shared" si="48"/>
        <v/>
      </c>
      <c r="O108" s="795"/>
      <c r="P108" s="795" t="str">
        <f t="shared" si="61"/>
        <v/>
      </c>
      <c r="Q108" s="570" t="str">
        <f t="shared" si="49"/>
        <v/>
      </c>
      <c r="R108" s="767" t="str">
        <f t="shared" si="50"/>
        <v/>
      </c>
      <c r="S108" s="796" t="str">
        <f t="shared" si="51"/>
        <v/>
      </c>
      <c r="T108" s="501"/>
      <c r="U108" s="1303"/>
      <c r="V108" s="761"/>
      <c r="W108" s="761"/>
      <c r="X108" s="741" t="str">
        <f t="shared" si="52"/>
        <v/>
      </c>
      <c r="Y108" s="742">
        <f t="shared" si="62"/>
        <v>0.6</v>
      </c>
      <c r="Z108" s="743" t="e">
        <f t="shared" si="53"/>
        <v>#VALUE!</v>
      </c>
      <c r="AA108" s="743" t="e">
        <f t="shared" si="54"/>
        <v>#VALUE!</v>
      </c>
      <c r="AB108" s="744" t="e">
        <f t="shared" si="63"/>
        <v>#VALUE!</v>
      </c>
      <c r="AC108" s="725" t="e">
        <f t="shared" si="55"/>
        <v>#VALUE!</v>
      </c>
      <c r="AD108" s="693">
        <f t="shared" si="56"/>
        <v>0</v>
      </c>
      <c r="AE108" s="745">
        <f>IF(H108&gt;8,tab!C$194,tab!C$197)</f>
        <v>0.5</v>
      </c>
      <c r="AF108" s="544">
        <f t="shared" si="57"/>
        <v>0</v>
      </c>
      <c r="AG108" s="746">
        <f t="shared" si="58"/>
        <v>0</v>
      </c>
      <c r="AL108" s="753"/>
    </row>
    <row r="109" spans="2:38" ht="13.15" customHeight="1" x14ac:dyDescent="0.2">
      <c r="B109" s="1301"/>
      <c r="C109" s="31"/>
      <c r="D109" s="117" t="str">
        <f>IF(dir!D82=0,"",dir!D82)</f>
        <v/>
      </c>
      <c r="E109" s="117" t="str">
        <f>IF(dir!E82=0,"",dir!E82)</f>
        <v/>
      </c>
      <c r="F109" s="33" t="str">
        <f t="shared" si="59"/>
        <v/>
      </c>
      <c r="G109" s="118" t="str">
        <f>IF(dir!G82=0,"",dir!G82)</f>
        <v/>
      </c>
      <c r="H109" s="119" t="str">
        <f t="shared" si="60"/>
        <v/>
      </c>
      <c r="I109" s="119" t="str">
        <f>IF(E109="","",IF(dir!I82+1&gt;VLOOKUP(H109,Schaal2016,22,FALSE),dir!I82,dir!I82+1))</f>
        <v/>
      </c>
      <c r="J109" s="120" t="str">
        <f>IF(dir!J82=0,0,dir!J82)</f>
        <v/>
      </c>
      <c r="K109" s="121"/>
      <c r="L109" s="1139">
        <f>IF(dir!L82=0,0,dir!L82)</f>
        <v>0</v>
      </c>
      <c r="M109" s="1139">
        <f>IF(dir!M82=0,0,dir!M82)</f>
        <v>0</v>
      </c>
      <c r="N109" s="795" t="str">
        <f t="shared" si="48"/>
        <v/>
      </c>
      <c r="O109" s="795"/>
      <c r="P109" s="795" t="str">
        <f t="shared" si="61"/>
        <v/>
      </c>
      <c r="Q109" s="570" t="str">
        <f t="shared" si="49"/>
        <v/>
      </c>
      <c r="R109" s="767" t="str">
        <f t="shared" si="50"/>
        <v/>
      </c>
      <c r="S109" s="796" t="str">
        <f t="shared" si="51"/>
        <v/>
      </c>
      <c r="T109" s="501"/>
      <c r="U109" s="1303"/>
      <c r="V109" s="761"/>
      <c r="W109" s="761"/>
      <c r="X109" s="741" t="str">
        <f t="shared" si="52"/>
        <v/>
      </c>
      <c r="Y109" s="742">
        <f t="shared" si="62"/>
        <v>0.6</v>
      </c>
      <c r="Z109" s="743" t="e">
        <f t="shared" si="53"/>
        <v>#VALUE!</v>
      </c>
      <c r="AA109" s="743" t="e">
        <f t="shared" si="54"/>
        <v>#VALUE!</v>
      </c>
      <c r="AB109" s="744" t="e">
        <f t="shared" si="63"/>
        <v>#VALUE!</v>
      </c>
      <c r="AC109" s="725" t="e">
        <f t="shared" si="55"/>
        <v>#VALUE!</v>
      </c>
      <c r="AD109" s="693">
        <f t="shared" si="56"/>
        <v>0</v>
      </c>
      <c r="AE109" s="745">
        <f>IF(H109&gt;8,tab!C$194,tab!C$197)</f>
        <v>0.5</v>
      </c>
      <c r="AF109" s="544">
        <f t="shared" si="57"/>
        <v>0</v>
      </c>
      <c r="AG109" s="746">
        <f t="shared" si="58"/>
        <v>0</v>
      </c>
      <c r="AL109" s="753"/>
    </row>
    <row r="110" spans="2:38" ht="13.15" customHeight="1" x14ac:dyDescent="0.2">
      <c r="B110" s="1301"/>
      <c r="C110" s="31"/>
      <c r="D110" s="117" t="str">
        <f>IF(dir!D83=0,"",dir!D83)</f>
        <v/>
      </c>
      <c r="E110" s="117" t="str">
        <f>IF(dir!E83=0,"",dir!E83)</f>
        <v/>
      </c>
      <c r="F110" s="33" t="str">
        <f t="shared" si="59"/>
        <v/>
      </c>
      <c r="G110" s="118" t="str">
        <f>IF(dir!G83=0,"",dir!G83)</f>
        <v/>
      </c>
      <c r="H110" s="119" t="str">
        <f t="shared" si="60"/>
        <v/>
      </c>
      <c r="I110" s="119" t="str">
        <f>IF(E110="","",IF(dir!I83+1&gt;VLOOKUP(H110,Schaal2016,22,FALSE),dir!I83,dir!I83+1))</f>
        <v/>
      </c>
      <c r="J110" s="120" t="str">
        <f>IF(dir!J83=0,0,dir!J83)</f>
        <v/>
      </c>
      <c r="K110" s="121"/>
      <c r="L110" s="1139">
        <f>IF(dir!L83=0,0,dir!L83)</f>
        <v>0</v>
      </c>
      <c r="M110" s="1139">
        <f>IF(dir!M83=0,0,dir!M83)</f>
        <v>0</v>
      </c>
      <c r="N110" s="795" t="str">
        <f t="shared" si="48"/>
        <v/>
      </c>
      <c r="O110" s="795"/>
      <c r="P110" s="795" t="str">
        <f t="shared" si="61"/>
        <v/>
      </c>
      <c r="Q110" s="570" t="str">
        <f t="shared" si="49"/>
        <v/>
      </c>
      <c r="R110" s="767" t="str">
        <f t="shared" si="50"/>
        <v/>
      </c>
      <c r="S110" s="796" t="str">
        <f t="shared" si="51"/>
        <v/>
      </c>
      <c r="T110" s="501"/>
      <c r="U110" s="1303"/>
      <c r="V110" s="761"/>
      <c r="W110" s="761"/>
      <c r="X110" s="741" t="str">
        <f t="shared" si="52"/>
        <v/>
      </c>
      <c r="Y110" s="742">
        <f t="shared" si="62"/>
        <v>0.6</v>
      </c>
      <c r="Z110" s="743" t="e">
        <f t="shared" si="53"/>
        <v>#VALUE!</v>
      </c>
      <c r="AA110" s="743" t="e">
        <f t="shared" si="54"/>
        <v>#VALUE!</v>
      </c>
      <c r="AB110" s="744" t="e">
        <f t="shared" si="63"/>
        <v>#VALUE!</v>
      </c>
      <c r="AC110" s="725" t="e">
        <f t="shared" si="55"/>
        <v>#VALUE!</v>
      </c>
      <c r="AD110" s="693">
        <f t="shared" si="56"/>
        <v>0</v>
      </c>
      <c r="AE110" s="745">
        <f>IF(H110&gt;8,tab!C$194,tab!C$197)</f>
        <v>0.5</v>
      </c>
      <c r="AF110" s="544">
        <f t="shared" si="57"/>
        <v>0</v>
      </c>
      <c r="AG110" s="746">
        <f t="shared" si="58"/>
        <v>0</v>
      </c>
      <c r="AL110" s="753"/>
    </row>
    <row r="111" spans="2:38" ht="13.15" customHeight="1" x14ac:dyDescent="0.2">
      <c r="B111" s="1301"/>
      <c r="C111" s="31"/>
      <c r="D111" s="117" t="str">
        <f>IF(dir!D84=0,"",dir!D84)</f>
        <v/>
      </c>
      <c r="E111" s="117" t="str">
        <f>IF(dir!E84=0,"",dir!E84)</f>
        <v/>
      </c>
      <c r="F111" s="33" t="str">
        <f t="shared" si="59"/>
        <v/>
      </c>
      <c r="G111" s="118" t="str">
        <f>IF(dir!G84=0,"",dir!G84)</f>
        <v/>
      </c>
      <c r="H111" s="119" t="str">
        <f t="shared" si="60"/>
        <v/>
      </c>
      <c r="I111" s="119" t="str">
        <f>IF(E111="","",IF(dir!I84+1&gt;VLOOKUP(H111,Schaal2016,22,FALSE),dir!I84,dir!I84+1))</f>
        <v/>
      </c>
      <c r="J111" s="120" t="str">
        <f>IF(dir!J84=0,0,dir!J84)</f>
        <v/>
      </c>
      <c r="K111" s="121"/>
      <c r="L111" s="1139">
        <f>IF(dir!L84=0,0,dir!L84)</f>
        <v>0</v>
      </c>
      <c r="M111" s="1139">
        <f>IF(dir!M84=0,0,dir!M84)</f>
        <v>0</v>
      </c>
      <c r="N111" s="795" t="str">
        <f t="shared" si="48"/>
        <v/>
      </c>
      <c r="O111" s="795"/>
      <c r="P111" s="795" t="str">
        <f t="shared" si="61"/>
        <v/>
      </c>
      <c r="Q111" s="570" t="str">
        <f t="shared" si="49"/>
        <v/>
      </c>
      <c r="R111" s="767" t="str">
        <f t="shared" si="50"/>
        <v/>
      </c>
      <c r="S111" s="796" t="str">
        <f t="shared" si="51"/>
        <v/>
      </c>
      <c r="T111" s="501"/>
      <c r="U111" s="1303"/>
      <c r="V111" s="761"/>
      <c r="W111" s="761"/>
      <c r="X111" s="741" t="str">
        <f t="shared" si="52"/>
        <v/>
      </c>
      <c r="Y111" s="742">
        <f t="shared" si="62"/>
        <v>0.6</v>
      </c>
      <c r="Z111" s="743" t="e">
        <f t="shared" si="53"/>
        <v>#VALUE!</v>
      </c>
      <c r="AA111" s="743" t="e">
        <f t="shared" si="54"/>
        <v>#VALUE!</v>
      </c>
      <c r="AB111" s="744" t="e">
        <f t="shared" si="63"/>
        <v>#VALUE!</v>
      </c>
      <c r="AC111" s="725" t="e">
        <f t="shared" si="55"/>
        <v>#VALUE!</v>
      </c>
      <c r="AD111" s="693">
        <f t="shared" si="56"/>
        <v>0</v>
      </c>
      <c r="AE111" s="745">
        <f>IF(H111&gt;8,tab!C$194,tab!C$197)</f>
        <v>0.5</v>
      </c>
      <c r="AF111" s="544">
        <f t="shared" si="57"/>
        <v>0</v>
      </c>
      <c r="AG111" s="746">
        <f t="shared" si="58"/>
        <v>0</v>
      </c>
      <c r="AL111" s="753"/>
    </row>
    <row r="112" spans="2:38" ht="13.15" customHeight="1" x14ac:dyDescent="0.2">
      <c r="B112" s="1301"/>
      <c r="C112" s="31"/>
      <c r="D112" s="28"/>
      <c r="E112" s="28"/>
      <c r="F112" s="125"/>
      <c r="G112" s="126"/>
      <c r="H112" s="32"/>
      <c r="I112" s="32"/>
      <c r="J112" s="768">
        <f>SUM(J97:J111)</f>
        <v>1</v>
      </c>
      <c r="K112" s="125"/>
      <c r="L112" s="797">
        <f t="shared" ref="L112:S112" si="64">SUM(L97:L111)</f>
        <v>0</v>
      </c>
      <c r="M112" s="797">
        <f t="shared" si="64"/>
        <v>0</v>
      </c>
      <c r="N112" s="797">
        <f t="shared" si="64"/>
        <v>40</v>
      </c>
      <c r="O112" s="797">
        <f t="shared" si="64"/>
        <v>0</v>
      </c>
      <c r="P112" s="797">
        <f t="shared" si="64"/>
        <v>40</v>
      </c>
      <c r="Q112" s="571">
        <f t="shared" si="64"/>
        <v>80494.454972875246</v>
      </c>
      <c r="R112" s="798">
        <f t="shared" si="64"/>
        <v>1988.7450271247744</v>
      </c>
      <c r="S112" s="799">
        <f t="shared" si="64"/>
        <v>82483.200000000026</v>
      </c>
      <c r="T112" s="609"/>
      <c r="U112" s="1308"/>
      <c r="V112" s="762"/>
      <c r="W112" s="762"/>
      <c r="X112" s="747">
        <f>SUM(X97:X111)</f>
        <v>4296</v>
      </c>
      <c r="Y112" s="748"/>
      <c r="Z112" s="749"/>
      <c r="AA112" s="749"/>
      <c r="AB112" s="660"/>
      <c r="AC112" s="725"/>
      <c r="AD112" s="720"/>
      <c r="AE112" s="544"/>
      <c r="AF112" s="544"/>
      <c r="AG112" s="746">
        <f>SUM(AG97:AG111)</f>
        <v>0</v>
      </c>
      <c r="AL112" s="753"/>
    </row>
    <row r="113" spans="2:43" ht="13.15" customHeight="1" x14ac:dyDescent="0.2">
      <c r="B113" s="1301"/>
      <c r="C113" s="36"/>
      <c r="D113" s="127"/>
      <c r="E113" s="127"/>
      <c r="F113" s="127"/>
      <c r="G113" s="128"/>
      <c r="H113" s="129"/>
      <c r="I113" s="130"/>
      <c r="J113" s="131"/>
      <c r="K113" s="127"/>
      <c r="L113" s="130"/>
      <c r="M113" s="133"/>
      <c r="N113" s="133"/>
      <c r="O113" s="133"/>
      <c r="P113" s="133"/>
      <c r="Q113" s="777"/>
      <c r="R113" s="251"/>
      <c r="S113" s="133"/>
      <c r="T113" s="498"/>
      <c r="U113" s="1309"/>
      <c r="V113" s="763"/>
      <c r="W113" s="766"/>
      <c r="X113" s="756"/>
      <c r="Y113" s="757"/>
      <c r="AC113" s="754"/>
      <c r="AL113" s="753"/>
    </row>
    <row r="114" spans="2:43" ht="13.15" customHeight="1" x14ac:dyDescent="0.2">
      <c r="B114" s="1311"/>
      <c r="C114" s="1312"/>
      <c r="D114" s="1313"/>
      <c r="E114" s="1313"/>
      <c r="F114" s="1313"/>
      <c r="G114" s="1314"/>
      <c r="H114" s="1315"/>
      <c r="I114" s="1316"/>
      <c r="J114" s="1317"/>
      <c r="K114" s="1312"/>
      <c r="L114" s="1318"/>
      <c r="M114" s="1318"/>
      <c r="N114" s="1318"/>
      <c r="O114" s="1318"/>
      <c r="P114" s="1318"/>
      <c r="Q114" s="1319"/>
      <c r="R114" s="1320"/>
      <c r="S114" s="1318"/>
      <c r="T114" s="1321"/>
      <c r="U114" s="1322"/>
      <c r="V114" s="725"/>
      <c r="W114" s="725"/>
      <c r="X114" s="755"/>
    </row>
    <row r="115" spans="2:43" ht="13.15" customHeight="1" x14ac:dyDescent="0.2">
      <c r="U115" s="78"/>
    </row>
    <row r="116" spans="2:43" ht="13.15" customHeight="1" x14ac:dyDescent="0.2">
      <c r="C116" s="34" t="s">
        <v>48</v>
      </c>
      <c r="E116" s="150" t="str">
        <f>tab!G2</f>
        <v>2022/23</v>
      </c>
      <c r="H116" s="8"/>
      <c r="I116" s="75"/>
      <c r="J116" s="123"/>
      <c r="L116" s="147"/>
      <c r="M116" s="147"/>
      <c r="N116" s="147"/>
      <c r="O116" s="147"/>
      <c r="P116" s="147"/>
      <c r="Q116" s="780"/>
      <c r="S116" s="147"/>
      <c r="T116" s="149"/>
      <c r="U116" s="149"/>
      <c r="V116" s="725"/>
      <c r="W116" s="725"/>
      <c r="X116" s="755"/>
    </row>
    <row r="117" spans="2:43" ht="13.15" customHeight="1" x14ac:dyDescent="0.2">
      <c r="C117" s="71" t="s">
        <v>125</v>
      </c>
      <c r="E117" s="150">
        <f>tab!H3</f>
        <v>44835</v>
      </c>
      <c r="H117" s="8"/>
      <c r="I117" s="75"/>
      <c r="J117" s="123"/>
      <c r="L117" s="147"/>
      <c r="M117" s="147"/>
      <c r="N117" s="147"/>
      <c r="O117" s="147"/>
      <c r="P117" s="147"/>
      <c r="Q117" s="780"/>
      <c r="S117" s="147"/>
      <c r="T117" s="149"/>
      <c r="U117" s="149"/>
      <c r="V117" s="725"/>
      <c r="W117" s="725"/>
      <c r="X117" s="755"/>
    </row>
    <row r="118" spans="2:43" ht="13.15" customHeight="1" x14ac:dyDescent="0.2">
      <c r="H118" s="8"/>
      <c r="I118" s="75"/>
      <c r="J118" s="123"/>
      <c r="L118" s="147"/>
      <c r="M118" s="147"/>
      <c r="N118" s="147"/>
      <c r="O118" s="147"/>
      <c r="P118" s="147"/>
      <c r="Q118" s="780"/>
      <c r="S118" s="147"/>
      <c r="T118" s="149"/>
      <c r="U118" s="149"/>
      <c r="V118" s="725"/>
      <c r="W118" s="725"/>
      <c r="X118" s="755"/>
    </row>
    <row r="119" spans="2:43" ht="13.15" customHeight="1" x14ac:dyDescent="0.2">
      <c r="C119" s="23"/>
      <c r="D119" s="100"/>
      <c r="E119" s="101"/>
      <c r="F119" s="25"/>
      <c r="G119" s="102"/>
      <c r="H119" s="103"/>
      <c r="I119" s="103"/>
      <c r="J119" s="104"/>
      <c r="K119" s="24"/>
      <c r="L119" s="103"/>
      <c r="M119" s="25"/>
      <c r="N119" s="25"/>
      <c r="O119" s="25"/>
      <c r="P119" s="25"/>
      <c r="Q119" s="349"/>
      <c r="R119" s="278"/>
      <c r="S119" s="800"/>
      <c r="T119" s="499"/>
      <c r="U119" s="78"/>
      <c r="V119" s="682"/>
      <c r="W119" s="682"/>
      <c r="X119" s="683"/>
      <c r="Y119" s="684"/>
      <c r="AE119" s="658"/>
      <c r="AF119" s="659"/>
      <c r="AG119" s="658"/>
    </row>
    <row r="120" spans="2:43" s="8" customFormat="1" ht="13.15" customHeight="1" x14ac:dyDescent="0.2">
      <c r="C120" s="282"/>
      <c r="D120" s="1340" t="s">
        <v>126</v>
      </c>
      <c r="E120" s="1341"/>
      <c r="F120" s="1341"/>
      <c r="G120" s="1341"/>
      <c r="H120" s="1342"/>
      <c r="I120" s="1342"/>
      <c r="J120" s="1342"/>
      <c r="K120" s="685"/>
      <c r="L120" s="686" t="s">
        <v>440</v>
      </c>
      <c r="M120" s="687"/>
      <c r="N120" s="687"/>
      <c r="O120" s="687"/>
      <c r="P120" s="687"/>
      <c r="Q120" s="794" t="s">
        <v>450</v>
      </c>
      <c r="R120" s="687"/>
      <c r="S120" s="687"/>
      <c r="T120" s="608"/>
      <c r="U120" s="124"/>
      <c r="V120" s="689"/>
      <c r="W120" s="689"/>
      <c r="X120" s="690"/>
      <c r="Y120" s="691"/>
      <c r="Z120" s="692"/>
      <c r="AA120" s="692"/>
      <c r="AB120" s="660"/>
      <c r="AC120" s="725"/>
      <c r="AD120" s="660"/>
      <c r="AE120" s="694"/>
      <c r="AF120" s="694"/>
      <c r="AG120" s="694"/>
      <c r="AH120" s="694"/>
      <c r="AI120" s="694"/>
      <c r="AJ120" s="694"/>
      <c r="AK120" s="694"/>
      <c r="AL120" s="694"/>
      <c r="AM120" s="694"/>
      <c r="AN120" s="694"/>
      <c r="AO120" s="694"/>
      <c r="AP120" s="165"/>
      <c r="AQ120" s="165"/>
    </row>
    <row r="121" spans="2:43" s="8" customFormat="1" ht="13.15" customHeight="1" x14ac:dyDescent="0.2">
      <c r="C121" s="282"/>
      <c r="D121" s="696" t="s">
        <v>529</v>
      </c>
      <c r="E121" s="696" t="s">
        <v>88</v>
      </c>
      <c r="F121" s="697" t="s">
        <v>128</v>
      </c>
      <c r="G121" s="698" t="s">
        <v>129</v>
      </c>
      <c r="H121" s="697" t="s">
        <v>130</v>
      </c>
      <c r="I121" s="697" t="s">
        <v>131</v>
      </c>
      <c r="J121" s="699" t="s">
        <v>132</v>
      </c>
      <c r="K121" s="726"/>
      <c r="L121" s="700" t="s">
        <v>441</v>
      </c>
      <c r="M121" s="700" t="s">
        <v>444</v>
      </c>
      <c r="N121" s="700" t="s">
        <v>446</v>
      </c>
      <c r="O121" s="700" t="s">
        <v>443</v>
      </c>
      <c r="P121" s="722" t="s">
        <v>449</v>
      </c>
      <c r="Q121" s="775" t="s">
        <v>133</v>
      </c>
      <c r="R121" s="702" t="s">
        <v>453</v>
      </c>
      <c r="S121" s="703" t="s">
        <v>133</v>
      </c>
      <c r="T121" s="500"/>
      <c r="U121" s="496"/>
      <c r="V121" s="704"/>
      <c r="W121" s="704"/>
      <c r="X121" s="705" t="s">
        <v>139</v>
      </c>
      <c r="Y121" s="706" t="s">
        <v>454</v>
      </c>
      <c r="Z121" s="707" t="s">
        <v>455</v>
      </c>
      <c r="AA121" s="707" t="s">
        <v>455</v>
      </c>
      <c r="AB121" s="707" t="s">
        <v>456</v>
      </c>
      <c r="AC121" s="721" t="s">
        <v>457</v>
      </c>
      <c r="AD121" s="707" t="s">
        <v>458</v>
      </c>
      <c r="AE121" s="707" t="s">
        <v>459</v>
      </c>
      <c r="AF121" s="707" t="s">
        <v>134</v>
      </c>
      <c r="AG121" s="703" t="s">
        <v>135</v>
      </c>
      <c r="AH121" s="694"/>
      <c r="AI121" s="694"/>
      <c r="AJ121" s="694"/>
      <c r="AK121" s="694"/>
      <c r="AL121" s="694"/>
      <c r="AM121" s="694"/>
      <c r="AN121" s="694"/>
      <c r="AO121" s="694"/>
      <c r="AP121" s="165"/>
      <c r="AQ121" s="167"/>
    </row>
    <row r="122" spans="2:43" s="8" customFormat="1" ht="13.15" customHeight="1" x14ac:dyDescent="0.2">
      <c r="C122" s="282"/>
      <c r="D122" s="709"/>
      <c r="E122" s="696"/>
      <c r="F122" s="697" t="s">
        <v>136</v>
      </c>
      <c r="G122" s="698" t="s">
        <v>137</v>
      </c>
      <c r="H122" s="697"/>
      <c r="I122" s="697"/>
      <c r="J122" s="699" t="s">
        <v>138</v>
      </c>
      <c r="K122" s="726"/>
      <c r="L122" s="700" t="s">
        <v>442</v>
      </c>
      <c r="M122" s="700" t="s">
        <v>445</v>
      </c>
      <c r="N122" s="700" t="s">
        <v>447</v>
      </c>
      <c r="O122" s="700" t="s">
        <v>448</v>
      </c>
      <c r="P122" s="722" t="s">
        <v>141</v>
      </c>
      <c r="Q122" s="586" t="s">
        <v>451</v>
      </c>
      <c r="R122" s="702" t="s">
        <v>452</v>
      </c>
      <c r="S122" s="722" t="s">
        <v>141</v>
      </c>
      <c r="T122" s="500"/>
      <c r="U122" s="496"/>
      <c r="V122" s="704"/>
      <c r="W122" s="704"/>
      <c r="X122" s="707" t="s">
        <v>460</v>
      </c>
      <c r="Y122" s="711">
        <f>tab!C$193</f>
        <v>0.6</v>
      </c>
      <c r="Z122" s="707" t="s">
        <v>461</v>
      </c>
      <c r="AA122" s="707" t="s">
        <v>462</v>
      </c>
      <c r="AB122" s="707" t="s">
        <v>463</v>
      </c>
      <c r="AC122" s="721" t="s">
        <v>464</v>
      </c>
      <c r="AD122" s="707" t="s">
        <v>464</v>
      </c>
      <c r="AE122" s="707" t="s">
        <v>465</v>
      </c>
      <c r="AF122" s="707"/>
      <c r="AG122" s="707" t="s">
        <v>140</v>
      </c>
      <c r="AH122" s="694"/>
      <c r="AI122" s="694"/>
      <c r="AJ122" s="694"/>
      <c r="AK122" s="694"/>
      <c r="AL122" s="694"/>
      <c r="AM122" s="694"/>
      <c r="AN122" s="694"/>
      <c r="AO122" s="694"/>
      <c r="AQ122" s="147"/>
    </row>
    <row r="123" spans="2:43" ht="13.15" customHeight="1" x14ac:dyDescent="0.2">
      <c r="C123" s="31"/>
      <c r="D123" s="1"/>
      <c r="E123" s="1"/>
      <c r="F123" s="108"/>
      <c r="G123" s="109"/>
      <c r="H123" s="110"/>
      <c r="I123" s="110"/>
      <c r="J123" s="111"/>
      <c r="K123" s="108"/>
      <c r="L123" s="599"/>
      <c r="M123" s="113"/>
      <c r="N123" s="113"/>
      <c r="O123" s="113"/>
      <c r="P123" s="113"/>
      <c r="Q123" s="776"/>
      <c r="R123" s="114"/>
      <c r="S123" s="113"/>
      <c r="T123" s="500"/>
      <c r="U123" s="496"/>
      <c r="V123" s="704"/>
      <c r="W123" s="704"/>
      <c r="X123" s="739"/>
      <c r="Y123" s="740"/>
      <c r="AE123" s="544"/>
      <c r="AF123" s="544"/>
    </row>
    <row r="124" spans="2:43" ht="13.15" customHeight="1" x14ac:dyDescent="0.2">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39">
        <f>IF(dir!L97=0,0,dir!L97)</f>
        <v>0</v>
      </c>
      <c r="M124" s="1139">
        <f>IF(dir!M97=0,0,dir!M97)</f>
        <v>0</v>
      </c>
      <c r="N124" s="795">
        <f t="shared" ref="N124:N138" si="65">IF(J124="","",IF(J124*40&gt;40,40,J124*40))</f>
        <v>40</v>
      </c>
      <c r="O124" s="795"/>
      <c r="P124" s="795">
        <f>IF(J124="","",SUM(L124:O124))</f>
        <v>40</v>
      </c>
      <c r="Q124" s="570">
        <f t="shared" ref="Q124:Q138" si="66">IF(J124="","",(1659*J124-P124)*AA124)</f>
        <v>83023.959493670904</v>
      </c>
      <c r="R124" s="767">
        <f t="shared" ref="R124:R138" si="67">IF(J124="","",(P124*AB124)+Z124*(AC124+AD124*(1-AE124)))</f>
        <v>2051.2405063291144</v>
      </c>
      <c r="S124" s="796">
        <f t="shared" ref="S124:S138" si="68">IF(E124="","",(Q124+R124))</f>
        <v>85075.200000000012</v>
      </c>
      <c r="T124" s="501"/>
      <c r="U124" s="149"/>
      <c r="V124" s="761"/>
      <c r="W124" s="761"/>
      <c r="X124" s="741">
        <f t="shared" ref="X124:X138" si="69">IF(H124="","",VLOOKUP(H124,Salaris2020,I124+1,FALSE))</f>
        <v>4431</v>
      </c>
      <c r="Y124" s="742">
        <f>$Y$14</f>
        <v>0.6</v>
      </c>
      <c r="Z124" s="743">
        <f t="shared" ref="Z124:Z138" si="70">X124*12/1659</f>
        <v>32.050632911392405</v>
      </c>
      <c r="AA124" s="743">
        <f t="shared" ref="AA124:AA138" si="71">X124*12*(1+Y124)/1659</f>
        <v>51.281012658227858</v>
      </c>
      <c r="AB124" s="744">
        <f>AA124-Z124</f>
        <v>19.230379746835453</v>
      </c>
      <c r="AC124" s="725">
        <f t="shared" ref="AC124:AC138" si="72">N124+O124</f>
        <v>40</v>
      </c>
      <c r="AD124" s="693">
        <f t="shared" ref="AD124:AD138" si="73">L124+M124</f>
        <v>0</v>
      </c>
      <c r="AE124" s="745">
        <f>IF(H124&gt;8,tab!C$194,tab!C$197)</f>
        <v>0.5</v>
      </c>
      <c r="AF124" s="544">
        <f t="shared" ref="AF124:AF138" si="74">IF(F124&lt;25,0,IF(F124=25,25,IF(F124&lt;40,0,IF(F124=40,40,IF(F124&gt;=40,0)))))</f>
        <v>0</v>
      </c>
      <c r="AG124" s="746">
        <f t="shared" ref="AG124:AG138" si="75">IF(AF124=25,(X124*1.08*J124/2),IF(AF124=40,(X124*1.08*J124),IF(AF124=0,0)))</f>
        <v>0</v>
      </c>
    </row>
    <row r="125" spans="2:43" ht="13.15" customHeight="1" x14ac:dyDescent="0.2">
      <c r="C125" s="31"/>
      <c r="D125" s="117" t="str">
        <f>IF(dir!D98=0,"",dir!D98)</f>
        <v/>
      </c>
      <c r="E125" s="117" t="str">
        <f>IF(dir!E98=0,"",dir!E98)</f>
        <v/>
      </c>
      <c r="F125" s="33" t="str">
        <f t="shared" ref="F125:F138" si="76">IF(F98="","",F98+1)</f>
        <v/>
      </c>
      <c r="G125" s="118" t="str">
        <f>IF(dir!G98=0,"",dir!G98)</f>
        <v/>
      </c>
      <c r="H125" s="119" t="str">
        <f t="shared" ref="H125:H138" si="77">IF(H98="","",H98)</f>
        <v/>
      </c>
      <c r="I125" s="119" t="str">
        <f>IF(E125="","",IF(dir!I98+1&gt;VLOOKUP(H125,Schaal2016,22,FALSE),dir!I98,dir!I98+1))</f>
        <v/>
      </c>
      <c r="J125" s="120" t="str">
        <f>IF(dir!J98=0,0,dir!J98)</f>
        <v/>
      </c>
      <c r="K125" s="121"/>
      <c r="L125" s="1139">
        <f>IF(dir!L98=0,0,dir!L98)</f>
        <v>0</v>
      </c>
      <c r="M125" s="1139">
        <f>IF(dir!M98=0,0,dir!M98)</f>
        <v>0</v>
      </c>
      <c r="N125" s="795" t="str">
        <f t="shared" si="65"/>
        <v/>
      </c>
      <c r="O125" s="795"/>
      <c r="P125" s="795" t="str">
        <f t="shared" ref="P125:P138" si="78">IF(J125="","",SUM(L125:O125))</f>
        <v/>
      </c>
      <c r="Q125" s="570" t="str">
        <f t="shared" si="66"/>
        <v/>
      </c>
      <c r="R125" s="767" t="str">
        <f t="shared" si="67"/>
        <v/>
      </c>
      <c r="S125" s="796" t="str">
        <f t="shared" si="68"/>
        <v/>
      </c>
      <c r="T125" s="501"/>
      <c r="U125" s="149"/>
      <c r="V125" s="761"/>
      <c r="W125" s="761"/>
      <c r="X125" s="741" t="str">
        <f t="shared" si="69"/>
        <v/>
      </c>
      <c r="Y125" s="742">
        <f t="shared" ref="Y125:Y138" si="79">$Y$14</f>
        <v>0.6</v>
      </c>
      <c r="Z125" s="743" t="e">
        <f t="shared" si="70"/>
        <v>#VALUE!</v>
      </c>
      <c r="AA125" s="743" t="e">
        <f t="shared" si="71"/>
        <v>#VALUE!</v>
      </c>
      <c r="AB125" s="744" t="e">
        <f t="shared" ref="AB125:AB138" si="80">AA125-Z125</f>
        <v>#VALUE!</v>
      </c>
      <c r="AC125" s="725" t="e">
        <f t="shared" si="72"/>
        <v>#VALUE!</v>
      </c>
      <c r="AD125" s="693">
        <f t="shared" si="73"/>
        <v>0</v>
      </c>
      <c r="AE125" s="745">
        <f>IF(H125&gt;8,tab!C$194,tab!C$197)</f>
        <v>0.5</v>
      </c>
      <c r="AF125" s="544">
        <f t="shared" si="74"/>
        <v>0</v>
      </c>
      <c r="AG125" s="746">
        <f t="shared" si="75"/>
        <v>0</v>
      </c>
    </row>
    <row r="126" spans="2:43" ht="13.15" customHeight="1" x14ac:dyDescent="0.2">
      <c r="C126" s="31"/>
      <c r="D126" s="117" t="str">
        <f>IF(dir!D99=0,"",dir!D99)</f>
        <v/>
      </c>
      <c r="E126" s="117" t="str">
        <f>IF(dir!E99=0,"",dir!E99)</f>
        <v/>
      </c>
      <c r="F126" s="33" t="str">
        <f t="shared" si="76"/>
        <v/>
      </c>
      <c r="G126" s="118" t="str">
        <f>IF(dir!G99=0,"",dir!G99)</f>
        <v/>
      </c>
      <c r="H126" s="119" t="str">
        <f t="shared" si="77"/>
        <v/>
      </c>
      <c r="I126" s="119" t="str">
        <f>IF(E126="","",IF(dir!I99+1&gt;VLOOKUP(H126,Schaal2016,22,FALSE),dir!I99,dir!I99+1))</f>
        <v/>
      </c>
      <c r="J126" s="120" t="str">
        <f>IF(dir!J99=0,0,dir!J99)</f>
        <v/>
      </c>
      <c r="K126" s="121"/>
      <c r="L126" s="1139">
        <f>IF(dir!L99=0,0,dir!L99)</f>
        <v>0</v>
      </c>
      <c r="M126" s="1139">
        <f>IF(dir!M99=0,0,dir!M99)</f>
        <v>0</v>
      </c>
      <c r="N126" s="795" t="str">
        <f t="shared" si="65"/>
        <v/>
      </c>
      <c r="O126" s="795"/>
      <c r="P126" s="795" t="str">
        <f t="shared" si="78"/>
        <v/>
      </c>
      <c r="Q126" s="570" t="str">
        <f t="shared" si="66"/>
        <v/>
      </c>
      <c r="R126" s="767" t="str">
        <f t="shared" si="67"/>
        <v/>
      </c>
      <c r="S126" s="796" t="str">
        <f t="shared" si="68"/>
        <v/>
      </c>
      <c r="T126" s="501"/>
      <c r="U126" s="149"/>
      <c r="V126" s="761"/>
      <c r="W126" s="761"/>
      <c r="X126" s="741" t="str">
        <f t="shared" si="69"/>
        <v/>
      </c>
      <c r="Y126" s="742">
        <f t="shared" si="79"/>
        <v>0.6</v>
      </c>
      <c r="Z126" s="743" t="e">
        <f t="shared" si="70"/>
        <v>#VALUE!</v>
      </c>
      <c r="AA126" s="743" t="e">
        <f t="shared" si="71"/>
        <v>#VALUE!</v>
      </c>
      <c r="AB126" s="744" t="e">
        <f t="shared" si="80"/>
        <v>#VALUE!</v>
      </c>
      <c r="AC126" s="725" t="e">
        <f t="shared" si="72"/>
        <v>#VALUE!</v>
      </c>
      <c r="AD126" s="693">
        <f t="shared" si="73"/>
        <v>0</v>
      </c>
      <c r="AE126" s="745">
        <f>IF(H126&gt;8,tab!C$194,tab!C$197)</f>
        <v>0.5</v>
      </c>
      <c r="AF126" s="544">
        <f t="shared" si="74"/>
        <v>0</v>
      </c>
      <c r="AG126" s="746">
        <f t="shared" si="75"/>
        <v>0</v>
      </c>
    </row>
    <row r="127" spans="2:43" ht="13.15" customHeight="1" x14ac:dyDescent="0.2">
      <c r="C127" s="31"/>
      <c r="D127" s="117" t="str">
        <f>IF(dir!D100=0,"",dir!D100)</f>
        <v/>
      </c>
      <c r="E127" s="117" t="str">
        <f>IF(dir!E100=0,"",dir!E100)</f>
        <v/>
      </c>
      <c r="F127" s="33" t="str">
        <f t="shared" si="76"/>
        <v/>
      </c>
      <c r="G127" s="118" t="str">
        <f>IF(dir!G100=0,"",dir!G100)</f>
        <v/>
      </c>
      <c r="H127" s="119" t="str">
        <f t="shared" si="77"/>
        <v/>
      </c>
      <c r="I127" s="119" t="str">
        <f>IF(E127="","",IF(dir!I100+1&gt;VLOOKUP(H127,Schaal2016,22,FALSE),dir!I100,dir!I100+1))</f>
        <v/>
      </c>
      <c r="J127" s="120" t="str">
        <f>IF(dir!J100=0,0,dir!J100)</f>
        <v/>
      </c>
      <c r="K127" s="121"/>
      <c r="L127" s="1139">
        <f>IF(dir!L100=0,0,dir!L100)</f>
        <v>0</v>
      </c>
      <c r="M127" s="1139">
        <f>IF(dir!M100=0,0,dir!M100)</f>
        <v>0</v>
      </c>
      <c r="N127" s="795" t="str">
        <f t="shared" si="65"/>
        <v/>
      </c>
      <c r="O127" s="795"/>
      <c r="P127" s="795" t="str">
        <f t="shared" si="78"/>
        <v/>
      </c>
      <c r="Q127" s="570" t="str">
        <f t="shared" si="66"/>
        <v/>
      </c>
      <c r="R127" s="767" t="str">
        <f t="shared" si="67"/>
        <v/>
      </c>
      <c r="S127" s="796" t="str">
        <f t="shared" si="68"/>
        <v/>
      </c>
      <c r="T127" s="501"/>
      <c r="U127" s="149"/>
      <c r="V127" s="761"/>
      <c r="W127" s="761"/>
      <c r="X127" s="741" t="str">
        <f t="shared" si="69"/>
        <v/>
      </c>
      <c r="Y127" s="742">
        <f t="shared" si="79"/>
        <v>0.6</v>
      </c>
      <c r="Z127" s="743" t="e">
        <f t="shared" si="70"/>
        <v>#VALUE!</v>
      </c>
      <c r="AA127" s="743" t="e">
        <f t="shared" si="71"/>
        <v>#VALUE!</v>
      </c>
      <c r="AB127" s="744" t="e">
        <f t="shared" si="80"/>
        <v>#VALUE!</v>
      </c>
      <c r="AC127" s="725" t="e">
        <f t="shared" si="72"/>
        <v>#VALUE!</v>
      </c>
      <c r="AD127" s="693">
        <f t="shared" si="73"/>
        <v>0</v>
      </c>
      <c r="AE127" s="745">
        <f>IF(H127&gt;8,tab!C$194,tab!C$197)</f>
        <v>0.5</v>
      </c>
      <c r="AF127" s="544">
        <f t="shared" si="74"/>
        <v>0</v>
      </c>
      <c r="AG127" s="746">
        <f t="shared" si="75"/>
        <v>0</v>
      </c>
    </row>
    <row r="128" spans="2:43" ht="13.15" customHeight="1" x14ac:dyDescent="0.2">
      <c r="C128" s="31"/>
      <c r="D128" s="117" t="str">
        <f>IF(dir!D101=0,"",dir!D101)</f>
        <v/>
      </c>
      <c r="E128" s="117" t="str">
        <f>IF(dir!E101=0,"",dir!E101)</f>
        <v/>
      </c>
      <c r="F128" s="33" t="str">
        <f t="shared" si="76"/>
        <v/>
      </c>
      <c r="G128" s="118" t="str">
        <f>IF(dir!G101=0,"",dir!G101)</f>
        <v/>
      </c>
      <c r="H128" s="119" t="str">
        <f t="shared" si="77"/>
        <v/>
      </c>
      <c r="I128" s="119" t="str">
        <f>IF(E128="","",IF(dir!I101+1&gt;VLOOKUP(H128,Schaal2016,22,FALSE),dir!I101,dir!I101+1))</f>
        <v/>
      </c>
      <c r="J128" s="120" t="str">
        <f>IF(dir!J101=0,0,dir!J101)</f>
        <v/>
      </c>
      <c r="K128" s="121"/>
      <c r="L128" s="1139">
        <f>IF(dir!L101=0,0,dir!L101)</f>
        <v>0</v>
      </c>
      <c r="M128" s="1139">
        <f>IF(dir!M101=0,0,dir!M101)</f>
        <v>0</v>
      </c>
      <c r="N128" s="795" t="str">
        <f t="shared" si="65"/>
        <v/>
      </c>
      <c r="O128" s="795"/>
      <c r="P128" s="795" t="str">
        <f t="shared" si="78"/>
        <v/>
      </c>
      <c r="Q128" s="570" t="str">
        <f t="shared" si="66"/>
        <v/>
      </c>
      <c r="R128" s="767" t="str">
        <f t="shared" si="67"/>
        <v/>
      </c>
      <c r="S128" s="796" t="str">
        <f t="shared" si="68"/>
        <v/>
      </c>
      <c r="T128" s="501"/>
      <c r="U128" s="149"/>
      <c r="V128" s="761"/>
      <c r="W128" s="761"/>
      <c r="X128" s="741" t="str">
        <f t="shared" si="69"/>
        <v/>
      </c>
      <c r="Y128" s="742">
        <f t="shared" si="79"/>
        <v>0.6</v>
      </c>
      <c r="Z128" s="743" t="e">
        <f t="shared" si="70"/>
        <v>#VALUE!</v>
      </c>
      <c r="AA128" s="743" t="e">
        <f t="shared" si="71"/>
        <v>#VALUE!</v>
      </c>
      <c r="AB128" s="744" t="e">
        <f t="shared" si="80"/>
        <v>#VALUE!</v>
      </c>
      <c r="AC128" s="725" t="e">
        <f t="shared" si="72"/>
        <v>#VALUE!</v>
      </c>
      <c r="AD128" s="693">
        <f t="shared" si="73"/>
        <v>0</v>
      </c>
      <c r="AE128" s="745">
        <f>IF(H128&gt;8,tab!C$194,tab!C$197)</f>
        <v>0.5</v>
      </c>
      <c r="AF128" s="544">
        <f t="shared" si="74"/>
        <v>0</v>
      </c>
      <c r="AG128" s="746">
        <f t="shared" si="75"/>
        <v>0</v>
      </c>
      <c r="AN128" s="544"/>
      <c r="AO128" s="544"/>
    </row>
    <row r="129" spans="3:41" ht="13.15" customHeight="1" x14ac:dyDescent="0.2">
      <c r="C129" s="31"/>
      <c r="D129" s="117" t="str">
        <f>IF(dir!D102=0,"",dir!D102)</f>
        <v/>
      </c>
      <c r="E129" s="117" t="str">
        <f>IF(dir!E102=0,"",dir!E102)</f>
        <v/>
      </c>
      <c r="F129" s="33" t="str">
        <f t="shared" si="76"/>
        <v/>
      </c>
      <c r="G129" s="118" t="str">
        <f>IF(dir!G102=0,"",dir!G102)</f>
        <v/>
      </c>
      <c r="H129" s="119" t="str">
        <f t="shared" si="77"/>
        <v/>
      </c>
      <c r="I129" s="119" t="str">
        <f>IF(E129="","",IF(dir!I102+1&gt;VLOOKUP(H129,Schaal2016,22,FALSE),dir!I102,dir!I102+1))</f>
        <v/>
      </c>
      <c r="J129" s="120" t="str">
        <f>IF(dir!J102=0,0,dir!J102)</f>
        <v/>
      </c>
      <c r="K129" s="121"/>
      <c r="L129" s="1139">
        <f>IF(dir!L102=0,0,dir!L102)</f>
        <v>0</v>
      </c>
      <c r="M129" s="1139">
        <f>IF(dir!M102=0,0,dir!M102)</f>
        <v>0</v>
      </c>
      <c r="N129" s="795" t="str">
        <f t="shared" si="65"/>
        <v/>
      </c>
      <c r="O129" s="795"/>
      <c r="P129" s="795" t="str">
        <f t="shared" si="78"/>
        <v/>
      </c>
      <c r="Q129" s="570" t="str">
        <f t="shared" si="66"/>
        <v/>
      </c>
      <c r="R129" s="767" t="str">
        <f t="shared" si="67"/>
        <v/>
      </c>
      <c r="S129" s="796" t="str">
        <f t="shared" si="68"/>
        <v/>
      </c>
      <c r="T129" s="501"/>
      <c r="U129" s="149"/>
      <c r="V129" s="761"/>
      <c r="W129" s="761"/>
      <c r="X129" s="741" t="str">
        <f t="shared" si="69"/>
        <v/>
      </c>
      <c r="Y129" s="742">
        <f t="shared" si="79"/>
        <v>0.6</v>
      </c>
      <c r="Z129" s="743" t="e">
        <f t="shared" si="70"/>
        <v>#VALUE!</v>
      </c>
      <c r="AA129" s="743" t="e">
        <f t="shared" si="71"/>
        <v>#VALUE!</v>
      </c>
      <c r="AB129" s="744" t="e">
        <f t="shared" si="80"/>
        <v>#VALUE!</v>
      </c>
      <c r="AC129" s="725" t="e">
        <f t="shared" si="72"/>
        <v>#VALUE!</v>
      </c>
      <c r="AD129" s="693">
        <f t="shared" si="73"/>
        <v>0</v>
      </c>
      <c r="AE129" s="745">
        <f>IF(H129&gt;8,tab!C$194,tab!C$197)</f>
        <v>0.5</v>
      </c>
      <c r="AF129" s="544">
        <f t="shared" si="74"/>
        <v>0</v>
      </c>
      <c r="AG129" s="746">
        <f t="shared" si="75"/>
        <v>0</v>
      </c>
      <c r="AN129" s="544"/>
      <c r="AO129" s="544"/>
    </row>
    <row r="130" spans="3:41" ht="13.15" customHeight="1" x14ac:dyDescent="0.2">
      <c r="C130" s="31"/>
      <c r="D130" s="117" t="str">
        <f>IF(dir!D103=0,"",dir!D103)</f>
        <v/>
      </c>
      <c r="E130" s="117" t="str">
        <f>IF(dir!E103=0,"",dir!E103)</f>
        <v/>
      </c>
      <c r="F130" s="33" t="str">
        <f t="shared" si="76"/>
        <v/>
      </c>
      <c r="G130" s="118" t="str">
        <f>IF(dir!G103=0,"",dir!G103)</f>
        <v/>
      </c>
      <c r="H130" s="119" t="str">
        <f t="shared" si="77"/>
        <v/>
      </c>
      <c r="I130" s="119" t="str">
        <f>IF(E130="","",IF(dir!I103+1&gt;VLOOKUP(H130,Schaal2016,22,FALSE),dir!I103,dir!I103+1))</f>
        <v/>
      </c>
      <c r="J130" s="120" t="str">
        <f>IF(dir!J103=0,0,dir!J103)</f>
        <v/>
      </c>
      <c r="K130" s="121"/>
      <c r="L130" s="1139">
        <f>IF(dir!L103=0,0,dir!L103)</f>
        <v>0</v>
      </c>
      <c r="M130" s="1139">
        <f>IF(dir!M103=0,0,dir!M103)</f>
        <v>0</v>
      </c>
      <c r="N130" s="795" t="str">
        <f t="shared" si="65"/>
        <v/>
      </c>
      <c r="O130" s="795"/>
      <c r="P130" s="795" t="str">
        <f t="shared" si="78"/>
        <v/>
      </c>
      <c r="Q130" s="570" t="str">
        <f t="shared" si="66"/>
        <v/>
      </c>
      <c r="R130" s="767" t="str">
        <f t="shared" si="67"/>
        <v/>
      </c>
      <c r="S130" s="796" t="str">
        <f t="shared" si="68"/>
        <v/>
      </c>
      <c r="T130" s="501"/>
      <c r="U130" s="149"/>
      <c r="V130" s="761"/>
      <c r="W130" s="761"/>
      <c r="X130" s="741" t="str">
        <f t="shared" si="69"/>
        <v/>
      </c>
      <c r="Y130" s="742">
        <f t="shared" si="79"/>
        <v>0.6</v>
      </c>
      <c r="Z130" s="743" t="e">
        <f t="shared" si="70"/>
        <v>#VALUE!</v>
      </c>
      <c r="AA130" s="743" t="e">
        <f t="shared" si="71"/>
        <v>#VALUE!</v>
      </c>
      <c r="AB130" s="744" t="e">
        <f t="shared" si="80"/>
        <v>#VALUE!</v>
      </c>
      <c r="AC130" s="725" t="e">
        <f t="shared" si="72"/>
        <v>#VALUE!</v>
      </c>
      <c r="AD130" s="693">
        <f t="shared" si="73"/>
        <v>0</v>
      </c>
      <c r="AE130" s="745">
        <f>IF(H130&gt;8,tab!C$194,tab!C$197)</f>
        <v>0.5</v>
      </c>
      <c r="AF130" s="544">
        <f t="shared" si="74"/>
        <v>0</v>
      </c>
      <c r="AG130" s="746">
        <f t="shared" si="75"/>
        <v>0</v>
      </c>
      <c r="AN130" s="544"/>
      <c r="AO130" s="544"/>
    </row>
    <row r="131" spans="3:41" ht="13.15" customHeight="1" x14ac:dyDescent="0.2">
      <c r="C131" s="31"/>
      <c r="D131" s="117" t="str">
        <f>IF(dir!D104=0,"",dir!D104)</f>
        <v/>
      </c>
      <c r="E131" s="117" t="str">
        <f>IF(dir!E104=0,"",dir!E104)</f>
        <v/>
      </c>
      <c r="F131" s="33" t="str">
        <f t="shared" si="76"/>
        <v/>
      </c>
      <c r="G131" s="118" t="str">
        <f>IF(dir!G104=0,"",dir!G104)</f>
        <v/>
      </c>
      <c r="H131" s="119" t="str">
        <f t="shared" si="77"/>
        <v/>
      </c>
      <c r="I131" s="119" t="str">
        <f>IF(E131="","",IF(dir!I104+1&gt;VLOOKUP(H131,Schaal2016,22,FALSE),dir!I104,dir!I104+1))</f>
        <v/>
      </c>
      <c r="J131" s="120" t="str">
        <f>IF(dir!J104=0,0,dir!J104)</f>
        <v/>
      </c>
      <c r="K131" s="121"/>
      <c r="L131" s="1139">
        <f>IF(dir!L104=0,0,dir!L104)</f>
        <v>0</v>
      </c>
      <c r="M131" s="1139">
        <f>IF(dir!M104=0,0,dir!M104)</f>
        <v>0</v>
      </c>
      <c r="N131" s="795" t="str">
        <f t="shared" si="65"/>
        <v/>
      </c>
      <c r="O131" s="795"/>
      <c r="P131" s="795" t="str">
        <f t="shared" si="78"/>
        <v/>
      </c>
      <c r="Q131" s="570" t="str">
        <f t="shared" si="66"/>
        <v/>
      </c>
      <c r="R131" s="767" t="str">
        <f t="shared" si="67"/>
        <v/>
      </c>
      <c r="S131" s="796" t="str">
        <f t="shared" si="68"/>
        <v/>
      </c>
      <c r="T131" s="501"/>
      <c r="U131" s="149"/>
      <c r="V131" s="761"/>
      <c r="W131" s="761"/>
      <c r="X131" s="741" t="str">
        <f t="shared" si="69"/>
        <v/>
      </c>
      <c r="Y131" s="742">
        <f t="shared" si="79"/>
        <v>0.6</v>
      </c>
      <c r="Z131" s="743" t="e">
        <f t="shared" si="70"/>
        <v>#VALUE!</v>
      </c>
      <c r="AA131" s="743" t="e">
        <f t="shared" si="71"/>
        <v>#VALUE!</v>
      </c>
      <c r="AB131" s="744" t="e">
        <f t="shared" si="80"/>
        <v>#VALUE!</v>
      </c>
      <c r="AC131" s="725" t="e">
        <f t="shared" si="72"/>
        <v>#VALUE!</v>
      </c>
      <c r="AD131" s="693">
        <f t="shared" si="73"/>
        <v>0</v>
      </c>
      <c r="AE131" s="745">
        <f>IF(H131&gt;8,tab!C$194,tab!C$197)</f>
        <v>0.5</v>
      </c>
      <c r="AF131" s="544">
        <f t="shared" si="74"/>
        <v>0</v>
      </c>
      <c r="AG131" s="746">
        <f t="shared" si="75"/>
        <v>0</v>
      </c>
      <c r="AN131" s="544"/>
      <c r="AO131" s="544"/>
    </row>
    <row r="132" spans="3:41" ht="13.15" customHeight="1" x14ac:dyDescent="0.2">
      <c r="C132" s="31"/>
      <c r="D132" s="117" t="str">
        <f>IF(dir!D105=0,"",dir!D105)</f>
        <v/>
      </c>
      <c r="E132" s="117" t="str">
        <f>IF(dir!E105=0,"",dir!E105)</f>
        <v/>
      </c>
      <c r="F132" s="33" t="str">
        <f t="shared" si="76"/>
        <v/>
      </c>
      <c r="G132" s="118" t="str">
        <f>IF(dir!G105=0,"",dir!G105)</f>
        <v/>
      </c>
      <c r="H132" s="119" t="str">
        <f t="shared" si="77"/>
        <v/>
      </c>
      <c r="I132" s="119" t="str">
        <f>IF(E132="","",IF(dir!I105+1&gt;VLOOKUP(H132,Schaal2016,22,FALSE),dir!I105,dir!I105+1))</f>
        <v/>
      </c>
      <c r="J132" s="120" t="str">
        <f>IF(dir!J105=0,0,dir!J105)</f>
        <v/>
      </c>
      <c r="K132" s="121"/>
      <c r="L132" s="1139">
        <f>IF(dir!L105=0,0,dir!L105)</f>
        <v>0</v>
      </c>
      <c r="M132" s="1139">
        <f>IF(dir!M105=0,0,dir!M105)</f>
        <v>0</v>
      </c>
      <c r="N132" s="795" t="str">
        <f t="shared" si="65"/>
        <v/>
      </c>
      <c r="O132" s="795"/>
      <c r="P132" s="795" t="str">
        <f t="shared" si="78"/>
        <v/>
      </c>
      <c r="Q132" s="570" t="str">
        <f t="shared" si="66"/>
        <v/>
      </c>
      <c r="R132" s="767" t="str">
        <f t="shared" si="67"/>
        <v/>
      </c>
      <c r="S132" s="796" t="str">
        <f t="shared" si="68"/>
        <v/>
      </c>
      <c r="T132" s="501"/>
      <c r="U132" s="149"/>
      <c r="V132" s="761"/>
      <c r="W132" s="761"/>
      <c r="X132" s="741" t="str">
        <f t="shared" si="69"/>
        <v/>
      </c>
      <c r="Y132" s="742">
        <f t="shared" si="79"/>
        <v>0.6</v>
      </c>
      <c r="Z132" s="743" t="e">
        <f t="shared" si="70"/>
        <v>#VALUE!</v>
      </c>
      <c r="AA132" s="743" t="e">
        <f t="shared" si="71"/>
        <v>#VALUE!</v>
      </c>
      <c r="AB132" s="744" t="e">
        <f t="shared" si="80"/>
        <v>#VALUE!</v>
      </c>
      <c r="AC132" s="725" t="e">
        <f t="shared" si="72"/>
        <v>#VALUE!</v>
      </c>
      <c r="AD132" s="693">
        <f t="shared" si="73"/>
        <v>0</v>
      </c>
      <c r="AE132" s="745">
        <f>IF(H132&gt;8,tab!C$194,tab!C$197)</f>
        <v>0.5</v>
      </c>
      <c r="AF132" s="544">
        <f t="shared" si="74"/>
        <v>0</v>
      </c>
      <c r="AG132" s="746">
        <f t="shared" si="75"/>
        <v>0</v>
      </c>
      <c r="AN132" s="544"/>
      <c r="AO132" s="544"/>
    </row>
    <row r="133" spans="3:41" ht="13.15" customHeight="1" x14ac:dyDescent="0.2">
      <c r="C133" s="31"/>
      <c r="D133" s="117" t="str">
        <f>IF(dir!D106=0,"",dir!D106)</f>
        <v/>
      </c>
      <c r="E133" s="117" t="str">
        <f>IF(dir!E106=0,"",dir!E106)</f>
        <v/>
      </c>
      <c r="F133" s="33" t="str">
        <f t="shared" si="76"/>
        <v/>
      </c>
      <c r="G133" s="118" t="str">
        <f>IF(dir!G106=0,"",dir!G106)</f>
        <v/>
      </c>
      <c r="H133" s="119" t="str">
        <f t="shared" si="77"/>
        <v/>
      </c>
      <c r="I133" s="119" t="str">
        <f>IF(E133="","",IF(dir!I106+1&gt;VLOOKUP(H133,Schaal2016,22,FALSE),dir!I106,dir!I106+1))</f>
        <v/>
      </c>
      <c r="J133" s="120" t="str">
        <f>IF(dir!J106=0,0,dir!J106)</f>
        <v/>
      </c>
      <c r="K133" s="121"/>
      <c r="L133" s="1139">
        <f>IF(dir!L106=0,0,dir!L106)</f>
        <v>0</v>
      </c>
      <c r="M133" s="1139">
        <f>IF(dir!M106=0,0,dir!M106)</f>
        <v>0</v>
      </c>
      <c r="N133" s="795" t="str">
        <f t="shared" si="65"/>
        <v/>
      </c>
      <c r="O133" s="795"/>
      <c r="P133" s="795" t="str">
        <f t="shared" si="78"/>
        <v/>
      </c>
      <c r="Q133" s="570" t="str">
        <f t="shared" si="66"/>
        <v/>
      </c>
      <c r="R133" s="767" t="str">
        <f t="shared" si="67"/>
        <v/>
      </c>
      <c r="S133" s="796" t="str">
        <f t="shared" si="68"/>
        <v/>
      </c>
      <c r="T133" s="501"/>
      <c r="U133" s="149"/>
      <c r="V133" s="761"/>
      <c r="W133" s="761"/>
      <c r="X133" s="741" t="str">
        <f t="shared" si="69"/>
        <v/>
      </c>
      <c r="Y133" s="742">
        <f t="shared" si="79"/>
        <v>0.6</v>
      </c>
      <c r="Z133" s="743" t="e">
        <f t="shared" si="70"/>
        <v>#VALUE!</v>
      </c>
      <c r="AA133" s="743" t="e">
        <f t="shared" si="71"/>
        <v>#VALUE!</v>
      </c>
      <c r="AB133" s="744" t="e">
        <f t="shared" si="80"/>
        <v>#VALUE!</v>
      </c>
      <c r="AC133" s="725" t="e">
        <f t="shared" si="72"/>
        <v>#VALUE!</v>
      </c>
      <c r="AD133" s="693">
        <f t="shared" si="73"/>
        <v>0</v>
      </c>
      <c r="AE133" s="745">
        <f>IF(H133&gt;8,tab!C$194,tab!C$197)</f>
        <v>0.5</v>
      </c>
      <c r="AF133" s="544">
        <f t="shared" si="74"/>
        <v>0</v>
      </c>
      <c r="AG133" s="746">
        <f t="shared" si="75"/>
        <v>0</v>
      </c>
      <c r="AN133" s="544"/>
      <c r="AO133" s="544"/>
    </row>
    <row r="134" spans="3:41" ht="13.15" customHeight="1" x14ac:dyDescent="0.2">
      <c r="C134" s="31"/>
      <c r="D134" s="117" t="str">
        <f>IF(dir!D107=0,"",dir!D107)</f>
        <v/>
      </c>
      <c r="E134" s="117" t="str">
        <f>IF(dir!E107=0,"",dir!E107)</f>
        <v/>
      </c>
      <c r="F134" s="33" t="str">
        <f t="shared" si="76"/>
        <v/>
      </c>
      <c r="G134" s="118" t="str">
        <f>IF(dir!G107=0,"",dir!G107)</f>
        <v/>
      </c>
      <c r="H134" s="119" t="str">
        <f t="shared" si="77"/>
        <v/>
      </c>
      <c r="I134" s="119" t="str">
        <f>IF(E134="","",IF(dir!I107+1&gt;VLOOKUP(H134,Schaal2016,22,FALSE),dir!I107,dir!I107+1))</f>
        <v/>
      </c>
      <c r="J134" s="120" t="str">
        <f>IF(dir!J107=0,0,dir!J107)</f>
        <v/>
      </c>
      <c r="K134" s="121"/>
      <c r="L134" s="1139">
        <f>IF(dir!L107=0,0,dir!L107)</f>
        <v>0</v>
      </c>
      <c r="M134" s="1139">
        <f>IF(dir!M107=0,0,dir!M107)</f>
        <v>0</v>
      </c>
      <c r="N134" s="795" t="str">
        <f t="shared" si="65"/>
        <v/>
      </c>
      <c r="O134" s="795"/>
      <c r="P134" s="795" t="str">
        <f t="shared" si="78"/>
        <v/>
      </c>
      <c r="Q134" s="570" t="str">
        <f t="shared" si="66"/>
        <v/>
      </c>
      <c r="R134" s="767" t="str">
        <f t="shared" si="67"/>
        <v/>
      </c>
      <c r="S134" s="796" t="str">
        <f t="shared" si="68"/>
        <v/>
      </c>
      <c r="T134" s="501"/>
      <c r="U134" s="149"/>
      <c r="V134" s="761"/>
      <c r="W134" s="761"/>
      <c r="X134" s="741" t="str">
        <f t="shared" si="69"/>
        <v/>
      </c>
      <c r="Y134" s="742">
        <f t="shared" si="79"/>
        <v>0.6</v>
      </c>
      <c r="Z134" s="743" t="e">
        <f t="shared" si="70"/>
        <v>#VALUE!</v>
      </c>
      <c r="AA134" s="743" t="e">
        <f t="shared" si="71"/>
        <v>#VALUE!</v>
      </c>
      <c r="AB134" s="744" t="e">
        <f t="shared" si="80"/>
        <v>#VALUE!</v>
      </c>
      <c r="AC134" s="725" t="e">
        <f t="shared" si="72"/>
        <v>#VALUE!</v>
      </c>
      <c r="AD134" s="693">
        <f t="shared" si="73"/>
        <v>0</v>
      </c>
      <c r="AE134" s="745">
        <f>IF(H134&gt;8,tab!C$194,tab!C$197)</f>
        <v>0.5</v>
      </c>
      <c r="AF134" s="544">
        <f t="shared" si="74"/>
        <v>0</v>
      </c>
      <c r="AG134" s="746">
        <f t="shared" si="75"/>
        <v>0</v>
      </c>
      <c r="AN134" s="544"/>
      <c r="AO134" s="544"/>
    </row>
    <row r="135" spans="3:41" ht="13.15" customHeight="1" x14ac:dyDescent="0.2">
      <c r="C135" s="31"/>
      <c r="D135" s="117" t="str">
        <f>IF(dir!D108=0,"",dir!D108)</f>
        <v/>
      </c>
      <c r="E135" s="117" t="str">
        <f>IF(dir!E108=0,"",dir!E108)</f>
        <v/>
      </c>
      <c r="F135" s="33" t="str">
        <f t="shared" si="76"/>
        <v/>
      </c>
      <c r="G135" s="118" t="str">
        <f>IF(dir!G108=0,"",dir!G108)</f>
        <v/>
      </c>
      <c r="H135" s="119" t="str">
        <f t="shared" si="77"/>
        <v/>
      </c>
      <c r="I135" s="119" t="str">
        <f>IF(E135="","",IF(dir!I108+1&gt;VLOOKUP(H135,Schaal2016,22,FALSE),dir!I108,dir!I108+1))</f>
        <v/>
      </c>
      <c r="J135" s="120" t="str">
        <f>IF(dir!J108=0,0,dir!J108)</f>
        <v/>
      </c>
      <c r="K135" s="121"/>
      <c r="L135" s="1139">
        <f>IF(dir!L108=0,0,dir!L108)</f>
        <v>0</v>
      </c>
      <c r="M135" s="1139">
        <f>IF(dir!M108=0,0,dir!M108)</f>
        <v>0</v>
      </c>
      <c r="N135" s="795" t="str">
        <f t="shared" si="65"/>
        <v/>
      </c>
      <c r="O135" s="795"/>
      <c r="P135" s="795" t="str">
        <f t="shared" si="78"/>
        <v/>
      </c>
      <c r="Q135" s="570" t="str">
        <f t="shared" si="66"/>
        <v/>
      </c>
      <c r="R135" s="767" t="str">
        <f t="shared" si="67"/>
        <v/>
      </c>
      <c r="S135" s="796" t="str">
        <f t="shared" si="68"/>
        <v/>
      </c>
      <c r="T135" s="501"/>
      <c r="U135" s="149"/>
      <c r="V135" s="761"/>
      <c r="W135" s="761"/>
      <c r="X135" s="741" t="str">
        <f t="shared" si="69"/>
        <v/>
      </c>
      <c r="Y135" s="742">
        <f t="shared" si="79"/>
        <v>0.6</v>
      </c>
      <c r="Z135" s="743" t="e">
        <f t="shared" si="70"/>
        <v>#VALUE!</v>
      </c>
      <c r="AA135" s="743" t="e">
        <f t="shared" si="71"/>
        <v>#VALUE!</v>
      </c>
      <c r="AB135" s="744" t="e">
        <f t="shared" si="80"/>
        <v>#VALUE!</v>
      </c>
      <c r="AC135" s="725" t="e">
        <f t="shared" si="72"/>
        <v>#VALUE!</v>
      </c>
      <c r="AD135" s="693">
        <f t="shared" si="73"/>
        <v>0</v>
      </c>
      <c r="AE135" s="745">
        <f>IF(H135&gt;8,tab!C$194,tab!C$197)</f>
        <v>0.5</v>
      </c>
      <c r="AF135" s="544">
        <f t="shared" si="74"/>
        <v>0</v>
      </c>
      <c r="AG135" s="746">
        <f t="shared" si="75"/>
        <v>0</v>
      </c>
      <c r="AN135" s="544"/>
      <c r="AO135" s="544"/>
    </row>
    <row r="136" spans="3:41" ht="13.15" customHeight="1" x14ac:dyDescent="0.2">
      <c r="C136" s="31"/>
      <c r="D136" s="117" t="str">
        <f>IF(dir!D109=0,"",dir!D109)</f>
        <v/>
      </c>
      <c r="E136" s="117" t="str">
        <f>IF(dir!E109=0,"",dir!E109)</f>
        <v/>
      </c>
      <c r="F136" s="33" t="str">
        <f t="shared" si="76"/>
        <v/>
      </c>
      <c r="G136" s="118" t="str">
        <f>IF(dir!G109=0,"",dir!G109)</f>
        <v/>
      </c>
      <c r="H136" s="119" t="str">
        <f t="shared" si="77"/>
        <v/>
      </c>
      <c r="I136" s="119" t="str">
        <f>IF(E136="","",IF(dir!I109+1&gt;VLOOKUP(H136,Schaal2016,22,FALSE),dir!I109,dir!I109+1))</f>
        <v/>
      </c>
      <c r="J136" s="120" t="str">
        <f>IF(dir!J109=0,0,dir!J109)</f>
        <v/>
      </c>
      <c r="K136" s="121"/>
      <c r="L136" s="1139">
        <f>IF(dir!L109=0,0,dir!L109)</f>
        <v>0</v>
      </c>
      <c r="M136" s="1139">
        <f>IF(dir!M109=0,0,dir!M109)</f>
        <v>0</v>
      </c>
      <c r="N136" s="795" t="str">
        <f t="shared" si="65"/>
        <v/>
      </c>
      <c r="O136" s="795"/>
      <c r="P136" s="795" t="str">
        <f t="shared" si="78"/>
        <v/>
      </c>
      <c r="Q136" s="570" t="str">
        <f t="shared" si="66"/>
        <v/>
      </c>
      <c r="R136" s="767" t="str">
        <f t="shared" si="67"/>
        <v/>
      </c>
      <c r="S136" s="796" t="str">
        <f t="shared" si="68"/>
        <v/>
      </c>
      <c r="T136" s="501"/>
      <c r="U136" s="149"/>
      <c r="V136" s="761"/>
      <c r="W136" s="761"/>
      <c r="X136" s="741" t="str">
        <f t="shared" si="69"/>
        <v/>
      </c>
      <c r="Y136" s="742">
        <f t="shared" si="79"/>
        <v>0.6</v>
      </c>
      <c r="Z136" s="743" t="e">
        <f t="shared" si="70"/>
        <v>#VALUE!</v>
      </c>
      <c r="AA136" s="743" t="e">
        <f t="shared" si="71"/>
        <v>#VALUE!</v>
      </c>
      <c r="AB136" s="744" t="e">
        <f t="shared" si="80"/>
        <v>#VALUE!</v>
      </c>
      <c r="AC136" s="725" t="e">
        <f t="shared" si="72"/>
        <v>#VALUE!</v>
      </c>
      <c r="AD136" s="693">
        <f t="shared" si="73"/>
        <v>0</v>
      </c>
      <c r="AE136" s="745">
        <f>IF(H136&gt;8,tab!C$194,tab!C$197)</f>
        <v>0.5</v>
      </c>
      <c r="AF136" s="544">
        <f t="shared" si="74"/>
        <v>0</v>
      </c>
      <c r="AG136" s="746">
        <f t="shared" si="75"/>
        <v>0</v>
      </c>
      <c r="AN136" s="544"/>
      <c r="AO136" s="544"/>
    </row>
    <row r="137" spans="3:41" ht="13.15" customHeight="1" x14ac:dyDescent="0.2">
      <c r="C137" s="31"/>
      <c r="D137" s="117" t="str">
        <f>IF(dir!D110=0,"",dir!D110)</f>
        <v/>
      </c>
      <c r="E137" s="117" t="str">
        <f>IF(dir!E110=0,"",dir!E110)</f>
        <v/>
      </c>
      <c r="F137" s="33" t="str">
        <f t="shared" si="76"/>
        <v/>
      </c>
      <c r="G137" s="118" t="str">
        <f>IF(dir!G110=0,"",dir!G110)</f>
        <v/>
      </c>
      <c r="H137" s="119" t="str">
        <f t="shared" si="77"/>
        <v/>
      </c>
      <c r="I137" s="119" t="str">
        <f>IF(E137="","",IF(dir!I110+1&gt;VLOOKUP(H137,Schaal2016,22,FALSE),dir!I110,dir!I110+1))</f>
        <v/>
      </c>
      <c r="J137" s="120" t="str">
        <f>IF(dir!J110=0,0,dir!J110)</f>
        <v/>
      </c>
      <c r="K137" s="121"/>
      <c r="L137" s="1139">
        <f>IF(dir!L110=0,0,dir!L110)</f>
        <v>0</v>
      </c>
      <c r="M137" s="1139">
        <f>IF(dir!M110=0,0,dir!M110)</f>
        <v>0</v>
      </c>
      <c r="N137" s="795" t="str">
        <f t="shared" si="65"/>
        <v/>
      </c>
      <c r="O137" s="795"/>
      <c r="P137" s="795" t="str">
        <f t="shared" si="78"/>
        <v/>
      </c>
      <c r="Q137" s="570" t="str">
        <f t="shared" si="66"/>
        <v/>
      </c>
      <c r="R137" s="767" t="str">
        <f t="shared" si="67"/>
        <v/>
      </c>
      <c r="S137" s="796" t="str">
        <f t="shared" si="68"/>
        <v/>
      </c>
      <c r="T137" s="501"/>
      <c r="U137" s="149"/>
      <c r="V137" s="761"/>
      <c r="W137" s="761"/>
      <c r="X137" s="741" t="str">
        <f t="shared" si="69"/>
        <v/>
      </c>
      <c r="Y137" s="742">
        <f t="shared" si="79"/>
        <v>0.6</v>
      </c>
      <c r="Z137" s="743" t="e">
        <f t="shared" si="70"/>
        <v>#VALUE!</v>
      </c>
      <c r="AA137" s="743" t="e">
        <f t="shared" si="71"/>
        <v>#VALUE!</v>
      </c>
      <c r="AB137" s="744" t="e">
        <f t="shared" si="80"/>
        <v>#VALUE!</v>
      </c>
      <c r="AC137" s="725" t="e">
        <f t="shared" si="72"/>
        <v>#VALUE!</v>
      </c>
      <c r="AD137" s="693">
        <f t="shared" si="73"/>
        <v>0</v>
      </c>
      <c r="AE137" s="745">
        <f>IF(H137&gt;8,tab!C$194,tab!C$197)</f>
        <v>0.5</v>
      </c>
      <c r="AF137" s="544">
        <f t="shared" si="74"/>
        <v>0</v>
      </c>
      <c r="AG137" s="746">
        <f t="shared" si="75"/>
        <v>0</v>
      </c>
      <c r="AN137" s="544"/>
      <c r="AO137" s="544"/>
    </row>
    <row r="138" spans="3:41" ht="13.15" customHeight="1" x14ac:dyDescent="0.2">
      <c r="C138" s="31"/>
      <c r="D138" s="117" t="str">
        <f>IF(dir!D111=0,"",dir!D111)</f>
        <v/>
      </c>
      <c r="E138" s="117" t="str">
        <f>IF(dir!E111=0,"",dir!E111)</f>
        <v/>
      </c>
      <c r="F138" s="33" t="str">
        <f t="shared" si="76"/>
        <v/>
      </c>
      <c r="G138" s="118" t="str">
        <f>IF(dir!G111=0,"",dir!G111)</f>
        <v/>
      </c>
      <c r="H138" s="119" t="str">
        <f t="shared" si="77"/>
        <v/>
      </c>
      <c r="I138" s="119" t="str">
        <f>IF(E138="","",IF(dir!I111+1&gt;VLOOKUP(H138,Schaal2016,22,FALSE),dir!I111,dir!I111+1))</f>
        <v/>
      </c>
      <c r="J138" s="120" t="str">
        <f>IF(dir!J111=0,0,dir!J111)</f>
        <v/>
      </c>
      <c r="K138" s="121"/>
      <c r="L138" s="1139">
        <f>IF(dir!L111=0,0,dir!L111)</f>
        <v>0</v>
      </c>
      <c r="M138" s="1139">
        <f>IF(dir!M111=0,0,dir!M111)</f>
        <v>0</v>
      </c>
      <c r="N138" s="795" t="str">
        <f t="shared" si="65"/>
        <v/>
      </c>
      <c r="O138" s="795"/>
      <c r="P138" s="795" t="str">
        <f t="shared" si="78"/>
        <v/>
      </c>
      <c r="Q138" s="570" t="str">
        <f t="shared" si="66"/>
        <v/>
      </c>
      <c r="R138" s="767" t="str">
        <f t="shared" si="67"/>
        <v/>
      </c>
      <c r="S138" s="796" t="str">
        <f t="shared" si="68"/>
        <v/>
      </c>
      <c r="T138" s="501"/>
      <c r="U138" s="149"/>
      <c r="V138" s="761"/>
      <c r="W138" s="761"/>
      <c r="X138" s="741" t="str">
        <f t="shared" si="69"/>
        <v/>
      </c>
      <c r="Y138" s="742">
        <f t="shared" si="79"/>
        <v>0.6</v>
      </c>
      <c r="Z138" s="743" t="e">
        <f t="shared" si="70"/>
        <v>#VALUE!</v>
      </c>
      <c r="AA138" s="743" t="e">
        <f t="shared" si="71"/>
        <v>#VALUE!</v>
      </c>
      <c r="AB138" s="744" t="e">
        <f t="shared" si="80"/>
        <v>#VALUE!</v>
      </c>
      <c r="AC138" s="725" t="e">
        <f t="shared" si="72"/>
        <v>#VALUE!</v>
      </c>
      <c r="AD138" s="693">
        <f t="shared" si="73"/>
        <v>0</v>
      </c>
      <c r="AE138" s="745">
        <f>IF(H138&gt;8,tab!C$194,tab!C$197)</f>
        <v>0.5</v>
      </c>
      <c r="AF138" s="544">
        <f t="shared" si="74"/>
        <v>0</v>
      </c>
      <c r="AG138" s="746">
        <f t="shared" si="75"/>
        <v>0</v>
      </c>
      <c r="AN138" s="544"/>
      <c r="AO138" s="544"/>
    </row>
    <row r="139" spans="3:41" ht="13.15" customHeight="1" x14ac:dyDescent="0.2">
      <c r="C139" s="31"/>
      <c r="D139" s="28"/>
      <c r="E139" s="28"/>
      <c r="F139" s="125"/>
      <c r="G139" s="126"/>
      <c r="H139" s="32"/>
      <c r="I139" s="32"/>
      <c r="J139" s="768">
        <f>SUM(J124:J138)</f>
        <v>1</v>
      </c>
      <c r="K139" s="125"/>
      <c r="L139" s="797">
        <f t="shared" ref="L139:S139" si="81">SUM(L124:L138)</f>
        <v>0</v>
      </c>
      <c r="M139" s="797">
        <f t="shared" si="81"/>
        <v>0</v>
      </c>
      <c r="N139" s="797">
        <f t="shared" si="81"/>
        <v>40</v>
      </c>
      <c r="O139" s="797">
        <f t="shared" si="81"/>
        <v>0</v>
      </c>
      <c r="P139" s="797">
        <f t="shared" si="81"/>
        <v>40</v>
      </c>
      <c r="Q139" s="571">
        <f t="shared" si="81"/>
        <v>83023.959493670904</v>
      </c>
      <c r="R139" s="798">
        <f t="shared" si="81"/>
        <v>2051.2405063291144</v>
      </c>
      <c r="S139" s="799">
        <f t="shared" si="81"/>
        <v>85075.200000000012</v>
      </c>
      <c r="T139" s="609"/>
      <c r="U139" s="169"/>
      <c r="V139" s="762"/>
      <c r="W139" s="762"/>
      <c r="X139" s="747">
        <f>SUM(X124:X138)</f>
        <v>4431</v>
      </c>
      <c r="Y139" s="748"/>
      <c r="Z139" s="749"/>
      <c r="AA139" s="749"/>
      <c r="AB139" s="660"/>
      <c r="AC139" s="725"/>
      <c r="AD139" s="720"/>
      <c r="AE139" s="544"/>
      <c r="AF139" s="544"/>
      <c r="AG139" s="746">
        <f>SUM(AG124:AG138)</f>
        <v>0</v>
      </c>
      <c r="AN139" s="544"/>
      <c r="AO139" s="544"/>
    </row>
    <row r="140" spans="3:41" ht="13.15" customHeight="1" x14ac:dyDescent="0.2">
      <c r="C140" s="36"/>
      <c r="D140" s="127"/>
      <c r="E140" s="127"/>
      <c r="F140" s="127"/>
      <c r="G140" s="128"/>
      <c r="H140" s="129"/>
      <c r="I140" s="130"/>
      <c r="J140" s="131"/>
      <c r="K140" s="127"/>
      <c r="L140" s="130"/>
      <c r="M140" s="133"/>
      <c r="N140" s="133"/>
      <c r="O140" s="133"/>
      <c r="P140" s="133"/>
      <c r="Q140" s="777"/>
      <c r="R140" s="251"/>
      <c r="S140" s="133"/>
      <c r="T140" s="498"/>
      <c r="U140" s="495"/>
      <c r="V140" s="763"/>
      <c r="W140" s="766"/>
      <c r="X140" s="756"/>
      <c r="Y140" s="757"/>
      <c r="AC140" s="754"/>
      <c r="AL140" s="753"/>
    </row>
    <row r="141" spans="3:41" ht="13.15" customHeight="1" x14ac:dyDescent="0.2">
      <c r="H141" s="8"/>
      <c r="I141" s="75"/>
      <c r="J141" s="123"/>
      <c r="L141" s="147"/>
      <c r="M141" s="147"/>
      <c r="N141" s="147"/>
      <c r="O141" s="147"/>
      <c r="P141" s="147"/>
      <c r="Q141" s="780"/>
      <c r="S141" s="147"/>
      <c r="T141" s="149"/>
      <c r="U141" s="149"/>
      <c r="V141" s="725"/>
      <c r="W141" s="725"/>
      <c r="X141" s="755"/>
    </row>
    <row r="142" spans="3:41" ht="13.15" customHeight="1" x14ac:dyDescent="0.2">
      <c r="U142" s="78"/>
    </row>
    <row r="143" spans="3:41" ht="13.15" customHeight="1" x14ac:dyDescent="0.2">
      <c r="C143" s="34" t="s">
        <v>48</v>
      </c>
      <c r="E143" s="150" t="str">
        <f>tab!H2</f>
        <v>2023/24</v>
      </c>
      <c r="H143" s="8"/>
      <c r="I143" s="75"/>
      <c r="J143" s="123"/>
      <c r="L143" s="147"/>
      <c r="M143" s="147"/>
      <c r="N143" s="147"/>
      <c r="O143" s="147"/>
      <c r="P143" s="147"/>
      <c r="Q143" s="780"/>
      <c r="S143" s="147"/>
      <c r="T143" s="149"/>
      <c r="U143" s="149"/>
      <c r="V143" s="725"/>
      <c r="W143" s="725"/>
      <c r="X143" s="755"/>
    </row>
    <row r="144" spans="3:41" ht="13.15" customHeight="1" x14ac:dyDescent="0.2">
      <c r="C144" s="71" t="s">
        <v>125</v>
      </c>
      <c r="E144" s="150">
        <f>tab!I3</f>
        <v>45200</v>
      </c>
      <c r="H144" s="8"/>
      <c r="I144" s="75"/>
      <c r="J144" s="123"/>
      <c r="L144" s="147"/>
      <c r="M144" s="147"/>
      <c r="N144" s="147"/>
      <c r="O144" s="147"/>
      <c r="P144" s="147"/>
      <c r="Q144" s="780"/>
      <c r="S144" s="147"/>
      <c r="T144" s="149"/>
      <c r="U144" s="149"/>
      <c r="V144" s="725"/>
      <c r="W144" s="725"/>
      <c r="X144" s="755"/>
    </row>
    <row r="145" spans="3:43" ht="13.15" customHeight="1" x14ac:dyDescent="0.2">
      <c r="H145" s="8"/>
      <c r="I145" s="75"/>
      <c r="J145" s="123"/>
      <c r="L145" s="147"/>
      <c r="M145" s="147"/>
      <c r="N145" s="147"/>
      <c r="O145" s="147"/>
      <c r="P145" s="147"/>
      <c r="Q145" s="780"/>
      <c r="S145" s="147"/>
      <c r="T145" s="149"/>
      <c r="U145" s="149"/>
      <c r="V145" s="725"/>
      <c r="W145" s="725"/>
      <c r="X145" s="755"/>
    </row>
    <row r="146" spans="3:43" ht="13.15" customHeight="1" x14ac:dyDescent="0.2">
      <c r="C146" s="23"/>
      <c r="D146" s="100"/>
      <c r="E146" s="101"/>
      <c r="F146" s="25"/>
      <c r="G146" s="102"/>
      <c r="H146" s="103"/>
      <c r="I146" s="103"/>
      <c r="J146" s="104"/>
      <c r="K146" s="24"/>
      <c r="L146" s="103"/>
      <c r="M146" s="25"/>
      <c r="N146" s="25"/>
      <c r="O146" s="25"/>
      <c r="P146" s="25"/>
      <c r="Q146" s="349"/>
      <c r="R146" s="278"/>
      <c r="S146" s="800"/>
      <c r="T146" s="499"/>
      <c r="U146" s="78"/>
      <c r="V146" s="682"/>
      <c r="W146" s="682"/>
      <c r="X146" s="683"/>
      <c r="Y146" s="684"/>
      <c r="AE146" s="658"/>
      <c r="AF146" s="659"/>
      <c r="AG146" s="658"/>
    </row>
    <row r="147" spans="3:43" s="8" customFormat="1" ht="13.15" customHeight="1" x14ac:dyDescent="0.2">
      <c r="C147" s="282"/>
      <c r="D147" s="1340" t="s">
        <v>126</v>
      </c>
      <c r="E147" s="1341"/>
      <c r="F147" s="1341"/>
      <c r="G147" s="1341"/>
      <c r="H147" s="1342"/>
      <c r="I147" s="1342"/>
      <c r="J147" s="1342"/>
      <c r="K147" s="685"/>
      <c r="L147" s="686" t="s">
        <v>440</v>
      </c>
      <c r="M147" s="687"/>
      <c r="N147" s="687"/>
      <c r="O147" s="687"/>
      <c r="P147" s="687"/>
      <c r="Q147" s="794" t="s">
        <v>450</v>
      </c>
      <c r="R147" s="687"/>
      <c r="S147" s="687"/>
      <c r="T147" s="608"/>
      <c r="U147" s="124"/>
      <c r="V147" s="689"/>
      <c r="W147" s="689"/>
      <c r="X147" s="690"/>
      <c r="Y147" s="691"/>
      <c r="Z147" s="692"/>
      <c r="AA147" s="692"/>
      <c r="AB147" s="660"/>
      <c r="AC147" s="725"/>
      <c r="AD147" s="660"/>
      <c r="AE147" s="694"/>
      <c r="AF147" s="694"/>
      <c r="AG147" s="694"/>
      <c r="AH147" s="694"/>
      <c r="AI147" s="694"/>
      <c r="AJ147" s="694"/>
      <c r="AK147" s="694"/>
      <c r="AL147" s="694"/>
      <c r="AM147" s="694"/>
      <c r="AN147" s="694"/>
      <c r="AO147" s="694"/>
      <c r="AP147" s="165"/>
      <c r="AQ147" s="165"/>
    </row>
    <row r="148" spans="3:43" s="8" customFormat="1" ht="13.15" customHeight="1" x14ac:dyDescent="0.2">
      <c r="C148" s="282"/>
      <c r="D148" s="696" t="s">
        <v>529</v>
      </c>
      <c r="E148" s="696" t="s">
        <v>88</v>
      </c>
      <c r="F148" s="697" t="s">
        <v>128</v>
      </c>
      <c r="G148" s="698" t="s">
        <v>129</v>
      </c>
      <c r="H148" s="697" t="s">
        <v>130</v>
      </c>
      <c r="I148" s="697" t="s">
        <v>131</v>
      </c>
      <c r="J148" s="699" t="s">
        <v>132</v>
      </c>
      <c r="K148" s="726"/>
      <c r="L148" s="700" t="s">
        <v>441</v>
      </c>
      <c r="M148" s="700" t="s">
        <v>444</v>
      </c>
      <c r="N148" s="700" t="s">
        <v>446</v>
      </c>
      <c r="O148" s="700" t="s">
        <v>443</v>
      </c>
      <c r="P148" s="722" t="s">
        <v>449</v>
      </c>
      <c r="Q148" s="775" t="s">
        <v>133</v>
      </c>
      <c r="R148" s="702" t="s">
        <v>453</v>
      </c>
      <c r="S148" s="703" t="s">
        <v>133</v>
      </c>
      <c r="T148" s="500"/>
      <c r="U148" s="496"/>
      <c r="V148" s="704"/>
      <c r="W148" s="704"/>
      <c r="X148" s="705" t="s">
        <v>139</v>
      </c>
      <c r="Y148" s="706" t="s">
        <v>454</v>
      </c>
      <c r="Z148" s="707" t="s">
        <v>455</v>
      </c>
      <c r="AA148" s="707" t="s">
        <v>455</v>
      </c>
      <c r="AB148" s="707" t="s">
        <v>456</v>
      </c>
      <c r="AC148" s="721" t="s">
        <v>457</v>
      </c>
      <c r="AD148" s="707" t="s">
        <v>458</v>
      </c>
      <c r="AE148" s="707" t="s">
        <v>459</v>
      </c>
      <c r="AF148" s="707" t="s">
        <v>134</v>
      </c>
      <c r="AG148" s="703" t="s">
        <v>135</v>
      </c>
      <c r="AH148" s="694"/>
      <c r="AI148" s="694"/>
      <c r="AJ148" s="694"/>
      <c r="AK148" s="694"/>
      <c r="AL148" s="694"/>
      <c r="AM148" s="694"/>
      <c r="AN148" s="694"/>
      <c r="AO148" s="694"/>
      <c r="AP148" s="165"/>
      <c r="AQ148" s="167"/>
    </row>
    <row r="149" spans="3:43" s="8" customFormat="1" ht="13.15" customHeight="1" x14ac:dyDescent="0.2">
      <c r="C149" s="282"/>
      <c r="D149" s="709"/>
      <c r="E149" s="696"/>
      <c r="F149" s="697" t="s">
        <v>136</v>
      </c>
      <c r="G149" s="698" t="s">
        <v>137</v>
      </c>
      <c r="H149" s="697"/>
      <c r="I149" s="697"/>
      <c r="J149" s="699" t="s">
        <v>138</v>
      </c>
      <c r="K149" s="726"/>
      <c r="L149" s="700" t="s">
        <v>442</v>
      </c>
      <c r="M149" s="700" t="s">
        <v>445</v>
      </c>
      <c r="N149" s="700" t="s">
        <v>447</v>
      </c>
      <c r="O149" s="700" t="s">
        <v>448</v>
      </c>
      <c r="P149" s="722" t="s">
        <v>141</v>
      </c>
      <c r="Q149" s="586" t="s">
        <v>451</v>
      </c>
      <c r="R149" s="702" t="s">
        <v>452</v>
      </c>
      <c r="S149" s="722" t="s">
        <v>141</v>
      </c>
      <c r="T149" s="500"/>
      <c r="U149" s="496"/>
      <c r="V149" s="704"/>
      <c r="W149" s="704"/>
      <c r="X149" s="707" t="s">
        <v>460</v>
      </c>
      <c r="Y149" s="711">
        <f>tab!C$193</f>
        <v>0.6</v>
      </c>
      <c r="Z149" s="707" t="s">
        <v>461</v>
      </c>
      <c r="AA149" s="707" t="s">
        <v>462</v>
      </c>
      <c r="AB149" s="707" t="s">
        <v>463</v>
      </c>
      <c r="AC149" s="721" t="s">
        <v>464</v>
      </c>
      <c r="AD149" s="707" t="s">
        <v>464</v>
      </c>
      <c r="AE149" s="707" t="s">
        <v>465</v>
      </c>
      <c r="AF149" s="707"/>
      <c r="AG149" s="707" t="s">
        <v>140</v>
      </c>
      <c r="AH149" s="694"/>
      <c r="AI149" s="694"/>
      <c r="AJ149" s="694"/>
      <c r="AK149" s="694"/>
      <c r="AL149" s="694"/>
      <c r="AM149" s="694"/>
      <c r="AN149" s="694"/>
      <c r="AO149" s="694"/>
      <c r="AQ149" s="147"/>
    </row>
    <row r="150" spans="3:43" ht="13.15" customHeight="1" x14ac:dyDescent="0.2">
      <c r="C150" s="31"/>
      <c r="D150" s="1"/>
      <c r="E150" s="1"/>
      <c r="F150" s="108"/>
      <c r="G150" s="109"/>
      <c r="H150" s="110"/>
      <c r="I150" s="110"/>
      <c r="J150" s="111"/>
      <c r="K150" s="108"/>
      <c r="L150" s="599"/>
      <c r="M150" s="113"/>
      <c r="N150" s="113"/>
      <c r="O150" s="113"/>
      <c r="P150" s="113"/>
      <c r="Q150" s="776"/>
      <c r="R150" s="114"/>
      <c r="S150" s="113"/>
      <c r="T150" s="500"/>
      <c r="U150" s="496"/>
      <c r="V150" s="704"/>
      <c r="W150" s="704"/>
      <c r="X150" s="739"/>
      <c r="Y150" s="740"/>
      <c r="AE150" s="544"/>
      <c r="AF150" s="544"/>
    </row>
    <row r="151" spans="3:43" ht="13.15" customHeight="1" x14ac:dyDescent="0.2">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39">
        <f>IF(dir!L124=0,0,dir!L124)</f>
        <v>0</v>
      </c>
      <c r="M151" s="1139">
        <f>IF(dir!M124=0,0,dir!M124)</f>
        <v>0</v>
      </c>
      <c r="N151" s="795">
        <f t="shared" ref="N151:N165" si="82">IF(J151="","",IF(J151*40&gt;40,40,J151*40))</f>
        <v>40</v>
      </c>
      <c r="O151" s="795"/>
      <c r="P151" s="795">
        <f>IF(J151="","",SUM(L151:O151))</f>
        <v>40</v>
      </c>
      <c r="Q151" s="570">
        <f t="shared" ref="Q151:Q165" si="83">IF(J151="","",(1659*J151-P151)*AA151)</f>
        <v>85628.412296564202</v>
      </c>
      <c r="R151" s="767">
        <f t="shared" ref="R151:R165" si="84">IF(J151="","",(P151*AB151)+Z151*(AC151+AD151*(1-AE151)))</f>
        <v>2115.587703435805</v>
      </c>
      <c r="S151" s="796">
        <f t="shared" ref="S151:S165" si="85">IF(E151="","",(Q151+R151))</f>
        <v>87744</v>
      </c>
      <c r="T151" s="501"/>
      <c r="U151" s="149"/>
      <c r="V151" s="761"/>
      <c r="W151" s="761"/>
      <c r="X151" s="741">
        <f t="shared" ref="X151:X165" si="86">IF(H151="","",VLOOKUP(H151,Salaris2020,I151+1,FALSE))</f>
        <v>4570</v>
      </c>
      <c r="Y151" s="742">
        <f>$Y$14</f>
        <v>0.6</v>
      </c>
      <c r="Z151" s="743">
        <f t="shared" ref="Z151:Z165" si="87">X151*12/1659</f>
        <v>33.056057866184446</v>
      </c>
      <c r="AA151" s="743">
        <f t="shared" ref="AA151:AA165" si="88">X151*12*(1+Y151)/1659</f>
        <v>52.889692585895119</v>
      </c>
      <c r="AB151" s="744">
        <f>AA151-Z151</f>
        <v>19.833634719710673</v>
      </c>
      <c r="AC151" s="725">
        <f t="shared" ref="AC151:AC165" si="89">N151+O151</f>
        <v>40</v>
      </c>
      <c r="AD151" s="693">
        <f t="shared" ref="AD151:AD165" si="90">L151+M151</f>
        <v>0</v>
      </c>
      <c r="AE151" s="745">
        <f>IF(H151&gt;8,tab!C$194,tab!C$197)</f>
        <v>0.5</v>
      </c>
      <c r="AF151" s="544">
        <f t="shared" ref="AF151:AF165" si="91">IF(F151&lt;25,0,IF(F151=25,25,IF(F151&lt;40,0,IF(F151=40,40,IF(F151&gt;=40,0)))))</f>
        <v>0</v>
      </c>
      <c r="AG151" s="746">
        <f t="shared" ref="AG151:AG165" si="92">IF(AF151=25,(X151*1.08*J151/2),IF(AF151=40,(X151*1.08*J151),IF(AF151=0,0)))</f>
        <v>0</v>
      </c>
    </row>
    <row r="152" spans="3:43" ht="13.15" customHeight="1" x14ac:dyDescent="0.2">
      <c r="C152" s="31"/>
      <c r="D152" s="117" t="str">
        <f>IF(dir!D125=0,"",dir!D125)</f>
        <v/>
      </c>
      <c r="E152" s="117" t="str">
        <f>IF(dir!E125=0,"",dir!E125)</f>
        <v/>
      </c>
      <c r="F152" s="33" t="str">
        <f t="shared" ref="F152:F165" si="93">IF(F125="","",F125+1)</f>
        <v/>
      </c>
      <c r="G152" s="118" t="str">
        <f>IF(dir!G125=0,"",dir!G125)</f>
        <v/>
      </c>
      <c r="H152" s="119" t="str">
        <f t="shared" ref="H152:H165" si="94">IF(H125="","",H125)</f>
        <v/>
      </c>
      <c r="I152" s="119" t="str">
        <f>IF(E152="","",IF(dir!I125+1&gt;VLOOKUP(H152,Schaal2016,22,FALSE),dir!I125,dir!I125+1))</f>
        <v/>
      </c>
      <c r="J152" s="120" t="str">
        <f>IF(dir!J125=0,0,dir!J125)</f>
        <v/>
      </c>
      <c r="K152" s="121"/>
      <c r="L152" s="1139">
        <f>IF(dir!L125=0,0,dir!L125)</f>
        <v>0</v>
      </c>
      <c r="M152" s="1139">
        <f>IF(dir!M125=0,0,dir!M125)</f>
        <v>0</v>
      </c>
      <c r="N152" s="795" t="str">
        <f t="shared" si="82"/>
        <v/>
      </c>
      <c r="O152" s="795"/>
      <c r="P152" s="795" t="str">
        <f t="shared" ref="P152:P165" si="95">IF(J152="","",SUM(L152:O152))</f>
        <v/>
      </c>
      <c r="Q152" s="570" t="str">
        <f t="shared" si="83"/>
        <v/>
      </c>
      <c r="R152" s="767" t="str">
        <f t="shared" si="84"/>
        <v/>
      </c>
      <c r="S152" s="796" t="str">
        <f t="shared" si="85"/>
        <v/>
      </c>
      <c r="T152" s="501"/>
      <c r="U152" s="149"/>
      <c r="V152" s="761"/>
      <c r="W152" s="761"/>
      <c r="X152" s="741" t="str">
        <f t="shared" si="86"/>
        <v/>
      </c>
      <c r="Y152" s="742">
        <f t="shared" ref="Y152:Y165" si="96">$Y$14</f>
        <v>0.6</v>
      </c>
      <c r="Z152" s="743" t="e">
        <f t="shared" si="87"/>
        <v>#VALUE!</v>
      </c>
      <c r="AA152" s="743" t="e">
        <f t="shared" si="88"/>
        <v>#VALUE!</v>
      </c>
      <c r="AB152" s="744" t="e">
        <f t="shared" ref="AB152:AB165" si="97">AA152-Z152</f>
        <v>#VALUE!</v>
      </c>
      <c r="AC152" s="725" t="e">
        <f t="shared" si="89"/>
        <v>#VALUE!</v>
      </c>
      <c r="AD152" s="693">
        <f t="shared" si="90"/>
        <v>0</v>
      </c>
      <c r="AE152" s="745">
        <f>IF(H152&gt;8,tab!C$194,tab!C$197)</f>
        <v>0.5</v>
      </c>
      <c r="AF152" s="544">
        <f t="shared" si="91"/>
        <v>0</v>
      </c>
      <c r="AG152" s="746">
        <f t="shared" si="92"/>
        <v>0</v>
      </c>
    </row>
    <row r="153" spans="3:43" ht="13.15" customHeight="1" x14ac:dyDescent="0.2">
      <c r="C153" s="31"/>
      <c r="D153" s="117" t="str">
        <f>IF(dir!D126=0,"",dir!D126)</f>
        <v/>
      </c>
      <c r="E153" s="117" t="str">
        <f>IF(dir!E126=0,"",dir!E126)</f>
        <v/>
      </c>
      <c r="F153" s="33" t="str">
        <f t="shared" si="93"/>
        <v/>
      </c>
      <c r="G153" s="118" t="str">
        <f>IF(dir!G126=0,"",dir!G126)</f>
        <v/>
      </c>
      <c r="H153" s="119" t="str">
        <f t="shared" si="94"/>
        <v/>
      </c>
      <c r="I153" s="119" t="str">
        <f>IF(E153="","",IF(dir!I126+1&gt;VLOOKUP(H153,Schaal2016,22,FALSE),dir!I126,dir!I126+1))</f>
        <v/>
      </c>
      <c r="J153" s="120" t="str">
        <f>IF(dir!J126=0,0,dir!J126)</f>
        <v/>
      </c>
      <c r="K153" s="121"/>
      <c r="L153" s="1139">
        <f>IF(dir!L126=0,0,dir!L126)</f>
        <v>0</v>
      </c>
      <c r="M153" s="1139">
        <f>IF(dir!M126=0,0,dir!M126)</f>
        <v>0</v>
      </c>
      <c r="N153" s="795" t="str">
        <f t="shared" si="82"/>
        <v/>
      </c>
      <c r="O153" s="795"/>
      <c r="P153" s="795" t="str">
        <f t="shared" si="95"/>
        <v/>
      </c>
      <c r="Q153" s="570" t="str">
        <f t="shared" si="83"/>
        <v/>
      </c>
      <c r="R153" s="767" t="str">
        <f t="shared" si="84"/>
        <v/>
      </c>
      <c r="S153" s="796" t="str">
        <f t="shared" si="85"/>
        <v/>
      </c>
      <c r="T153" s="501"/>
      <c r="U153" s="149"/>
      <c r="V153" s="761"/>
      <c r="W153" s="761"/>
      <c r="X153" s="741" t="str">
        <f t="shared" si="86"/>
        <v/>
      </c>
      <c r="Y153" s="742">
        <f t="shared" si="96"/>
        <v>0.6</v>
      </c>
      <c r="Z153" s="743" t="e">
        <f t="shared" si="87"/>
        <v>#VALUE!</v>
      </c>
      <c r="AA153" s="743" t="e">
        <f t="shared" si="88"/>
        <v>#VALUE!</v>
      </c>
      <c r="AB153" s="744" t="e">
        <f t="shared" si="97"/>
        <v>#VALUE!</v>
      </c>
      <c r="AC153" s="725" t="e">
        <f t="shared" si="89"/>
        <v>#VALUE!</v>
      </c>
      <c r="AD153" s="693">
        <f t="shared" si="90"/>
        <v>0</v>
      </c>
      <c r="AE153" s="745">
        <f>IF(H153&gt;8,tab!C$194,tab!C$197)</f>
        <v>0.5</v>
      </c>
      <c r="AF153" s="544">
        <f t="shared" si="91"/>
        <v>0</v>
      </c>
      <c r="AG153" s="746">
        <f t="shared" si="92"/>
        <v>0</v>
      </c>
    </row>
    <row r="154" spans="3:43" ht="13.15" customHeight="1" x14ac:dyDescent="0.2">
      <c r="C154" s="31"/>
      <c r="D154" s="117" t="str">
        <f>IF(dir!D127=0,"",dir!D127)</f>
        <v/>
      </c>
      <c r="E154" s="117" t="str">
        <f>IF(dir!E127=0,"",dir!E127)</f>
        <v/>
      </c>
      <c r="F154" s="33" t="str">
        <f t="shared" si="93"/>
        <v/>
      </c>
      <c r="G154" s="118" t="str">
        <f>IF(dir!G127=0,"",dir!G127)</f>
        <v/>
      </c>
      <c r="H154" s="119" t="str">
        <f t="shared" si="94"/>
        <v/>
      </c>
      <c r="I154" s="119" t="str">
        <f>IF(E154="","",IF(dir!I127+1&gt;VLOOKUP(H154,Schaal2016,22,FALSE),dir!I127,dir!I127+1))</f>
        <v/>
      </c>
      <c r="J154" s="120" t="str">
        <f>IF(dir!J127=0,0,dir!J127)</f>
        <v/>
      </c>
      <c r="K154" s="121"/>
      <c r="L154" s="1139">
        <f>IF(dir!L127=0,0,dir!L127)</f>
        <v>0</v>
      </c>
      <c r="M154" s="1139">
        <f>IF(dir!M127=0,0,dir!M127)</f>
        <v>0</v>
      </c>
      <c r="N154" s="795" t="str">
        <f t="shared" si="82"/>
        <v/>
      </c>
      <c r="O154" s="795"/>
      <c r="P154" s="795" t="str">
        <f t="shared" si="95"/>
        <v/>
      </c>
      <c r="Q154" s="570" t="str">
        <f t="shared" si="83"/>
        <v/>
      </c>
      <c r="R154" s="767" t="str">
        <f t="shared" si="84"/>
        <v/>
      </c>
      <c r="S154" s="796" t="str">
        <f t="shared" si="85"/>
        <v/>
      </c>
      <c r="T154" s="501"/>
      <c r="U154" s="149"/>
      <c r="V154" s="761"/>
      <c r="W154" s="761"/>
      <c r="X154" s="741" t="str">
        <f t="shared" si="86"/>
        <v/>
      </c>
      <c r="Y154" s="742">
        <f t="shared" si="96"/>
        <v>0.6</v>
      </c>
      <c r="Z154" s="743" t="e">
        <f t="shared" si="87"/>
        <v>#VALUE!</v>
      </c>
      <c r="AA154" s="743" t="e">
        <f t="shared" si="88"/>
        <v>#VALUE!</v>
      </c>
      <c r="AB154" s="744" t="e">
        <f t="shared" si="97"/>
        <v>#VALUE!</v>
      </c>
      <c r="AC154" s="725" t="e">
        <f t="shared" si="89"/>
        <v>#VALUE!</v>
      </c>
      <c r="AD154" s="693">
        <f t="shared" si="90"/>
        <v>0</v>
      </c>
      <c r="AE154" s="745">
        <f>IF(H154&gt;8,tab!C$194,tab!C$197)</f>
        <v>0.5</v>
      </c>
      <c r="AF154" s="544">
        <f t="shared" si="91"/>
        <v>0</v>
      </c>
      <c r="AG154" s="746">
        <f t="shared" si="92"/>
        <v>0</v>
      </c>
    </row>
    <row r="155" spans="3:43" ht="13.15" customHeight="1" x14ac:dyDescent="0.2">
      <c r="C155" s="31"/>
      <c r="D155" s="117" t="str">
        <f>IF(dir!D128=0,"",dir!D128)</f>
        <v/>
      </c>
      <c r="E155" s="117" t="str">
        <f>IF(dir!E128=0,"",dir!E128)</f>
        <v/>
      </c>
      <c r="F155" s="33" t="str">
        <f t="shared" si="93"/>
        <v/>
      </c>
      <c r="G155" s="118" t="str">
        <f>IF(dir!G128=0,"",dir!G128)</f>
        <v/>
      </c>
      <c r="H155" s="119" t="str">
        <f t="shared" si="94"/>
        <v/>
      </c>
      <c r="I155" s="119" t="str">
        <f>IF(E155="","",IF(dir!I128+1&gt;VLOOKUP(H155,Schaal2016,22,FALSE),dir!I128,dir!I128+1))</f>
        <v/>
      </c>
      <c r="J155" s="120" t="str">
        <f>IF(dir!J128=0,0,dir!J128)</f>
        <v/>
      </c>
      <c r="K155" s="121"/>
      <c r="L155" s="1139">
        <f>IF(dir!L128=0,0,dir!L128)</f>
        <v>0</v>
      </c>
      <c r="M155" s="1139">
        <f>IF(dir!M128=0,0,dir!M128)</f>
        <v>0</v>
      </c>
      <c r="N155" s="795" t="str">
        <f t="shared" si="82"/>
        <v/>
      </c>
      <c r="O155" s="795"/>
      <c r="P155" s="795" t="str">
        <f t="shared" si="95"/>
        <v/>
      </c>
      <c r="Q155" s="570" t="str">
        <f t="shared" si="83"/>
        <v/>
      </c>
      <c r="R155" s="767" t="str">
        <f t="shared" si="84"/>
        <v/>
      </c>
      <c r="S155" s="796" t="str">
        <f t="shared" si="85"/>
        <v/>
      </c>
      <c r="T155" s="501"/>
      <c r="U155" s="149"/>
      <c r="V155" s="761"/>
      <c r="W155" s="761"/>
      <c r="X155" s="741" t="str">
        <f t="shared" si="86"/>
        <v/>
      </c>
      <c r="Y155" s="742">
        <f t="shared" si="96"/>
        <v>0.6</v>
      </c>
      <c r="Z155" s="743" t="e">
        <f t="shared" si="87"/>
        <v>#VALUE!</v>
      </c>
      <c r="AA155" s="743" t="e">
        <f t="shared" si="88"/>
        <v>#VALUE!</v>
      </c>
      <c r="AB155" s="744" t="e">
        <f t="shared" si="97"/>
        <v>#VALUE!</v>
      </c>
      <c r="AC155" s="725" t="e">
        <f t="shared" si="89"/>
        <v>#VALUE!</v>
      </c>
      <c r="AD155" s="693">
        <f t="shared" si="90"/>
        <v>0</v>
      </c>
      <c r="AE155" s="745">
        <f>IF(H155&gt;8,tab!C$194,tab!C$197)</f>
        <v>0.5</v>
      </c>
      <c r="AF155" s="544">
        <f t="shared" si="91"/>
        <v>0</v>
      </c>
      <c r="AG155" s="746">
        <f t="shared" si="92"/>
        <v>0</v>
      </c>
      <c r="AN155" s="544"/>
      <c r="AO155" s="544"/>
    </row>
    <row r="156" spans="3:43" ht="13.15" customHeight="1" x14ac:dyDescent="0.2">
      <c r="C156" s="31"/>
      <c r="D156" s="117" t="str">
        <f>IF(dir!D129=0,"",dir!D129)</f>
        <v/>
      </c>
      <c r="E156" s="117" t="str">
        <f>IF(dir!E129=0,"",dir!E129)</f>
        <v/>
      </c>
      <c r="F156" s="33" t="str">
        <f t="shared" si="93"/>
        <v/>
      </c>
      <c r="G156" s="118" t="str">
        <f>IF(dir!G129=0,"",dir!G129)</f>
        <v/>
      </c>
      <c r="H156" s="119" t="str">
        <f t="shared" si="94"/>
        <v/>
      </c>
      <c r="I156" s="119" t="str">
        <f>IF(E156="","",IF(dir!I129+1&gt;VLOOKUP(H156,Schaal2016,22,FALSE),dir!I129,dir!I129+1))</f>
        <v/>
      </c>
      <c r="J156" s="120" t="str">
        <f>IF(dir!J129=0,0,dir!J129)</f>
        <v/>
      </c>
      <c r="K156" s="121"/>
      <c r="L156" s="1139">
        <f>IF(dir!L129=0,0,dir!L129)</f>
        <v>0</v>
      </c>
      <c r="M156" s="1139">
        <f>IF(dir!M129=0,0,dir!M129)</f>
        <v>0</v>
      </c>
      <c r="N156" s="795" t="str">
        <f t="shared" si="82"/>
        <v/>
      </c>
      <c r="O156" s="795"/>
      <c r="P156" s="795" t="str">
        <f t="shared" si="95"/>
        <v/>
      </c>
      <c r="Q156" s="570" t="str">
        <f t="shared" si="83"/>
        <v/>
      </c>
      <c r="R156" s="767" t="str">
        <f t="shared" si="84"/>
        <v/>
      </c>
      <c r="S156" s="796" t="str">
        <f t="shared" si="85"/>
        <v/>
      </c>
      <c r="T156" s="501"/>
      <c r="U156" s="149"/>
      <c r="V156" s="761"/>
      <c r="W156" s="761"/>
      <c r="X156" s="741" t="str">
        <f t="shared" si="86"/>
        <v/>
      </c>
      <c r="Y156" s="742">
        <f t="shared" si="96"/>
        <v>0.6</v>
      </c>
      <c r="Z156" s="743" t="e">
        <f t="shared" si="87"/>
        <v>#VALUE!</v>
      </c>
      <c r="AA156" s="743" t="e">
        <f t="shared" si="88"/>
        <v>#VALUE!</v>
      </c>
      <c r="AB156" s="744" t="e">
        <f t="shared" si="97"/>
        <v>#VALUE!</v>
      </c>
      <c r="AC156" s="725" t="e">
        <f t="shared" si="89"/>
        <v>#VALUE!</v>
      </c>
      <c r="AD156" s="693">
        <f t="shared" si="90"/>
        <v>0</v>
      </c>
      <c r="AE156" s="745">
        <f>IF(H156&gt;8,tab!C$194,tab!C$197)</f>
        <v>0.5</v>
      </c>
      <c r="AF156" s="544">
        <f t="shared" si="91"/>
        <v>0</v>
      </c>
      <c r="AG156" s="746">
        <f t="shared" si="92"/>
        <v>0</v>
      </c>
      <c r="AN156" s="544"/>
      <c r="AO156" s="544"/>
    </row>
    <row r="157" spans="3:43" ht="13.15" customHeight="1" x14ac:dyDescent="0.2">
      <c r="C157" s="31"/>
      <c r="D157" s="117" t="str">
        <f>IF(dir!D130=0,"",dir!D130)</f>
        <v/>
      </c>
      <c r="E157" s="117" t="str">
        <f>IF(dir!E130=0,"",dir!E130)</f>
        <v/>
      </c>
      <c r="F157" s="33" t="str">
        <f t="shared" si="93"/>
        <v/>
      </c>
      <c r="G157" s="118" t="str">
        <f>IF(dir!G130=0,"",dir!G130)</f>
        <v/>
      </c>
      <c r="H157" s="119" t="str">
        <f t="shared" si="94"/>
        <v/>
      </c>
      <c r="I157" s="119" t="str">
        <f>IF(E157="","",IF(dir!I130+1&gt;VLOOKUP(H157,Schaal2016,22,FALSE),dir!I130,dir!I130+1))</f>
        <v/>
      </c>
      <c r="J157" s="120" t="str">
        <f>IF(dir!J130=0,0,dir!J130)</f>
        <v/>
      </c>
      <c r="K157" s="121"/>
      <c r="L157" s="1139">
        <f>IF(dir!L130=0,0,dir!L130)</f>
        <v>0</v>
      </c>
      <c r="M157" s="1139">
        <f>IF(dir!M130=0,0,dir!M130)</f>
        <v>0</v>
      </c>
      <c r="N157" s="795" t="str">
        <f t="shared" si="82"/>
        <v/>
      </c>
      <c r="O157" s="795"/>
      <c r="P157" s="795" t="str">
        <f t="shared" si="95"/>
        <v/>
      </c>
      <c r="Q157" s="570" t="str">
        <f t="shared" si="83"/>
        <v/>
      </c>
      <c r="R157" s="767" t="str">
        <f t="shared" si="84"/>
        <v/>
      </c>
      <c r="S157" s="796" t="str">
        <f t="shared" si="85"/>
        <v/>
      </c>
      <c r="T157" s="501"/>
      <c r="U157" s="149"/>
      <c r="V157" s="761"/>
      <c r="W157" s="761"/>
      <c r="X157" s="741" t="str">
        <f t="shared" si="86"/>
        <v/>
      </c>
      <c r="Y157" s="742">
        <f t="shared" si="96"/>
        <v>0.6</v>
      </c>
      <c r="Z157" s="743" t="e">
        <f t="shared" si="87"/>
        <v>#VALUE!</v>
      </c>
      <c r="AA157" s="743" t="e">
        <f t="shared" si="88"/>
        <v>#VALUE!</v>
      </c>
      <c r="AB157" s="744" t="e">
        <f t="shared" si="97"/>
        <v>#VALUE!</v>
      </c>
      <c r="AC157" s="725" t="e">
        <f t="shared" si="89"/>
        <v>#VALUE!</v>
      </c>
      <c r="AD157" s="693">
        <f t="shared" si="90"/>
        <v>0</v>
      </c>
      <c r="AE157" s="745">
        <f>IF(H157&gt;8,tab!C$194,tab!C$197)</f>
        <v>0.5</v>
      </c>
      <c r="AF157" s="544">
        <f t="shared" si="91"/>
        <v>0</v>
      </c>
      <c r="AG157" s="746">
        <f t="shared" si="92"/>
        <v>0</v>
      </c>
      <c r="AN157" s="544"/>
      <c r="AO157" s="544"/>
    </row>
    <row r="158" spans="3:43" ht="13.15" customHeight="1" x14ac:dyDescent="0.2">
      <c r="C158" s="31"/>
      <c r="D158" s="117" t="str">
        <f>IF(dir!D131=0,"",dir!D131)</f>
        <v/>
      </c>
      <c r="E158" s="117" t="str">
        <f>IF(dir!E131=0,"",dir!E131)</f>
        <v/>
      </c>
      <c r="F158" s="33" t="str">
        <f t="shared" si="93"/>
        <v/>
      </c>
      <c r="G158" s="118" t="str">
        <f>IF(dir!G131=0,"",dir!G131)</f>
        <v/>
      </c>
      <c r="H158" s="119" t="str">
        <f t="shared" si="94"/>
        <v/>
      </c>
      <c r="I158" s="119" t="str">
        <f>IF(E158="","",IF(dir!I131+1&gt;VLOOKUP(H158,Schaal2016,22,FALSE),dir!I131,dir!I131+1))</f>
        <v/>
      </c>
      <c r="J158" s="120" t="str">
        <f>IF(dir!J131=0,0,dir!J131)</f>
        <v/>
      </c>
      <c r="K158" s="121"/>
      <c r="L158" s="1139">
        <f>IF(dir!L131=0,0,dir!L131)</f>
        <v>0</v>
      </c>
      <c r="M158" s="1139">
        <f>IF(dir!M131=0,0,dir!M131)</f>
        <v>0</v>
      </c>
      <c r="N158" s="795" t="str">
        <f t="shared" si="82"/>
        <v/>
      </c>
      <c r="O158" s="795"/>
      <c r="P158" s="795" t="str">
        <f t="shared" si="95"/>
        <v/>
      </c>
      <c r="Q158" s="570" t="str">
        <f t="shared" si="83"/>
        <v/>
      </c>
      <c r="R158" s="767" t="str">
        <f t="shared" si="84"/>
        <v/>
      </c>
      <c r="S158" s="796" t="str">
        <f t="shared" si="85"/>
        <v/>
      </c>
      <c r="T158" s="501"/>
      <c r="U158" s="149"/>
      <c r="V158" s="761"/>
      <c r="W158" s="761"/>
      <c r="X158" s="741" t="str">
        <f t="shared" si="86"/>
        <v/>
      </c>
      <c r="Y158" s="742">
        <f t="shared" si="96"/>
        <v>0.6</v>
      </c>
      <c r="Z158" s="743" t="e">
        <f t="shared" si="87"/>
        <v>#VALUE!</v>
      </c>
      <c r="AA158" s="743" t="e">
        <f t="shared" si="88"/>
        <v>#VALUE!</v>
      </c>
      <c r="AB158" s="744" t="e">
        <f t="shared" si="97"/>
        <v>#VALUE!</v>
      </c>
      <c r="AC158" s="725" t="e">
        <f t="shared" si="89"/>
        <v>#VALUE!</v>
      </c>
      <c r="AD158" s="693">
        <f t="shared" si="90"/>
        <v>0</v>
      </c>
      <c r="AE158" s="745">
        <f>IF(H158&gt;8,tab!C$194,tab!C$197)</f>
        <v>0.5</v>
      </c>
      <c r="AF158" s="544">
        <f t="shared" si="91"/>
        <v>0</v>
      </c>
      <c r="AG158" s="746">
        <f t="shared" si="92"/>
        <v>0</v>
      </c>
      <c r="AN158" s="544"/>
      <c r="AO158" s="544"/>
    </row>
    <row r="159" spans="3:43" ht="13.15" customHeight="1" x14ac:dyDescent="0.2">
      <c r="C159" s="31"/>
      <c r="D159" s="117" t="str">
        <f>IF(dir!D132=0,"",dir!D132)</f>
        <v/>
      </c>
      <c r="E159" s="117" t="str">
        <f>IF(dir!E132=0,"",dir!E132)</f>
        <v/>
      </c>
      <c r="F159" s="33" t="str">
        <f t="shared" si="93"/>
        <v/>
      </c>
      <c r="G159" s="118" t="str">
        <f>IF(dir!G132=0,"",dir!G132)</f>
        <v/>
      </c>
      <c r="H159" s="119" t="str">
        <f t="shared" si="94"/>
        <v/>
      </c>
      <c r="I159" s="119" t="str">
        <f>IF(E159="","",IF(dir!I132+1&gt;VLOOKUP(H159,Schaal2016,22,FALSE),dir!I132,dir!I132+1))</f>
        <v/>
      </c>
      <c r="J159" s="120" t="str">
        <f>IF(dir!J132=0,0,dir!J132)</f>
        <v/>
      </c>
      <c r="K159" s="121"/>
      <c r="L159" s="1139">
        <f>IF(dir!L132=0,0,dir!L132)</f>
        <v>0</v>
      </c>
      <c r="M159" s="1139">
        <f>IF(dir!M132=0,0,dir!M132)</f>
        <v>0</v>
      </c>
      <c r="N159" s="795" t="str">
        <f t="shared" si="82"/>
        <v/>
      </c>
      <c r="O159" s="795"/>
      <c r="P159" s="795" t="str">
        <f t="shared" si="95"/>
        <v/>
      </c>
      <c r="Q159" s="570" t="str">
        <f t="shared" si="83"/>
        <v/>
      </c>
      <c r="R159" s="767" t="str">
        <f t="shared" si="84"/>
        <v/>
      </c>
      <c r="S159" s="796" t="str">
        <f t="shared" si="85"/>
        <v/>
      </c>
      <c r="T159" s="501"/>
      <c r="U159" s="149"/>
      <c r="V159" s="761"/>
      <c r="W159" s="761"/>
      <c r="X159" s="741" t="str">
        <f t="shared" si="86"/>
        <v/>
      </c>
      <c r="Y159" s="742">
        <f t="shared" si="96"/>
        <v>0.6</v>
      </c>
      <c r="Z159" s="743" t="e">
        <f t="shared" si="87"/>
        <v>#VALUE!</v>
      </c>
      <c r="AA159" s="743" t="e">
        <f t="shared" si="88"/>
        <v>#VALUE!</v>
      </c>
      <c r="AB159" s="744" t="e">
        <f t="shared" si="97"/>
        <v>#VALUE!</v>
      </c>
      <c r="AC159" s="725" t="e">
        <f t="shared" si="89"/>
        <v>#VALUE!</v>
      </c>
      <c r="AD159" s="693">
        <f t="shared" si="90"/>
        <v>0</v>
      </c>
      <c r="AE159" s="745">
        <f>IF(H159&gt;8,tab!C$194,tab!C$197)</f>
        <v>0.5</v>
      </c>
      <c r="AF159" s="544">
        <f t="shared" si="91"/>
        <v>0</v>
      </c>
      <c r="AG159" s="746">
        <f t="shared" si="92"/>
        <v>0</v>
      </c>
      <c r="AN159" s="544"/>
      <c r="AO159" s="544"/>
    </row>
    <row r="160" spans="3:43" ht="13.15" customHeight="1" x14ac:dyDescent="0.2">
      <c r="C160" s="31"/>
      <c r="D160" s="117" t="str">
        <f>IF(dir!D133=0,"",dir!D133)</f>
        <v/>
      </c>
      <c r="E160" s="117" t="str">
        <f>IF(dir!E133=0,"",dir!E133)</f>
        <v/>
      </c>
      <c r="F160" s="33" t="str">
        <f t="shared" si="93"/>
        <v/>
      </c>
      <c r="G160" s="118" t="str">
        <f>IF(dir!G133=0,"",dir!G133)</f>
        <v/>
      </c>
      <c r="H160" s="119" t="str">
        <f t="shared" si="94"/>
        <v/>
      </c>
      <c r="I160" s="119" t="str">
        <f>IF(E160="","",IF(dir!I133+1&gt;VLOOKUP(H160,Schaal2016,22,FALSE),dir!I133,dir!I133+1))</f>
        <v/>
      </c>
      <c r="J160" s="120" t="str">
        <f>IF(dir!J133=0,0,dir!J133)</f>
        <v/>
      </c>
      <c r="K160" s="121"/>
      <c r="L160" s="1139">
        <f>IF(dir!L133=0,0,dir!L133)</f>
        <v>0</v>
      </c>
      <c r="M160" s="1139">
        <f>IF(dir!M133=0,0,dir!M133)</f>
        <v>0</v>
      </c>
      <c r="N160" s="795" t="str">
        <f t="shared" si="82"/>
        <v/>
      </c>
      <c r="O160" s="795"/>
      <c r="P160" s="795" t="str">
        <f t="shared" si="95"/>
        <v/>
      </c>
      <c r="Q160" s="570" t="str">
        <f t="shared" si="83"/>
        <v/>
      </c>
      <c r="R160" s="767" t="str">
        <f t="shared" si="84"/>
        <v/>
      </c>
      <c r="S160" s="796" t="str">
        <f t="shared" si="85"/>
        <v/>
      </c>
      <c r="T160" s="501"/>
      <c r="U160" s="149"/>
      <c r="V160" s="761"/>
      <c r="W160" s="761"/>
      <c r="X160" s="741" t="str">
        <f t="shared" si="86"/>
        <v/>
      </c>
      <c r="Y160" s="742">
        <f t="shared" si="96"/>
        <v>0.6</v>
      </c>
      <c r="Z160" s="743" t="e">
        <f t="shared" si="87"/>
        <v>#VALUE!</v>
      </c>
      <c r="AA160" s="743" t="e">
        <f t="shared" si="88"/>
        <v>#VALUE!</v>
      </c>
      <c r="AB160" s="744" t="e">
        <f t="shared" si="97"/>
        <v>#VALUE!</v>
      </c>
      <c r="AC160" s="725" t="e">
        <f t="shared" si="89"/>
        <v>#VALUE!</v>
      </c>
      <c r="AD160" s="693">
        <f t="shared" si="90"/>
        <v>0</v>
      </c>
      <c r="AE160" s="745">
        <f>IF(H160&gt;8,tab!C$194,tab!C$197)</f>
        <v>0.5</v>
      </c>
      <c r="AF160" s="544">
        <f t="shared" si="91"/>
        <v>0</v>
      </c>
      <c r="AG160" s="746">
        <f t="shared" si="92"/>
        <v>0</v>
      </c>
      <c r="AN160" s="544"/>
      <c r="AO160" s="544"/>
    </row>
    <row r="161" spans="3:43" ht="13.15" customHeight="1" x14ac:dyDescent="0.2">
      <c r="C161" s="31"/>
      <c r="D161" s="117" t="str">
        <f>IF(dir!D134=0,"",dir!D134)</f>
        <v/>
      </c>
      <c r="E161" s="117" t="str">
        <f>IF(dir!E134=0,"",dir!E134)</f>
        <v/>
      </c>
      <c r="F161" s="33" t="str">
        <f t="shared" si="93"/>
        <v/>
      </c>
      <c r="G161" s="118" t="str">
        <f>IF(dir!G134=0,"",dir!G134)</f>
        <v/>
      </c>
      <c r="H161" s="119" t="str">
        <f t="shared" si="94"/>
        <v/>
      </c>
      <c r="I161" s="119" t="str">
        <f>IF(E161="","",IF(dir!I134+1&gt;VLOOKUP(H161,Schaal2016,22,FALSE),dir!I134,dir!I134+1))</f>
        <v/>
      </c>
      <c r="J161" s="120" t="str">
        <f>IF(dir!J134=0,0,dir!J134)</f>
        <v/>
      </c>
      <c r="K161" s="121"/>
      <c r="L161" s="1139">
        <f>IF(dir!L134=0,0,dir!L134)</f>
        <v>0</v>
      </c>
      <c r="M161" s="1139">
        <f>IF(dir!M134=0,0,dir!M134)</f>
        <v>0</v>
      </c>
      <c r="N161" s="795" t="str">
        <f t="shared" si="82"/>
        <v/>
      </c>
      <c r="O161" s="795"/>
      <c r="P161" s="795" t="str">
        <f t="shared" si="95"/>
        <v/>
      </c>
      <c r="Q161" s="570" t="str">
        <f t="shared" si="83"/>
        <v/>
      </c>
      <c r="R161" s="767" t="str">
        <f t="shared" si="84"/>
        <v/>
      </c>
      <c r="S161" s="796" t="str">
        <f t="shared" si="85"/>
        <v/>
      </c>
      <c r="T161" s="501"/>
      <c r="U161" s="149"/>
      <c r="V161" s="761"/>
      <c r="W161" s="761"/>
      <c r="X161" s="741" t="str">
        <f t="shared" si="86"/>
        <v/>
      </c>
      <c r="Y161" s="742">
        <f t="shared" si="96"/>
        <v>0.6</v>
      </c>
      <c r="Z161" s="743" t="e">
        <f t="shared" si="87"/>
        <v>#VALUE!</v>
      </c>
      <c r="AA161" s="743" t="e">
        <f t="shared" si="88"/>
        <v>#VALUE!</v>
      </c>
      <c r="AB161" s="744" t="e">
        <f t="shared" si="97"/>
        <v>#VALUE!</v>
      </c>
      <c r="AC161" s="725" t="e">
        <f t="shared" si="89"/>
        <v>#VALUE!</v>
      </c>
      <c r="AD161" s="693">
        <f t="shared" si="90"/>
        <v>0</v>
      </c>
      <c r="AE161" s="745">
        <f>IF(H161&gt;8,tab!C$194,tab!C$197)</f>
        <v>0.5</v>
      </c>
      <c r="AF161" s="544">
        <f t="shared" si="91"/>
        <v>0</v>
      </c>
      <c r="AG161" s="746">
        <f t="shared" si="92"/>
        <v>0</v>
      </c>
      <c r="AN161" s="544"/>
      <c r="AO161" s="544"/>
    </row>
    <row r="162" spans="3:43" ht="13.15" customHeight="1" x14ac:dyDescent="0.2">
      <c r="C162" s="31"/>
      <c r="D162" s="117" t="str">
        <f>IF(dir!D135=0,"",dir!D135)</f>
        <v/>
      </c>
      <c r="E162" s="117" t="str">
        <f>IF(dir!E135=0,"",dir!E135)</f>
        <v/>
      </c>
      <c r="F162" s="33" t="str">
        <f t="shared" si="93"/>
        <v/>
      </c>
      <c r="G162" s="118" t="str">
        <f>IF(dir!G135=0,"",dir!G135)</f>
        <v/>
      </c>
      <c r="H162" s="119" t="str">
        <f t="shared" si="94"/>
        <v/>
      </c>
      <c r="I162" s="119" t="str">
        <f>IF(E162="","",IF(dir!I135+1&gt;VLOOKUP(H162,Schaal2016,22,FALSE),dir!I135,dir!I135+1))</f>
        <v/>
      </c>
      <c r="J162" s="120" t="str">
        <f>IF(dir!J135=0,0,dir!J135)</f>
        <v/>
      </c>
      <c r="K162" s="121"/>
      <c r="L162" s="1139">
        <f>IF(dir!L135=0,0,dir!L135)</f>
        <v>0</v>
      </c>
      <c r="M162" s="1139">
        <f>IF(dir!M135=0,0,dir!M135)</f>
        <v>0</v>
      </c>
      <c r="N162" s="795" t="str">
        <f t="shared" si="82"/>
        <v/>
      </c>
      <c r="O162" s="795"/>
      <c r="P162" s="795" t="str">
        <f t="shared" si="95"/>
        <v/>
      </c>
      <c r="Q162" s="570" t="str">
        <f t="shared" si="83"/>
        <v/>
      </c>
      <c r="R162" s="767" t="str">
        <f t="shared" si="84"/>
        <v/>
      </c>
      <c r="S162" s="796" t="str">
        <f t="shared" si="85"/>
        <v/>
      </c>
      <c r="T162" s="501"/>
      <c r="U162" s="149"/>
      <c r="V162" s="761"/>
      <c r="W162" s="761"/>
      <c r="X162" s="741" t="str">
        <f t="shared" si="86"/>
        <v/>
      </c>
      <c r="Y162" s="742">
        <f t="shared" si="96"/>
        <v>0.6</v>
      </c>
      <c r="Z162" s="743" t="e">
        <f t="shared" si="87"/>
        <v>#VALUE!</v>
      </c>
      <c r="AA162" s="743" t="e">
        <f t="shared" si="88"/>
        <v>#VALUE!</v>
      </c>
      <c r="AB162" s="744" t="e">
        <f t="shared" si="97"/>
        <v>#VALUE!</v>
      </c>
      <c r="AC162" s="725" t="e">
        <f t="shared" si="89"/>
        <v>#VALUE!</v>
      </c>
      <c r="AD162" s="693">
        <f t="shared" si="90"/>
        <v>0</v>
      </c>
      <c r="AE162" s="745">
        <f>IF(H162&gt;8,tab!C$194,tab!C$197)</f>
        <v>0.5</v>
      </c>
      <c r="AF162" s="544">
        <f t="shared" si="91"/>
        <v>0</v>
      </c>
      <c r="AG162" s="746">
        <f t="shared" si="92"/>
        <v>0</v>
      </c>
      <c r="AN162" s="544"/>
      <c r="AO162" s="544"/>
    </row>
    <row r="163" spans="3:43" ht="13.15" customHeight="1" x14ac:dyDescent="0.2">
      <c r="C163" s="31"/>
      <c r="D163" s="117" t="str">
        <f>IF(dir!D136=0,"",dir!D136)</f>
        <v/>
      </c>
      <c r="E163" s="117" t="str">
        <f>IF(dir!E136=0,"",dir!E136)</f>
        <v/>
      </c>
      <c r="F163" s="33" t="str">
        <f t="shared" si="93"/>
        <v/>
      </c>
      <c r="G163" s="118" t="str">
        <f>IF(dir!G136=0,"",dir!G136)</f>
        <v/>
      </c>
      <c r="H163" s="119" t="str">
        <f t="shared" si="94"/>
        <v/>
      </c>
      <c r="I163" s="119" t="str">
        <f>IF(E163="","",IF(dir!I136+1&gt;VLOOKUP(H163,Schaal2016,22,FALSE),dir!I136,dir!I136+1))</f>
        <v/>
      </c>
      <c r="J163" s="120" t="str">
        <f>IF(dir!J136=0,0,dir!J136)</f>
        <v/>
      </c>
      <c r="K163" s="121"/>
      <c r="L163" s="1139">
        <f>IF(dir!L136=0,0,dir!L136)</f>
        <v>0</v>
      </c>
      <c r="M163" s="1139">
        <f>IF(dir!M136=0,0,dir!M136)</f>
        <v>0</v>
      </c>
      <c r="N163" s="795" t="str">
        <f t="shared" si="82"/>
        <v/>
      </c>
      <c r="O163" s="795"/>
      <c r="P163" s="795" t="str">
        <f t="shared" si="95"/>
        <v/>
      </c>
      <c r="Q163" s="570" t="str">
        <f t="shared" si="83"/>
        <v/>
      </c>
      <c r="R163" s="767" t="str">
        <f t="shared" si="84"/>
        <v/>
      </c>
      <c r="S163" s="796" t="str">
        <f t="shared" si="85"/>
        <v/>
      </c>
      <c r="T163" s="501"/>
      <c r="U163" s="149"/>
      <c r="V163" s="761"/>
      <c r="W163" s="761"/>
      <c r="X163" s="741" t="str">
        <f t="shared" si="86"/>
        <v/>
      </c>
      <c r="Y163" s="742">
        <f t="shared" si="96"/>
        <v>0.6</v>
      </c>
      <c r="Z163" s="743" t="e">
        <f t="shared" si="87"/>
        <v>#VALUE!</v>
      </c>
      <c r="AA163" s="743" t="e">
        <f t="shared" si="88"/>
        <v>#VALUE!</v>
      </c>
      <c r="AB163" s="744" t="e">
        <f t="shared" si="97"/>
        <v>#VALUE!</v>
      </c>
      <c r="AC163" s="725" t="e">
        <f t="shared" si="89"/>
        <v>#VALUE!</v>
      </c>
      <c r="AD163" s="693">
        <f t="shared" si="90"/>
        <v>0</v>
      </c>
      <c r="AE163" s="745">
        <f>IF(H163&gt;8,tab!C$194,tab!C$197)</f>
        <v>0.5</v>
      </c>
      <c r="AF163" s="544">
        <f t="shared" si="91"/>
        <v>0</v>
      </c>
      <c r="AG163" s="746">
        <f t="shared" si="92"/>
        <v>0</v>
      </c>
      <c r="AN163" s="544"/>
      <c r="AO163" s="544"/>
    </row>
    <row r="164" spans="3:43" ht="13.15" customHeight="1" x14ac:dyDescent="0.2">
      <c r="C164" s="31"/>
      <c r="D164" s="117" t="str">
        <f>IF(dir!D137=0,"",dir!D137)</f>
        <v/>
      </c>
      <c r="E164" s="117" t="str">
        <f>IF(dir!E137=0,"",dir!E137)</f>
        <v/>
      </c>
      <c r="F164" s="33" t="str">
        <f t="shared" si="93"/>
        <v/>
      </c>
      <c r="G164" s="118" t="str">
        <f>IF(dir!G137=0,"",dir!G137)</f>
        <v/>
      </c>
      <c r="H164" s="119" t="str">
        <f t="shared" si="94"/>
        <v/>
      </c>
      <c r="I164" s="119" t="str">
        <f>IF(E164="","",IF(dir!I137+1&gt;VLOOKUP(H164,Schaal2016,22,FALSE),dir!I137,dir!I137+1))</f>
        <v/>
      </c>
      <c r="J164" s="120" t="str">
        <f>IF(dir!J137=0,0,dir!J137)</f>
        <v/>
      </c>
      <c r="K164" s="121"/>
      <c r="L164" s="1139">
        <f>IF(dir!L137=0,0,dir!L137)</f>
        <v>0</v>
      </c>
      <c r="M164" s="1139">
        <f>IF(dir!M137=0,0,dir!M137)</f>
        <v>0</v>
      </c>
      <c r="N164" s="795" t="str">
        <f t="shared" si="82"/>
        <v/>
      </c>
      <c r="O164" s="795"/>
      <c r="P164" s="795" t="str">
        <f t="shared" si="95"/>
        <v/>
      </c>
      <c r="Q164" s="570" t="str">
        <f t="shared" si="83"/>
        <v/>
      </c>
      <c r="R164" s="767" t="str">
        <f t="shared" si="84"/>
        <v/>
      </c>
      <c r="S164" s="796" t="str">
        <f t="shared" si="85"/>
        <v/>
      </c>
      <c r="T164" s="501"/>
      <c r="U164" s="149"/>
      <c r="V164" s="761"/>
      <c r="W164" s="761"/>
      <c r="X164" s="741" t="str">
        <f t="shared" si="86"/>
        <v/>
      </c>
      <c r="Y164" s="742">
        <f t="shared" si="96"/>
        <v>0.6</v>
      </c>
      <c r="Z164" s="743" t="e">
        <f t="shared" si="87"/>
        <v>#VALUE!</v>
      </c>
      <c r="AA164" s="743" t="e">
        <f t="shared" si="88"/>
        <v>#VALUE!</v>
      </c>
      <c r="AB164" s="744" t="e">
        <f t="shared" si="97"/>
        <v>#VALUE!</v>
      </c>
      <c r="AC164" s="725" t="e">
        <f t="shared" si="89"/>
        <v>#VALUE!</v>
      </c>
      <c r="AD164" s="693">
        <f t="shared" si="90"/>
        <v>0</v>
      </c>
      <c r="AE164" s="745">
        <f>IF(H164&gt;8,tab!C$194,tab!C$197)</f>
        <v>0.5</v>
      </c>
      <c r="AF164" s="544">
        <f t="shared" si="91"/>
        <v>0</v>
      </c>
      <c r="AG164" s="746">
        <f t="shared" si="92"/>
        <v>0</v>
      </c>
      <c r="AN164" s="544"/>
      <c r="AO164" s="544"/>
    </row>
    <row r="165" spans="3:43" ht="13.15" customHeight="1" x14ac:dyDescent="0.2">
      <c r="C165" s="31"/>
      <c r="D165" s="117" t="str">
        <f>IF(dir!D138=0,"",dir!D138)</f>
        <v/>
      </c>
      <c r="E165" s="117" t="str">
        <f>IF(dir!E138=0,"",dir!E138)</f>
        <v/>
      </c>
      <c r="F165" s="33" t="str">
        <f t="shared" si="93"/>
        <v/>
      </c>
      <c r="G165" s="118" t="str">
        <f>IF(dir!G138=0,"",dir!G138)</f>
        <v/>
      </c>
      <c r="H165" s="119" t="str">
        <f t="shared" si="94"/>
        <v/>
      </c>
      <c r="I165" s="119" t="str">
        <f>IF(E165="","",IF(dir!I138+1&gt;VLOOKUP(H165,Schaal2016,22,FALSE),dir!I138,dir!I138+1))</f>
        <v/>
      </c>
      <c r="J165" s="120" t="str">
        <f>IF(dir!J138=0,0,dir!J138)</f>
        <v/>
      </c>
      <c r="K165" s="121"/>
      <c r="L165" s="1139">
        <f>IF(dir!L138=0,0,dir!L138)</f>
        <v>0</v>
      </c>
      <c r="M165" s="1139">
        <f>IF(dir!M138=0,0,dir!M138)</f>
        <v>0</v>
      </c>
      <c r="N165" s="795" t="str">
        <f t="shared" si="82"/>
        <v/>
      </c>
      <c r="O165" s="795"/>
      <c r="P165" s="795" t="str">
        <f t="shared" si="95"/>
        <v/>
      </c>
      <c r="Q165" s="570" t="str">
        <f t="shared" si="83"/>
        <v/>
      </c>
      <c r="R165" s="767" t="str">
        <f t="shared" si="84"/>
        <v/>
      </c>
      <c r="S165" s="796" t="str">
        <f t="shared" si="85"/>
        <v/>
      </c>
      <c r="T165" s="501"/>
      <c r="U165" s="149"/>
      <c r="V165" s="761"/>
      <c r="W165" s="761"/>
      <c r="X165" s="741" t="str">
        <f t="shared" si="86"/>
        <v/>
      </c>
      <c r="Y165" s="742">
        <f t="shared" si="96"/>
        <v>0.6</v>
      </c>
      <c r="Z165" s="743" t="e">
        <f t="shared" si="87"/>
        <v>#VALUE!</v>
      </c>
      <c r="AA165" s="743" t="e">
        <f t="shared" si="88"/>
        <v>#VALUE!</v>
      </c>
      <c r="AB165" s="744" t="e">
        <f t="shared" si="97"/>
        <v>#VALUE!</v>
      </c>
      <c r="AC165" s="725" t="e">
        <f t="shared" si="89"/>
        <v>#VALUE!</v>
      </c>
      <c r="AD165" s="693">
        <f t="shared" si="90"/>
        <v>0</v>
      </c>
      <c r="AE165" s="745">
        <f>IF(H165&gt;8,tab!C$194,tab!C$197)</f>
        <v>0.5</v>
      </c>
      <c r="AF165" s="544">
        <f t="shared" si="91"/>
        <v>0</v>
      </c>
      <c r="AG165" s="746">
        <f t="shared" si="92"/>
        <v>0</v>
      </c>
      <c r="AN165" s="544"/>
      <c r="AO165" s="544"/>
    </row>
    <row r="166" spans="3:43" ht="13.15" customHeight="1" x14ac:dyDescent="0.2">
      <c r="C166" s="31"/>
      <c r="D166" s="28"/>
      <c r="E166" s="28"/>
      <c r="F166" s="125"/>
      <c r="G166" s="126"/>
      <c r="H166" s="32"/>
      <c r="I166" s="32"/>
      <c r="J166" s="768">
        <f>SUM(J151:J165)</f>
        <v>1</v>
      </c>
      <c r="K166" s="125"/>
      <c r="L166" s="797">
        <f t="shared" ref="L166:S166" si="98">SUM(L151:L165)</f>
        <v>0</v>
      </c>
      <c r="M166" s="797">
        <f t="shared" si="98"/>
        <v>0</v>
      </c>
      <c r="N166" s="797">
        <f t="shared" si="98"/>
        <v>40</v>
      </c>
      <c r="O166" s="797">
        <f t="shared" si="98"/>
        <v>0</v>
      </c>
      <c r="P166" s="797">
        <f t="shared" si="98"/>
        <v>40</v>
      </c>
      <c r="Q166" s="571">
        <f t="shared" si="98"/>
        <v>85628.412296564202</v>
      </c>
      <c r="R166" s="798">
        <f t="shared" si="98"/>
        <v>2115.587703435805</v>
      </c>
      <c r="S166" s="799">
        <f t="shared" si="98"/>
        <v>87744</v>
      </c>
      <c r="T166" s="609"/>
      <c r="U166" s="169"/>
      <c r="V166" s="762"/>
      <c r="W166" s="762"/>
      <c r="X166" s="747">
        <f>SUM(X151:X165)</f>
        <v>4570</v>
      </c>
      <c r="Y166" s="748"/>
      <c r="Z166" s="749"/>
      <c r="AA166" s="749"/>
      <c r="AB166" s="660"/>
      <c r="AC166" s="725"/>
      <c r="AD166" s="720"/>
      <c r="AE166" s="544"/>
      <c r="AF166" s="544"/>
      <c r="AG166" s="746">
        <f>SUM(AG151:AG165)</f>
        <v>0</v>
      </c>
      <c r="AN166" s="544"/>
      <c r="AO166" s="544"/>
    </row>
    <row r="167" spans="3:43" ht="13.15" customHeight="1" x14ac:dyDescent="0.2">
      <c r="C167" s="36"/>
      <c r="D167" s="127"/>
      <c r="E167" s="127"/>
      <c r="F167" s="127"/>
      <c r="G167" s="128"/>
      <c r="H167" s="129"/>
      <c r="I167" s="130"/>
      <c r="J167" s="131"/>
      <c r="K167" s="127"/>
      <c r="L167" s="130"/>
      <c r="M167" s="133"/>
      <c r="N167" s="133"/>
      <c r="O167" s="133"/>
      <c r="P167" s="133"/>
      <c r="Q167" s="777"/>
      <c r="R167" s="251"/>
      <c r="S167" s="133"/>
      <c r="T167" s="498"/>
      <c r="U167" s="495"/>
      <c r="V167" s="763"/>
      <c r="W167" s="766"/>
      <c r="X167" s="756"/>
      <c r="Y167" s="757"/>
      <c r="AC167" s="754"/>
      <c r="AL167" s="753"/>
    </row>
    <row r="168" spans="3:43" ht="13.15" customHeight="1" x14ac:dyDescent="0.2">
      <c r="H168" s="8"/>
      <c r="I168" s="75"/>
      <c r="J168" s="123"/>
      <c r="L168" s="147"/>
      <c r="M168" s="147"/>
      <c r="N168" s="147"/>
      <c r="O168" s="147"/>
      <c r="P168" s="147"/>
      <c r="Q168" s="780"/>
      <c r="S168" s="147"/>
      <c r="T168" s="149"/>
      <c r="U168" s="149"/>
      <c r="V168" s="725"/>
      <c r="W168" s="725"/>
      <c r="X168" s="755"/>
    </row>
    <row r="169" spans="3:43" ht="13.15" customHeight="1" x14ac:dyDescent="0.2">
      <c r="U169" s="78"/>
    </row>
    <row r="170" spans="3:43" ht="13.15" customHeight="1" x14ac:dyDescent="0.2">
      <c r="C170" s="34" t="s">
        <v>48</v>
      </c>
      <c r="E170" s="150" t="str">
        <f>tab!I2</f>
        <v>2024/25</v>
      </c>
      <c r="H170" s="8"/>
      <c r="I170" s="75"/>
      <c r="J170" s="123"/>
      <c r="L170" s="147"/>
      <c r="M170" s="147"/>
      <c r="N170" s="147"/>
      <c r="O170" s="147"/>
      <c r="P170" s="147"/>
      <c r="Q170" s="780"/>
      <c r="S170" s="147"/>
      <c r="T170" s="149"/>
      <c r="U170" s="149"/>
      <c r="V170" s="725"/>
      <c r="W170" s="725"/>
      <c r="X170" s="755"/>
    </row>
    <row r="171" spans="3:43" ht="13.15" customHeight="1" x14ac:dyDescent="0.2">
      <c r="C171" s="71" t="s">
        <v>125</v>
      </c>
      <c r="E171" s="150">
        <f>tab!J3</f>
        <v>45566</v>
      </c>
      <c r="H171" s="8"/>
      <c r="I171" s="75"/>
      <c r="J171" s="123"/>
      <c r="L171" s="147"/>
      <c r="M171" s="147"/>
      <c r="N171" s="147"/>
      <c r="O171" s="147"/>
      <c r="P171" s="147"/>
      <c r="Q171" s="780"/>
      <c r="S171" s="147"/>
      <c r="T171" s="149"/>
      <c r="U171" s="149"/>
      <c r="V171" s="725"/>
      <c r="W171" s="725"/>
      <c r="X171" s="755"/>
    </row>
    <row r="172" spans="3:43" ht="13.15" customHeight="1" x14ac:dyDescent="0.2">
      <c r="H172" s="8"/>
      <c r="I172" s="75"/>
      <c r="J172" s="123"/>
      <c r="L172" s="147"/>
      <c r="M172" s="147"/>
      <c r="N172" s="147"/>
      <c r="O172" s="147"/>
      <c r="P172" s="147"/>
      <c r="Q172" s="780"/>
      <c r="S172" s="147"/>
      <c r="T172" s="149"/>
      <c r="U172" s="149"/>
      <c r="V172" s="725"/>
      <c r="W172" s="725"/>
      <c r="X172" s="755"/>
    </row>
    <row r="173" spans="3:43" ht="13.15" customHeight="1" x14ac:dyDescent="0.2">
      <c r="C173" s="23"/>
      <c r="D173" s="100"/>
      <c r="E173" s="101"/>
      <c r="F173" s="25"/>
      <c r="G173" s="102"/>
      <c r="H173" s="103"/>
      <c r="I173" s="103"/>
      <c r="J173" s="104"/>
      <c r="K173" s="24"/>
      <c r="L173" s="103"/>
      <c r="M173" s="25"/>
      <c r="N173" s="25"/>
      <c r="O173" s="25"/>
      <c r="P173" s="25"/>
      <c r="Q173" s="349"/>
      <c r="R173" s="278"/>
      <c r="S173" s="800"/>
      <c r="T173" s="499"/>
      <c r="U173" s="78"/>
      <c r="V173" s="682"/>
      <c r="W173" s="682"/>
      <c r="X173" s="683"/>
      <c r="Y173" s="684"/>
      <c r="AE173" s="658"/>
      <c r="AF173" s="659"/>
      <c r="AG173" s="658"/>
    </row>
    <row r="174" spans="3:43" s="8" customFormat="1" ht="13.15" customHeight="1" x14ac:dyDescent="0.2">
      <c r="C174" s="282"/>
      <c r="D174" s="1340" t="s">
        <v>126</v>
      </c>
      <c r="E174" s="1341"/>
      <c r="F174" s="1341"/>
      <c r="G174" s="1341"/>
      <c r="H174" s="1342"/>
      <c r="I174" s="1342"/>
      <c r="J174" s="1342"/>
      <c r="K174" s="685"/>
      <c r="L174" s="686" t="s">
        <v>440</v>
      </c>
      <c r="M174" s="687"/>
      <c r="N174" s="687"/>
      <c r="O174" s="687"/>
      <c r="P174" s="687"/>
      <c r="Q174" s="794" t="s">
        <v>450</v>
      </c>
      <c r="R174" s="687"/>
      <c r="S174" s="687"/>
      <c r="T174" s="608"/>
      <c r="U174" s="124"/>
      <c r="V174" s="689"/>
      <c r="W174" s="689"/>
      <c r="X174" s="690"/>
      <c r="Y174" s="691"/>
      <c r="Z174" s="692"/>
      <c r="AA174" s="692"/>
      <c r="AB174" s="660"/>
      <c r="AC174" s="725"/>
      <c r="AD174" s="660"/>
      <c r="AE174" s="694"/>
      <c r="AF174" s="694"/>
      <c r="AG174" s="694"/>
      <c r="AH174" s="694"/>
      <c r="AI174" s="694"/>
      <c r="AJ174" s="694"/>
      <c r="AK174" s="694"/>
      <c r="AL174" s="694"/>
      <c r="AM174" s="694"/>
      <c r="AN174" s="694"/>
      <c r="AO174" s="694"/>
      <c r="AP174" s="165"/>
      <c r="AQ174" s="165"/>
    </row>
    <row r="175" spans="3:43" s="8" customFormat="1" ht="13.15" customHeight="1" x14ac:dyDescent="0.2">
      <c r="C175" s="282"/>
      <c r="D175" s="696" t="s">
        <v>529</v>
      </c>
      <c r="E175" s="696" t="s">
        <v>88</v>
      </c>
      <c r="F175" s="697" t="s">
        <v>128</v>
      </c>
      <c r="G175" s="698" t="s">
        <v>129</v>
      </c>
      <c r="H175" s="697" t="s">
        <v>130</v>
      </c>
      <c r="I175" s="697" t="s">
        <v>131</v>
      </c>
      <c r="J175" s="699" t="s">
        <v>132</v>
      </c>
      <c r="K175" s="726"/>
      <c r="L175" s="700" t="s">
        <v>441</v>
      </c>
      <c r="M175" s="700" t="s">
        <v>444</v>
      </c>
      <c r="N175" s="700" t="s">
        <v>446</v>
      </c>
      <c r="O175" s="700" t="s">
        <v>443</v>
      </c>
      <c r="P175" s="722" t="s">
        <v>449</v>
      </c>
      <c r="Q175" s="775" t="s">
        <v>133</v>
      </c>
      <c r="R175" s="702" t="s">
        <v>453</v>
      </c>
      <c r="S175" s="703" t="s">
        <v>133</v>
      </c>
      <c r="T175" s="500"/>
      <c r="U175" s="496"/>
      <c r="V175" s="704"/>
      <c r="W175" s="704"/>
      <c r="X175" s="705" t="s">
        <v>139</v>
      </c>
      <c r="Y175" s="706" t="s">
        <v>454</v>
      </c>
      <c r="Z175" s="707" t="s">
        <v>455</v>
      </c>
      <c r="AA175" s="707" t="s">
        <v>455</v>
      </c>
      <c r="AB175" s="707" t="s">
        <v>456</v>
      </c>
      <c r="AC175" s="721" t="s">
        <v>457</v>
      </c>
      <c r="AD175" s="707" t="s">
        <v>458</v>
      </c>
      <c r="AE175" s="707" t="s">
        <v>459</v>
      </c>
      <c r="AF175" s="707" t="s">
        <v>134</v>
      </c>
      <c r="AG175" s="703" t="s">
        <v>135</v>
      </c>
      <c r="AH175" s="694"/>
      <c r="AI175" s="694"/>
      <c r="AJ175" s="694"/>
      <c r="AK175" s="694"/>
      <c r="AL175" s="694"/>
      <c r="AM175" s="694"/>
      <c r="AN175" s="694"/>
      <c r="AO175" s="694"/>
      <c r="AP175" s="165"/>
      <c r="AQ175" s="167"/>
    </row>
    <row r="176" spans="3:43" s="8" customFormat="1" ht="13.15" customHeight="1" x14ac:dyDescent="0.2">
      <c r="C176" s="282"/>
      <c r="D176" s="709"/>
      <c r="E176" s="696"/>
      <c r="F176" s="697" t="s">
        <v>136</v>
      </c>
      <c r="G176" s="698" t="s">
        <v>137</v>
      </c>
      <c r="H176" s="697"/>
      <c r="I176" s="697"/>
      <c r="J176" s="699" t="s">
        <v>138</v>
      </c>
      <c r="K176" s="726"/>
      <c r="L176" s="700" t="s">
        <v>442</v>
      </c>
      <c r="M176" s="700" t="s">
        <v>445</v>
      </c>
      <c r="N176" s="700" t="s">
        <v>447</v>
      </c>
      <c r="O176" s="700" t="s">
        <v>448</v>
      </c>
      <c r="P176" s="722" t="s">
        <v>141</v>
      </c>
      <c r="Q176" s="586" t="s">
        <v>451</v>
      </c>
      <c r="R176" s="702" t="s">
        <v>452</v>
      </c>
      <c r="S176" s="722" t="s">
        <v>141</v>
      </c>
      <c r="T176" s="500"/>
      <c r="U176" s="496"/>
      <c r="V176" s="704"/>
      <c r="W176" s="704"/>
      <c r="X176" s="707" t="s">
        <v>460</v>
      </c>
      <c r="Y176" s="711">
        <f>tab!C$193</f>
        <v>0.6</v>
      </c>
      <c r="Z176" s="707" t="s">
        <v>461</v>
      </c>
      <c r="AA176" s="707" t="s">
        <v>462</v>
      </c>
      <c r="AB176" s="707" t="s">
        <v>463</v>
      </c>
      <c r="AC176" s="721" t="s">
        <v>464</v>
      </c>
      <c r="AD176" s="707" t="s">
        <v>464</v>
      </c>
      <c r="AE176" s="707" t="s">
        <v>465</v>
      </c>
      <c r="AF176" s="707"/>
      <c r="AG176" s="707" t="s">
        <v>140</v>
      </c>
      <c r="AH176" s="694"/>
      <c r="AI176" s="694"/>
      <c r="AJ176" s="694"/>
      <c r="AK176" s="694"/>
      <c r="AL176" s="694"/>
      <c r="AM176" s="694"/>
      <c r="AN176" s="694"/>
      <c r="AO176" s="694"/>
      <c r="AQ176" s="147"/>
    </row>
    <row r="177" spans="3:41" ht="13.15" customHeight="1" x14ac:dyDescent="0.2">
      <c r="C177" s="31"/>
      <c r="D177" s="1"/>
      <c r="E177" s="1"/>
      <c r="F177" s="108"/>
      <c r="G177" s="109"/>
      <c r="H177" s="110"/>
      <c r="I177" s="110"/>
      <c r="J177" s="111"/>
      <c r="K177" s="108"/>
      <c r="L177" s="599"/>
      <c r="M177" s="113"/>
      <c r="N177" s="113"/>
      <c r="O177" s="113"/>
      <c r="P177" s="113"/>
      <c r="Q177" s="776"/>
      <c r="R177" s="114"/>
      <c r="S177" s="113"/>
      <c r="T177" s="500"/>
      <c r="U177" s="496"/>
      <c r="V177" s="704"/>
      <c r="W177" s="704"/>
      <c r="X177" s="739"/>
      <c r="Y177" s="740"/>
      <c r="AE177" s="544"/>
      <c r="AF177" s="544"/>
    </row>
    <row r="178" spans="3:41" ht="13.15" customHeight="1" x14ac:dyDescent="0.2">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39">
        <f>IF(dir!L151=0,0,dir!L151)</f>
        <v>0</v>
      </c>
      <c r="M178" s="1139">
        <f>IF(dir!M151=0,0,dir!M151)</f>
        <v>0</v>
      </c>
      <c r="N178" s="795">
        <f t="shared" ref="N178:N192" si="99">IF(J178="","",IF(J178*40&gt;40,40,J178*40))</f>
        <v>40</v>
      </c>
      <c r="O178" s="795"/>
      <c r="P178" s="795">
        <f>IF(J178="","",SUM(L178:O178))</f>
        <v>40</v>
      </c>
      <c r="Q178" s="570">
        <f t="shared" ref="Q178:Q192" si="100">IF(J178="","",(1659*J178-P178)*AA178)</f>
        <v>88307.813381555156</v>
      </c>
      <c r="R178" s="767">
        <f t="shared" ref="R178:R192" si="101">IF(J178="","",(P178*AB178)+Z178*(AC178+AD178*(1-AE178)))</f>
        <v>2181.7866184448467</v>
      </c>
      <c r="S178" s="796">
        <f>IF(E178=0,0,(M178+Q178+R178))</f>
        <v>90489.600000000006</v>
      </c>
      <c r="T178" s="501"/>
      <c r="U178" s="149"/>
      <c r="V178" s="761"/>
      <c r="W178" s="761"/>
      <c r="X178" s="741">
        <f t="shared" ref="X178:X192" si="102">IF(H178="","",VLOOKUP(H178,Salaris2020,I178+1,FALSE))</f>
        <v>4713</v>
      </c>
      <c r="Y178" s="742">
        <f>$Y$14</f>
        <v>0.6</v>
      </c>
      <c r="Z178" s="743">
        <f t="shared" ref="Z178:Z192" si="103">X178*12/1659</f>
        <v>34.090415913200722</v>
      </c>
      <c r="AA178" s="743">
        <f t="shared" ref="AA178:AA192" si="104">X178*12*(1+Y178)/1659</f>
        <v>54.544665461121163</v>
      </c>
      <c r="AB178" s="744">
        <f>AA178-Z178</f>
        <v>20.45424954792044</v>
      </c>
      <c r="AC178" s="725">
        <f t="shared" ref="AC178:AC192" si="105">N178+O178</f>
        <v>40</v>
      </c>
      <c r="AD178" s="693">
        <f t="shared" ref="AD178:AD192" si="106">L178+M178</f>
        <v>0</v>
      </c>
      <c r="AE178" s="745">
        <f>IF(H178&gt;8,tab!C$194,tab!C$197)</f>
        <v>0.5</v>
      </c>
      <c r="AF178" s="544">
        <f t="shared" ref="AF178:AF192" si="107">IF(F178&lt;25,0,IF(F178=25,25,IF(F178&lt;40,0,IF(F178=40,40,IF(F178&gt;=40,0)))))</f>
        <v>0</v>
      </c>
      <c r="AG178" s="746">
        <f t="shared" ref="AG178:AG192" si="108">IF(AF178=25,(X178*1.08*J178/2),IF(AF178=40,(X178*1.08*J178),IF(AF178=0,0)))</f>
        <v>0</v>
      </c>
    </row>
    <row r="179" spans="3:41" ht="13.15" customHeight="1" x14ac:dyDescent="0.2">
      <c r="C179" s="31"/>
      <c r="D179" s="117" t="str">
        <f>IF(dir!D152=0,"",dir!D152)</f>
        <v/>
      </c>
      <c r="E179" s="117" t="str">
        <f>IF(dir!E152=0,"",dir!E152)</f>
        <v/>
      </c>
      <c r="F179" s="33" t="str">
        <f t="shared" ref="F179:F192" si="109">IF(F152="","",F152+1)</f>
        <v/>
      </c>
      <c r="G179" s="118" t="str">
        <f>IF(dir!G152=0,"",dir!G152)</f>
        <v/>
      </c>
      <c r="H179" s="119" t="str">
        <f t="shared" ref="H179:H192" si="110">IF(H152="","",H152)</f>
        <v/>
      </c>
      <c r="I179" s="119" t="str">
        <f>IF(E179="","",IF(dir!I152+1&gt;VLOOKUP(H179,Schaal2016,22,FALSE),dir!I152,dir!I152+1))</f>
        <v/>
      </c>
      <c r="J179" s="120" t="str">
        <f>IF(dir!J152=0,0,dir!J152)</f>
        <v/>
      </c>
      <c r="K179" s="121"/>
      <c r="L179" s="1139">
        <f>IF(dir!L152=0,0,dir!L152)</f>
        <v>0</v>
      </c>
      <c r="M179" s="1139">
        <f>IF(dir!M152=0,0,dir!M152)</f>
        <v>0</v>
      </c>
      <c r="N179" s="795" t="str">
        <f t="shared" si="99"/>
        <v/>
      </c>
      <c r="O179" s="795"/>
      <c r="P179" s="795" t="str">
        <f t="shared" ref="P179:P192" si="111">IF(J179="","",SUM(L179:O179))</f>
        <v/>
      </c>
      <c r="Q179" s="570" t="str">
        <f t="shared" si="100"/>
        <v/>
      </c>
      <c r="R179" s="767" t="str">
        <f t="shared" si="101"/>
        <v/>
      </c>
      <c r="S179" s="796" t="str">
        <f t="shared" ref="S179:S192" si="112">IF(E179="","",(M179+Q179+R179))</f>
        <v/>
      </c>
      <c r="T179" s="501"/>
      <c r="U179" s="149"/>
      <c r="V179" s="761"/>
      <c r="W179" s="761"/>
      <c r="X179" s="741" t="str">
        <f t="shared" si="102"/>
        <v/>
      </c>
      <c r="Y179" s="742">
        <f t="shared" ref="Y179:Y192" si="113">$Y$14</f>
        <v>0.6</v>
      </c>
      <c r="Z179" s="743" t="e">
        <f t="shared" si="103"/>
        <v>#VALUE!</v>
      </c>
      <c r="AA179" s="743" t="e">
        <f t="shared" si="104"/>
        <v>#VALUE!</v>
      </c>
      <c r="AB179" s="744" t="e">
        <f t="shared" ref="AB179:AB192" si="114">AA179-Z179</f>
        <v>#VALUE!</v>
      </c>
      <c r="AC179" s="725" t="e">
        <f t="shared" si="105"/>
        <v>#VALUE!</v>
      </c>
      <c r="AD179" s="693">
        <f t="shared" si="106"/>
        <v>0</v>
      </c>
      <c r="AE179" s="745">
        <f>IF(H179&gt;8,tab!C$194,tab!C$197)</f>
        <v>0.5</v>
      </c>
      <c r="AF179" s="544">
        <f t="shared" si="107"/>
        <v>0</v>
      </c>
      <c r="AG179" s="746">
        <f t="shared" si="108"/>
        <v>0</v>
      </c>
    </row>
    <row r="180" spans="3:41" ht="13.15" customHeight="1" x14ac:dyDescent="0.2">
      <c r="C180" s="31"/>
      <c r="D180" s="117" t="str">
        <f>IF(dir!D153=0,"",dir!D153)</f>
        <v/>
      </c>
      <c r="E180" s="117" t="str">
        <f>IF(dir!E153=0,"",dir!E153)</f>
        <v/>
      </c>
      <c r="F180" s="33" t="str">
        <f t="shared" si="109"/>
        <v/>
      </c>
      <c r="G180" s="118" t="str">
        <f>IF(dir!G153=0,"",dir!G153)</f>
        <v/>
      </c>
      <c r="H180" s="119" t="str">
        <f t="shared" si="110"/>
        <v/>
      </c>
      <c r="I180" s="119" t="str">
        <f>IF(E180="","",IF(dir!I153+1&gt;VLOOKUP(H180,Schaal2016,22,FALSE),dir!I153,dir!I153+1))</f>
        <v/>
      </c>
      <c r="J180" s="120" t="str">
        <f>IF(dir!J153=0,0,dir!J153)</f>
        <v/>
      </c>
      <c r="K180" s="121"/>
      <c r="L180" s="1139">
        <f>IF(dir!L153=0,0,dir!L153)</f>
        <v>0</v>
      </c>
      <c r="M180" s="1139">
        <f>IF(dir!M153=0,0,dir!M153)</f>
        <v>0</v>
      </c>
      <c r="N180" s="795" t="str">
        <f t="shared" si="99"/>
        <v/>
      </c>
      <c r="O180" s="795"/>
      <c r="P180" s="795" t="str">
        <f t="shared" si="111"/>
        <v/>
      </c>
      <c r="Q180" s="570" t="str">
        <f t="shared" si="100"/>
        <v/>
      </c>
      <c r="R180" s="767" t="str">
        <f t="shared" si="101"/>
        <v/>
      </c>
      <c r="S180" s="796" t="str">
        <f t="shared" si="112"/>
        <v/>
      </c>
      <c r="T180" s="501"/>
      <c r="U180" s="149"/>
      <c r="V180" s="761"/>
      <c r="W180" s="761"/>
      <c r="X180" s="741" t="str">
        <f t="shared" si="102"/>
        <v/>
      </c>
      <c r="Y180" s="742">
        <f t="shared" si="113"/>
        <v>0.6</v>
      </c>
      <c r="Z180" s="743" t="e">
        <f t="shared" si="103"/>
        <v>#VALUE!</v>
      </c>
      <c r="AA180" s="743" t="e">
        <f t="shared" si="104"/>
        <v>#VALUE!</v>
      </c>
      <c r="AB180" s="744" t="e">
        <f t="shared" si="114"/>
        <v>#VALUE!</v>
      </c>
      <c r="AC180" s="725" t="e">
        <f t="shared" si="105"/>
        <v>#VALUE!</v>
      </c>
      <c r="AD180" s="693">
        <f t="shared" si="106"/>
        <v>0</v>
      </c>
      <c r="AE180" s="745">
        <f>IF(H180&gt;8,tab!C$194,tab!C$197)</f>
        <v>0.5</v>
      </c>
      <c r="AF180" s="544">
        <f t="shared" si="107"/>
        <v>0</v>
      </c>
      <c r="AG180" s="746">
        <f t="shared" si="108"/>
        <v>0</v>
      </c>
    </row>
    <row r="181" spans="3:41" ht="13.15" customHeight="1" x14ac:dyDescent="0.2">
      <c r="C181" s="31"/>
      <c r="D181" s="117" t="str">
        <f>IF(dir!D154=0,"",dir!D154)</f>
        <v/>
      </c>
      <c r="E181" s="117" t="str">
        <f>IF(dir!E154=0,"",dir!E154)</f>
        <v/>
      </c>
      <c r="F181" s="33" t="str">
        <f t="shared" si="109"/>
        <v/>
      </c>
      <c r="G181" s="118" t="str">
        <f>IF(dir!G154=0,"",dir!G154)</f>
        <v/>
      </c>
      <c r="H181" s="119" t="str">
        <f t="shared" si="110"/>
        <v/>
      </c>
      <c r="I181" s="119" t="str">
        <f>IF(E181="","",IF(dir!I154+1&gt;VLOOKUP(H181,Schaal2016,22,FALSE),dir!I154,dir!I154+1))</f>
        <v/>
      </c>
      <c r="J181" s="120" t="str">
        <f>IF(dir!J154=0,0,dir!J154)</f>
        <v/>
      </c>
      <c r="K181" s="121"/>
      <c r="L181" s="1139">
        <f>IF(dir!L154=0,0,dir!L154)</f>
        <v>0</v>
      </c>
      <c r="M181" s="1139">
        <f>IF(dir!M154=0,0,dir!M154)</f>
        <v>0</v>
      </c>
      <c r="N181" s="795" t="str">
        <f t="shared" si="99"/>
        <v/>
      </c>
      <c r="O181" s="795"/>
      <c r="P181" s="795" t="str">
        <f t="shared" si="111"/>
        <v/>
      </c>
      <c r="Q181" s="570" t="str">
        <f t="shared" si="100"/>
        <v/>
      </c>
      <c r="R181" s="767" t="str">
        <f t="shared" si="101"/>
        <v/>
      </c>
      <c r="S181" s="796" t="str">
        <f t="shared" si="112"/>
        <v/>
      </c>
      <c r="T181" s="501"/>
      <c r="U181" s="149"/>
      <c r="V181" s="761"/>
      <c r="W181" s="761"/>
      <c r="X181" s="741" t="str">
        <f t="shared" si="102"/>
        <v/>
      </c>
      <c r="Y181" s="742">
        <f t="shared" si="113"/>
        <v>0.6</v>
      </c>
      <c r="Z181" s="743" t="e">
        <f t="shared" si="103"/>
        <v>#VALUE!</v>
      </c>
      <c r="AA181" s="743" t="e">
        <f t="shared" si="104"/>
        <v>#VALUE!</v>
      </c>
      <c r="AB181" s="744" t="e">
        <f t="shared" si="114"/>
        <v>#VALUE!</v>
      </c>
      <c r="AC181" s="725" t="e">
        <f t="shared" si="105"/>
        <v>#VALUE!</v>
      </c>
      <c r="AD181" s="693">
        <f t="shared" si="106"/>
        <v>0</v>
      </c>
      <c r="AE181" s="745">
        <f>IF(H181&gt;8,tab!C$194,tab!C$197)</f>
        <v>0.5</v>
      </c>
      <c r="AF181" s="544">
        <f t="shared" si="107"/>
        <v>0</v>
      </c>
      <c r="AG181" s="746">
        <f t="shared" si="108"/>
        <v>0</v>
      </c>
    </row>
    <row r="182" spans="3:41" ht="13.15" customHeight="1" x14ac:dyDescent="0.2">
      <c r="C182" s="31"/>
      <c r="D182" s="117" t="str">
        <f>IF(dir!D155=0,"",dir!D155)</f>
        <v/>
      </c>
      <c r="E182" s="117" t="str">
        <f>IF(dir!E155=0,"",dir!E155)</f>
        <v/>
      </c>
      <c r="F182" s="33" t="str">
        <f t="shared" si="109"/>
        <v/>
      </c>
      <c r="G182" s="118" t="str">
        <f>IF(dir!G155=0,"",dir!G155)</f>
        <v/>
      </c>
      <c r="H182" s="119" t="str">
        <f t="shared" si="110"/>
        <v/>
      </c>
      <c r="I182" s="119" t="str">
        <f>IF(E182="","",IF(dir!I155+1&gt;VLOOKUP(H182,Schaal2016,22,FALSE),dir!I155,dir!I155+1))</f>
        <v/>
      </c>
      <c r="J182" s="120" t="str">
        <f>IF(dir!J155=0,0,dir!J155)</f>
        <v/>
      </c>
      <c r="K182" s="121"/>
      <c r="L182" s="1139">
        <f>IF(dir!L155=0,0,dir!L155)</f>
        <v>0</v>
      </c>
      <c r="M182" s="1139">
        <f>IF(dir!M155=0,0,dir!M155)</f>
        <v>0</v>
      </c>
      <c r="N182" s="795" t="str">
        <f t="shared" si="99"/>
        <v/>
      </c>
      <c r="O182" s="795"/>
      <c r="P182" s="795" t="str">
        <f t="shared" si="111"/>
        <v/>
      </c>
      <c r="Q182" s="570" t="str">
        <f t="shared" si="100"/>
        <v/>
      </c>
      <c r="R182" s="767" t="str">
        <f t="shared" si="101"/>
        <v/>
      </c>
      <c r="S182" s="796" t="str">
        <f t="shared" si="112"/>
        <v/>
      </c>
      <c r="T182" s="501"/>
      <c r="U182" s="149"/>
      <c r="V182" s="761"/>
      <c r="W182" s="761"/>
      <c r="X182" s="741" t="str">
        <f t="shared" si="102"/>
        <v/>
      </c>
      <c r="Y182" s="742">
        <f t="shared" si="113"/>
        <v>0.6</v>
      </c>
      <c r="Z182" s="743" t="e">
        <f t="shared" si="103"/>
        <v>#VALUE!</v>
      </c>
      <c r="AA182" s="743" t="e">
        <f t="shared" si="104"/>
        <v>#VALUE!</v>
      </c>
      <c r="AB182" s="744" t="e">
        <f t="shared" si="114"/>
        <v>#VALUE!</v>
      </c>
      <c r="AC182" s="725" t="e">
        <f t="shared" si="105"/>
        <v>#VALUE!</v>
      </c>
      <c r="AD182" s="693">
        <f t="shared" si="106"/>
        <v>0</v>
      </c>
      <c r="AE182" s="745">
        <f>IF(H182&gt;8,tab!C$194,tab!C$197)</f>
        <v>0.5</v>
      </c>
      <c r="AF182" s="544">
        <f t="shared" si="107"/>
        <v>0</v>
      </c>
      <c r="AG182" s="746">
        <f t="shared" si="108"/>
        <v>0</v>
      </c>
      <c r="AN182" s="544"/>
      <c r="AO182" s="544"/>
    </row>
    <row r="183" spans="3:41" ht="13.15" customHeight="1" x14ac:dyDescent="0.2">
      <c r="C183" s="31"/>
      <c r="D183" s="117" t="str">
        <f>IF(dir!D156=0,"",dir!D156)</f>
        <v/>
      </c>
      <c r="E183" s="117" t="str">
        <f>IF(dir!E156=0,"",dir!E156)</f>
        <v/>
      </c>
      <c r="F183" s="33" t="str">
        <f t="shared" si="109"/>
        <v/>
      </c>
      <c r="G183" s="118" t="str">
        <f>IF(dir!G156=0,"",dir!G156)</f>
        <v/>
      </c>
      <c r="H183" s="119" t="str">
        <f t="shared" si="110"/>
        <v/>
      </c>
      <c r="I183" s="119" t="str">
        <f>IF(E183="","",IF(dir!I156+1&gt;VLOOKUP(H183,Schaal2016,22,FALSE),dir!I156,dir!I156+1))</f>
        <v/>
      </c>
      <c r="J183" s="120" t="str">
        <f>IF(dir!J156=0,0,dir!J156)</f>
        <v/>
      </c>
      <c r="K183" s="121"/>
      <c r="L183" s="1139">
        <f>IF(dir!L156=0,0,dir!L156)</f>
        <v>0</v>
      </c>
      <c r="M183" s="1139">
        <f>IF(dir!M156=0,0,dir!M156)</f>
        <v>0</v>
      </c>
      <c r="N183" s="795" t="str">
        <f t="shared" si="99"/>
        <v/>
      </c>
      <c r="O183" s="795"/>
      <c r="P183" s="795" t="str">
        <f t="shared" si="111"/>
        <v/>
      </c>
      <c r="Q183" s="570" t="str">
        <f t="shared" si="100"/>
        <v/>
      </c>
      <c r="R183" s="767" t="str">
        <f t="shared" si="101"/>
        <v/>
      </c>
      <c r="S183" s="796" t="str">
        <f t="shared" si="112"/>
        <v/>
      </c>
      <c r="T183" s="501"/>
      <c r="U183" s="149"/>
      <c r="V183" s="761"/>
      <c r="W183" s="761"/>
      <c r="X183" s="741" t="str">
        <f t="shared" si="102"/>
        <v/>
      </c>
      <c r="Y183" s="742">
        <f t="shared" si="113"/>
        <v>0.6</v>
      </c>
      <c r="Z183" s="743" t="e">
        <f t="shared" si="103"/>
        <v>#VALUE!</v>
      </c>
      <c r="AA183" s="743" t="e">
        <f t="shared" si="104"/>
        <v>#VALUE!</v>
      </c>
      <c r="AB183" s="744" t="e">
        <f t="shared" si="114"/>
        <v>#VALUE!</v>
      </c>
      <c r="AC183" s="725" t="e">
        <f t="shared" si="105"/>
        <v>#VALUE!</v>
      </c>
      <c r="AD183" s="693">
        <f t="shared" si="106"/>
        <v>0</v>
      </c>
      <c r="AE183" s="745">
        <f>IF(H183&gt;8,tab!C$194,tab!C$197)</f>
        <v>0.5</v>
      </c>
      <c r="AF183" s="544">
        <f t="shared" si="107"/>
        <v>0</v>
      </c>
      <c r="AG183" s="746">
        <f t="shared" si="108"/>
        <v>0</v>
      </c>
      <c r="AN183" s="544"/>
      <c r="AO183" s="544"/>
    </row>
    <row r="184" spans="3:41" ht="13.15" customHeight="1" x14ac:dyDescent="0.2">
      <c r="C184" s="31"/>
      <c r="D184" s="117" t="str">
        <f>IF(dir!D157=0,"",dir!D157)</f>
        <v/>
      </c>
      <c r="E184" s="117" t="str">
        <f>IF(dir!E157=0,"",dir!E157)</f>
        <v/>
      </c>
      <c r="F184" s="33" t="str">
        <f t="shared" si="109"/>
        <v/>
      </c>
      <c r="G184" s="118" t="str">
        <f>IF(dir!G157=0,"",dir!G157)</f>
        <v/>
      </c>
      <c r="H184" s="119" t="str">
        <f t="shared" si="110"/>
        <v/>
      </c>
      <c r="I184" s="119" t="str">
        <f>IF(E184="","",IF(dir!I157+1&gt;VLOOKUP(H184,Schaal2016,22,FALSE),dir!I157,dir!I157+1))</f>
        <v/>
      </c>
      <c r="J184" s="120" t="str">
        <f>IF(dir!J157=0,0,dir!J157)</f>
        <v/>
      </c>
      <c r="K184" s="121"/>
      <c r="L184" s="1139">
        <f>IF(dir!L157=0,0,dir!L157)</f>
        <v>0</v>
      </c>
      <c r="M184" s="1139">
        <f>IF(dir!M157=0,0,dir!M157)</f>
        <v>0</v>
      </c>
      <c r="N184" s="795" t="str">
        <f t="shared" si="99"/>
        <v/>
      </c>
      <c r="O184" s="795"/>
      <c r="P184" s="795" t="str">
        <f t="shared" si="111"/>
        <v/>
      </c>
      <c r="Q184" s="570" t="str">
        <f t="shared" si="100"/>
        <v/>
      </c>
      <c r="R184" s="767" t="str">
        <f t="shared" si="101"/>
        <v/>
      </c>
      <c r="S184" s="796" t="str">
        <f t="shared" si="112"/>
        <v/>
      </c>
      <c r="T184" s="501"/>
      <c r="U184" s="149"/>
      <c r="V184" s="761"/>
      <c r="W184" s="761"/>
      <c r="X184" s="741" t="str">
        <f t="shared" si="102"/>
        <v/>
      </c>
      <c r="Y184" s="742">
        <f t="shared" si="113"/>
        <v>0.6</v>
      </c>
      <c r="Z184" s="743" t="e">
        <f t="shared" si="103"/>
        <v>#VALUE!</v>
      </c>
      <c r="AA184" s="743" t="e">
        <f t="shared" si="104"/>
        <v>#VALUE!</v>
      </c>
      <c r="AB184" s="744" t="e">
        <f t="shared" si="114"/>
        <v>#VALUE!</v>
      </c>
      <c r="AC184" s="725" t="e">
        <f t="shared" si="105"/>
        <v>#VALUE!</v>
      </c>
      <c r="AD184" s="693">
        <f t="shared" si="106"/>
        <v>0</v>
      </c>
      <c r="AE184" s="745">
        <f>IF(H184&gt;8,tab!C$194,tab!C$197)</f>
        <v>0.5</v>
      </c>
      <c r="AF184" s="544">
        <f t="shared" si="107"/>
        <v>0</v>
      </c>
      <c r="AG184" s="746">
        <f t="shared" si="108"/>
        <v>0</v>
      </c>
      <c r="AN184" s="544"/>
      <c r="AO184" s="544"/>
    </row>
    <row r="185" spans="3:41" ht="13.15" customHeight="1" x14ac:dyDescent="0.2">
      <c r="C185" s="31"/>
      <c r="D185" s="117" t="str">
        <f>IF(dir!D158=0,"",dir!D158)</f>
        <v/>
      </c>
      <c r="E185" s="117" t="str">
        <f>IF(dir!E158=0,"",dir!E158)</f>
        <v/>
      </c>
      <c r="F185" s="33" t="str">
        <f t="shared" si="109"/>
        <v/>
      </c>
      <c r="G185" s="118" t="str">
        <f>IF(dir!G158=0,"",dir!G158)</f>
        <v/>
      </c>
      <c r="H185" s="119" t="str">
        <f t="shared" si="110"/>
        <v/>
      </c>
      <c r="I185" s="119" t="str">
        <f>IF(E185="","",IF(dir!I158+1&gt;VLOOKUP(H185,Schaal2016,22,FALSE),dir!I158,dir!I158+1))</f>
        <v/>
      </c>
      <c r="J185" s="120" t="str">
        <f>IF(dir!J158=0,0,dir!J158)</f>
        <v/>
      </c>
      <c r="K185" s="121"/>
      <c r="L185" s="1139">
        <f>IF(dir!L158=0,0,dir!L158)</f>
        <v>0</v>
      </c>
      <c r="M185" s="1139">
        <f>IF(dir!M158=0,0,dir!M158)</f>
        <v>0</v>
      </c>
      <c r="N185" s="795" t="str">
        <f t="shared" si="99"/>
        <v/>
      </c>
      <c r="O185" s="795"/>
      <c r="P185" s="795" t="str">
        <f t="shared" si="111"/>
        <v/>
      </c>
      <c r="Q185" s="570" t="str">
        <f t="shared" si="100"/>
        <v/>
      </c>
      <c r="R185" s="767" t="str">
        <f t="shared" si="101"/>
        <v/>
      </c>
      <c r="S185" s="796" t="str">
        <f t="shared" si="112"/>
        <v/>
      </c>
      <c r="T185" s="501"/>
      <c r="U185" s="149"/>
      <c r="V185" s="761"/>
      <c r="W185" s="761"/>
      <c r="X185" s="741" t="str">
        <f t="shared" si="102"/>
        <v/>
      </c>
      <c r="Y185" s="742">
        <f t="shared" si="113"/>
        <v>0.6</v>
      </c>
      <c r="Z185" s="743" t="e">
        <f t="shared" si="103"/>
        <v>#VALUE!</v>
      </c>
      <c r="AA185" s="743" t="e">
        <f t="shared" si="104"/>
        <v>#VALUE!</v>
      </c>
      <c r="AB185" s="744" t="e">
        <f t="shared" si="114"/>
        <v>#VALUE!</v>
      </c>
      <c r="AC185" s="725" t="e">
        <f t="shared" si="105"/>
        <v>#VALUE!</v>
      </c>
      <c r="AD185" s="693">
        <f t="shared" si="106"/>
        <v>0</v>
      </c>
      <c r="AE185" s="745">
        <f>IF(H185&gt;8,tab!C$194,tab!C$197)</f>
        <v>0.5</v>
      </c>
      <c r="AF185" s="544">
        <f t="shared" si="107"/>
        <v>0</v>
      </c>
      <c r="AG185" s="746">
        <f t="shared" si="108"/>
        <v>0</v>
      </c>
      <c r="AN185" s="544"/>
      <c r="AO185" s="544"/>
    </row>
    <row r="186" spans="3:41" ht="13.15" customHeight="1" x14ac:dyDescent="0.2">
      <c r="C186" s="31"/>
      <c r="D186" s="117" t="str">
        <f>IF(dir!D159=0,"",dir!D159)</f>
        <v/>
      </c>
      <c r="E186" s="117" t="str">
        <f>IF(dir!E159=0,"",dir!E159)</f>
        <v/>
      </c>
      <c r="F186" s="33" t="str">
        <f t="shared" si="109"/>
        <v/>
      </c>
      <c r="G186" s="118" t="str">
        <f>IF(dir!G159=0,"",dir!G159)</f>
        <v/>
      </c>
      <c r="H186" s="119" t="str">
        <f t="shared" si="110"/>
        <v/>
      </c>
      <c r="I186" s="119" t="str">
        <f>IF(E186="","",IF(dir!I159+1&gt;VLOOKUP(H186,Schaal2016,22,FALSE),dir!I159,dir!I159+1))</f>
        <v/>
      </c>
      <c r="J186" s="120" t="str">
        <f>IF(dir!J159=0,0,dir!J159)</f>
        <v/>
      </c>
      <c r="K186" s="121"/>
      <c r="L186" s="1139">
        <f>IF(dir!L159=0,0,dir!L159)</f>
        <v>0</v>
      </c>
      <c r="M186" s="1139">
        <f>IF(dir!M159=0,0,dir!M159)</f>
        <v>0</v>
      </c>
      <c r="N186" s="795" t="str">
        <f t="shared" si="99"/>
        <v/>
      </c>
      <c r="O186" s="795"/>
      <c r="P186" s="795" t="str">
        <f t="shared" si="111"/>
        <v/>
      </c>
      <c r="Q186" s="570" t="str">
        <f t="shared" si="100"/>
        <v/>
      </c>
      <c r="R186" s="767" t="str">
        <f t="shared" si="101"/>
        <v/>
      </c>
      <c r="S186" s="796" t="str">
        <f t="shared" si="112"/>
        <v/>
      </c>
      <c r="T186" s="501"/>
      <c r="U186" s="149"/>
      <c r="V186" s="761"/>
      <c r="W186" s="761"/>
      <c r="X186" s="741" t="str">
        <f t="shared" si="102"/>
        <v/>
      </c>
      <c r="Y186" s="742">
        <f t="shared" si="113"/>
        <v>0.6</v>
      </c>
      <c r="Z186" s="743" t="e">
        <f t="shared" si="103"/>
        <v>#VALUE!</v>
      </c>
      <c r="AA186" s="743" t="e">
        <f t="shared" si="104"/>
        <v>#VALUE!</v>
      </c>
      <c r="AB186" s="744" t="e">
        <f t="shared" si="114"/>
        <v>#VALUE!</v>
      </c>
      <c r="AC186" s="725" t="e">
        <f t="shared" si="105"/>
        <v>#VALUE!</v>
      </c>
      <c r="AD186" s="693">
        <f t="shared" si="106"/>
        <v>0</v>
      </c>
      <c r="AE186" s="745">
        <f>IF(H186&gt;8,tab!C$194,tab!C$197)</f>
        <v>0.5</v>
      </c>
      <c r="AF186" s="544">
        <f t="shared" si="107"/>
        <v>0</v>
      </c>
      <c r="AG186" s="746">
        <f t="shared" si="108"/>
        <v>0</v>
      </c>
      <c r="AN186" s="544"/>
      <c r="AO186" s="544"/>
    </row>
    <row r="187" spans="3:41" ht="13.15" customHeight="1" x14ac:dyDescent="0.2">
      <c r="C187" s="31"/>
      <c r="D187" s="117" t="str">
        <f>IF(dir!D160=0,"",dir!D160)</f>
        <v/>
      </c>
      <c r="E187" s="117" t="str">
        <f>IF(dir!E160=0,"",dir!E160)</f>
        <v/>
      </c>
      <c r="F187" s="33" t="str">
        <f t="shared" si="109"/>
        <v/>
      </c>
      <c r="G187" s="118" t="str">
        <f>IF(dir!G160=0,"",dir!G160)</f>
        <v/>
      </c>
      <c r="H187" s="119" t="str">
        <f t="shared" si="110"/>
        <v/>
      </c>
      <c r="I187" s="119" t="str">
        <f>IF(E187="","",IF(dir!I160+1&gt;VLOOKUP(H187,Schaal2016,22,FALSE),dir!I160,dir!I160+1))</f>
        <v/>
      </c>
      <c r="J187" s="120" t="str">
        <f>IF(dir!J160=0,0,dir!J160)</f>
        <v/>
      </c>
      <c r="K187" s="121"/>
      <c r="L187" s="1139">
        <f>IF(dir!L160=0,0,dir!L160)</f>
        <v>0</v>
      </c>
      <c r="M187" s="1139">
        <f>IF(dir!M160=0,0,dir!M160)</f>
        <v>0</v>
      </c>
      <c r="N187" s="795" t="str">
        <f t="shared" si="99"/>
        <v/>
      </c>
      <c r="O187" s="795"/>
      <c r="P187" s="795" t="str">
        <f t="shared" si="111"/>
        <v/>
      </c>
      <c r="Q187" s="570" t="str">
        <f t="shared" si="100"/>
        <v/>
      </c>
      <c r="R187" s="767" t="str">
        <f t="shared" si="101"/>
        <v/>
      </c>
      <c r="S187" s="796" t="str">
        <f t="shared" si="112"/>
        <v/>
      </c>
      <c r="T187" s="501"/>
      <c r="U187" s="149"/>
      <c r="V187" s="761"/>
      <c r="W187" s="761"/>
      <c r="X187" s="741" t="str">
        <f t="shared" si="102"/>
        <v/>
      </c>
      <c r="Y187" s="742">
        <f t="shared" si="113"/>
        <v>0.6</v>
      </c>
      <c r="Z187" s="743" t="e">
        <f t="shared" si="103"/>
        <v>#VALUE!</v>
      </c>
      <c r="AA187" s="743" t="e">
        <f t="shared" si="104"/>
        <v>#VALUE!</v>
      </c>
      <c r="AB187" s="744" t="e">
        <f t="shared" si="114"/>
        <v>#VALUE!</v>
      </c>
      <c r="AC187" s="725" t="e">
        <f t="shared" si="105"/>
        <v>#VALUE!</v>
      </c>
      <c r="AD187" s="693">
        <f t="shared" si="106"/>
        <v>0</v>
      </c>
      <c r="AE187" s="745">
        <f>IF(H187&gt;8,tab!C$194,tab!C$197)</f>
        <v>0.5</v>
      </c>
      <c r="AF187" s="544">
        <f t="shared" si="107"/>
        <v>0</v>
      </c>
      <c r="AG187" s="746">
        <f t="shared" si="108"/>
        <v>0</v>
      </c>
      <c r="AN187" s="544"/>
      <c r="AO187" s="544"/>
    </row>
    <row r="188" spans="3:41" ht="13.15" customHeight="1" x14ac:dyDescent="0.2">
      <c r="C188" s="31"/>
      <c r="D188" s="117" t="str">
        <f>IF(dir!D161=0,"",dir!D161)</f>
        <v/>
      </c>
      <c r="E188" s="117" t="str">
        <f>IF(dir!E161=0,"",dir!E161)</f>
        <v/>
      </c>
      <c r="F188" s="33" t="str">
        <f t="shared" si="109"/>
        <v/>
      </c>
      <c r="G188" s="118" t="str">
        <f>IF(dir!G161=0,"",dir!G161)</f>
        <v/>
      </c>
      <c r="H188" s="119" t="str">
        <f t="shared" si="110"/>
        <v/>
      </c>
      <c r="I188" s="119" t="str">
        <f>IF(E188="","",IF(dir!I161+1&gt;VLOOKUP(H188,Schaal2016,22,FALSE),dir!I161,dir!I161+1))</f>
        <v/>
      </c>
      <c r="J188" s="120" t="str">
        <f>IF(dir!J161=0,0,dir!J161)</f>
        <v/>
      </c>
      <c r="K188" s="121"/>
      <c r="L188" s="1139">
        <f>IF(dir!L161=0,0,dir!L161)</f>
        <v>0</v>
      </c>
      <c r="M188" s="1139">
        <f>IF(dir!M161=0,0,dir!M161)</f>
        <v>0</v>
      </c>
      <c r="N188" s="795" t="str">
        <f t="shared" si="99"/>
        <v/>
      </c>
      <c r="O188" s="795"/>
      <c r="P188" s="795" t="str">
        <f t="shared" si="111"/>
        <v/>
      </c>
      <c r="Q188" s="570" t="str">
        <f t="shared" si="100"/>
        <v/>
      </c>
      <c r="R188" s="767" t="str">
        <f t="shared" si="101"/>
        <v/>
      </c>
      <c r="S188" s="796" t="str">
        <f t="shared" si="112"/>
        <v/>
      </c>
      <c r="T188" s="501"/>
      <c r="U188" s="149"/>
      <c r="V188" s="761"/>
      <c r="W188" s="761"/>
      <c r="X188" s="741" t="str">
        <f t="shared" si="102"/>
        <v/>
      </c>
      <c r="Y188" s="742">
        <f t="shared" si="113"/>
        <v>0.6</v>
      </c>
      <c r="Z188" s="743" t="e">
        <f t="shared" si="103"/>
        <v>#VALUE!</v>
      </c>
      <c r="AA188" s="743" t="e">
        <f t="shared" si="104"/>
        <v>#VALUE!</v>
      </c>
      <c r="AB188" s="744" t="e">
        <f t="shared" si="114"/>
        <v>#VALUE!</v>
      </c>
      <c r="AC188" s="725" t="e">
        <f t="shared" si="105"/>
        <v>#VALUE!</v>
      </c>
      <c r="AD188" s="693">
        <f t="shared" si="106"/>
        <v>0</v>
      </c>
      <c r="AE188" s="745">
        <f>IF(H188&gt;8,tab!C$194,tab!C$197)</f>
        <v>0.5</v>
      </c>
      <c r="AF188" s="544">
        <f t="shared" si="107"/>
        <v>0</v>
      </c>
      <c r="AG188" s="746">
        <f t="shared" si="108"/>
        <v>0</v>
      </c>
      <c r="AN188" s="544"/>
      <c r="AO188" s="544"/>
    </row>
    <row r="189" spans="3:41" ht="13.15" customHeight="1" x14ac:dyDescent="0.2">
      <c r="C189" s="31"/>
      <c r="D189" s="117" t="str">
        <f>IF(dir!D162=0,"",dir!D162)</f>
        <v/>
      </c>
      <c r="E189" s="117" t="str">
        <f>IF(dir!E162=0,"",dir!E162)</f>
        <v/>
      </c>
      <c r="F189" s="33" t="str">
        <f t="shared" si="109"/>
        <v/>
      </c>
      <c r="G189" s="118" t="str">
        <f>IF(dir!G162=0,"",dir!G162)</f>
        <v/>
      </c>
      <c r="H189" s="119" t="str">
        <f t="shared" si="110"/>
        <v/>
      </c>
      <c r="I189" s="119" t="str">
        <f>IF(E189="","",IF(dir!I162+1&gt;VLOOKUP(H189,Schaal2016,22,FALSE),dir!I162,dir!I162+1))</f>
        <v/>
      </c>
      <c r="J189" s="120" t="str">
        <f>IF(dir!J162=0,0,dir!J162)</f>
        <v/>
      </c>
      <c r="K189" s="121"/>
      <c r="L189" s="1139">
        <f>IF(dir!L162=0,0,dir!L162)</f>
        <v>0</v>
      </c>
      <c r="M189" s="1139">
        <f>IF(dir!M162=0,0,dir!M162)</f>
        <v>0</v>
      </c>
      <c r="N189" s="795" t="str">
        <f t="shared" si="99"/>
        <v/>
      </c>
      <c r="O189" s="795"/>
      <c r="P189" s="795" t="str">
        <f t="shared" si="111"/>
        <v/>
      </c>
      <c r="Q189" s="570" t="str">
        <f t="shared" si="100"/>
        <v/>
      </c>
      <c r="R189" s="767" t="str">
        <f t="shared" si="101"/>
        <v/>
      </c>
      <c r="S189" s="796" t="str">
        <f t="shared" si="112"/>
        <v/>
      </c>
      <c r="T189" s="501"/>
      <c r="U189" s="149"/>
      <c r="V189" s="761"/>
      <c r="W189" s="761"/>
      <c r="X189" s="741" t="str">
        <f t="shared" si="102"/>
        <v/>
      </c>
      <c r="Y189" s="742">
        <f t="shared" si="113"/>
        <v>0.6</v>
      </c>
      <c r="Z189" s="743" t="e">
        <f t="shared" si="103"/>
        <v>#VALUE!</v>
      </c>
      <c r="AA189" s="743" t="e">
        <f t="shared" si="104"/>
        <v>#VALUE!</v>
      </c>
      <c r="AB189" s="744" t="e">
        <f t="shared" si="114"/>
        <v>#VALUE!</v>
      </c>
      <c r="AC189" s="725" t="e">
        <f t="shared" si="105"/>
        <v>#VALUE!</v>
      </c>
      <c r="AD189" s="693">
        <f t="shared" si="106"/>
        <v>0</v>
      </c>
      <c r="AE189" s="745">
        <f>IF(H189&gt;8,tab!C$194,tab!C$197)</f>
        <v>0.5</v>
      </c>
      <c r="AF189" s="544">
        <f t="shared" si="107"/>
        <v>0</v>
      </c>
      <c r="AG189" s="746">
        <f t="shared" si="108"/>
        <v>0</v>
      </c>
      <c r="AN189" s="544"/>
      <c r="AO189" s="544"/>
    </row>
    <row r="190" spans="3:41" ht="13.15" customHeight="1" x14ac:dyDescent="0.2">
      <c r="C190" s="31"/>
      <c r="D190" s="117" t="str">
        <f>IF(dir!D163=0,"",dir!D163)</f>
        <v/>
      </c>
      <c r="E190" s="117" t="str">
        <f>IF(dir!E163=0,"",dir!E163)</f>
        <v/>
      </c>
      <c r="F190" s="33" t="str">
        <f t="shared" si="109"/>
        <v/>
      </c>
      <c r="G190" s="118" t="str">
        <f>IF(dir!G163=0,"",dir!G163)</f>
        <v/>
      </c>
      <c r="H190" s="119" t="str">
        <f t="shared" si="110"/>
        <v/>
      </c>
      <c r="I190" s="119" t="str">
        <f>IF(E190="","",IF(dir!I163+1&gt;VLOOKUP(H190,Schaal2016,22,FALSE),dir!I163,dir!I163+1))</f>
        <v/>
      </c>
      <c r="J190" s="120" t="str">
        <f>IF(dir!J163=0,0,dir!J163)</f>
        <v/>
      </c>
      <c r="K190" s="121"/>
      <c r="L190" s="1139">
        <f>IF(dir!L163=0,0,dir!L163)</f>
        <v>0</v>
      </c>
      <c r="M190" s="1139">
        <f>IF(dir!M163=0,0,dir!M163)</f>
        <v>0</v>
      </c>
      <c r="N190" s="795" t="str">
        <f t="shared" si="99"/>
        <v/>
      </c>
      <c r="O190" s="795"/>
      <c r="P190" s="795" t="str">
        <f t="shared" si="111"/>
        <v/>
      </c>
      <c r="Q190" s="570" t="str">
        <f t="shared" si="100"/>
        <v/>
      </c>
      <c r="R190" s="767" t="str">
        <f t="shared" si="101"/>
        <v/>
      </c>
      <c r="S190" s="796" t="str">
        <f t="shared" si="112"/>
        <v/>
      </c>
      <c r="T190" s="501"/>
      <c r="U190" s="149"/>
      <c r="V190" s="761"/>
      <c r="W190" s="761"/>
      <c r="X190" s="741" t="str">
        <f t="shared" si="102"/>
        <v/>
      </c>
      <c r="Y190" s="742">
        <f t="shared" si="113"/>
        <v>0.6</v>
      </c>
      <c r="Z190" s="743" t="e">
        <f t="shared" si="103"/>
        <v>#VALUE!</v>
      </c>
      <c r="AA190" s="743" t="e">
        <f t="shared" si="104"/>
        <v>#VALUE!</v>
      </c>
      <c r="AB190" s="744" t="e">
        <f t="shared" si="114"/>
        <v>#VALUE!</v>
      </c>
      <c r="AC190" s="725" t="e">
        <f t="shared" si="105"/>
        <v>#VALUE!</v>
      </c>
      <c r="AD190" s="693">
        <f t="shared" si="106"/>
        <v>0</v>
      </c>
      <c r="AE190" s="745">
        <f>IF(H190&gt;8,tab!C$194,tab!C$197)</f>
        <v>0.5</v>
      </c>
      <c r="AF190" s="544">
        <f t="shared" si="107"/>
        <v>0</v>
      </c>
      <c r="AG190" s="746">
        <f t="shared" si="108"/>
        <v>0</v>
      </c>
      <c r="AN190" s="544"/>
      <c r="AO190" s="544"/>
    </row>
    <row r="191" spans="3:41" ht="13.15" customHeight="1" x14ac:dyDescent="0.2">
      <c r="C191" s="31"/>
      <c r="D191" s="117" t="str">
        <f>IF(dir!D164=0,"",dir!D164)</f>
        <v/>
      </c>
      <c r="E191" s="117" t="str">
        <f>IF(dir!E164=0,"",dir!E164)</f>
        <v/>
      </c>
      <c r="F191" s="33" t="str">
        <f t="shared" si="109"/>
        <v/>
      </c>
      <c r="G191" s="118" t="str">
        <f>IF(dir!G164=0,"",dir!G164)</f>
        <v/>
      </c>
      <c r="H191" s="119" t="str">
        <f t="shared" si="110"/>
        <v/>
      </c>
      <c r="I191" s="119" t="str">
        <f>IF(E191="","",IF(dir!I164+1&gt;VLOOKUP(H191,Schaal2016,22,FALSE),dir!I164,dir!I164+1))</f>
        <v/>
      </c>
      <c r="J191" s="120" t="str">
        <f>IF(dir!J164=0,0,dir!J164)</f>
        <v/>
      </c>
      <c r="K191" s="121"/>
      <c r="L191" s="1139">
        <f>IF(dir!L164=0,0,dir!L164)</f>
        <v>0</v>
      </c>
      <c r="M191" s="1139">
        <f>IF(dir!M164=0,0,dir!M164)</f>
        <v>0</v>
      </c>
      <c r="N191" s="795" t="str">
        <f t="shared" si="99"/>
        <v/>
      </c>
      <c r="O191" s="795"/>
      <c r="P191" s="795" t="str">
        <f t="shared" si="111"/>
        <v/>
      </c>
      <c r="Q191" s="570" t="str">
        <f t="shared" si="100"/>
        <v/>
      </c>
      <c r="R191" s="767" t="str">
        <f t="shared" si="101"/>
        <v/>
      </c>
      <c r="S191" s="796" t="str">
        <f t="shared" si="112"/>
        <v/>
      </c>
      <c r="T191" s="501"/>
      <c r="U191" s="149"/>
      <c r="V191" s="761"/>
      <c r="W191" s="761"/>
      <c r="X191" s="741" t="str">
        <f t="shared" si="102"/>
        <v/>
      </c>
      <c r="Y191" s="742">
        <f t="shared" si="113"/>
        <v>0.6</v>
      </c>
      <c r="Z191" s="743" t="e">
        <f t="shared" si="103"/>
        <v>#VALUE!</v>
      </c>
      <c r="AA191" s="743" t="e">
        <f t="shared" si="104"/>
        <v>#VALUE!</v>
      </c>
      <c r="AB191" s="744" t="e">
        <f t="shared" si="114"/>
        <v>#VALUE!</v>
      </c>
      <c r="AC191" s="725" t="e">
        <f t="shared" si="105"/>
        <v>#VALUE!</v>
      </c>
      <c r="AD191" s="693">
        <f t="shared" si="106"/>
        <v>0</v>
      </c>
      <c r="AE191" s="745">
        <f>IF(H191&gt;8,tab!C$194,tab!C$197)</f>
        <v>0.5</v>
      </c>
      <c r="AF191" s="544">
        <f t="shared" si="107"/>
        <v>0</v>
      </c>
      <c r="AG191" s="746">
        <f t="shared" si="108"/>
        <v>0</v>
      </c>
      <c r="AN191" s="544"/>
      <c r="AO191" s="544"/>
    </row>
    <row r="192" spans="3:41" ht="13.15" customHeight="1" x14ac:dyDescent="0.2">
      <c r="C192" s="31"/>
      <c r="D192" s="117" t="str">
        <f>IF(dir!D165=0,"",dir!D165)</f>
        <v/>
      </c>
      <c r="E192" s="117" t="str">
        <f>IF(dir!E165=0,"",dir!E165)</f>
        <v/>
      </c>
      <c r="F192" s="33" t="str">
        <f t="shared" si="109"/>
        <v/>
      </c>
      <c r="G192" s="118" t="str">
        <f>IF(dir!G165=0,"",dir!G165)</f>
        <v/>
      </c>
      <c r="H192" s="119" t="str">
        <f t="shared" si="110"/>
        <v/>
      </c>
      <c r="I192" s="119" t="str">
        <f>IF(E192="","",IF(dir!I165+1&gt;VLOOKUP(H192,Schaal2016,22,FALSE),dir!I165,dir!I165+1))</f>
        <v/>
      </c>
      <c r="J192" s="120" t="str">
        <f>IF(dir!J165=0,0,dir!J165)</f>
        <v/>
      </c>
      <c r="K192" s="121"/>
      <c r="L192" s="1139">
        <f>IF(dir!L165=0,0,dir!L165)</f>
        <v>0</v>
      </c>
      <c r="M192" s="1139">
        <f>IF(dir!M165=0,0,dir!M165)</f>
        <v>0</v>
      </c>
      <c r="N192" s="795" t="str">
        <f t="shared" si="99"/>
        <v/>
      </c>
      <c r="O192" s="795"/>
      <c r="P192" s="795" t="str">
        <f t="shared" si="111"/>
        <v/>
      </c>
      <c r="Q192" s="570" t="str">
        <f t="shared" si="100"/>
        <v/>
      </c>
      <c r="R192" s="767" t="str">
        <f t="shared" si="101"/>
        <v/>
      </c>
      <c r="S192" s="796" t="str">
        <f t="shared" si="112"/>
        <v/>
      </c>
      <c r="T192" s="501"/>
      <c r="U192" s="149"/>
      <c r="V192" s="761"/>
      <c r="W192" s="761"/>
      <c r="X192" s="741" t="str">
        <f t="shared" si="102"/>
        <v/>
      </c>
      <c r="Y192" s="742">
        <f t="shared" si="113"/>
        <v>0.6</v>
      </c>
      <c r="Z192" s="743" t="e">
        <f t="shared" si="103"/>
        <v>#VALUE!</v>
      </c>
      <c r="AA192" s="743" t="e">
        <f t="shared" si="104"/>
        <v>#VALUE!</v>
      </c>
      <c r="AB192" s="744" t="e">
        <f t="shared" si="114"/>
        <v>#VALUE!</v>
      </c>
      <c r="AC192" s="725" t="e">
        <f t="shared" si="105"/>
        <v>#VALUE!</v>
      </c>
      <c r="AD192" s="693">
        <f t="shared" si="106"/>
        <v>0</v>
      </c>
      <c r="AE192" s="745">
        <f>IF(H192&gt;8,tab!C$194,tab!C$197)</f>
        <v>0.5</v>
      </c>
      <c r="AF192" s="544">
        <f t="shared" si="107"/>
        <v>0</v>
      </c>
      <c r="AG192" s="746">
        <f t="shared" si="108"/>
        <v>0</v>
      </c>
      <c r="AN192" s="544"/>
      <c r="AO192" s="544"/>
    </row>
    <row r="193" spans="3:41" ht="13.15" customHeight="1" x14ac:dyDescent="0.2">
      <c r="C193" s="31"/>
      <c r="D193" s="28"/>
      <c r="E193" s="28"/>
      <c r="F193" s="125"/>
      <c r="G193" s="126"/>
      <c r="H193" s="32"/>
      <c r="I193" s="32"/>
      <c r="J193" s="768">
        <f>SUM(J178:J192)</f>
        <v>1</v>
      </c>
      <c r="K193" s="125"/>
      <c r="L193" s="797">
        <f t="shared" ref="L193:S193" si="115">SUM(L178:L192)</f>
        <v>0</v>
      </c>
      <c r="M193" s="797">
        <f t="shared" si="115"/>
        <v>0</v>
      </c>
      <c r="N193" s="797">
        <f t="shared" si="115"/>
        <v>40</v>
      </c>
      <c r="O193" s="797">
        <f t="shared" si="115"/>
        <v>0</v>
      </c>
      <c r="P193" s="797">
        <f t="shared" si="115"/>
        <v>40</v>
      </c>
      <c r="Q193" s="571">
        <f t="shared" si="115"/>
        <v>88307.813381555156</v>
      </c>
      <c r="R193" s="798">
        <f t="shared" si="115"/>
        <v>2181.7866184448467</v>
      </c>
      <c r="S193" s="799">
        <f t="shared" si="115"/>
        <v>90489.600000000006</v>
      </c>
      <c r="T193" s="609"/>
      <c r="U193" s="169"/>
      <c r="V193" s="762"/>
      <c r="W193" s="762"/>
      <c r="X193" s="747">
        <f>SUM(X178:X192)</f>
        <v>4713</v>
      </c>
      <c r="Y193" s="748"/>
      <c r="Z193" s="749"/>
      <c r="AA193" s="749"/>
      <c r="AB193" s="660"/>
      <c r="AC193" s="725"/>
      <c r="AD193" s="720"/>
      <c r="AE193" s="544"/>
      <c r="AF193" s="544"/>
      <c r="AG193" s="746">
        <f>SUM(AG178:AG192)</f>
        <v>0</v>
      </c>
      <c r="AN193" s="544"/>
      <c r="AO193" s="544"/>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P197" s="149" t="e">
        <f>(dir!P166+op!P546+obp!P313)</f>
        <v>#VALUE!</v>
      </c>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102</v>
      </c>
      <c r="F265" s="34"/>
      <c r="G265" s="34"/>
      <c r="H265" s="34"/>
      <c r="I265" s="34"/>
      <c r="J265" s="34"/>
      <c r="L265" s="8"/>
      <c r="R265" s="8"/>
      <c r="S265" s="8"/>
      <c r="T265" s="34"/>
      <c r="U265" s="34"/>
      <c r="V265" s="544"/>
      <c r="W265" s="544"/>
      <c r="X265" s="544"/>
      <c r="AE265" s="544"/>
      <c r="AF265" s="544"/>
      <c r="AN265" s="544"/>
      <c r="AO265" s="544"/>
    </row>
    <row r="266" spans="4:41" ht="13.15" customHeight="1" x14ac:dyDescent="0.2">
      <c r="D266" s="34"/>
      <c r="E266" s="152" t="s">
        <v>103</v>
      </c>
      <c r="F266" s="34"/>
      <c r="G266" s="34"/>
      <c r="H266" s="34"/>
      <c r="I266" s="34"/>
      <c r="J266" s="34"/>
      <c r="L266" s="8"/>
      <c r="R266" s="8"/>
      <c r="S266" s="8"/>
      <c r="T266" s="34"/>
      <c r="U266" s="34"/>
      <c r="V266" s="544"/>
      <c r="W266" s="544"/>
      <c r="X266" s="544"/>
      <c r="AE266" s="544"/>
      <c r="AF266" s="544"/>
      <c r="AN266" s="544"/>
      <c r="AO266" s="544"/>
    </row>
    <row r="267" spans="4:41" ht="13.15" customHeight="1" x14ac:dyDescent="0.2">
      <c r="D267" s="34"/>
      <c r="E267" s="152" t="s">
        <v>104</v>
      </c>
      <c r="F267" s="34"/>
      <c r="G267" s="34"/>
      <c r="H267" s="34"/>
      <c r="I267" s="34"/>
      <c r="J267" s="34"/>
      <c r="L267" s="8"/>
      <c r="R267" s="8"/>
      <c r="S267" s="8"/>
      <c r="T267" s="34"/>
      <c r="U267" s="34"/>
      <c r="V267" s="544"/>
      <c r="W267" s="544"/>
      <c r="X267" s="544"/>
      <c r="AE267" s="544"/>
      <c r="AF267" s="544"/>
      <c r="AN267" s="544"/>
      <c r="AO267" s="544"/>
    </row>
    <row r="268" spans="4:41" ht="13.15" customHeight="1" x14ac:dyDescent="0.2">
      <c r="D268" s="34"/>
      <c r="E268" s="152" t="s">
        <v>105</v>
      </c>
      <c r="F268" s="34"/>
      <c r="G268" s="34"/>
      <c r="H268" s="34"/>
      <c r="I268" s="34"/>
      <c r="J268" s="34"/>
      <c r="L268" s="8"/>
      <c r="R268" s="8"/>
      <c r="S268" s="8"/>
      <c r="T268" s="34"/>
      <c r="U268" s="34"/>
      <c r="V268" s="544"/>
      <c r="W268" s="544"/>
      <c r="X268" s="544"/>
      <c r="AE268" s="544"/>
      <c r="AF268" s="544"/>
      <c r="AN268" s="544"/>
      <c r="AO268" s="544"/>
    </row>
    <row r="269" spans="4:41" ht="13.15" customHeight="1" x14ac:dyDescent="0.2">
      <c r="D269" s="34"/>
      <c r="E269" s="152" t="s">
        <v>106</v>
      </c>
      <c r="F269" s="34"/>
      <c r="G269" s="34"/>
      <c r="H269" s="34"/>
      <c r="I269" s="34"/>
      <c r="J269" s="34"/>
      <c r="L269" s="8"/>
      <c r="R269" s="8"/>
      <c r="S269" s="8"/>
      <c r="T269" s="34"/>
      <c r="U269" s="34"/>
      <c r="V269" s="544"/>
      <c r="W269" s="544"/>
      <c r="X269" s="544"/>
      <c r="AE269" s="544"/>
      <c r="AF269" s="544"/>
      <c r="AN269" s="544"/>
      <c r="AO269" s="544"/>
    </row>
    <row r="270" spans="4:41" ht="13.15" customHeight="1" x14ac:dyDescent="0.2">
      <c r="D270" s="34"/>
      <c r="E270" s="152" t="s">
        <v>107</v>
      </c>
      <c r="F270" s="34"/>
      <c r="G270" s="34"/>
      <c r="H270" s="34"/>
      <c r="I270" s="34"/>
      <c r="J270" s="34"/>
      <c r="L270" s="8"/>
      <c r="R270" s="8"/>
      <c r="S270" s="8"/>
      <c r="T270" s="34"/>
      <c r="U270" s="34"/>
      <c r="V270" s="544"/>
      <c r="W270" s="544"/>
      <c r="X270" s="544"/>
      <c r="AE270" s="544"/>
      <c r="AF270" s="544"/>
      <c r="AN270" s="544"/>
      <c r="AO270" s="544"/>
    </row>
    <row r="271" spans="4:41" ht="13.15" customHeight="1" x14ac:dyDescent="0.2">
      <c r="D271" s="34"/>
      <c r="E271" s="152" t="s">
        <v>108</v>
      </c>
      <c r="F271" s="34"/>
      <c r="G271" s="34"/>
      <c r="H271" s="34"/>
      <c r="I271" s="34"/>
      <c r="J271" s="34"/>
      <c r="L271" s="8"/>
      <c r="R271" s="8"/>
      <c r="S271" s="8"/>
      <c r="T271" s="34"/>
      <c r="U271" s="34"/>
      <c r="V271" s="544"/>
      <c r="W271" s="544"/>
      <c r="X271" s="544"/>
      <c r="AE271" s="544"/>
      <c r="AF271" s="544"/>
      <c r="AN271" s="544"/>
      <c r="AO271" s="544"/>
    </row>
    <row r="272" spans="4:41" ht="13.15" customHeight="1" x14ac:dyDescent="0.2">
      <c r="D272" s="34"/>
      <c r="E272" s="152" t="s">
        <v>109</v>
      </c>
      <c r="F272" s="34"/>
      <c r="G272" s="34"/>
      <c r="H272" s="34"/>
      <c r="I272" s="34"/>
      <c r="J272" s="34"/>
      <c r="L272" s="8"/>
      <c r="R272" s="8"/>
      <c r="S272" s="8"/>
      <c r="T272" s="34"/>
      <c r="U272" s="34"/>
      <c r="V272" s="544"/>
      <c r="W272" s="544"/>
      <c r="X272" s="544"/>
      <c r="AE272" s="544"/>
      <c r="AF272" s="544"/>
      <c r="AN272" s="544"/>
      <c r="AO272" s="544"/>
    </row>
    <row r="273" spans="4:41" ht="13.15" customHeight="1" x14ac:dyDescent="0.2">
      <c r="D273" s="34"/>
      <c r="E273" s="152" t="s">
        <v>110</v>
      </c>
      <c r="F273" s="34"/>
      <c r="G273" s="34"/>
      <c r="H273" s="34"/>
      <c r="I273" s="34"/>
      <c r="J273" s="34"/>
      <c r="L273" s="8"/>
      <c r="R273" s="8"/>
      <c r="S273" s="8"/>
      <c r="T273" s="34"/>
      <c r="U273" s="34"/>
      <c r="V273" s="544"/>
      <c r="W273" s="544"/>
      <c r="X273" s="544"/>
      <c r="AE273" s="544"/>
      <c r="AF273" s="544"/>
      <c r="AN273" s="544"/>
      <c r="AO273" s="544"/>
    </row>
    <row r="274" spans="4:41" ht="13.15" customHeight="1" x14ac:dyDescent="0.2">
      <c r="D274" s="34"/>
      <c r="E274" s="152" t="s">
        <v>111</v>
      </c>
      <c r="F274" s="34"/>
      <c r="G274" s="34"/>
      <c r="H274" s="34"/>
      <c r="I274" s="34"/>
      <c r="J274" s="34"/>
      <c r="L274" s="8"/>
      <c r="R274" s="8"/>
      <c r="S274" s="8"/>
      <c r="T274" s="34"/>
      <c r="U274" s="34"/>
      <c r="V274" s="544"/>
      <c r="W274" s="544"/>
      <c r="X274" s="544"/>
      <c r="AE274" s="544"/>
      <c r="AF274" s="544"/>
      <c r="AN274" s="544"/>
      <c r="AO274" s="544"/>
    </row>
    <row r="275" spans="4:41" ht="13.15" customHeight="1" x14ac:dyDescent="0.2">
      <c r="D275" s="34"/>
      <c r="E275" s="152" t="s">
        <v>112</v>
      </c>
      <c r="F275" s="34"/>
      <c r="G275" s="34"/>
      <c r="H275" s="34"/>
      <c r="I275" s="34"/>
      <c r="J275" s="34"/>
      <c r="L275" s="8"/>
      <c r="R275" s="8"/>
      <c r="S275" s="8"/>
      <c r="T275" s="34"/>
      <c r="U275" s="34"/>
      <c r="V275" s="544"/>
      <c r="W275" s="544"/>
      <c r="X275" s="544"/>
      <c r="AE275" s="544"/>
      <c r="AF275" s="544"/>
      <c r="AN275" s="544"/>
      <c r="AO275" s="544"/>
    </row>
    <row r="276" spans="4:41" ht="13.15" customHeight="1" x14ac:dyDescent="0.2">
      <c r="D276" s="34"/>
      <c r="E276" s="152" t="s">
        <v>113</v>
      </c>
      <c r="F276" s="34"/>
      <c r="G276" s="34"/>
      <c r="H276" s="34"/>
      <c r="I276" s="34"/>
      <c r="J276" s="34"/>
      <c r="L276" s="8"/>
      <c r="R276" s="8"/>
      <c r="S276" s="8"/>
      <c r="T276" s="34"/>
      <c r="U276" s="34"/>
      <c r="V276" s="544"/>
      <c r="W276" s="544"/>
      <c r="X276" s="544"/>
      <c r="AE276" s="544"/>
      <c r="AF276" s="544"/>
      <c r="AN276" s="544"/>
      <c r="AO276" s="544"/>
    </row>
    <row r="277" spans="4:41" ht="13.15" customHeight="1" x14ac:dyDescent="0.2">
      <c r="D277" s="34"/>
      <c r="E277" s="153" t="s">
        <v>119</v>
      </c>
      <c r="F277" s="34"/>
      <c r="G277" s="34"/>
      <c r="H277" s="34"/>
      <c r="I277" s="34"/>
      <c r="J277" s="34"/>
      <c r="L277" s="8"/>
      <c r="R277" s="8"/>
      <c r="S277" s="8"/>
      <c r="T277" s="34"/>
      <c r="U277" s="34"/>
      <c r="V277" s="544"/>
      <c r="W277" s="544"/>
      <c r="X277" s="544"/>
      <c r="AE277" s="544"/>
      <c r="AF277" s="544"/>
      <c r="AN277" s="544"/>
      <c r="AO277" s="544"/>
    </row>
    <row r="278" spans="4:41" ht="13.15" customHeight="1" x14ac:dyDescent="0.2">
      <c r="D278" s="34"/>
      <c r="E278" s="153" t="s">
        <v>120</v>
      </c>
      <c r="F278" s="34"/>
      <c r="G278" s="34"/>
      <c r="H278" s="34"/>
      <c r="I278" s="34"/>
      <c r="J278" s="34"/>
      <c r="L278" s="8"/>
      <c r="R278" s="8"/>
      <c r="S278" s="8"/>
      <c r="T278" s="34"/>
      <c r="U278" s="34"/>
      <c r="V278" s="544"/>
      <c r="W278" s="544"/>
      <c r="X278" s="544"/>
      <c r="AE278" s="544"/>
      <c r="AF278" s="544"/>
      <c r="AN278" s="544"/>
      <c r="AO278" s="544"/>
    </row>
    <row r="279" spans="4:41" ht="13.15" customHeight="1" x14ac:dyDescent="0.2">
      <c r="D279" s="34"/>
      <c r="E279" s="153" t="s">
        <v>121</v>
      </c>
      <c r="F279" s="34"/>
      <c r="G279" s="34"/>
      <c r="H279" s="34"/>
      <c r="I279" s="34"/>
      <c r="J279" s="34"/>
      <c r="L279" s="8"/>
      <c r="R279" s="8"/>
      <c r="S279" s="8"/>
      <c r="T279" s="34"/>
      <c r="U279" s="34"/>
      <c r="V279" s="544"/>
      <c r="W279" s="544"/>
      <c r="X279" s="544"/>
      <c r="AE279" s="544"/>
      <c r="AF279" s="544"/>
      <c r="AN279" s="544"/>
      <c r="AO279" s="544"/>
    </row>
    <row r="280" spans="4:41" ht="13.15" customHeight="1" x14ac:dyDescent="0.2">
      <c r="D280" s="34"/>
      <c r="E280" s="153" t="s">
        <v>122</v>
      </c>
      <c r="F280" s="34"/>
      <c r="G280" s="34"/>
      <c r="H280" s="34"/>
      <c r="I280" s="34"/>
      <c r="J280" s="34"/>
      <c r="L280" s="8"/>
      <c r="R280" s="8"/>
      <c r="S280" s="8"/>
      <c r="T280" s="34"/>
      <c r="U280" s="34"/>
      <c r="V280" s="544"/>
      <c r="W280" s="544"/>
      <c r="X280" s="544"/>
      <c r="AE280" s="544"/>
      <c r="AF280" s="544"/>
      <c r="AN280" s="544"/>
      <c r="AO280" s="544"/>
    </row>
    <row r="281" spans="4:41" ht="13.15" customHeight="1" x14ac:dyDescent="0.2">
      <c r="D281" s="34"/>
      <c r="E281" s="153" t="s">
        <v>123</v>
      </c>
      <c r="F281" s="34"/>
      <c r="G281" s="34"/>
      <c r="H281" s="34"/>
      <c r="I281" s="34"/>
      <c r="J281" s="34"/>
      <c r="L281" s="8"/>
      <c r="R281" s="8"/>
      <c r="S281" s="8"/>
      <c r="T281" s="34"/>
      <c r="U281" s="34"/>
      <c r="V281" s="544"/>
      <c r="W281" s="544"/>
      <c r="X281" s="544"/>
      <c r="AE281" s="544"/>
      <c r="AF281" s="544"/>
      <c r="AN281" s="544"/>
      <c r="AO281" s="544"/>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hGk6mmA/tQEtI903Oo0gBMCpP0KE4ZJuqnxn12vXBaOyBvD7T4FF1I7uaXwifvJqKL8JlUyUQthb0qwDxSXiZA==" saltValue="Tg/+XvVfWY1ekebDM+0mGg=="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xr:uid="{00000000-0002-0000-0400-000000000000}">
      <formula1>"LA,LB,LC,LD,LE"</formula1>
    </dataValidation>
    <dataValidation type="list" allowBlank="1" showInputMessage="1" showErrorMessage="1" sqref="H114 H141 H168" xr:uid="{00000000-0002-0000-0400-000001000000}">
      <formula1>"LIOa,LIOb,J1,J2,J3,J4,J5,J6,1,2,3,4,5,6,7,8,9,10,11,12,13,14,15,LA,LB,LC,LD,LE,ID1,ID2,ID3"</formula1>
    </dataValidation>
    <dataValidation type="list" allowBlank="1" showInputMessage="1" showErrorMessage="1" sqref="H16:H30 H178:H192 H124:H138 H97:H111 H151:H165 H70:H84 H44:H57" xr:uid="{00000000-0002-0000-0400-000002000000}">
      <formula1>"AA,AB,AC,AD,AE,DA,DB,DBuit,DC,DCuit,DD,DE,meerh bas DA11, meerh sbo DB10, meerh sbo DB11, meerh sbo DC13, meerh sbo DCuit15"</formula1>
    </dataValidation>
    <dataValidation type="list" allowBlank="1" showInputMessage="1" showErrorMessage="1" sqref="H43" xr:uid="{00000000-0002-0000-0400-000003000000}">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W688"/>
  <sheetViews>
    <sheetView zoomScale="83" zoomScaleNormal="83" workbookViewId="0">
      <selection activeCell="B120" sqref="B120"/>
    </sheetView>
  </sheetViews>
  <sheetFormatPr defaultColWidth="9.140625" defaultRowHeight="13.9" customHeight="1" x14ac:dyDescent="0.2"/>
  <cols>
    <col min="1" max="1" width="3.7109375" style="317" customWidth="1"/>
    <col min="2" max="3" width="2.7109375" style="317" customWidth="1"/>
    <col min="4" max="4" width="10.7109375" style="533" customWidth="1"/>
    <col min="5" max="5" width="20.7109375" style="533" customWidth="1"/>
    <col min="6" max="6" width="8.85546875" style="533" customWidth="1"/>
    <col min="7" max="7" width="8.85546875" style="946" customWidth="1"/>
    <col min="8" max="9" width="8.85546875" style="955" customWidth="1"/>
    <col min="10" max="10" width="8.85546875" style="866" customWidth="1"/>
    <col min="11" max="11" width="0.85546875" style="317" customWidth="1"/>
    <col min="12" max="12" width="10.7109375" style="863" customWidth="1"/>
    <col min="13" max="15" width="10.7109375" style="326" customWidth="1"/>
    <col min="16" max="16" width="10.7109375" style="956" customWidth="1"/>
    <col min="17" max="17" width="12.7109375" style="588" customWidth="1"/>
    <col min="18" max="19" width="12.7109375" style="326" customWidth="1"/>
    <col min="20" max="20" width="2.7109375" style="317" customWidth="1"/>
    <col min="21" max="21" width="3.140625" style="317" customWidth="1"/>
    <col min="22" max="23" width="20.7109375" style="317" customWidth="1"/>
    <col min="24" max="24" width="8.42578125" style="539" customWidth="1"/>
    <col min="25" max="25" width="6.7109375" style="539" customWidth="1"/>
    <col min="26" max="26" width="9.28515625" style="539" customWidth="1"/>
    <col min="27" max="27" width="10.85546875" style="539" customWidth="1"/>
    <col min="28" max="28" width="10" style="539" customWidth="1"/>
    <col min="29" max="29" width="10.28515625" style="813" customWidth="1"/>
    <col min="30" max="30" width="9.5703125" style="539" customWidth="1"/>
    <col min="31" max="31" width="8.42578125" style="539" customWidth="1"/>
    <col min="32" max="32" width="13.7109375" style="539" customWidth="1"/>
    <col min="33" max="33" width="13.28515625" style="539" customWidth="1"/>
    <col min="34" max="35" width="10.7109375" style="814" customWidth="1"/>
    <col min="36" max="37" width="10.7109375" style="540" customWidth="1"/>
    <col min="38" max="38" width="10.7109375" style="815" customWidth="1"/>
    <col min="39" max="39" width="1.7109375" style="539" customWidth="1"/>
    <col min="40" max="43" width="8.7109375" style="539" customWidth="1"/>
    <col min="44" max="44" width="1.5703125" style="317" customWidth="1"/>
    <col min="45" max="45" width="12.7109375" style="317" customWidth="1"/>
    <col min="46" max="46" width="12.7109375" style="326" customWidth="1"/>
    <col min="47" max="47" width="12.7109375" style="816"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06"/>
      <c r="E2" s="806"/>
      <c r="F2" s="806"/>
      <c r="G2" s="807"/>
      <c r="H2" s="808"/>
      <c r="I2" s="808"/>
      <c r="J2" s="809"/>
      <c r="K2" s="383"/>
      <c r="L2" s="810"/>
      <c r="M2" s="384"/>
      <c r="N2" s="384"/>
      <c r="O2" s="384"/>
      <c r="P2" s="811"/>
      <c r="Q2" s="812"/>
      <c r="R2" s="384"/>
      <c r="S2" s="384"/>
      <c r="T2" s="383"/>
      <c r="U2" s="385"/>
    </row>
    <row r="3" spans="2:49" ht="12.6" customHeight="1" x14ac:dyDescent="0.2">
      <c r="B3" s="316"/>
      <c r="C3" s="344"/>
      <c r="D3" s="817"/>
      <c r="E3" s="817"/>
      <c r="F3" s="817"/>
      <c r="G3" s="818"/>
      <c r="H3" s="819"/>
      <c r="I3" s="819"/>
      <c r="J3" s="820"/>
      <c r="K3" s="344"/>
      <c r="L3" s="821"/>
      <c r="M3" s="368"/>
      <c r="N3" s="368"/>
      <c r="O3" s="368"/>
      <c r="P3" s="822"/>
      <c r="Q3" s="823"/>
      <c r="R3" s="368"/>
      <c r="S3" s="368"/>
      <c r="T3" s="344"/>
      <c r="U3" s="386"/>
    </row>
    <row r="4" spans="2:49" s="824" customFormat="1" ht="19.899999999999999" customHeight="1" x14ac:dyDescent="0.3">
      <c r="B4" s="825"/>
      <c r="C4" s="826" t="s">
        <v>142</v>
      </c>
      <c r="D4" s="827"/>
      <c r="E4" s="827"/>
      <c r="F4" s="827"/>
      <c r="G4" s="828"/>
      <c r="H4" s="829"/>
      <c r="I4" s="829"/>
      <c r="J4" s="830"/>
      <c r="K4" s="827"/>
      <c r="L4" s="831"/>
      <c r="M4" s="772"/>
      <c r="N4" s="772"/>
      <c r="O4" s="772"/>
      <c r="P4" s="832"/>
      <c r="Q4" s="833"/>
      <c r="R4" s="772"/>
      <c r="S4" s="772"/>
      <c r="T4" s="827"/>
      <c r="U4" s="834"/>
      <c r="X4" s="835"/>
      <c r="Y4" s="835"/>
      <c r="Z4" s="835"/>
      <c r="AA4" s="835"/>
      <c r="AB4" s="835"/>
      <c r="AC4" s="836"/>
      <c r="AD4" s="835"/>
      <c r="AE4" s="835"/>
      <c r="AF4" s="835"/>
      <c r="AG4" s="835"/>
      <c r="AH4" s="837"/>
      <c r="AI4" s="837"/>
      <c r="AJ4" s="838"/>
      <c r="AK4" s="838"/>
      <c r="AL4" s="839"/>
      <c r="AM4" s="840"/>
      <c r="AN4" s="840"/>
      <c r="AO4" s="840"/>
      <c r="AP4" s="840"/>
      <c r="AQ4" s="841"/>
      <c r="AR4" s="842"/>
      <c r="AS4" s="843"/>
      <c r="AT4" s="844"/>
      <c r="AU4" s="845"/>
    </row>
    <row r="5" spans="2:49" s="846" customFormat="1" ht="13.9" customHeight="1" x14ac:dyDescent="0.3">
      <c r="B5" s="847"/>
      <c r="C5" s="848" t="str">
        <f>geg!H9</f>
        <v>M.L. Kingschool</v>
      </c>
      <c r="D5" s="849"/>
      <c r="E5" s="849"/>
      <c r="F5" s="849"/>
      <c r="G5" s="850"/>
      <c r="H5" s="851"/>
      <c r="I5" s="851"/>
      <c r="J5" s="852"/>
      <c r="K5" s="849"/>
      <c r="L5" s="853"/>
      <c r="M5" s="773"/>
      <c r="N5" s="773"/>
      <c r="O5" s="773"/>
      <c r="P5" s="854"/>
      <c r="Q5" s="855"/>
      <c r="R5" s="773"/>
      <c r="S5" s="773"/>
      <c r="T5" s="849"/>
      <c r="U5" s="856"/>
      <c r="X5" s="835"/>
      <c r="Y5" s="835"/>
      <c r="Z5" s="835"/>
      <c r="AA5" s="835"/>
      <c r="AB5" s="835"/>
      <c r="AC5" s="836"/>
      <c r="AD5" s="835"/>
      <c r="AE5" s="835"/>
      <c r="AF5" s="835"/>
      <c r="AG5" s="835"/>
      <c r="AH5" s="837"/>
      <c r="AI5" s="837"/>
      <c r="AJ5" s="838"/>
      <c r="AK5" s="838"/>
      <c r="AL5" s="839"/>
      <c r="AM5" s="840"/>
      <c r="AN5" s="840"/>
      <c r="AO5" s="840"/>
      <c r="AP5" s="840"/>
      <c r="AQ5" s="841"/>
      <c r="AR5" s="857"/>
      <c r="AS5" s="858"/>
      <c r="AT5" s="859"/>
      <c r="AU5" s="860"/>
    </row>
    <row r="6" spans="2:49" ht="12.6" customHeight="1" x14ac:dyDescent="0.2">
      <c r="B6" s="316"/>
      <c r="C6" s="344"/>
      <c r="D6" s="344"/>
      <c r="E6" s="344"/>
      <c r="F6" s="817"/>
      <c r="G6" s="818"/>
      <c r="H6" s="819"/>
      <c r="I6" s="819"/>
      <c r="J6" s="820"/>
      <c r="K6" s="344"/>
      <c r="L6" s="821"/>
      <c r="M6" s="368"/>
      <c r="N6" s="368"/>
      <c r="O6" s="368"/>
      <c r="P6" s="822"/>
      <c r="Q6" s="823"/>
      <c r="R6" s="368"/>
      <c r="S6" s="368"/>
      <c r="T6" s="344"/>
      <c r="U6" s="386"/>
      <c r="AM6" s="861"/>
      <c r="AN6" s="861"/>
      <c r="AO6" s="861"/>
      <c r="AP6" s="861"/>
      <c r="AQ6" s="862"/>
      <c r="AR6" s="863"/>
      <c r="AS6" s="864"/>
      <c r="AT6" s="865"/>
      <c r="AU6" s="866"/>
    </row>
    <row r="7" spans="2:49" ht="13.15" customHeight="1" x14ac:dyDescent="0.2">
      <c r="B7" s="316"/>
      <c r="C7" s="344"/>
      <c r="D7" s="817"/>
      <c r="E7" s="817"/>
      <c r="F7" s="817"/>
      <c r="G7" s="818"/>
      <c r="H7" s="368"/>
      <c r="I7" s="821"/>
      <c r="J7" s="927"/>
      <c r="K7" s="344"/>
      <c r="L7" s="377"/>
      <c r="M7" s="377"/>
      <c r="N7" s="377"/>
      <c r="O7" s="377"/>
      <c r="P7" s="822"/>
      <c r="Q7" s="823"/>
      <c r="R7" s="368"/>
      <c r="S7" s="368"/>
      <c r="T7" s="344"/>
      <c r="U7" s="386"/>
      <c r="AH7" s="908"/>
      <c r="AI7" s="540"/>
      <c r="AL7" s="909"/>
    </row>
    <row r="8" spans="2:49" ht="13.15" hidden="1" customHeight="1" x14ac:dyDescent="0.2">
      <c r="B8" s="316"/>
      <c r="C8" s="344" t="s">
        <v>48</v>
      </c>
      <c r="D8" s="817"/>
      <c r="E8" s="926" t="str">
        <f>tab!D2</f>
        <v>2019/20</v>
      </c>
      <c r="F8" s="817"/>
      <c r="G8" s="818"/>
      <c r="H8" s="368"/>
      <c r="I8" s="821"/>
      <c r="J8" s="927"/>
      <c r="K8" s="344"/>
      <c r="L8" s="377"/>
      <c r="M8" s="377"/>
      <c r="N8" s="377"/>
      <c r="O8" s="377"/>
      <c r="P8" s="822"/>
      <c r="Q8" s="823"/>
      <c r="R8" s="368"/>
      <c r="S8" s="368"/>
      <c r="T8" s="344"/>
      <c r="U8" s="386"/>
      <c r="AH8" s="908"/>
      <c r="AI8" s="540"/>
      <c r="AL8" s="909"/>
    </row>
    <row r="9" spans="2:49" ht="13.15" hidden="1" customHeight="1" x14ac:dyDescent="0.2">
      <c r="B9" s="316"/>
      <c r="C9" s="344" t="s">
        <v>125</v>
      </c>
      <c r="D9" s="817"/>
      <c r="E9" s="926">
        <f>tab!E3</f>
        <v>43739</v>
      </c>
      <c r="F9" s="817"/>
      <c r="G9" s="818"/>
      <c r="H9" s="368"/>
      <c r="I9" s="821"/>
      <c r="J9" s="927"/>
      <c r="K9" s="344"/>
      <c r="L9" s="377"/>
      <c r="M9" s="377"/>
      <c r="N9" s="377"/>
      <c r="O9" s="377"/>
      <c r="P9" s="822"/>
      <c r="Q9" s="823"/>
      <c r="R9" s="368"/>
      <c r="S9" s="368"/>
      <c r="T9" s="344"/>
      <c r="U9" s="386"/>
      <c r="AH9" s="908"/>
      <c r="AI9" s="540"/>
      <c r="AL9" s="909"/>
    </row>
    <row r="10" spans="2:49" ht="13.15" hidden="1" customHeight="1" x14ac:dyDescent="0.2">
      <c r="B10" s="316"/>
      <c r="C10" s="344"/>
      <c r="D10" s="817"/>
      <c r="E10" s="817"/>
      <c r="F10" s="817"/>
      <c r="G10" s="818"/>
      <c r="H10" s="368"/>
      <c r="I10" s="821"/>
      <c r="J10" s="927"/>
      <c r="K10" s="344"/>
      <c r="L10" s="377"/>
      <c r="M10" s="377"/>
      <c r="N10" s="377"/>
      <c r="O10" s="377"/>
      <c r="P10" s="822"/>
      <c r="Q10" s="823"/>
      <c r="R10" s="368"/>
      <c r="S10" s="368"/>
      <c r="T10" s="344"/>
      <c r="U10" s="386"/>
      <c r="AH10" s="908"/>
      <c r="AI10" s="540"/>
      <c r="AL10" s="909"/>
    </row>
    <row r="11" spans="2:49" ht="13.15" hidden="1" customHeight="1" x14ac:dyDescent="0.2">
      <c r="B11" s="316"/>
      <c r="C11" s="928"/>
      <c r="D11" s="374"/>
      <c r="E11" s="562"/>
      <c r="F11" s="349"/>
      <c r="G11" s="929"/>
      <c r="H11" s="930"/>
      <c r="I11" s="930"/>
      <c r="J11" s="931"/>
      <c r="K11" s="347"/>
      <c r="L11" s="930"/>
      <c r="M11" s="349"/>
      <c r="N11" s="349"/>
      <c r="O11" s="349"/>
      <c r="P11" s="932"/>
      <c r="Q11" s="933"/>
      <c r="R11" s="934"/>
      <c r="S11" s="934"/>
      <c r="T11" s="347"/>
      <c r="U11" s="386"/>
      <c r="AM11" s="861"/>
      <c r="AN11" s="861"/>
      <c r="AO11" s="861"/>
      <c r="AP11" s="861"/>
      <c r="AQ11" s="862"/>
      <c r="AR11" s="863"/>
      <c r="AS11" s="864"/>
      <c r="AT11" s="865"/>
      <c r="AU11" s="866"/>
    </row>
    <row r="12" spans="2:49" ht="13.15" hidden="1" customHeight="1" x14ac:dyDescent="0.2">
      <c r="B12" s="316"/>
      <c r="C12" s="935"/>
      <c r="D12" s="1343" t="s">
        <v>126</v>
      </c>
      <c r="E12" s="1344"/>
      <c r="F12" s="1344"/>
      <c r="G12" s="1344"/>
      <c r="H12" s="1344"/>
      <c r="I12" s="1344"/>
      <c r="J12" s="1345"/>
      <c r="K12" s="868"/>
      <c r="L12" s="579" t="s">
        <v>440</v>
      </c>
      <c r="M12" s="869"/>
      <c r="N12" s="869"/>
      <c r="O12" s="869"/>
      <c r="P12" s="870"/>
      <c r="Q12" s="579" t="s">
        <v>450</v>
      </c>
      <c r="R12" s="869"/>
      <c r="S12" s="869"/>
      <c r="T12" s="936"/>
      <c r="U12" s="937"/>
      <c r="V12" s="938"/>
      <c r="W12" s="938"/>
      <c r="X12" s="882"/>
      <c r="Y12" s="882"/>
      <c r="Z12" s="882"/>
      <c r="AA12" s="882"/>
      <c r="AB12" s="882"/>
      <c r="AC12" s="909"/>
      <c r="AD12" s="882"/>
      <c r="AE12" s="882"/>
      <c r="AF12" s="882"/>
      <c r="AG12" s="882"/>
      <c r="AH12" s="540"/>
      <c r="AI12" s="540"/>
      <c r="AL12" s="540"/>
      <c r="AT12" s="317"/>
      <c r="AU12" s="317"/>
      <c r="AV12" s="938"/>
      <c r="AW12" s="938"/>
    </row>
    <row r="13" spans="2:49" ht="13.15" hidden="1" customHeight="1" x14ac:dyDescent="0.2">
      <c r="B13" s="316"/>
      <c r="C13" s="406"/>
      <c r="D13" s="871" t="s">
        <v>529</v>
      </c>
      <c r="E13" s="871" t="s">
        <v>88</v>
      </c>
      <c r="F13" s="872" t="s">
        <v>128</v>
      </c>
      <c r="G13" s="873" t="s">
        <v>129</v>
      </c>
      <c r="H13" s="872" t="s">
        <v>130</v>
      </c>
      <c r="I13" s="872" t="s">
        <v>131</v>
      </c>
      <c r="J13" s="874" t="s">
        <v>132</v>
      </c>
      <c r="K13" s="871"/>
      <c r="L13" s="775" t="s">
        <v>441</v>
      </c>
      <c r="M13" s="775" t="s">
        <v>444</v>
      </c>
      <c r="N13" s="775" t="s">
        <v>446</v>
      </c>
      <c r="O13" s="775" t="s">
        <v>443</v>
      </c>
      <c r="P13" s="875" t="s">
        <v>449</v>
      </c>
      <c r="Q13" s="775" t="s">
        <v>133</v>
      </c>
      <c r="R13" s="876" t="s">
        <v>453</v>
      </c>
      <c r="S13" s="877" t="s">
        <v>133</v>
      </c>
      <c r="T13" s="321"/>
      <c r="U13" s="939"/>
      <c r="V13" s="940"/>
      <c r="W13" s="940"/>
      <c r="X13" s="879" t="s">
        <v>139</v>
      </c>
      <c r="Y13" s="880" t="s">
        <v>454</v>
      </c>
      <c r="Z13" s="586" t="s">
        <v>455</v>
      </c>
      <c r="AA13" s="586" t="s">
        <v>455</v>
      </c>
      <c r="AB13" s="586" t="s">
        <v>456</v>
      </c>
      <c r="AC13" s="878" t="s">
        <v>457</v>
      </c>
      <c r="AD13" s="586" t="s">
        <v>458</v>
      </c>
      <c r="AE13" s="586" t="s">
        <v>459</v>
      </c>
      <c r="AF13" s="586" t="s">
        <v>134</v>
      </c>
      <c r="AG13" s="877" t="s">
        <v>135</v>
      </c>
      <c r="AH13" s="881" t="s">
        <v>143</v>
      </c>
      <c r="AI13" s="881" t="s">
        <v>144</v>
      </c>
      <c r="AJ13" s="881" t="s">
        <v>145</v>
      </c>
      <c r="AK13" s="586" t="s">
        <v>146</v>
      </c>
      <c r="AL13" s="879" t="s">
        <v>1</v>
      </c>
      <c r="AT13" s="317"/>
      <c r="AU13" s="317"/>
      <c r="AV13" s="938"/>
      <c r="AW13" s="940"/>
    </row>
    <row r="14" spans="2:49" ht="13.15" hidden="1" customHeight="1" x14ac:dyDescent="0.2">
      <c r="B14" s="316"/>
      <c r="C14" s="381"/>
      <c r="D14" s="883"/>
      <c r="E14" s="871"/>
      <c r="F14" s="872" t="s">
        <v>136</v>
      </c>
      <c r="G14" s="873" t="s">
        <v>137</v>
      </c>
      <c r="H14" s="872"/>
      <c r="I14" s="872"/>
      <c r="J14" s="874" t="s">
        <v>138</v>
      </c>
      <c r="K14" s="871"/>
      <c r="L14" s="775" t="s">
        <v>442</v>
      </c>
      <c r="M14" s="775" t="s">
        <v>445</v>
      </c>
      <c r="N14" s="775" t="s">
        <v>447</v>
      </c>
      <c r="O14" s="775" t="s">
        <v>448</v>
      </c>
      <c r="P14" s="875" t="s">
        <v>141</v>
      </c>
      <c r="Q14" s="586" t="s">
        <v>451</v>
      </c>
      <c r="R14" s="876" t="s">
        <v>452</v>
      </c>
      <c r="S14" s="884" t="s">
        <v>141</v>
      </c>
      <c r="T14" s="321"/>
      <c r="U14" s="386"/>
      <c r="X14" s="586" t="s">
        <v>460</v>
      </c>
      <c r="Y14" s="885">
        <f>tab!C$193</f>
        <v>0.6</v>
      </c>
      <c r="Z14" s="586" t="s">
        <v>461</v>
      </c>
      <c r="AA14" s="586" t="s">
        <v>462</v>
      </c>
      <c r="AB14" s="586" t="s">
        <v>463</v>
      </c>
      <c r="AC14" s="878" t="s">
        <v>464</v>
      </c>
      <c r="AD14" s="586" t="s">
        <v>464</v>
      </c>
      <c r="AE14" s="586" t="s">
        <v>465</v>
      </c>
      <c r="AF14" s="586"/>
      <c r="AG14" s="586" t="s">
        <v>140</v>
      </c>
      <c r="AH14" s="886" t="s">
        <v>147</v>
      </c>
      <c r="AI14" s="886" t="s">
        <v>147</v>
      </c>
      <c r="AJ14" s="881"/>
      <c r="AK14" s="586" t="s">
        <v>1</v>
      </c>
      <c r="AL14" s="879"/>
      <c r="AT14" s="317"/>
      <c r="AU14" s="317"/>
      <c r="AW14" s="894"/>
    </row>
    <row r="15" spans="2:49" ht="13.15" hidden="1" customHeight="1" x14ac:dyDescent="0.2">
      <c r="B15" s="316"/>
      <c r="C15" s="381"/>
      <c r="D15" s="334"/>
      <c r="E15" s="334"/>
      <c r="F15" s="334"/>
      <c r="G15" s="888"/>
      <c r="H15" s="889"/>
      <c r="I15" s="889"/>
      <c r="J15" s="890"/>
      <c r="K15" s="334"/>
      <c r="L15" s="891"/>
      <c r="M15" s="776"/>
      <c r="N15" s="776"/>
      <c r="O15" s="776"/>
      <c r="P15" s="892"/>
      <c r="Q15" s="893"/>
      <c r="R15" s="776"/>
      <c r="S15" s="776"/>
      <c r="T15" s="334"/>
      <c r="U15" s="386"/>
      <c r="X15" s="878"/>
      <c r="Y15" s="878"/>
      <c r="Z15" s="878"/>
      <c r="AA15" s="878"/>
      <c r="AB15" s="878"/>
      <c r="AC15" s="878"/>
      <c r="AD15" s="878"/>
      <c r="AE15" s="878"/>
      <c r="AF15" s="878"/>
      <c r="AG15" s="878"/>
      <c r="AL15" s="879"/>
      <c r="AT15" s="317"/>
      <c r="AU15" s="317"/>
      <c r="AW15" s="894"/>
    </row>
    <row r="16" spans="2:49" ht="13.15" hidden="1" customHeight="1" x14ac:dyDescent="0.2">
      <c r="B16" s="316"/>
      <c r="C16" s="381"/>
      <c r="D16" s="895"/>
      <c r="E16" s="895" t="s">
        <v>549</v>
      </c>
      <c r="F16" s="390"/>
      <c r="G16" s="896">
        <v>28140</v>
      </c>
      <c r="H16" s="33" t="s">
        <v>574</v>
      </c>
      <c r="I16" s="897">
        <v>9</v>
      </c>
      <c r="J16" s="898">
        <v>1</v>
      </c>
      <c r="K16" s="334"/>
      <c r="L16" s="1140"/>
      <c r="M16" s="1140"/>
      <c r="N16" s="899">
        <f>IF(J16="","",IF(J16*40&gt;40,40,J16*40))</f>
        <v>40</v>
      </c>
      <c r="O16" s="900">
        <f>IF(H16="","",IF(I16&lt;4,IF(40*J16&gt;40,40,40*J16),0))</f>
        <v>0</v>
      </c>
      <c r="P16" s="901">
        <f>IF(J16="","",SUM(L16:O16))</f>
        <v>40</v>
      </c>
      <c r="Q16" s="568">
        <f t="shared" ref="Q16:Q47" si="0">IF(J16="","",(1659*J16-P16)*AA16)</f>
        <v>66205.877275467166</v>
      </c>
      <c r="R16" s="902">
        <f>IF(J16="","",(P16*AB16)+Z16*(AC16+AD16*(1-AE16)))</f>
        <v>1635.7227245328513</v>
      </c>
      <c r="S16" s="903">
        <f t="shared" ref="S16:S47" si="1">IF(E16=0,0,SUM(Q16:R16))</f>
        <v>67841.60000000002</v>
      </c>
      <c r="T16" s="334"/>
      <c r="U16" s="386"/>
      <c r="X16" s="887">
        <f t="shared" ref="X16:X47" si="2">IF(H16="","",5/12*VLOOKUP(H16,Salaris2019,I16+1,FALSE)+7/12*VLOOKUP(H16,Salaris2020,I16+1,FALSE))</f>
        <v>3533.416666666667</v>
      </c>
      <c r="Y16" s="904">
        <f t="shared" ref="Y16:Y47" si="3">$Y$14</f>
        <v>0.6</v>
      </c>
      <c r="Z16" s="905">
        <f>X16*12/1659</f>
        <v>25.558167570825798</v>
      </c>
      <c r="AA16" s="905">
        <f>X16*12*(1+Y16)/1659</f>
        <v>40.893068113321284</v>
      </c>
      <c r="AB16" s="905">
        <f>AA16-Z16</f>
        <v>15.334900542495486</v>
      </c>
      <c r="AC16" s="906">
        <f t="shared" ref="AC16:AC47" si="4">N16+O16</f>
        <v>40</v>
      </c>
      <c r="AD16" s="907">
        <f t="shared" ref="AD16:AD47" si="5">SUM(L16:M16)</f>
        <v>0</v>
      </c>
      <c r="AE16" s="904">
        <f>IF(H16&gt;8,tab!C$194,tab!C$197)</f>
        <v>0.5</v>
      </c>
      <c r="AF16" s="907">
        <f t="shared" ref="AF16:AF47" si="6">IF(F16&lt;25,0,IF(F16=25,25,IF(F16&lt;40,0,IF(F16=40,40,IF(F16&gt;=40,0)))))</f>
        <v>0</v>
      </c>
      <c r="AG16" s="887">
        <f t="shared" ref="AG16:AG47" si="7">IF(AF16=25,(X16*1.08*J16/2),IF(AF16=40,(Y16*1.08*J16),IF(AF16=0,0)))</f>
        <v>0</v>
      </c>
      <c r="AH16" s="908" t="b">
        <f t="shared" ref="AH16:AH47" si="8">DATE(YEAR($E$9),MONTH(G16),DAY(G16))&gt;$E$9</f>
        <v>0</v>
      </c>
      <c r="AI16" s="815">
        <f t="shared" ref="AI16:AI47" si="9">YEAR($E$9)-YEAR(G16)-AH16</f>
        <v>42</v>
      </c>
      <c r="AJ16" s="867">
        <f t="shared" ref="AJ16:AJ47" si="10">IF((G16=""),30,AI16)</f>
        <v>42</v>
      </c>
      <c r="AK16" s="540">
        <f t="shared" ref="AK16:AK79" si="11">IF((AJ16)&gt;50,50,(AJ16))</f>
        <v>42</v>
      </c>
      <c r="AL16" s="909">
        <f>AK16*J16</f>
        <v>42</v>
      </c>
      <c r="AN16" s="539">
        <f>IF(AND(AL16&gt;0.01,AL16&lt;50.01),1,0)</f>
        <v>1</v>
      </c>
      <c r="AR16" s="941"/>
    </row>
    <row r="17" spans="2:47" ht="13.15" hidden="1" customHeight="1" x14ac:dyDescent="0.2">
      <c r="B17" s="316"/>
      <c r="C17" s="381"/>
      <c r="D17" s="895"/>
      <c r="E17" s="895"/>
      <c r="F17" s="390"/>
      <c r="G17" s="896"/>
      <c r="H17" s="33"/>
      <c r="I17" s="897"/>
      <c r="J17" s="898"/>
      <c r="K17" s="334"/>
      <c r="L17" s="1140"/>
      <c r="M17" s="1140"/>
      <c r="N17" s="899" t="str">
        <f t="shared" ref="N17:N80" si="12">IF(J17="","",IF(J17*40&gt;40,40,J17*40))</f>
        <v/>
      </c>
      <c r="O17" s="900" t="str">
        <f t="shared" ref="O17:O80" si="13">IF(H17="","",IF(I17&lt;4,IF(40*J17&gt;40,40,40*J17),0))</f>
        <v/>
      </c>
      <c r="P17" s="901" t="str">
        <f t="shared" ref="P17:P80" si="14">IF(J17="","",SUM(L17:O17))</f>
        <v/>
      </c>
      <c r="Q17" s="568" t="str">
        <f t="shared" si="0"/>
        <v/>
      </c>
      <c r="R17" s="902" t="str">
        <f t="shared" ref="R17:R80" si="15">IF(J17="","",(P17*AB17)+Z17*(AC17+AD17*(1-AE17)))</f>
        <v/>
      </c>
      <c r="S17" s="903">
        <f t="shared" si="1"/>
        <v>0</v>
      </c>
      <c r="T17" s="334"/>
      <c r="U17" s="386"/>
      <c r="X17" s="887" t="str">
        <f t="shared" si="2"/>
        <v/>
      </c>
      <c r="Y17" s="904">
        <f t="shared" si="3"/>
        <v>0.6</v>
      </c>
      <c r="Z17" s="905" t="e">
        <f t="shared" ref="Z17:Z80" si="16">X17*12/1659</f>
        <v>#VALUE!</v>
      </c>
      <c r="AA17" s="905" t="e">
        <f t="shared" ref="AA17:AA80" si="17">X17*12*(1+Y17)/1659</f>
        <v>#VALUE!</v>
      </c>
      <c r="AB17" s="905" t="e">
        <f t="shared" ref="AB17:AB80" si="18">AA17-Z17</f>
        <v>#VALUE!</v>
      </c>
      <c r="AC17" s="906" t="e">
        <f t="shared" si="4"/>
        <v>#VALUE!</v>
      </c>
      <c r="AD17" s="907">
        <f t="shared" si="5"/>
        <v>0</v>
      </c>
      <c r="AE17" s="904">
        <f>IF(H17&gt;8,tab!C$194,tab!C$197)</f>
        <v>0.4</v>
      </c>
      <c r="AF17" s="907">
        <f t="shared" si="6"/>
        <v>0</v>
      </c>
      <c r="AG17" s="887">
        <f t="shared" si="7"/>
        <v>0</v>
      </c>
      <c r="AH17" s="908" t="b">
        <f t="shared" si="8"/>
        <v>0</v>
      </c>
      <c r="AI17" s="815">
        <f t="shared" si="9"/>
        <v>119</v>
      </c>
      <c r="AJ17" s="867">
        <f t="shared" si="10"/>
        <v>30</v>
      </c>
      <c r="AK17" s="540">
        <f t="shared" si="11"/>
        <v>30</v>
      </c>
      <c r="AL17" s="909">
        <f t="shared" ref="AL17:AL47" si="19">(AK17*(SUM(J17:J17)))</f>
        <v>0</v>
      </c>
      <c r="AN17" s="539">
        <f t="shared" ref="AN17:AN80" si="20">IF(AND(AL17&gt;0.01,AL17&lt;50.01),1,0)</f>
        <v>0</v>
      </c>
      <c r="AR17" s="941"/>
      <c r="AT17" s="317"/>
      <c r="AU17" s="317"/>
    </row>
    <row r="18" spans="2:47" ht="13.15" hidden="1" customHeight="1" x14ac:dyDescent="0.2">
      <c r="B18" s="316"/>
      <c r="C18" s="381"/>
      <c r="D18" s="895"/>
      <c r="E18" s="895"/>
      <c r="F18" s="390"/>
      <c r="G18" s="896"/>
      <c r="H18" s="33"/>
      <c r="I18" s="897"/>
      <c r="J18" s="898"/>
      <c r="K18" s="334"/>
      <c r="L18" s="1140"/>
      <c r="M18" s="1140"/>
      <c r="N18" s="899" t="str">
        <f t="shared" si="12"/>
        <v/>
      </c>
      <c r="O18" s="900" t="str">
        <f t="shared" si="13"/>
        <v/>
      </c>
      <c r="P18" s="901" t="str">
        <f t="shared" si="14"/>
        <v/>
      </c>
      <c r="Q18" s="568" t="str">
        <f t="shared" si="0"/>
        <v/>
      </c>
      <c r="R18" s="902" t="str">
        <f t="shared" si="15"/>
        <v/>
      </c>
      <c r="S18" s="903">
        <f t="shared" si="1"/>
        <v>0</v>
      </c>
      <c r="T18" s="334"/>
      <c r="U18" s="386"/>
      <c r="X18" s="887" t="str">
        <f t="shared" si="2"/>
        <v/>
      </c>
      <c r="Y18" s="904">
        <f t="shared" si="3"/>
        <v>0.6</v>
      </c>
      <c r="Z18" s="905" t="e">
        <f t="shared" si="16"/>
        <v>#VALUE!</v>
      </c>
      <c r="AA18" s="905" t="e">
        <f t="shared" si="17"/>
        <v>#VALUE!</v>
      </c>
      <c r="AB18" s="905" t="e">
        <f t="shared" si="18"/>
        <v>#VALUE!</v>
      </c>
      <c r="AC18" s="906" t="e">
        <f t="shared" si="4"/>
        <v>#VALUE!</v>
      </c>
      <c r="AD18" s="907">
        <f t="shared" si="5"/>
        <v>0</v>
      </c>
      <c r="AE18" s="904">
        <f>IF(H18&gt;8,tab!C$194,tab!C$197)</f>
        <v>0.4</v>
      </c>
      <c r="AF18" s="907">
        <f t="shared" si="6"/>
        <v>0</v>
      </c>
      <c r="AG18" s="887">
        <f t="shared" si="7"/>
        <v>0</v>
      </c>
      <c r="AH18" s="908" t="b">
        <f t="shared" si="8"/>
        <v>0</v>
      </c>
      <c r="AI18" s="815">
        <f t="shared" si="9"/>
        <v>119</v>
      </c>
      <c r="AJ18" s="867">
        <f t="shared" si="10"/>
        <v>30</v>
      </c>
      <c r="AK18" s="540">
        <f t="shared" si="11"/>
        <v>30</v>
      </c>
      <c r="AL18" s="909">
        <f t="shared" si="19"/>
        <v>0</v>
      </c>
      <c r="AN18" s="539">
        <f t="shared" si="20"/>
        <v>0</v>
      </c>
      <c r="AR18" s="941"/>
      <c r="AT18" s="317"/>
      <c r="AU18" s="317"/>
    </row>
    <row r="19" spans="2:47" ht="13.15" hidden="1" customHeight="1" x14ac:dyDescent="0.2">
      <c r="B19" s="316"/>
      <c r="C19" s="381"/>
      <c r="D19" s="895"/>
      <c r="E19" s="895"/>
      <c r="F19" s="390"/>
      <c r="G19" s="896"/>
      <c r="H19" s="33"/>
      <c r="I19" s="897"/>
      <c r="J19" s="898"/>
      <c r="K19" s="334"/>
      <c r="L19" s="1140"/>
      <c r="M19" s="1140"/>
      <c r="N19" s="899" t="str">
        <f t="shared" si="12"/>
        <v/>
      </c>
      <c r="O19" s="900" t="str">
        <f t="shared" si="13"/>
        <v/>
      </c>
      <c r="P19" s="901" t="str">
        <f t="shared" si="14"/>
        <v/>
      </c>
      <c r="Q19" s="568" t="str">
        <f t="shared" si="0"/>
        <v/>
      </c>
      <c r="R19" s="902" t="str">
        <f t="shared" si="15"/>
        <v/>
      </c>
      <c r="S19" s="903">
        <f t="shared" si="1"/>
        <v>0</v>
      </c>
      <c r="T19" s="334"/>
      <c r="U19" s="386"/>
      <c r="X19" s="887" t="str">
        <f t="shared" si="2"/>
        <v/>
      </c>
      <c r="Y19" s="904">
        <f t="shared" si="3"/>
        <v>0.6</v>
      </c>
      <c r="Z19" s="905" t="e">
        <f t="shared" si="16"/>
        <v>#VALUE!</v>
      </c>
      <c r="AA19" s="905" t="e">
        <f t="shared" si="17"/>
        <v>#VALUE!</v>
      </c>
      <c r="AB19" s="905" t="e">
        <f t="shared" si="18"/>
        <v>#VALUE!</v>
      </c>
      <c r="AC19" s="906" t="e">
        <f t="shared" si="4"/>
        <v>#VALUE!</v>
      </c>
      <c r="AD19" s="907">
        <f t="shared" si="5"/>
        <v>0</v>
      </c>
      <c r="AE19" s="904">
        <f>IF(H19&gt;8,tab!C$194,tab!C$197)</f>
        <v>0.4</v>
      </c>
      <c r="AF19" s="907">
        <f t="shared" si="6"/>
        <v>0</v>
      </c>
      <c r="AG19" s="887">
        <f t="shared" si="7"/>
        <v>0</v>
      </c>
      <c r="AH19" s="908" t="b">
        <f t="shared" si="8"/>
        <v>0</v>
      </c>
      <c r="AI19" s="815">
        <f t="shared" si="9"/>
        <v>119</v>
      </c>
      <c r="AJ19" s="867">
        <f t="shared" si="10"/>
        <v>30</v>
      </c>
      <c r="AK19" s="540">
        <f t="shared" si="11"/>
        <v>30</v>
      </c>
      <c r="AL19" s="909">
        <f t="shared" si="19"/>
        <v>0</v>
      </c>
      <c r="AN19" s="539">
        <f t="shared" si="20"/>
        <v>0</v>
      </c>
      <c r="AR19" s="941"/>
      <c r="AT19" s="317"/>
      <c r="AU19" s="317"/>
    </row>
    <row r="20" spans="2:47" ht="13.15" hidden="1" customHeight="1" x14ac:dyDescent="0.2">
      <c r="B20" s="316"/>
      <c r="C20" s="381"/>
      <c r="D20" s="895"/>
      <c r="E20" s="895"/>
      <c r="F20" s="390"/>
      <c r="G20" s="896"/>
      <c r="H20" s="33"/>
      <c r="I20" s="897"/>
      <c r="J20" s="898"/>
      <c r="K20" s="334"/>
      <c r="L20" s="1140"/>
      <c r="M20" s="1140"/>
      <c r="N20" s="899" t="str">
        <f t="shared" si="12"/>
        <v/>
      </c>
      <c r="O20" s="900" t="str">
        <f t="shared" si="13"/>
        <v/>
      </c>
      <c r="P20" s="901" t="str">
        <f t="shared" si="14"/>
        <v/>
      </c>
      <c r="Q20" s="568" t="str">
        <f t="shared" si="0"/>
        <v/>
      </c>
      <c r="R20" s="902" t="str">
        <f t="shared" si="15"/>
        <v/>
      </c>
      <c r="S20" s="903">
        <f t="shared" si="1"/>
        <v>0</v>
      </c>
      <c r="T20" s="334"/>
      <c r="U20" s="386"/>
      <c r="X20" s="887" t="str">
        <f t="shared" si="2"/>
        <v/>
      </c>
      <c r="Y20" s="904">
        <f t="shared" si="3"/>
        <v>0.6</v>
      </c>
      <c r="Z20" s="905" t="e">
        <f t="shared" si="16"/>
        <v>#VALUE!</v>
      </c>
      <c r="AA20" s="905" t="e">
        <f t="shared" si="17"/>
        <v>#VALUE!</v>
      </c>
      <c r="AB20" s="905" t="e">
        <f t="shared" si="18"/>
        <v>#VALUE!</v>
      </c>
      <c r="AC20" s="906" t="e">
        <f t="shared" si="4"/>
        <v>#VALUE!</v>
      </c>
      <c r="AD20" s="907">
        <f t="shared" si="5"/>
        <v>0</v>
      </c>
      <c r="AE20" s="904">
        <f>IF(H20&gt;8,tab!C$194,tab!C$197)</f>
        <v>0.4</v>
      </c>
      <c r="AF20" s="907">
        <f t="shared" si="6"/>
        <v>0</v>
      </c>
      <c r="AG20" s="887">
        <f t="shared" si="7"/>
        <v>0</v>
      </c>
      <c r="AH20" s="908" t="b">
        <f t="shared" si="8"/>
        <v>0</v>
      </c>
      <c r="AI20" s="815">
        <f t="shared" si="9"/>
        <v>119</v>
      </c>
      <c r="AJ20" s="867">
        <f t="shared" si="10"/>
        <v>30</v>
      </c>
      <c r="AK20" s="540">
        <f t="shared" si="11"/>
        <v>30</v>
      </c>
      <c r="AL20" s="909">
        <f t="shared" si="19"/>
        <v>0</v>
      </c>
      <c r="AN20" s="539">
        <f t="shared" si="20"/>
        <v>0</v>
      </c>
      <c r="AR20" s="941"/>
      <c r="AT20" s="317"/>
      <c r="AU20" s="317"/>
    </row>
    <row r="21" spans="2:47" ht="13.15" hidden="1" customHeight="1" x14ac:dyDescent="0.2">
      <c r="B21" s="316"/>
      <c r="C21" s="381"/>
      <c r="D21" s="895"/>
      <c r="E21" s="895"/>
      <c r="F21" s="390"/>
      <c r="G21" s="896"/>
      <c r="H21" s="33"/>
      <c r="I21" s="897"/>
      <c r="J21" s="898"/>
      <c r="K21" s="334"/>
      <c r="L21" s="1140"/>
      <c r="M21" s="1140"/>
      <c r="N21" s="899" t="str">
        <f t="shared" si="12"/>
        <v/>
      </c>
      <c r="O21" s="900" t="str">
        <f t="shared" si="13"/>
        <v/>
      </c>
      <c r="P21" s="901" t="str">
        <f t="shared" si="14"/>
        <v/>
      </c>
      <c r="Q21" s="568" t="str">
        <f t="shared" si="0"/>
        <v/>
      </c>
      <c r="R21" s="902" t="str">
        <f t="shared" si="15"/>
        <v/>
      </c>
      <c r="S21" s="903">
        <f t="shared" si="1"/>
        <v>0</v>
      </c>
      <c r="T21" s="334"/>
      <c r="U21" s="386"/>
      <c r="X21" s="887" t="str">
        <f t="shared" si="2"/>
        <v/>
      </c>
      <c r="Y21" s="904">
        <f t="shared" si="3"/>
        <v>0.6</v>
      </c>
      <c r="Z21" s="905" t="e">
        <f t="shared" si="16"/>
        <v>#VALUE!</v>
      </c>
      <c r="AA21" s="905" t="e">
        <f t="shared" si="17"/>
        <v>#VALUE!</v>
      </c>
      <c r="AB21" s="905" t="e">
        <f t="shared" si="18"/>
        <v>#VALUE!</v>
      </c>
      <c r="AC21" s="906" t="e">
        <f t="shared" si="4"/>
        <v>#VALUE!</v>
      </c>
      <c r="AD21" s="907">
        <f t="shared" si="5"/>
        <v>0</v>
      </c>
      <c r="AE21" s="904">
        <f>IF(H21&gt;8,tab!C$194,tab!C$197)</f>
        <v>0.4</v>
      </c>
      <c r="AF21" s="907">
        <f t="shared" si="6"/>
        <v>0</v>
      </c>
      <c r="AG21" s="887">
        <f t="shared" si="7"/>
        <v>0</v>
      </c>
      <c r="AH21" s="908" t="b">
        <f t="shared" si="8"/>
        <v>0</v>
      </c>
      <c r="AI21" s="815">
        <f t="shared" si="9"/>
        <v>119</v>
      </c>
      <c r="AJ21" s="867">
        <f t="shared" si="10"/>
        <v>30</v>
      </c>
      <c r="AK21" s="540">
        <f t="shared" si="11"/>
        <v>30</v>
      </c>
      <c r="AL21" s="909">
        <f t="shared" si="19"/>
        <v>0</v>
      </c>
      <c r="AN21" s="539">
        <f t="shared" si="20"/>
        <v>0</v>
      </c>
      <c r="AR21" s="941"/>
      <c r="AT21" s="317"/>
      <c r="AU21" s="317"/>
    </row>
    <row r="22" spans="2:47" ht="13.15" hidden="1" customHeight="1" x14ac:dyDescent="0.2">
      <c r="B22" s="316"/>
      <c r="C22" s="381"/>
      <c r="D22" s="895"/>
      <c r="E22" s="895"/>
      <c r="F22" s="390"/>
      <c r="G22" s="896"/>
      <c r="H22" s="33"/>
      <c r="I22" s="897"/>
      <c r="J22" s="898"/>
      <c r="K22" s="334"/>
      <c r="L22" s="1140"/>
      <c r="M22" s="1140"/>
      <c r="N22" s="899" t="str">
        <f t="shared" si="12"/>
        <v/>
      </c>
      <c r="O22" s="900" t="str">
        <f t="shared" si="13"/>
        <v/>
      </c>
      <c r="P22" s="901" t="str">
        <f t="shared" si="14"/>
        <v/>
      </c>
      <c r="Q22" s="568" t="str">
        <f t="shared" si="0"/>
        <v/>
      </c>
      <c r="R22" s="902" t="str">
        <f t="shared" si="15"/>
        <v/>
      </c>
      <c r="S22" s="903">
        <f t="shared" si="1"/>
        <v>0</v>
      </c>
      <c r="T22" s="334"/>
      <c r="U22" s="386"/>
      <c r="X22" s="887" t="str">
        <f t="shared" si="2"/>
        <v/>
      </c>
      <c r="Y22" s="904">
        <f t="shared" si="3"/>
        <v>0.6</v>
      </c>
      <c r="Z22" s="905" t="e">
        <f t="shared" si="16"/>
        <v>#VALUE!</v>
      </c>
      <c r="AA22" s="905" t="e">
        <f t="shared" si="17"/>
        <v>#VALUE!</v>
      </c>
      <c r="AB22" s="905" t="e">
        <f t="shared" si="18"/>
        <v>#VALUE!</v>
      </c>
      <c r="AC22" s="906" t="e">
        <f t="shared" si="4"/>
        <v>#VALUE!</v>
      </c>
      <c r="AD22" s="907">
        <f t="shared" si="5"/>
        <v>0</v>
      </c>
      <c r="AE22" s="904">
        <f>IF(H22&gt;8,tab!C$194,tab!C$197)</f>
        <v>0.4</v>
      </c>
      <c r="AF22" s="907">
        <f t="shared" si="6"/>
        <v>0</v>
      </c>
      <c r="AG22" s="887">
        <f t="shared" si="7"/>
        <v>0</v>
      </c>
      <c r="AH22" s="908" t="b">
        <f t="shared" si="8"/>
        <v>0</v>
      </c>
      <c r="AI22" s="815">
        <f t="shared" si="9"/>
        <v>119</v>
      </c>
      <c r="AJ22" s="867">
        <f t="shared" si="10"/>
        <v>30</v>
      </c>
      <c r="AK22" s="540">
        <f t="shared" si="11"/>
        <v>30</v>
      </c>
      <c r="AL22" s="909">
        <f t="shared" si="19"/>
        <v>0</v>
      </c>
      <c r="AN22" s="539">
        <f t="shared" si="20"/>
        <v>0</v>
      </c>
      <c r="AR22" s="941"/>
      <c r="AT22" s="317"/>
      <c r="AU22" s="317"/>
    </row>
    <row r="23" spans="2:47" ht="13.15" hidden="1" customHeight="1" x14ac:dyDescent="0.2">
      <c r="B23" s="316"/>
      <c r="C23" s="381"/>
      <c r="D23" s="895"/>
      <c r="E23" s="895"/>
      <c r="F23" s="390"/>
      <c r="G23" s="896"/>
      <c r="H23" s="33"/>
      <c r="I23" s="897"/>
      <c r="J23" s="898"/>
      <c r="K23" s="334"/>
      <c r="L23" s="1140"/>
      <c r="M23" s="1140"/>
      <c r="N23" s="899" t="str">
        <f t="shared" si="12"/>
        <v/>
      </c>
      <c r="O23" s="900" t="str">
        <f t="shared" si="13"/>
        <v/>
      </c>
      <c r="P23" s="901" t="str">
        <f t="shared" si="14"/>
        <v/>
      </c>
      <c r="Q23" s="568" t="str">
        <f t="shared" si="0"/>
        <v/>
      </c>
      <c r="R23" s="902" t="str">
        <f t="shared" si="15"/>
        <v/>
      </c>
      <c r="S23" s="903">
        <f t="shared" si="1"/>
        <v>0</v>
      </c>
      <c r="T23" s="334"/>
      <c r="U23" s="386"/>
      <c r="X23" s="887" t="str">
        <f t="shared" si="2"/>
        <v/>
      </c>
      <c r="Y23" s="904">
        <f t="shared" si="3"/>
        <v>0.6</v>
      </c>
      <c r="Z23" s="905" t="e">
        <f t="shared" si="16"/>
        <v>#VALUE!</v>
      </c>
      <c r="AA23" s="905" t="e">
        <f t="shared" si="17"/>
        <v>#VALUE!</v>
      </c>
      <c r="AB23" s="905" t="e">
        <f t="shared" si="18"/>
        <v>#VALUE!</v>
      </c>
      <c r="AC23" s="906" t="e">
        <f t="shared" si="4"/>
        <v>#VALUE!</v>
      </c>
      <c r="AD23" s="907">
        <f t="shared" si="5"/>
        <v>0</v>
      </c>
      <c r="AE23" s="904">
        <f>IF(H23&gt;8,tab!C$194,tab!C$197)</f>
        <v>0.4</v>
      </c>
      <c r="AF23" s="907">
        <f t="shared" si="6"/>
        <v>0</v>
      </c>
      <c r="AG23" s="887">
        <f t="shared" si="7"/>
        <v>0</v>
      </c>
      <c r="AH23" s="908" t="b">
        <f t="shared" si="8"/>
        <v>0</v>
      </c>
      <c r="AI23" s="815">
        <f t="shared" si="9"/>
        <v>119</v>
      </c>
      <c r="AJ23" s="867">
        <f t="shared" si="10"/>
        <v>30</v>
      </c>
      <c r="AK23" s="540">
        <f t="shared" si="11"/>
        <v>30</v>
      </c>
      <c r="AL23" s="909">
        <f t="shared" si="19"/>
        <v>0</v>
      </c>
      <c r="AN23" s="539">
        <f t="shared" si="20"/>
        <v>0</v>
      </c>
      <c r="AR23" s="941"/>
      <c r="AT23" s="317"/>
      <c r="AU23" s="317"/>
    </row>
    <row r="24" spans="2:47" ht="13.15" hidden="1" customHeight="1" x14ac:dyDescent="0.2">
      <c r="B24" s="316"/>
      <c r="C24" s="381"/>
      <c r="D24" s="895"/>
      <c r="E24" s="895"/>
      <c r="F24" s="390"/>
      <c r="G24" s="896"/>
      <c r="H24" s="33"/>
      <c r="I24" s="897"/>
      <c r="J24" s="898"/>
      <c r="K24" s="334"/>
      <c r="L24" s="1140"/>
      <c r="M24" s="1140"/>
      <c r="N24" s="899" t="str">
        <f t="shared" si="12"/>
        <v/>
      </c>
      <c r="O24" s="900" t="str">
        <f t="shared" si="13"/>
        <v/>
      </c>
      <c r="P24" s="901" t="str">
        <f t="shared" si="14"/>
        <v/>
      </c>
      <c r="Q24" s="568" t="str">
        <f t="shared" si="0"/>
        <v/>
      </c>
      <c r="R24" s="902" t="str">
        <f t="shared" si="15"/>
        <v/>
      </c>
      <c r="S24" s="903">
        <f t="shared" si="1"/>
        <v>0</v>
      </c>
      <c r="T24" s="334"/>
      <c r="U24" s="386"/>
      <c r="X24" s="887" t="str">
        <f t="shared" si="2"/>
        <v/>
      </c>
      <c r="Y24" s="904">
        <f t="shared" si="3"/>
        <v>0.6</v>
      </c>
      <c r="Z24" s="905" t="e">
        <f t="shared" si="16"/>
        <v>#VALUE!</v>
      </c>
      <c r="AA24" s="905" t="e">
        <f t="shared" si="17"/>
        <v>#VALUE!</v>
      </c>
      <c r="AB24" s="905" t="e">
        <f t="shared" si="18"/>
        <v>#VALUE!</v>
      </c>
      <c r="AC24" s="906" t="e">
        <f t="shared" si="4"/>
        <v>#VALUE!</v>
      </c>
      <c r="AD24" s="907">
        <f t="shared" si="5"/>
        <v>0</v>
      </c>
      <c r="AE24" s="904">
        <f>IF(H24&gt;8,tab!C$194,tab!C$197)</f>
        <v>0.4</v>
      </c>
      <c r="AF24" s="907">
        <f t="shared" si="6"/>
        <v>0</v>
      </c>
      <c r="AG24" s="887">
        <f t="shared" si="7"/>
        <v>0</v>
      </c>
      <c r="AH24" s="908" t="b">
        <f t="shared" si="8"/>
        <v>0</v>
      </c>
      <c r="AI24" s="815">
        <f t="shared" si="9"/>
        <v>119</v>
      </c>
      <c r="AJ24" s="867">
        <f t="shared" si="10"/>
        <v>30</v>
      </c>
      <c r="AK24" s="540">
        <f t="shared" si="11"/>
        <v>30</v>
      </c>
      <c r="AL24" s="909">
        <f t="shared" si="19"/>
        <v>0</v>
      </c>
      <c r="AN24" s="539">
        <f t="shared" si="20"/>
        <v>0</v>
      </c>
      <c r="AR24" s="941"/>
      <c r="AT24" s="317"/>
      <c r="AU24" s="317"/>
    </row>
    <row r="25" spans="2:47" ht="13.15" hidden="1" customHeight="1" x14ac:dyDescent="0.2">
      <c r="B25" s="316"/>
      <c r="C25" s="381"/>
      <c r="D25" s="895"/>
      <c r="E25" s="895"/>
      <c r="F25" s="390"/>
      <c r="G25" s="896"/>
      <c r="H25" s="33"/>
      <c r="I25" s="897"/>
      <c r="J25" s="898"/>
      <c r="K25" s="334"/>
      <c r="L25" s="1140"/>
      <c r="M25" s="1140"/>
      <c r="N25" s="899" t="str">
        <f t="shared" si="12"/>
        <v/>
      </c>
      <c r="O25" s="900" t="str">
        <f t="shared" si="13"/>
        <v/>
      </c>
      <c r="P25" s="901" t="str">
        <f t="shared" si="14"/>
        <v/>
      </c>
      <c r="Q25" s="568" t="str">
        <f t="shared" si="0"/>
        <v/>
      </c>
      <c r="R25" s="902" t="str">
        <f t="shared" si="15"/>
        <v/>
      </c>
      <c r="S25" s="903">
        <f t="shared" si="1"/>
        <v>0</v>
      </c>
      <c r="T25" s="334"/>
      <c r="U25" s="386"/>
      <c r="X25" s="887" t="str">
        <f t="shared" si="2"/>
        <v/>
      </c>
      <c r="Y25" s="904">
        <f t="shared" si="3"/>
        <v>0.6</v>
      </c>
      <c r="Z25" s="905" t="e">
        <f t="shared" si="16"/>
        <v>#VALUE!</v>
      </c>
      <c r="AA25" s="905" t="e">
        <f t="shared" si="17"/>
        <v>#VALUE!</v>
      </c>
      <c r="AB25" s="905" t="e">
        <f t="shared" si="18"/>
        <v>#VALUE!</v>
      </c>
      <c r="AC25" s="906" t="e">
        <f t="shared" si="4"/>
        <v>#VALUE!</v>
      </c>
      <c r="AD25" s="907">
        <f t="shared" si="5"/>
        <v>0</v>
      </c>
      <c r="AE25" s="904">
        <f>IF(H25&gt;8,tab!C$194,tab!C$197)</f>
        <v>0.4</v>
      </c>
      <c r="AF25" s="907">
        <f t="shared" si="6"/>
        <v>0</v>
      </c>
      <c r="AG25" s="887">
        <f t="shared" si="7"/>
        <v>0</v>
      </c>
      <c r="AH25" s="908" t="b">
        <f t="shared" si="8"/>
        <v>0</v>
      </c>
      <c r="AI25" s="815">
        <f t="shared" si="9"/>
        <v>119</v>
      </c>
      <c r="AJ25" s="867">
        <f t="shared" si="10"/>
        <v>30</v>
      </c>
      <c r="AK25" s="540">
        <f t="shared" si="11"/>
        <v>30</v>
      </c>
      <c r="AL25" s="909">
        <f t="shared" si="19"/>
        <v>0</v>
      </c>
      <c r="AN25" s="539">
        <f t="shared" si="20"/>
        <v>0</v>
      </c>
      <c r="AR25" s="941"/>
      <c r="AT25" s="317"/>
      <c r="AU25" s="317"/>
    </row>
    <row r="26" spans="2:47" ht="13.15" hidden="1" customHeight="1" x14ac:dyDescent="0.2">
      <c r="B26" s="316"/>
      <c r="C26" s="381"/>
      <c r="D26" s="895"/>
      <c r="E26" s="895"/>
      <c r="F26" s="390"/>
      <c r="G26" s="896"/>
      <c r="H26" s="33"/>
      <c r="I26" s="897"/>
      <c r="J26" s="898"/>
      <c r="K26" s="334"/>
      <c r="L26" s="1140"/>
      <c r="M26" s="1140"/>
      <c r="N26" s="899" t="str">
        <f t="shared" si="12"/>
        <v/>
      </c>
      <c r="O26" s="900" t="str">
        <f t="shared" si="13"/>
        <v/>
      </c>
      <c r="P26" s="901" t="str">
        <f t="shared" si="14"/>
        <v/>
      </c>
      <c r="Q26" s="568" t="str">
        <f t="shared" si="0"/>
        <v/>
      </c>
      <c r="R26" s="902" t="str">
        <f t="shared" si="15"/>
        <v/>
      </c>
      <c r="S26" s="903">
        <f t="shared" si="1"/>
        <v>0</v>
      </c>
      <c r="T26" s="334"/>
      <c r="U26" s="386"/>
      <c r="X26" s="887" t="str">
        <f t="shared" si="2"/>
        <v/>
      </c>
      <c r="Y26" s="904">
        <f t="shared" si="3"/>
        <v>0.6</v>
      </c>
      <c r="Z26" s="905" t="e">
        <f t="shared" si="16"/>
        <v>#VALUE!</v>
      </c>
      <c r="AA26" s="905" t="e">
        <f t="shared" si="17"/>
        <v>#VALUE!</v>
      </c>
      <c r="AB26" s="905" t="e">
        <f t="shared" si="18"/>
        <v>#VALUE!</v>
      </c>
      <c r="AC26" s="906" t="e">
        <f t="shared" si="4"/>
        <v>#VALUE!</v>
      </c>
      <c r="AD26" s="907">
        <f t="shared" si="5"/>
        <v>0</v>
      </c>
      <c r="AE26" s="904">
        <f>IF(H26&gt;8,tab!C$194,tab!C$197)</f>
        <v>0.4</v>
      </c>
      <c r="AF26" s="907">
        <f t="shared" si="6"/>
        <v>0</v>
      </c>
      <c r="AG26" s="887">
        <f t="shared" si="7"/>
        <v>0</v>
      </c>
      <c r="AH26" s="908" t="b">
        <f t="shared" si="8"/>
        <v>0</v>
      </c>
      <c r="AI26" s="815">
        <f t="shared" si="9"/>
        <v>119</v>
      </c>
      <c r="AJ26" s="867">
        <f t="shared" si="10"/>
        <v>30</v>
      </c>
      <c r="AK26" s="540">
        <f t="shared" si="11"/>
        <v>30</v>
      </c>
      <c r="AL26" s="909">
        <f t="shared" si="19"/>
        <v>0</v>
      </c>
      <c r="AN26" s="539">
        <f t="shared" si="20"/>
        <v>0</v>
      </c>
      <c r="AR26" s="941"/>
      <c r="AT26" s="317"/>
      <c r="AU26" s="317"/>
    </row>
    <row r="27" spans="2:47" ht="13.15" hidden="1" customHeight="1" x14ac:dyDescent="0.2">
      <c r="B27" s="316"/>
      <c r="C27" s="381"/>
      <c r="D27" s="895"/>
      <c r="E27" s="895"/>
      <c r="F27" s="390"/>
      <c r="G27" s="896"/>
      <c r="H27" s="33"/>
      <c r="I27" s="897"/>
      <c r="J27" s="898"/>
      <c r="K27" s="334"/>
      <c r="L27" s="1140"/>
      <c r="M27" s="1140"/>
      <c r="N27" s="899" t="str">
        <f t="shared" si="12"/>
        <v/>
      </c>
      <c r="O27" s="900" t="str">
        <f t="shared" si="13"/>
        <v/>
      </c>
      <c r="P27" s="901" t="str">
        <f t="shared" si="14"/>
        <v/>
      </c>
      <c r="Q27" s="568" t="str">
        <f t="shared" si="0"/>
        <v/>
      </c>
      <c r="R27" s="902" t="str">
        <f t="shared" si="15"/>
        <v/>
      </c>
      <c r="S27" s="903">
        <f t="shared" si="1"/>
        <v>0</v>
      </c>
      <c r="T27" s="334"/>
      <c r="U27" s="386"/>
      <c r="X27" s="887" t="str">
        <f t="shared" si="2"/>
        <v/>
      </c>
      <c r="Y27" s="904">
        <f t="shared" si="3"/>
        <v>0.6</v>
      </c>
      <c r="Z27" s="905" t="e">
        <f t="shared" si="16"/>
        <v>#VALUE!</v>
      </c>
      <c r="AA27" s="905" t="e">
        <f t="shared" si="17"/>
        <v>#VALUE!</v>
      </c>
      <c r="AB27" s="905" t="e">
        <f t="shared" si="18"/>
        <v>#VALUE!</v>
      </c>
      <c r="AC27" s="906" t="e">
        <f t="shared" si="4"/>
        <v>#VALUE!</v>
      </c>
      <c r="AD27" s="907">
        <f t="shared" si="5"/>
        <v>0</v>
      </c>
      <c r="AE27" s="904">
        <f>IF(H27&gt;8,tab!C$194,tab!C$197)</f>
        <v>0.4</v>
      </c>
      <c r="AF27" s="907">
        <f t="shared" si="6"/>
        <v>0</v>
      </c>
      <c r="AG27" s="887">
        <f t="shared" si="7"/>
        <v>0</v>
      </c>
      <c r="AH27" s="908" t="b">
        <f t="shared" si="8"/>
        <v>0</v>
      </c>
      <c r="AI27" s="815">
        <f t="shared" si="9"/>
        <v>119</v>
      </c>
      <c r="AJ27" s="867">
        <f t="shared" si="10"/>
        <v>30</v>
      </c>
      <c r="AK27" s="540">
        <f t="shared" si="11"/>
        <v>30</v>
      </c>
      <c r="AL27" s="909">
        <f t="shared" si="19"/>
        <v>0</v>
      </c>
      <c r="AN27" s="539">
        <f t="shared" si="20"/>
        <v>0</v>
      </c>
      <c r="AR27" s="941"/>
      <c r="AT27" s="317"/>
      <c r="AU27" s="317"/>
    </row>
    <row r="28" spans="2:47" ht="13.15" hidden="1" customHeight="1" x14ac:dyDescent="0.2">
      <c r="B28" s="316"/>
      <c r="C28" s="381"/>
      <c r="D28" s="895"/>
      <c r="E28" s="895"/>
      <c r="F28" s="390"/>
      <c r="G28" s="896"/>
      <c r="H28" s="33"/>
      <c r="I28" s="897"/>
      <c r="J28" s="898"/>
      <c r="K28" s="334"/>
      <c r="L28" s="1140"/>
      <c r="M28" s="1140"/>
      <c r="N28" s="899" t="str">
        <f t="shared" si="12"/>
        <v/>
      </c>
      <c r="O28" s="900" t="str">
        <f t="shared" si="13"/>
        <v/>
      </c>
      <c r="P28" s="901" t="str">
        <f t="shared" si="14"/>
        <v/>
      </c>
      <c r="Q28" s="568" t="str">
        <f t="shared" si="0"/>
        <v/>
      </c>
      <c r="R28" s="902" t="str">
        <f t="shared" si="15"/>
        <v/>
      </c>
      <c r="S28" s="903">
        <f t="shared" si="1"/>
        <v>0</v>
      </c>
      <c r="T28" s="334"/>
      <c r="U28" s="386"/>
      <c r="X28" s="887" t="str">
        <f t="shared" si="2"/>
        <v/>
      </c>
      <c r="Y28" s="904">
        <f t="shared" si="3"/>
        <v>0.6</v>
      </c>
      <c r="Z28" s="905" t="e">
        <f t="shared" si="16"/>
        <v>#VALUE!</v>
      </c>
      <c r="AA28" s="905" t="e">
        <f t="shared" si="17"/>
        <v>#VALUE!</v>
      </c>
      <c r="AB28" s="905" t="e">
        <f t="shared" si="18"/>
        <v>#VALUE!</v>
      </c>
      <c r="AC28" s="906" t="e">
        <f t="shared" si="4"/>
        <v>#VALUE!</v>
      </c>
      <c r="AD28" s="907">
        <f t="shared" si="5"/>
        <v>0</v>
      </c>
      <c r="AE28" s="904">
        <f>IF(H28&gt;8,tab!C$194,tab!C$197)</f>
        <v>0.4</v>
      </c>
      <c r="AF28" s="907">
        <f t="shared" si="6"/>
        <v>0</v>
      </c>
      <c r="AG28" s="887">
        <f t="shared" si="7"/>
        <v>0</v>
      </c>
      <c r="AH28" s="908" t="b">
        <f t="shared" si="8"/>
        <v>0</v>
      </c>
      <c r="AI28" s="815">
        <f t="shared" si="9"/>
        <v>119</v>
      </c>
      <c r="AJ28" s="867">
        <f t="shared" si="10"/>
        <v>30</v>
      </c>
      <c r="AK28" s="540">
        <f t="shared" si="11"/>
        <v>30</v>
      </c>
      <c r="AL28" s="909">
        <f t="shared" si="19"/>
        <v>0</v>
      </c>
      <c r="AN28" s="539">
        <f t="shared" si="20"/>
        <v>0</v>
      </c>
      <c r="AR28" s="941"/>
      <c r="AT28" s="317"/>
      <c r="AU28" s="317"/>
    </row>
    <row r="29" spans="2:47" ht="13.15" hidden="1" customHeight="1" x14ac:dyDescent="0.2">
      <c r="B29" s="316"/>
      <c r="C29" s="381"/>
      <c r="D29" s="895"/>
      <c r="E29" s="895"/>
      <c r="F29" s="390"/>
      <c r="G29" s="896"/>
      <c r="H29" s="33"/>
      <c r="I29" s="897"/>
      <c r="J29" s="898"/>
      <c r="K29" s="334"/>
      <c r="L29" s="1140"/>
      <c r="M29" s="1140"/>
      <c r="N29" s="899" t="str">
        <f t="shared" si="12"/>
        <v/>
      </c>
      <c r="O29" s="900" t="str">
        <f t="shared" si="13"/>
        <v/>
      </c>
      <c r="P29" s="901" t="str">
        <f t="shared" si="14"/>
        <v/>
      </c>
      <c r="Q29" s="568" t="str">
        <f t="shared" si="0"/>
        <v/>
      </c>
      <c r="R29" s="902" t="str">
        <f t="shared" si="15"/>
        <v/>
      </c>
      <c r="S29" s="903">
        <f t="shared" si="1"/>
        <v>0</v>
      </c>
      <c r="T29" s="334"/>
      <c r="U29" s="386"/>
      <c r="X29" s="887" t="str">
        <f t="shared" si="2"/>
        <v/>
      </c>
      <c r="Y29" s="904">
        <f t="shared" si="3"/>
        <v>0.6</v>
      </c>
      <c r="Z29" s="905" t="e">
        <f t="shared" si="16"/>
        <v>#VALUE!</v>
      </c>
      <c r="AA29" s="905" t="e">
        <f t="shared" si="17"/>
        <v>#VALUE!</v>
      </c>
      <c r="AB29" s="905" t="e">
        <f t="shared" si="18"/>
        <v>#VALUE!</v>
      </c>
      <c r="AC29" s="906" t="e">
        <f t="shared" si="4"/>
        <v>#VALUE!</v>
      </c>
      <c r="AD29" s="907">
        <f t="shared" si="5"/>
        <v>0</v>
      </c>
      <c r="AE29" s="904">
        <f>IF(H29&gt;8,tab!C$194,tab!C$197)</f>
        <v>0.4</v>
      </c>
      <c r="AF29" s="907">
        <f t="shared" si="6"/>
        <v>0</v>
      </c>
      <c r="AG29" s="887">
        <f t="shared" si="7"/>
        <v>0</v>
      </c>
      <c r="AH29" s="908" t="b">
        <f t="shared" si="8"/>
        <v>0</v>
      </c>
      <c r="AI29" s="815">
        <f t="shared" si="9"/>
        <v>119</v>
      </c>
      <c r="AJ29" s="867">
        <f t="shared" si="10"/>
        <v>30</v>
      </c>
      <c r="AK29" s="540">
        <f t="shared" si="11"/>
        <v>30</v>
      </c>
      <c r="AL29" s="909">
        <f t="shared" si="19"/>
        <v>0</v>
      </c>
      <c r="AN29" s="539">
        <f t="shared" si="20"/>
        <v>0</v>
      </c>
      <c r="AR29" s="941"/>
      <c r="AT29" s="317"/>
      <c r="AU29" s="317"/>
    </row>
    <row r="30" spans="2:47" ht="13.15" hidden="1" customHeight="1" x14ac:dyDescent="0.2">
      <c r="B30" s="316"/>
      <c r="C30" s="381"/>
      <c r="D30" s="895"/>
      <c r="E30" s="895"/>
      <c r="F30" s="390"/>
      <c r="G30" s="896"/>
      <c r="H30" s="33"/>
      <c r="I30" s="897"/>
      <c r="J30" s="898"/>
      <c r="K30" s="334"/>
      <c r="L30" s="1140"/>
      <c r="M30" s="1140"/>
      <c r="N30" s="899" t="str">
        <f t="shared" si="12"/>
        <v/>
      </c>
      <c r="O30" s="900" t="str">
        <f t="shared" si="13"/>
        <v/>
      </c>
      <c r="P30" s="901" t="str">
        <f t="shared" si="14"/>
        <v/>
      </c>
      <c r="Q30" s="568" t="str">
        <f t="shared" si="0"/>
        <v/>
      </c>
      <c r="R30" s="902" t="str">
        <f t="shared" si="15"/>
        <v/>
      </c>
      <c r="S30" s="903">
        <f t="shared" si="1"/>
        <v>0</v>
      </c>
      <c r="T30" s="334"/>
      <c r="U30" s="386"/>
      <c r="X30" s="887" t="str">
        <f t="shared" si="2"/>
        <v/>
      </c>
      <c r="Y30" s="904">
        <f t="shared" si="3"/>
        <v>0.6</v>
      </c>
      <c r="Z30" s="905" t="e">
        <f t="shared" si="16"/>
        <v>#VALUE!</v>
      </c>
      <c r="AA30" s="905" t="e">
        <f t="shared" si="17"/>
        <v>#VALUE!</v>
      </c>
      <c r="AB30" s="905" t="e">
        <f t="shared" si="18"/>
        <v>#VALUE!</v>
      </c>
      <c r="AC30" s="906" t="e">
        <f t="shared" si="4"/>
        <v>#VALUE!</v>
      </c>
      <c r="AD30" s="907">
        <f t="shared" si="5"/>
        <v>0</v>
      </c>
      <c r="AE30" s="904">
        <f>IF(H30&gt;8,tab!C$194,tab!C$197)</f>
        <v>0.4</v>
      </c>
      <c r="AF30" s="907">
        <f t="shared" si="6"/>
        <v>0</v>
      </c>
      <c r="AG30" s="887">
        <f t="shared" si="7"/>
        <v>0</v>
      </c>
      <c r="AH30" s="908" t="b">
        <f t="shared" si="8"/>
        <v>0</v>
      </c>
      <c r="AI30" s="815">
        <f t="shared" si="9"/>
        <v>119</v>
      </c>
      <c r="AJ30" s="867">
        <f t="shared" si="10"/>
        <v>30</v>
      </c>
      <c r="AK30" s="540">
        <f t="shared" si="11"/>
        <v>30</v>
      </c>
      <c r="AL30" s="909">
        <f t="shared" si="19"/>
        <v>0</v>
      </c>
      <c r="AN30" s="539">
        <f t="shared" si="20"/>
        <v>0</v>
      </c>
      <c r="AR30" s="941"/>
      <c r="AT30" s="317"/>
      <c r="AU30" s="317"/>
    </row>
    <row r="31" spans="2:47" ht="13.15" hidden="1" customHeight="1" x14ac:dyDescent="0.2">
      <c r="B31" s="316"/>
      <c r="C31" s="381"/>
      <c r="D31" s="895"/>
      <c r="E31" s="895"/>
      <c r="F31" s="390"/>
      <c r="G31" s="896"/>
      <c r="H31" s="33"/>
      <c r="I31" s="897"/>
      <c r="J31" s="898"/>
      <c r="K31" s="334"/>
      <c r="L31" s="1140"/>
      <c r="M31" s="1140"/>
      <c r="N31" s="899" t="str">
        <f t="shared" si="12"/>
        <v/>
      </c>
      <c r="O31" s="900" t="str">
        <f t="shared" si="13"/>
        <v/>
      </c>
      <c r="P31" s="901" t="str">
        <f t="shared" si="14"/>
        <v/>
      </c>
      <c r="Q31" s="568" t="str">
        <f t="shared" si="0"/>
        <v/>
      </c>
      <c r="R31" s="902" t="str">
        <f t="shared" si="15"/>
        <v/>
      </c>
      <c r="S31" s="903">
        <f t="shared" si="1"/>
        <v>0</v>
      </c>
      <c r="T31" s="334"/>
      <c r="U31" s="386"/>
      <c r="X31" s="887" t="str">
        <f t="shared" si="2"/>
        <v/>
      </c>
      <c r="Y31" s="904">
        <f t="shared" si="3"/>
        <v>0.6</v>
      </c>
      <c r="Z31" s="905" t="e">
        <f t="shared" si="16"/>
        <v>#VALUE!</v>
      </c>
      <c r="AA31" s="905" t="e">
        <f t="shared" si="17"/>
        <v>#VALUE!</v>
      </c>
      <c r="AB31" s="905" t="e">
        <f t="shared" si="18"/>
        <v>#VALUE!</v>
      </c>
      <c r="AC31" s="906" t="e">
        <f t="shared" si="4"/>
        <v>#VALUE!</v>
      </c>
      <c r="AD31" s="907">
        <f t="shared" si="5"/>
        <v>0</v>
      </c>
      <c r="AE31" s="904">
        <f>IF(H31&gt;8,tab!C$194,tab!C$197)</f>
        <v>0.4</v>
      </c>
      <c r="AF31" s="907">
        <f t="shared" si="6"/>
        <v>0</v>
      </c>
      <c r="AG31" s="887">
        <f t="shared" si="7"/>
        <v>0</v>
      </c>
      <c r="AH31" s="908" t="b">
        <f t="shared" si="8"/>
        <v>0</v>
      </c>
      <c r="AI31" s="815">
        <f t="shared" si="9"/>
        <v>119</v>
      </c>
      <c r="AJ31" s="867">
        <f t="shared" si="10"/>
        <v>30</v>
      </c>
      <c r="AK31" s="540">
        <f t="shared" si="11"/>
        <v>30</v>
      </c>
      <c r="AL31" s="909">
        <f t="shared" si="19"/>
        <v>0</v>
      </c>
      <c r="AN31" s="539">
        <f t="shared" si="20"/>
        <v>0</v>
      </c>
      <c r="AR31" s="941"/>
      <c r="AT31" s="317"/>
      <c r="AU31" s="317"/>
    </row>
    <row r="32" spans="2:47" ht="13.15" hidden="1" customHeight="1" x14ac:dyDescent="0.2">
      <c r="B32" s="316"/>
      <c r="C32" s="381"/>
      <c r="D32" s="895"/>
      <c r="E32" s="895"/>
      <c r="F32" s="390"/>
      <c r="G32" s="896"/>
      <c r="H32" s="33"/>
      <c r="I32" s="897"/>
      <c r="J32" s="898"/>
      <c r="K32" s="334"/>
      <c r="L32" s="1140"/>
      <c r="M32" s="1140"/>
      <c r="N32" s="899" t="str">
        <f t="shared" si="12"/>
        <v/>
      </c>
      <c r="O32" s="900" t="str">
        <f t="shared" si="13"/>
        <v/>
      </c>
      <c r="P32" s="901" t="str">
        <f t="shared" si="14"/>
        <v/>
      </c>
      <c r="Q32" s="568" t="str">
        <f t="shared" si="0"/>
        <v/>
      </c>
      <c r="R32" s="902" t="str">
        <f t="shared" si="15"/>
        <v/>
      </c>
      <c r="S32" s="903">
        <f t="shared" si="1"/>
        <v>0</v>
      </c>
      <c r="T32" s="334"/>
      <c r="U32" s="386"/>
      <c r="X32" s="887" t="str">
        <f t="shared" si="2"/>
        <v/>
      </c>
      <c r="Y32" s="904">
        <f t="shared" si="3"/>
        <v>0.6</v>
      </c>
      <c r="Z32" s="905" t="e">
        <f t="shared" si="16"/>
        <v>#VALUE!</v>
      </c>
      <c r="AA32" s="905" t="e">
        <f t="shared" si="17"/>
        <v>#VALUE!</v>
      </c>
      <c r="AB32" s="905" t="e">
        <f t="shared" si="18"/>
        <v>#VALUE!</v>
      </c>
      <c r="AC32" s="906" t="e">
        <f t="shared" si="4"/>
        <v>#VALUE!</v>
      </c>
      <c r="AD32" s="907">
        <f t="shared" si="5"/>
        <v>0</v>
      </c>
      <c r="AE32" s="904">
        <f>IF(H32&gt;8,tab!C$194,tab!C$197)</f>
        <v>0.4</v>
      </c>
      <c r="AF32" s="907">
        <f t="shared" si="6"/>
        <v>0</v>
      </c>
      <c r="AG32" s="887">
        <f t="shared" si="7"/>
        <v>0</v>
      </c>
      <c r="AH32" s="908" t="b">
        <f t="shared" si="8"/>
        <v>0</v>
      </c>
      <c r="AI32" s="815">
        <f t="shared" si="9"/>
        <v>119</v>
      </c>
      <c r="AJ32" s="867">
        <f t="shared" si="10"/>
        <v>30</v>
      </c>
      <c r="AK32" s="540">
        <f t="shared" si="11"/>
        <v>30</v>
      </c>
      <c r="AL32" s="909">
        <f t="shared" si="19"/>
        <v>0</v>
      </c>
      <c r="AN32" s="539">
        <f t="shared" si="20"/>
        <v>0</v>
      </c>
      <c r="AR32" s="941"/>
      <c r="AT32" s="317"/>
      <c r="AU32" s="317"/>
    </row>
    <row r="33" spans="2:47" ht="13.15" hidden="1" customHeight="1" x14ac:dyDescent="0.2">
      <c r="B33" s="316"/>
      <c r="C33" s="381"/>
      <c r="D33" s="895"/>
      <c r="E33" s="895"/>
      <c r="F33" s="390"/>
      <c r="G33" s="896"/>
      <c r="H33" s="33"/>
      <c r="I33" s="897"/>
      <c r="J33" s="898"/>
      <c r="K33" s="334"/>
      <c r="L33" s="1140"/>
      <c r="M33" s="1140"/>
      <c r="N33" s="899" t="str">
        <f t="shared" si="12"/>
        <v/>
      </c>
      <c r="O33" s="900" t="str">
        <f t="shared" si="13"/>
        <v/>
      </c>
      <c r="P33" s="901" t="str">
        <f t="shared" si="14"/>
        <v/>
      </c>
      <c r="Q33" s="568" t="str">
        <f t="shared" si="0"/>
        <v/>
      </c>
      <c r="R33" s="902" t="str">
        <f t="shared" si="15"/>
        <v/>
      </c>
      <c r="S33" s="903">
        <f t="shared" si="1"/>
        <v>0</v>
      </c>
      <c r="T33" s="334"/>
      <c r="U33" s="386"/>
      <c r="X33" s="887" t="str">
        <f t="shared" si="2"/>
        <v/>
      </c>
      <c r="Y33" s="904">
        <f t="shared" si="3"/>
        <v>0.6</v>
      </c>
      <c r="Z33" s="905" t="e">
        <f t="shared" si="16"/>
        <v>#VALUE!</v>
      </c>
      <c r="AA33" s="905" t="e">
        <f t="shared" si="17"/>
        <v>#VALUE!</v>
      </c>
      <c r="AB33" s="905" t="e">
        <f t="shared" si="18"/>
        <v>#VALUE!</v>
      </c>
      <c r="AC33" s="906" t="e">
        <f t="shared" si="4"/>
        <v>#VALUE!</v>
      </c>
      <c r="AD33" s="907">
        <f t="shared" si="5"/>
        <v>0</v>
      </c>
      <c r="AE33" s="904">
        <f>IF(H33&gt;8,tab!C$194,tab!C$197)</f>
        <v>0.4</v>
      </c>
      <c r="AF33" s="907">
        <f t="shared" si="6"/>
        <v>0</v>
      </c>
      <c r="AG33" s="887">
        <f t="shared" si="7"/>
        <v>0</v>
      </c>
      <c r="AH33" s="908" t="b">
        <f t="shared" si="8"/>
        <v>0</v>
      </c>
      <c r="AI33" s="815">
        <f t="shared" si="9"/>
        <v>119</v>
      </c>
      <c r="AJ33" s="867">
        <f t="shared" si="10"/>
        <v>30</v>
      </c>
      <c r="AK33" s="540">
        <f t="shared" si="11"/>
        <v>30</v>
      </c>
      <c r="AL33" s="909">
        <f t="shared" si="19"/>
        <v>0</v>
      </c>
      <c r="AN33" s="539">
        <f t="shared" si="20"/>
        <v>0</v>
      </c>
      <c r="AR33" s="941"/>
      <c r="AT33" s="317"/>
      <c r="AU33" s="317"/>
    </row>
    <row r="34" spans="2:47" ht="13.15" hidden="1" customHeight="1" x14ac:dyDescent="0.2">
      <c r="B34" s="316"/>
      <c r="C34" s="381"/>
      <c r="D34" s="895"/>
      <c r="E34" s="895"/>
      <c r="F34" s="390"/>
      <c r="G34" s="896"/>
      <c r="H34" s="33"/>
      <c r="I34" s="897"/>
      <c r="J34" s="898"/>
      <c r="K34" s="334"/>
      <c r="L34" s="1140"/>
      <c r="M34" s="1140"/>
      <c r="N34" s="899" t="str">
        <f t="shared" si="12"/>
        <v/>
      </c>
      <c r="O34" s="900" t="str">
        <f t="shared" si="13"/>
        <v/>
      </c>
      <c r="P34" s="901" t="str">
        <f t="shared" si="14"/>
        <v/>
      </c>
      <c r="Q34" s="568" t="str">
        <f t="shared" si="0"/>
        <v/>
      </c>
      <c r="R34" s="902" t="str">
        <f t="shared" si="15"/>
        <v/>
      </c>
      <c r="S34" s="903">
        <f t="shared" si="1"/>
        <v>0</v>
      </c>
      <c r="T34" s="334"/>
      <c r="U34" s="386"/>
      <c r="X34" s="887" t="str">
        <f t="shared" si="2"/>
        <v/>
      </c>
      <c r="Y34" s="904">
        <f t="shared" si="3"/>
        <v>0.6</v>
      </c>
      <c r="Z34" s="905" t="e">
        <f t="shared" si="16"/>
        <v>#VALUE!</v>
      </c>
      <c r="AA34" s="905" t="e">
        <f t="shared" si="17"/>
        <v>#VALUE!</v>
      </c>
      <c r="AB34" s="905" t="e">
        <f t="shared" si="18"/>
        <v>#VALUE!</v>
      </c>
      <c r="AC34" s="906" t="e">
        <f t="shared" si="4"/>
        <v>#VALUE!</v>
      </c>
      <c r="AD34" s="907">
        <f t="shared" si="5"/>
        <v>0</v>
      </c>
      <c r="AE34" s="904">
        <f>IF(H34&gt;8,tab!C$194,tab!C$197)</f>
        <v>0.4</v>
      </c>
      <c r="AF34" s="907">
        <f t="shared" si="6"/>
        <v>0</v>
      </c>
      <c r="AG34" s="887">
        <f t="shared" si="7"/>
        <v>0</v>
      </c>
      <c r="AH34" s="908" t="b">
        <f t="shared" si="8"/>
        <v>0</v>
      </c>
      <c r="AI34" s="815">
        <f t="shared" si="9"/>
        <v>119</v>
      </c>
      <c r="AJ34" s="867">
        <f t="shared" si="10"/>
        <v>30</v>
      </c>
      <c r="AK34" s="540">
        <f t="shared" si="11"/>
        <v>30</v>
      </c>
      <c r="AL34" s="909">
        <f t="shared" si="19"/>
        <v>0</v>
      </c>
      <c r="AN34" s="539">
        <f t="shared" si="20"/>
        <v>0</v>
      </c>
      <c r="AR34" s="941"/>
      <c r="AT34" s="317"/>
      <c r="AU34" s="317"/>
    </row>
    <row r="35" spans="2:47" ht="13.15" hidden="1" customHeight="1" x14ac:dyDescent="0.2">
      <c r="B35" s="316"/>
      <c r="C35" s="381"/>
      <c r="D35" s="895"/>
      <c r="E35" s="895"/>
      <c r="F35" s="390"/>
      <c r="G35" s="896"/>
      <c r="H35" s="33"/>
      <c r="I35" s="897"/>
      <c r="J35" s="898"/>
      <c r="K35" s="334"/>
      <c r="L35" s="1140"/>
      <c r="M35" s="1140"/>
      <c r="N35" s="899" t="str">
        <f t="shared" si="12"/>
        <v/>
      </c>
      <c r="O35" s="900" t="str">
        <f t="shared" si="13"/>
        <v/>
      </c>
      <c r="P35" s="901" t="str">
        <f t="shared" si="14"/>
        <v/>
      </c>
      <c r="Q35" s="568" t="str">
        <f t="shared" si="0"/>
        <v/>
      </c>
      <c r="R35" s="902" t="str">
        <f t="shared" si="15"/>
        <v/>
      </c>
      <c r="S35" s="903">
        <f t="shared" si="1"/>
        <v>0</v>
      </c>
      <c r="T35" s="334"/>
      <c r="U35" s="386"/>
      <c r="X35" s="887" t="str">
        <f t="shared" si="2"/>
        <v/>
      </c>
      <c r="Y35" s="904">
        <f t="shared" si="3"/>
        <v>0.6</v>
      </c>
      <c r="Z35" s="905" t="e">
        <f t="shared" si="16"/>
        <v>#VALUE!</v>
      </c>
      <c r="AA35" s="905" t="e">
        <f t="shared" si="17"/>
        <v>#VALUE!</v>
      </c>
      <c r="AB35" s="905" t="e">
        <f t="shared" si="18"/>
        <v>#VALUE!</v>
      </c>
      <c r="AC35" s="906" t="e">
        <f t="shared" si="4"/>
        <v>#VALUE!</v>
      </c>
      <c r="AD35" s="907">
        <f t="shared" si="5"/>
        <v>0</v>
      </c>
      <c r="AE35" s="904">
        <f>IF(H35&gt;8,tab!C$194,tab!C$197)</f>
        <v>0.4</v>
      </c>
      <c r="AF35" s="907">
        <f t="shared" si="6"/>
        <v>0</v>
      </c>
      <c r="AG35" s="887">
        <f t="shared" si="7"/>
        <v>0</v>
      </c>
      <c r="AH35" s="908" t="b">
        <f t="shared" si="8"/>
        <v>0</v>
      </c>
      <c r="AI35" s="815">
        <f t="shared" si="9"/>
        <v>119</v>
      </c>
      <c r="AJ35" s="867">
        <f t="shared" si="10"/>
        <v>30</v>
      </c>
      <c r="AK35" s="540">
        <f t="shared" si="11"/>
        <v>30</v>
      </c>
      <c r="AL35" s="909">
        <f t="shared" si="19"/>
        <v>0</v>
      </c>
      <c r="AN35" s="539">
        <f t="shared" si="20"/>
        <v>0</v>
      </c>
      <c r="AR35" s="941"/>
      <c r="AT35" s="317"/>
      <c r="AU35" s="317"/>
    </row>
    <row r="36" spans="2:47" ht="13.15" hidden="1" customHeight="1" x14ac:dyDescent="0.2">
      <c r="B36" s="316"/>
      <c r="C36" s="381"/>
      <c r="D36" s="895"/>
      <c r="E36" s="895"/>
      <c r="F36" s="390"/>
      <c r="G36" s="896"/>
      <c r="H36" s="33"/>
      <c r="I36" s="897"/>
      <c r="J36" s="898"/>
      <c r="K36" s="334"/>
      <c r="L36" s="1140"/>
      <c r="M36" s="1140"/>
      <c r="N36" s="899" t="str">
        <f t="shared" si="12"/>
        <v/>
      </c>
      <c r="O36" s="900" t="str">
        <f t="shared" si="13"/>
        <v/>
      </c>
      <c r="P36" s="901" t="str">
        <f t="shared" si="14"/>
        <v/>
      </c>
      <c r="Q36" s="568" t="str">
        <f t="shared" si="0"/>
        <v/>
      </c>
      <c r="R36" s="902" t="str">
        <f t="shared" si="15"/>
        <v/>
      </c>
      <c r="S36" s="903">
        <f t="shared" si="1"/>
        <v>0</v>
      </c>
      <c r="T36" s="334"/>
      <c r="U36" s="386"/>
      <c r="X36" s="887" t="str">
        <f t="shared" si="2"/>
        <v/>
      </c>
      <c r="Y36" s="904">
        <f t="shared" si="3"/>
        <v>0.6</v>
      </c>
      <c r="Z36" s="905" t="e">
        <f t="shared" si="16"/>
        <v>#VALUE!</v>
      </c>
      <c r="AA36" s="905" t="e">
        <f t="shared" si="17"/>
        <v>#VALUE!</v>
      </c>
      <c r="AB36" s="905" t="e">
        <f t="shared" si="18"/>
        <v>#VALUE!</v>
      </c>
      <c r="AC36" s="906" t="e">
        <f t="shared" si="4"/>
        <v>#VALUE!</v>
      </c>
      <c r="AD36" s="907">
        <f t="shared" si="5"/>
        <v>0</v>
      </c>
      <c r="AE36" s="904">
        <f>IF(H36&gt;8,tab!C$194,tab!C$197)</f>
        <v>0.4</v>
      </c>
      <c r="AF36" s="907">
        <f t="shared" si="6"/>
        <v>0</v>
      </c>
      <c r="AG36" s="887">
        <f t="shared" si="7"/>
        <v>0</v>
      </c>
      <c r="AH36" s="908" t="b">
        <f t="shared" si="8"/>
        <v>0</v>
      </c>
      <c r="AI36" s="815">
        <f t="shared" si="9"/>
        <v>119</v>
      </c>
      <c r="AJ36" s="867">
        <f t="shared" si="10"/>
        <v>30</v>
      </c>
      <c r="AK36" s="540">
        <f t="shared" si="11"/>
        <v>30</v>
      </c>
      <c r="AL36" s="909">
        <f t="shared" si="19"/>
        <v>0</v>
      </c>
      <c r="AN36" s="539">
        <f t="shared" si="20"/>
        <v>0</v>
      </c>
      <c r="AR36" s="941"/>
      <c r="AT36" s="317"/>
      <c r="AU36" s="317"/>
    </row>
    <row r="37" spans="2:47" ht="13.15" hidden="1" customHeight="1" x14ac:dyDescent="0.2">
      <c r="B37" s="316"/>
      <c r="C37" s="381"/>
      <c r="D37" s="895"/>
      <c r="E37" s="895"/>
      <c r="F37" s="390"/>
      <c r="G37" s="896"/>
      <c r="H37" s="33"/>
      <c r="I37" s="897"/>
      <c r="J37" s="898"/>
      <c r="K37" s="334"/>
      <c r="L37" s="1140"/>
      <c r="M37" s="1140"/>
      <c r="N37" s="899" t="str">
        <f t="shared" si="12"/>
        <v/>
      </c>
      <c r="O37" s="900" t="str">
        <f t="shared" si="13"/>
        <v/>
      </c>
      <c r="P37" s="901" t="str">
        <f t="shared" si="14"/>
        <v/>
      </c>
      <c r="Q37" s="568" t="str">
        <f t="shared" si="0"/>
        <v/>
      </c>
      <c r="R37" s="902" t="str">
        <f t="shared" si="15"/>
        <v/>
      </c>
      <c r="S37" s="903">
        <f t="shared" si="1"/>
        <v>0</v>
      </c>
      <c r="T37" s="334"/>
      <c r="U37" s="386"/>
      <c r="X37" s="887" t="str">
        <f t="shared" si="2"/>
        <v/>
      </c>
      <c r="Y37" s="904">
        <f t="shared" si="3"/>
        <v>0.6</v>
      </c>
      <c r="Z37" s="905" t="e">
        <f t="shared" si="16"/>
        <v>#VALUE!</v>
      </c>
      <c r="AA37" s="905" t="e">
        <f t="shared" si="17"/>
        <v>#VALUE!</v>
      </c>
      <c r="AB37" s="905" t="e">
        <f t="shared" si="18"/>
        <v>#VALUE!</v>
      </c>
      <c r="AC37" s="906" t="e">
        <f t="shared" si="4"/>
        <v>#VALUE!</v>
      </c>
      <c r="AD37" s="907">
        <f t="shared" si="5"/>
        <v>0</v>
      </c>
      <c r="AE37" s="904">
        <f>IF(H37&gt;8,tab!C$194,tab!C$197)</f>
        <v>0.4</v>
      </c>
      <c r="AF37" s="907">
        <f t="shared" si="6"/>
        <v>0</v>
      </c>
      <c r="AG37" s="887">
        <f t="shared" si="7"/>
        <v>0</v>
      </c>
      <c r="AH37" s="908" t="b">
        <f t="shared" si="8"/>
        <v>0</v>
      </c>
      <c r="AI37" s="815">
        <f t="shared" si="9"/>
        <v>119</v>
      </c>
      <c r="AJ37" s="867">
        <f t="shared" si="10"/>
        <v>30</v>
      </c>
      <c r="AK37" s="540">
        <f t="shared" si="11"/>
        <v>30</v>
      </c>
      <c r="AL37" s="909">
        <f t="shared" si="19"/>
        <v>0</v>
      </c>
      <c r="AN37" s="539">
        <f t="shared" si="20"/>
        <v>0</v>
      </c>
      <c r="AR37" s="941"/>
      <c r="AT37" s="317"/>
      <c r="AU37" s="317"/>
    </row>
    <row r="38" spans="2:47" ht="13.15" hidden="1" customHeight="1" x14ac:dyDescent="0.2">
      <c r="B38" s="316"/>
      <c r="C38" s="381"/>
      <c r="D38" s="895"/>
      <c r="E38" s="895"/>
      <c r="F38" s="390"/>
      <c r="G38" s="896"/>
      <c r="H38" s="33"/>
      <c r="I38" s="897"/>
      <c r="J38" s="898"/>
      <c r="K38" s="334"/>
      <c r="L38" s="1140"/>
      <c r="M38" s="1140"/>
      <c r="N38" s="899" t="str">
        <f t="shared" si="12"/>
        <v/>
      </c>
      <c r="O38" s="900" t="str">
        <f t="shared" si="13"/>
        <v/>
      </c>
      <c r="P38" s="901" t="str">
        <f t="shared" si="14"/>
        <v/>
      </c>
      <c r="Q38" s="568" t="str">
        <f t="shared" si="0"/>
        <v/>
      </c>
      <c r="R38" s="902" t="str">
        <f t="shared" si="15"/>
        <v/>
      </c>
      <c r="S38" s="903">
        <f t="shared" si="1"/>
        <v>0</v>
      </c>
      <c r="T38" s="334"/>
      <c r="U38" s="386"/>
      <c r="X38" s="887" t="str">
        <f t="shared" si="2"/>
        <v/>
      </c>
      <c r="Y38" s="904">
        <f t="shared" si="3"/>
        <v>0.6</v>
      </c>
      <c r="Z38" s="905" t="e">
        <f t="shared" si="16"/>
        <v>#VALUE!</v>
      </c>
      <c r="AA38" s="905" t="e">
        <f t="shared" si="17"/>
        <v>#VALUE!</v>
      </c>
      <c r="AB38" s="905" t="e">
        <f t="shared" si="18"/>
        <v>#VALUE!</v>
      </c>
      <c r="AC38" s="906" t="e">
        <f t="shared" si="4"/>
        <v>#VALUE!</v>
      </c>
      <c r="AD38" s="907">
        <f t="shared" si="5"/>
        <v>0</v>
      </c>
      <c r="AE38" s="904">
        <f>IF(H38&gt;8,tab!C$194,tab!C$197)</f>
        <v>0.4</v>
      </c>
      <c r="AF38" s="907">
        <f t="shared" si="6"/>
        <v>0</v>
      </c>
      <c r="AG38" s="887">
        <f t="shared" si="7"/>
        <v>0</v>
      </c>
      <c r="AH38" s="908" t="b">
        <f t="shared" si="8"/>
        <v>0</v>
      </c>
      <c r="AI38" s="815">
        <f t="shared" si="9"/>
        <v>119</v>
      </c>
      <c r="AJ38" s="867">
        <f t="shared" si="10"/>
        <v>30</v>
      </c>
      <c r="AK38" s="540">
        <f t="shared" si="11"/>
        <v>30</v>
      </c>
      <c r="AL38" s="909">
        <f t="shared" si="19"/>
        <v>0</v>
      </c>
      <c r="AN38" s="539">
        <f t="shared" si="20"/>
        <v>0</v>
      </c>
      <c r="AR38" s="941"/>
      <c r="AT38" s="317"/>
      <c r="AU38" s="317"/>
    </row>
    <row r="39" spans="2:47" ht="13.15" hidden="1" customHeight="1" x14ac:dyDescent="0.2">
      <c r="B39" s="316"/>
      <c r="C39" s="381"/>
      <c r="D39" s="895"/>
      <c r="E39" s="895"/>
      <c r="F39" s="390"/>
      <c r="G39" s="896"/>
      <c r="H39" s="33"/>
      <c r="I39" s="897"/>
      <c r="J39" s="898"/>
      <c r="K39" s="334"/>
      <c r="L39" s="1140"/>
      <c r="M39" s="1140"/>
      <c r="N39" s="899" t="str">
        <f t="shared" si="12"/>
        <v/>
      </c>
      <c r="O39" s="900" t="str">
        <f t="shared" si="13"/>
        <v/>
      </c>
      <c r="P39" s="901" t="str">
        <f t="shared" si="14"/>
        <v/>
      </c>
      <c r="Q39" s="568" t="str">
        <f t="shared" si="0"/>
        <v/>
      </c>
      <c r="R39" s="902" t="str">
        <f t="shared" si="15"/>
        <v/>
      </c>
      <c r="S39" s="903">
        <f t="shared" si="1"/>
        <v>0</v>
      </c>
      <c r="T39" s="334"/>
      <c r="U39" s="386"/>
      <c r="X39" s="887" t="str">
        <f t="shared" si="2"/>
        <v/>
      </c>
      <c r="Y39" s="904">
        <f t="shared" si="3"/>
        <v>0.6</v>
      </c>
      <c r="Z39" s="905" t="e">
        <f t="shared" si="16"/>
        <v>#VALUE!</v>
      </c>
      <c r="AA39" s="905" t="e">
        <f t="shared" si="17"/>
        <v>#VALUE!</v>
      </c>
      <c r="AB39" s="905" t="e">
        <f t="shared" si="18"/>
        <v>#VALUE!</v>
      </c>
      <c r="AC39" s="906" t="e">
        <f t="shared" si="4"/>
        <v>#VALUE!</v>
      </c>
      <c r="AD39" s="907">
        <f t="shared" si="5"/>
        <v>0</v>
      </c>
      <c r="AE39" s="904">
        <f>IF(H39&gt;8,tab!C$194,tab!C$197)</f>
        <v>0.4</v>
      </c>
      <c r="AF39" s="907">
        <f t="shared" si="6"/>
        <v>0</v>
      </c>
      <c r="AG39" s="887">
        <f t="shared" si="7"/>
        <v>0</v>
      </c>
      <c r="AH39" s="908" t="b">
        <f t="shared" si="8"/>
        <v>0</v>
      </c>
      <c r="AI39" s="815">
        <f t="shared" si="9"/>
        <v>119</v>
      </c>
      <c r="AJ39" s="867">
        <f t="shared" si="10"/>
        <v>30</v>
      </c>
      <c r="AK39" s="540">
        <f t="shared" si="11"/>
        <v>30</v>
      </c>
      <c r="AL39" s="909">
        <f t="shared" si="19"/>
        <v>0</v>
      </c>
      <c r="AN39" s="539">
        <f t="shared" si="20"/>
        <v>0</v>
      </c>
      <c r="AR39" s="941"/>
      <c r="AT39" s="317"/>
      <c r="AU39" s="317"/>
    </row>
    <row r="40" spans="2:47" ht="13.15" hidden="1" customHeight="1" x14ac:dyDescent="0.2">
      <c r="B40" s="316"/>
      <c r="C40" s="381"/>
      <c r="D40" s="895"/>
      <c r="E40" s="895"/>
      <c r="F40" s="390"/>
      <c r="G40" s="896"/>
      <c r="H40" s="33"/>
      <c r="I40" s="897"/>
      <c r="J40" s="898"/>
      <c r="K40" s="334"/>
      <c r="L40" s="1140"/>
      <c r="M40" s="1140"/>
      <c r="N40" s="899" t="str">
        <f t="shared" si="12"/>
        <v/>
      </c>
      <c r="O40" s="900" t="str">
        <f t="shared" si="13"/>
        <v/>
      </c>
      <c r="P40" s="901" t="str">
        <f t="shared" si="14"/>
        <v/>
      </c>
      <c r="Q40" s="568" t="str">
        <f t="shared" si="0"/>
        <v/>
      </c>
      <c r="R40" s="902" t="str">
        <f t="shared" si="15"/>
        <v/>
      </c>
      <c r="S40" s="903">
        <f t="shared" si="1"/>
        <v>0</v>
      </c>
      <c r="T40" s="334"/>
      <c r="U40" s="386"/>
      <c r="X40" s="887" t="str">
        <f t="shared" si="2"/>
        <v/>
      </c>
      <c r="Y40" s="904">
        <f t="shared" si="3"/>
        <v>0.6</v>
      </c>
      <c r="Z40" s="905" t="e">
        <f t="shared" si="16"/>
        <v>#VALUE!</v>
      </c>
      <c r="AA40" s="905" t="e">
        <f t="shared" si="17"/>
        <v>#VALUE!</v>
      </c>
      <c r="AB40" s="905" t="e">
        <f t="shared" si="18"/>
        <v>#VALUE!</v>
      </c>
      <c r="AC40" s="906" t="e">
        <f t="shared" si="4"/>
        <v>#VALUE!</v>
      </c>
      <c r="AD40" s="907">
        <f t="shared" si="5"/>
        <v>0</v>
      </c>
      <c r="AE40" s="904">
        <f>IF(H40&gt;8,tab!C$194,tab!C$197)</f>
        <v>0.4</v>
      </c>
      <c r="AF40" s="907">
        <f t="shared" si="6"/>
        <v>0</v>
      </c>
      <c r="AG40" s="887">
        <f t="shared" si="7"/>
        <v>0</v>
      </c>
      <c r="AH40" s="908" t="b">
        <f t="shared" si="8"/>
        <v>0</v>
      </c>
      <c r="AI40" s="815">
        <f t="shared" si="9"/>
        <v>119</v>
      </c>
      <c r="AJ40" s="867">
        <f t="shared" si="10"/>
        <v>30</v>
      </c>
      <c r="AK40" s="540">
        <f t="shared" si="11"/>
        <v>30</v>
      </c>
      <c r="AL40" s="909">
        <f t="shared" si="19"/>
        <v>0</v>
      </c>
      <c r="AN40" s="539">
        <f t="shared" si="20"/>
        <v>0</v>
      </c>
      <c r="AR40" s="941"/>
      <c r="AT40" s="317"/>
      <c r="AU40" s="317"/>
    </row>
    <row r="41" spans="2:47" ht="13.15" hidden="1" customHeight="1" x14ac:dyDescent="0.2">
      <c r="B41" s="316"/>
      <c r="C41" s="381"/>
      <c r="D41" s="895"/>
      <c r="E41" s="895"/>
      <c r="F41" s="390"/>
      <c r="G41" s="896"/>
      <c r="H41" s="33"/>
      <c r="I41" s="897"/>
      <c r="J41" s="898"/>
      <c r="K41" s="334"/>
      <c r="L41" s="1140"/>
      <c r="M41" s="1140"/>
      <c r="N41" s="899" t="str">
        <f t="shared" si="12"/>
        <v/>
      </c>
      <c r="O41" s="900" t="str">
        <f t="shared" si="13"/>
        <v/>
      </c>
      <c r="P41" s="901" t="str">
        <f t="shared" si="14"/>
        <v/>
      </c>
      <c r="Q41" s="568" t="str">
        <f t="shared" si="0"/>
        <v/>
      </c>
      <c r="R41" s="902" t="str">
        <f t="shared" si="15"/>
        <v/>
      </c>
      <c r="S41" s="903">
        <f t="shared" si="1"/>
        <v>0</v>
      </c>
      <c r="T41" s="334"/>
      <c r="U41" s="386"/>
      <c r="X41" s="887" t="str">
        <f t="shared" si="2"/>
        <v/>
      </c>
      <c r="Y41" s="904">
        <f t="shared" si="3"/>
        <v>0.6</v>
      </c>
      <c r="Z41" s="905" t="e">
        <f t="shared" si="16"/>
        <v>#VALUE!</v>
      </c>
      <c r="AA41" s="905" t="e">
        <f t="shared" si="17"/>
        <v>#VALUE!</v>
      </c>
      <c r="AB41" s="905" t="e">
        <f t="shared" si="18"/>
        <v>#VALUE!</v>
      </c>
      <c r="AC41" s="906" t="e">
        <f t="shared" si="4"/>
        <v>#VALUE!</v>
      </c>
      <c r="AD41" s="907">
        <f t="shared" si="5"/>
        <v>0</v>
      </c>
      <c r="AE41" s="904">
        <f>IF(H41&gt;8,tab!C$194,tab!C$197)</f>
        <v>0.4</v>
      </c>
      <c r="AF41" s="907">
        <f t="shared" si="6"/>
        <v>0</v>
      </c>
      <c r="AG41" s="887">
        <f t="shared" si="7"/>
        <v>0</v>
      </c>
      <c r="AH41" s="908" t="b">
        <f t="shared" si="8"/>
        <v>0</v>
      </c>
      <c r="AI41" s="815">
        <f t="shared" si="9"/>
        <v>119</v>
      </c>
      <c r="AJ41" s="867">
        <f t="shared" si="10"/>
        <v>30</v>
      </c>
      <c r="AK41" s="540">
        <f t="shared" si="11"/>
        <v>30</v>
      </c>
      <c r="AL41" s="909">
        <f t="shared" si="19"/>
        <v>0</v>
      </c>
      <c r="AN41" s="539">
        <f t="shared" si="20"/>
        <v>0</v>
      </c>
      <c r="AR41" s="941"/>
      <c r="AT41" s="317"/>
      <c r="AU41" s="317"/>
    </row>
    <row r="42" spans="2:47" ht="13.15" hidden="1" customHeight="1" x14ac:dyDescent="0.2">
      <c r="B42" s="316"/>
      <c r="C42" s="381"/>
      <c r="D42" s="895"/>
      <c r="E42" s="895"/>
      <c r="F42" s="390"/>
      <c r="G42" s="896"/>
      <c r="H42" s="33"/>
      <c r="I42" s="897"/>
      <c r="J42" s="898"/>
      <c r="K42" s="334"/>
      <c r="L42" s="1140"/>
      <c r="M42" s="1140"/>
      <c r="N42" s="899" t="str">
        <f t="shared" si="12"/>
        <v/>
      </c>
      <c r="O42" s="900" t="str">
        <f t="shared" si="13"/>
        <v/>
      </c>
      <c r="P42" s="901" t="str">
        <f t="shared" si="14"/>
        <v/>
      </c>
      <c r="Q42" s="568" t="str">
        <f t="shared" si="0"/>
        <v/>
      </c>
      <c r="R42" s="902" t="str">
        <f t="shared" si="15"/>
        <v/>
      </c>
      <c r="S42" s="903">
        <f t="shared" si="1"/>
        <v>0</v>
      </c>
      <c r="T42" s="334"/>
      <c r="U42" s="386"/>
      <c r="X42" s="887" t="str">
        <f t="shared" si="2"/>
        <v/>
      </c>
      <c r="Y42" s="904">
        <f t="shared" si="3"/>
        <v>0.6</v>
      </c>
      <c r="Z42" s="905" t="e">
        <f t="shared" si="16"/>
        <v>#VALUE!</v>
      </c>
      <c r="AA42" s="905" t="e">
        <f t="shared" si="17"/>
        <v>#VALUE!</v>
      </c>
      <c r="AB42" s="905" t="e">
        <f t="shared" si="18"/>
        <v>#VALUE!</v>
      </c>
      <c r="AC42" s="906" t="e">
        <f t="shared" si="4"/>
        <v>#VALUE!</v>
      </c>
      <c r="AD42" s="907">
        <f t="shared" si="5"/>
        <v>0</v>
      </c>
      <c r="AE42" s="904">
        <f>IF(H42&gt;8,tab!C$194,tab!C$197)</f>
        <v>0.4</v>
      </c>
      <c r="AF42" s="907">
        <f t="shared" si="6"/>
        <v>0</v>
      </c>
      <c r="AG42" s="887">
        <f t="shared" si="7"/>
        <v>0</v>
      </c>
      <c r="AH42" s="908" t="b">
        <f t="shared" si="8"/>
        <v>0</v>
      </c>
      <c r="AI42" s="815">
        <f t="shared" si="9"/>
        <v>119</v>
      </c>
      <c r="AJ42" s="867">
        <f t="shared" si="10"/>
        <v>30</v>
      </c>
      <c r="AK42" s="540">
        <f t="shared" si="11"/>
        <v>30</v>
      </c>
      <c r="AL42" s="909">
        <f t="shared" si="19"/>
        <v>0</v>
      </c>
      <c r="AN42" s="539">
        <f t="shared" si="20"/>
        <v>0</v>
      </c>
      <c r="AR42" s="941"/>
      <c r="AT42" s="317"/>
      <c r="AU42" s="317"/>
    </row>
    <row r="43" spans="2:47" ht="13.15" hidden="1" customHeight="1" x14ac:dyDescent="0.2">
      <c r="B43" s="316"/>
      <c r="C43" s="381"/>
      <c r="D43" s="895"/>
      <c r="E43" s="895"/>
      <c r="F43" s="390"/>
      <c r="G43" s="896"/>
      <c r="H43" s="33"/>
      <c r="I43" s="897"/>
      <c r="J43" s="898"/>
      <c r="K43" s="334"/>
      <c r="L43" s="1140"/>
      <c r="M43" s="1140"/>
      <c r="N43" s="899" t="str">
        <f t="shared" si="12"/>
        <v/>
      </c>
      <c r="O43" s="900" t="str">
        <f t="shared" si="13"/>
        <v/>
      </c>
      <c r="P43" s="901" t="str">
        <f t="shared" si="14"/>
        <v/>
      </c>
      <c r="Q43" s="568" t="str">
        <f t="shared" si="0"/>
        <v/>
      </c>
      <c r="R43" s="902" t="str">
        <f t="shared" si="15"/>
        <v/>
      </c>
      <c r="S43" s="903">
        <f t="shared" si="1"/>
        <v>0</v>
      </c>
      <c r="T43" s="334"/>
      <c r="U43" s="386"/>
      <c r="X43" s="887" t="str">
        <f t="shared" si="2"/>
        <v/>
      </c>
      <c r="Y43" s="904">
        <f t="shared" si="3"/>
        <v>0.6</v>
      </c>
      <c r="Z43" s="905" t="e">
        <f t="shared" si="16"/>
        <v>#VALUE!</v>
      </c>
      <c r="AA43" s="905" t="e">
        <f t="shared" si="17"/>
        <v>#VALUE!</v>
      </c>
      <c r="AB43" s="905" t="e">
        <f t="shared" si="18"/>
        <v>#VALUE!</v>
      </c>
      <c r="AC43" s="906" t="e">
        <f t="shared" si="4"/>
        <v>#VALUE!</v>
      </c>
      <c r="AD43" s="907">
        <f t="shared" si="5"/>
        <v>0</v>
      </c>
      <c r="AE43" s="904">
        <f>IF(H43&gt;8,tab!C$194,tab!C$197)</f>
        <v>0.4</v>
      </c>
      <c r="AF43" s="907">
        <f t="shared" si="6"/>
        <v>0</v>
      </c>
      <c r="AG43" s="887">
        <f t="shared" si="7"/>
        <v>0</v>
      </c>
      <c r="AH43" s="908" t="b">
        <f t="shared" si="8"/>
        <v>0</v>
      </c>
      <c r="AI43" s="815">
        <f t="shared" si="9"/>
        <v>119</v>
      </c>
      <c r="AJ43" s="867">
        <f t="shared" si="10"/>
        <v>30</v>
      </c>
      <c r="AK43" s="540">
        <f t="shared" si="11"/>
        <v>30</v>
      </c>
      <c r="AL43" s="909">
        <f t="shared" si="19"/>
        <v>0</v>
      </c>
      <c r="AN43" s="539">
        <f t="shared" si="20"/>
        <v>0</v>
      </c>
      <c r="AR43" s="941"/>
      <c r="AT43" s="317"/>
      <c r="AU43" s="317"/>
    </row>
    <row r="44" spans="2:47" ht="13.15" hidden="1" customHeight="1" x14ac:dyDescent="0.2">
      <c r="B44" s="316"/>
      <c r="C44" s="381"/>
      <c r="D44" s="895"/>
      <c r="E44" s="895"/>
      <c r="F44" s="390"/>
      <c r="G44" s="896"/>
      <c r="H44" s="33"/>
      <c r="I44" s="897"/>
      <c r="J44" s="898"/>
      <c r="K44" s="334"/>
      <c r="L44" s="1140"/>
      <c r="M44" s="1140"/>
      <c r="N44" s="899" t="str">
        <f t="shared" si="12"/>
        <v/>
      </c>
      <c r="O44" s="900" t="str">
        <f t="shared" si="13"/>
        <v/>
      </c>
      <c r="P44" s="901" t="str">
        <f t="shared" si="14"/>
        <v/>
      </c>
      <c r="Q44" s="568" t="str">
        <f t="shared" si="0"/>
        <v/>
      </c>
      <c r="R44" s="902" t="str">
        <f t="shared" si="15"/>
        <v/>
      </c>
      <c r="S44" s="903">
        <f t="shared" si="1"/>
        <v>0</v>
      </c>
      <c r="T44" s="334"/>
      <c r="U44" s="386"/>
      <c r="X44" s="887" t="str">
        <f t="shared" si="2"/>
        <v/>
      </c>
      <c r="Y44" s="904">
        <f t="shared" si="3"/>
        <v>0.6</v>
      </c>
      <c r="Z44" s="905" t="e">
        <f t="shared" si="16"/>
        <v>#VALUE!</v>
      </c>
      <c r="AA44" s="905" t="e">
        <f t="shared" si="17"/>
        <v>#VALUE!</v>
      </c>
      <c r="AB44" s="905" t="e">
        <f t="shared" si="18"/>
        <v>#VALUE!</v>
      </c>
      <c r="AC44" s="906" t="e">
        <f t="shared" si="4"/>
        <v>#VALUE!</v>
      </c>
      <c r="AD44" s="907">
        <f t="shared" si="5"/>
        <v>0</v>
      </c>
      <c r="AE44" s="904">
        <f>IF(H44&gt;8,tab!C$194,tab!C$197)</f>
        <v>0.4</v>
      </c>
      <c r="AF44" s="907">
        <f t="shared" si="6"/>
        <v>0</v>
      </c>
      <c r="AG44" s="887">
        <f t="shared" si="7"/>
        <v>0</v>
      </c>
      <c r="AH44" s="908" t="b">
        <f t="shared" si="8"/>
        <v>0</v>
      </c>
      <c r="AI44" s="815">
        <f t="shared" si="9"/>
        <v>119</v>
      </c>
      <c r="AJ44" s="867">
        <f t="shared" si="10"/>
        <v>30</v>
      </c>
      <c r="AK44" s="540">
        <f t="shared" si="11"/>
        <v>30</v>
      </c>
      <c r="AL44" s="909">
        <f t="shared" si="19"/>
        <v>0</v>
      </c>
      <c r="AN44" s="539">
        <f t="shared" si="20"/>
        <v>0</v>
      </c>
      <c r="AR44" s="941"/>
      <c r="AT44" s="317"/>
      <c r="AU44" s="317"/>
    </row>
    <row r="45" spans="2:47" ht="13.15" hidden="1" customHeight="1" x14ac:dyDescent="0.2">
      <c r="B45" s="316"/>
      <c r="C45" s="381"/>
      <c r="D45" s="895"/>
      <c r="E45" s="895"/>
      <c r="F45" s="390"/>
      <c r="G45" s="896"/>
      <c r="H45" s="33"/>
      <c r="I45" s="897"/>
      <c r="J45" s="898"/>
      <c r="K45" s="334"/>
      <c r="L45" s="1140"/>
      <c r="M45" s="1140"/>
      <c r="N45" s="899" t="str">
        <f t="shared" si="12"/>
        <v/>
      </c>
      <c r="O45" s="900" t="str">
        <f t="shared" si="13"/>
        <v/>
      </c>
      <c r="P45" s="901" t="str">
        <f t="shared" si="14"/>
        <v/>
      </c>
      <c r="Q45" s="568" t="str">
        <f t="shared" si="0"/>
        <v/>
      </c>
      <c r="R45" s="902" t="str">
        <f t="shared" si="15"/>
        <v/>
      </c>
      <c r="S45" s="903">
        <f t="shared" si="1"/>
        <v>0</v>
      </c>
      <c r="T45" s="334"/>
      <c r="U45" s="386"/>
      <c r="X45" s="887" t="str">
        <f t="shared" si="2"/>
        <v/>
      </c>
      <c r="Y45" s="904">
        <f t="shared" si="3"/>
        <v>0.6</v>
      </c>
      <c r="Z45" s="905" t="e">
        <f t="shared" si="16"/>
        <v>#VALUE!</v>
      </c>
      <c r="AA45" s="905" t="e">
        <f t="shared" si="17"/>
        <v>#VALUE!</v>
      </c>
      <c r="AB45" s="905" t="e">
        <f t="shared" si="18"/>
        <v>#VALUE!</v>
      </c>
      <c r="AC45" s="906" t="e">
        <f t="shared" si="4"/>
        <v>#VALUE!</v>
      </c>
      <c r="AD45" s="907">
        <f t="shared" si="5"/>
        <v>0</v>
      </c>
      <c r="AE45" s="904">
        <f>IF(H45&gt;8,tab!C$194,tab!C$197)</f>
        <v>0.4</v>
      </c>
      <c r="AF45" s="907">
        <f t="shared" si="6"/>
        <v>0</v>
      </c>
      <c r="AG45" s="887">
        <f t="shared" si="7"/>
        <v>0</v>
      </c>
      <c r="AH45" s="908" t="b">
        <f t="shared" si="8"/>
        <v>0</v>
      </c>
      <c r="AI45" s="815">
        <f t="shared" si="9"/>
        <v>119</v>
      </c>
      <c r="AJ45" s="867">
        <f t="shared" si="10"/>
        <v>30</v>
      </c>
      <c r="AK45" s="540">
        <f t="shared" si="11"/>
        <v>30</v>
      </c>
      <c r="AL45" s="909">
        <f t="shared" si="19"/>
        <v>0</v>
      </c>
      <c r="AN45" s="539">
        <f t="shared" si="20"/>
        <v>0</v>
      </c>
      <c r="AR45" s="941"/>
      <c r="AT45" s="317"/>
      <c r="AU45" s="317"/>
    </row>
    <row r="46" spans="2:47" ht="13.15" hidden="1" customHeight="1" x14ac:dyDescent="0.2">
      <c r="B46" s="316"/>
      <c r="C46" s="381"/>
      <c r="D46" s="895"/>
      <c r="E46" s="895"/>
      <c r="F46" s="390"/>
      <c r="G46" s="896"/>
      <c r="H46" s="33"/>
      <c r="I46" s="897"/>
      <c r="J46" s="898"/>
      <c r="K46" s="334"/>
      <c r="L46" s="1140"/>
      <c r="M46" s="1140"/>
      <c r="N46" s="899" t="str">
        <f t="shared" si="12"/>
        <v/>
      </c>
      <c r="O46" s="900" t="str">
        <f t="shared" si="13"/>
        <v/>
      </c>
      <c r="P46" s="901" t="str">
        <f t="shared" si="14"/>
        <v/>
      </c>
      <c r="Q46" s="568" t="str">
        <f t="shared" si="0"/>
        <v/>
      </c>
      <c r="R46" s="902" t="str">
        <f t="shared" si="15"/>
        <v/>
      </c>
      <c r="S46" s="903">
        <f t="shared" si="1"/>
        <v>0</v>
      </c>
      <c r="T46" s="334"/>
      <c r="U46" s="386"/>
      <c r="X46" s="887" t="str">
        <f t="shared" si="2"/>
        <v/>
      </c>
      <c r="Y46" s="904">
        <f t="shared" si="3"/>
        <v>0.6</v>
      </c>
      <c r="Z46" s="905" t="e">
        <f t="shared" si="16"/>
        <v>#VALUE!</v>
      </c>
      <c r="AA46" s="905" t="e">
        <f t="shared" si="17"/>
        <v>#VALUE!</v>
      </c>
      <c r="AB46" s="905" t="e">
        <f t="shared" si="18"/>
        <v>#VALUE!</v>
      </c>
      <c r="AC46" s="906" t="e">
        <f t="shared" si="4"/>
        <v>#VALUE!</v>
      </c>
      <c r="AD46" s="907">
        <f t="shared" si="5"/>
        <v>0</v>
      </c>
      <c r="AE46" s="904">
        <f>IF(H46&gt;8,tab!C$194,tab!C$197)</f>
        <v>0.4</v>
      </c>
      <c r="AF46" s="907">
        <f t="shared" si="6"/>
        <v>0</v>
      </c>
      <c r="AG46" s="887">
        <f t="shared" si="7"/>
        <v>0</v>
      </c>
      <c r="AH46" s="908" t="b">
        <f t="shared" si="8"/>
        <v>0</v>
      </c>
      <c r="AI46" s="815">
        <f t="shared" si="9"/>
        <v>119</v>
      </c>
      <c r="AJ46" s="867">
        <f t="shared" si="10"/>
        <v>30</v>
      </c>
      <c r="AK46" s="540">
        <f t="shared" si="11"/>
        <v>30</v>
      </c>
      <c r="AL46" s="909">
        <f t="shared" si="19"/>
        <v>0</v>
      </c>
      <c r="AN46" s="539">
        <f t="shared" si="20"/>
        <v>0</v>
      </c>
      <c r="AR46" s="941"/>
      <c r="AT46" s="317"/>
      <c r="AU46" s="317"/>
    </row>
    <row r="47" spans="2:47" ht="13.15" hidden="1" customHeight="1" x14ac:dyDescent="0.2">
      <c r="B47" s="316"/>
      <c r="C47" s="381"/>
      <c r="D47" s="895"/>
      <c r="E47" s="895"/>
      <c r="F47" s="390"/>
      <c r="G47" s="896"/>
      <c r="H47" s="33"/>
      <c r="I47" s="897"/>
      <c r="J47" s="898"/>
      <c r="K47" s="334"/>
      <c r="L47" s="1140"/>
      <c r="M47" s="1140"/>
      <c r="N47" s="899" t="str">
        <f t="shared" si="12"/>
        <v/>
      </c>
      <c r="O47" s="900" t="str">
        <f t="shared" si="13"/>
        <v/>
      </c>
      <c r="P47" s="901" t="str">
        <f t="shared" si="14"/>
        <v/>
      </c>
      <c r="Q47" s="568" t="str">
        <f t="shared" si="0"/>
        <v/>
      </c>
      <c r="R47" s="902" t="str">
        <f t="shared" si="15"/>
        <v/>
      </c>
      <c r="S47" s="903">
        <f t="shared" si="1"/>
        <v>0</v>
      </c>
      <c r="T47" s="334"/>
      <c r="U47" s="386"/>
      <c r="X47" s="887" t="str">
        <f t="shared" si="2"/>
        <v/>
      </c>
      <c r="Y47" s="904">
        <f t="shared" si="3"/>
        <v>0.6</v>
      </c>
      <c r="Z47" s="905" t="e">
        <f t="shared" si="16"/>
        <v>#VALUE!</v>
      </c>
      <c r="AA47" s="905" t="e">
        <f t="shared" si="17"/>
        <v>#VALUE!</v>
      </c>
      <c r="AB47" s="905" t="e">
        <f t="shared" si="18"/>
        <v>#VALUE!</v>
      </c>
      <c r="AC47" s="906" t="e">
        <f t="shared" si="4"/>
        <v>#VALUE!</v>
      </c>
      <c r="AD47" s="907">
        <f t="shared" si="5"/>
        <v>0</v>
      </c>
      <c r="AE47" s="904">
        <f>IF(H47&gt;8,tab!C$194,tab!C$197)</f>
        <v>0.4</v>
      </c>
      <c r="AF47" s="907">
        <f t="shared" si="6"/>
        <v>0</v>
      </c>
      <c r="AG47" s="887">
        <f t="shared" si="7"/>
        <v>0</v>
      </c>
      <c r="AH47" s="908" t="b">
        <f t="shared" si="8"/>
        <v>0</v>
      </c>
      <c r="AI47" s="815">
        <f t="shared" si="9"/>
        <v>119</v>
      </c>
      <c r="AJ47" s="867">
        <f t="shared" si="10"/>
        <v>30</v>
      </c>
      <c r="AK47" s="540">
        <f t="shared" si="11"/>
        <v>30</v>
      </c>
      <c r="AL47" s="909">
        <f t="shared" si="19"/>
        <v>0</v>
      </c>
      <c r="AN47" s="539">
        <f t="shared" si="20"/>
        <v>0</v>
      </c>
      <c r="AR47" s="941"/>
      <c r="AT47" s="317"/>
      <c r="AU47" s="317"/>
    </row>
    <row r="48" spans="2:47" ht="13.15" hidden="1" customHeight="1" x14ac:dyDescent="0.2">
      <c r="B48" s="316"/>
      <c r="C48" s="381"/>
      <c r="D48" s="895"/>
      <c r="E48" s="895"/>
      <c r="F48" s="390"/>
      <c r="G48" s="896"/>
      <c r="H48" s="33"/>
      <c r="I48" s="897"/>
      <c r="J48" s="898"/>
      <c r="K48" s="334"/>
      <c r="L48" s="1140"/>
      <c r="M48" s="1140"/>
      <c r="N48" s="899" t="str">
        <f t="shared" si="12"/>
        <v/>
      </c>
      <c r="O48" s="900" t="str">
        <f t="shared" si="13"/>
        <v/>
      </c>
      <c r="P48" s="901" t="str">
        <f t="shared" si="14"/>
        <v/>
      </c>
      <c r="Q48" s="568" t="str">
        <f t="shared" ref="Q48:Q79" si="21">IF(J48="","",(1659*J48-P48)*AA48)</f>
        <v/>
      </c>
      <c r="R48" s="902" t="str">
        <f t="shared" si="15"/>
        <v/>
      </c>
      <c r="S48" s="903">
        <f t="shared" ref="S48:S79" si="22">IF(E48=0,0,SUM(Q48:R48))</f>
        <v>0</v>
      </c>
      <c r="T48" s="334"/>
      <c r="U48" s="386"/>
      <c r="X48" s="887" t="str">
        <f t="shared" ref="X48:X79" si="23">IF(H48="","",5/12*VLOOKUP(H48,Salaris2019,I48+1,FALSE)+7/12*VLOOKUP(H48,Salaris2020,I48+1,FALSE))</f>
        <v/>
      </c>
      <c r="Y48" s="904">
        <f t="shared" ref="Y48:Y79" si="24">$Y$14</f>
        <v>0.6</v>
      </c>
      <c r="Z48" s="905" t="e">
        <f t="shared" si="16"/>
        <v>#VALUE!</v>
      </c>
      <c r="AA48" s="905" t="e">
        <f t="shared" si="17"/>
        <v>#VALUE!</v>
      </c>
      <c r="AB48" s="905" t="e">
        <f t="shared" si="18"/>
        <v>#VALUE!</v>
      </c>
      <c r="AC48" s="906" t="e">
        <f t="shared" ref="AC48:AC79" si="25">N48+O48</f>
        <v>#VALUE!</v>
      </c>
      <c r="AD48" s="907">
        <f t="shared" ref="AD48:AD79" si="26">SUM(L48:M48)</f>
        <v>0</v>
      </c>
      <c r="AE48" s="904">
        <f>IF(H48&gt;8,tab!C$194,tab!C$197)</f>
        <v>0.4</v>
      </c>
      <c r="AF48" s="907">
        <f t="shared" ref="AF48:AF79" si="27">IF(F48&lt;25,0,IF(F48=25,25,IF(F48&lt;40,0,IF(F48=40,40,IF(F48&gt;=40,0)))))</f>
        <v>0</v>
      </c>
      <c r="AG48" s="887">
        <f t="shared" ref="AG48:AG79" si="28">IF(AF48=25,(X48*1.08*J48/2),IF(AF48=40,(Y48*1.08*J48),IF(AF48=0,0)))</f>
        <v>0</v>
      </c>
      <c r="AH48" s="908" t="b">
        <f t="shared" ref="AH48:AH79" si="29">DATE(YEAR($E$9),MONTH(G48),DAY(G48))&gt;$E$9</f>
        <v>0</v>
      </c>
      <c r="AI48" s="815">
        <f t="shared" ref="AI48:AI79" si="30">YEAR($E$9)-YEAR(G48)-AH48</f>
        <v>119</v>
      </c>
      <c r="AJ48" s="867">
        <f t="shared" ref="AJ48:AJ79" si="31">IF((G48=""),30,AI48)</f>
        <v>30</v>
      </c>
      <c r="AK48" s="540">
        <f t="shared" si="11"/>
        <v>30</v>
      </c>
      <c r="AL48" s="909">
        <f t="shared" ref="AL48:AL79" si="32">(AK48*(SUM(J48:J48)))</f>
        <v>0</v>
      </c>
      <c r="AN48" s="539">
        <f t="shared" si="20"/>
        <v>0</v>
      </c>
      <c r="AR48" s="941"/>
      <c r="AT48" s="317"/>
      <c r="AU48" s="317"/>
    </row>
    <row r="49" spans="2:47" ht="13.15" hidden="1" customHeight="1" x14ac:dyDescent="0.2">
      <c r="B49" s="316"/>
      <c r="C49" s="381"/>
      <c r="D49" s="895"/>
      <c r="E49" s="895"/>
      <c r="F49" s="390"/>
      <c r="G49" s="896"/>
      <c r="H49" s="33"/>
      <c r="I49" s="897"/>
      <c r="J49" s="898"/>
      <c r="K49" s="334"/>
      <c r="L49" s="1140"/>
      <c r="M49" s="1140"/>
      <c r="N49" s="899" t="str">
        <f t="shared" si="12"/>
        <v/>
      </c>
      <c r="O49" s="900" t="str">
        <f t="shared" si="13"/>
        <v/>
      </c>
      <c r="P49" s="901" t="str">
        <f t="shared" si="14"/>
        <v/>
      </c>
      <c r="Q49" s="568" t="str">
        <f t="shared" si="21"/>
        <v/>
      </c>
      <c r="R49" s="902" t="str">
        <f t="shared" si="15"/>
        <v/>
      </c>
      <c r="S49" s="903">
        <f t="shared" si="22"/>
        <v>0</v>
      </c>
      <c r="T49" s="334"/>
      <c r="U49" s="386"/>
      <c r="X49" s="887" t="str">
        <f t="shared" si="23"/>
        <v/>
      </c>
      <c r="Y49" s="904">
        <f t="shared" si="24"/>
        <v>0.6</v>
      </c>
      <c r="Z49" s="905" t="e">
        <f t="shared" si="16"/>
        <v>#VALUE!</v>
      </c>
      <c r="AA49" s="905" t="e">
        <f t="shared" si="17"/>
        <v>#VALUE!</v>
      </c>
      <c r="AB49" s="905" t="e">
        <f t="shared" si="18"/>
        <v>#VALUE!</v>
      </c>
      <c r="AC49" s="906" t="e">
        <f t="shared" si="25"/>
        <v>#VALUE!</v>
      </c>
      <c r="AD49" s="907">
        <f t="shared" si="26"/>
        <v>0</v>
      </c>
      <c r="AE49" s="904">
        <f>IF(H49&gt;8,tab!C$194,tab!C$197)</f>
        <v>0.4</v>
      </c>
      <c r="AF49" s="907">
        <f t="shared" si="27"/>
        <v>0</v>
      </c>
      <c r="AG49" s="887">
        <f t="shared" si="28"/>
        <v>0</v>
      </c>
      <c r="AH49" s="908" t="b">
        <f t="shared" si="29"/>
        <v>0</v>
      </c>
      <c r="AI49" s="815">
        <f t="shared" si="30"/>
        <v>119</v>
      </c>
      <c r="AJ49" s="867">
        <f t="shared" si="31"/>
        <v>30</v>
      </c>
      <c r="AK49" s="540">
        <f t="shared" si="11"/>
        <v>30</v>
      </c>
      <c r="AL49" s="909">
        <f t="shared" si="32"/>
        <v>0</v>
      </c>
      <c r="AN49" s="539">
        <f t="shared" si="20"/>
        <v>0</v>
      </c>
      <c r="AR49" s="941"/>
      <c r="AT49" s="317"/>
      <c r="AU49" s="317"/>
    </row>
    <row r="50" spans="2:47" ht="13.15" hidden="1" customHeight="1" x14ac:dyDescent="0.2">
      <c r="B50" s="316"/>
      <c r="C50" s="381"/>
      <c r="D50" s="895"/>
      <c r="E50" s="895"/>
      <c r="F50" s="390"/>
      <c r="G50" s="896"/>
      <c r="H50" s="33"/>
      <c r="I50" s="897"/>
      <c r="J50" s="898"/>
      <c r="K50" s="334"/>
      <c r="L50" s="1140"/>
      <c r="M50" s="1140"/>
      <c r="N50" s="899" t="str">
        <f t="shared" si="12"/>
        <v/>
      </c>
      <c r="O50" s="900" t="str">
        <f t="shared" si="13"/>
        <v/>
      </c>
      <c r="P50" s="901" t="str">
        <f t="shared" si="14"/>
        <v/>
      </c>
      <c r="Q50" s="568" t="str">
        <f t="shared" si="21"/>
        <v/>
      </c>
      <c r="R50" s="902" t="str">
        <f t="shared" si="15"/>
        <v/>
      </c>
      <c r="S50" s="903">
        <f t="shared" si="22"/>
        <v>0</v>
      </c>
      <c r="T50" s="334"/>
      <c r="U50" s="386"/>
      <c r="X50" s="887" t="str">
        <f t="shared" si="23"/>
        <v/>
      </c>
      <c r="Y50" s="904">
        <f t="shared" si="24"/>
        <v>0.6</v>
      </c>
      <c r="Z50" s="905" t="e">
        <f t="shared" si="16"/>
        <v>#VALUE!</v>
      </c>
      <c r="AA50" s="905" t="e">
        <f t="shared" si="17"/>
        <v>#VALUE!</v>
      </c>
      <c r="AB50" s="905" t="e">
        <f t="shared" si="18"/>
        <v>#VALUE!</v>
      </c>
      <c r="AC50" s="906" t="e">
        <f t="shared" si="25"/>
        <v>#VALUE!</v>
      </c>
      <c r="AD50" s="907">
        <f t="shared" si="26"/>
        <v>0</v>
      </c>
      <c r="AE50" s="904">
        <f>IF(H50&gt;8,tab!C$194,tab!C$197)</f>
        <v>0.4</v>
      </c>
      <c r="AF50" s="907">
        <f t="shared" si="27"/>
        <v>0</v>
      </c>
      <c r="AG50" s="887">
        <f t="shared" si="28"/>
        <v>0</v>
      </c>
      <c r="AH50" s="908" t="b">
        <f t="shared" si="29"/>
        <v>0</v>
      </c>
      <c r="AI50" s="815">
        <f t="shared" si="30"/>
        <v>119</v>
      </c>
      <c r="AJ50" s="867">
        <f t="shared" si="31"/>
        <v>30</v>
      </c>
      <c r="AK50" s="540">
        <f t="shared" si="11"/>
        <v>30</v>
      </c>
      <c r="AL50" s="909">
        <f t="shared" si="32"/>
        <v>0</v>
      </c>
      <c r="AN50" s="539">
        <f t="shared" si="20"/>
        <v>0</v>
      </c>
      <c r="AR50" s="941"/>
      <c r="AT50" s="317"/>
      <c r="AU50" s="317"/>
    </row>
    <row r="51" spans="2:47" ht="13.15" hidden="1" customHeight="1" x14ac:dyDescent="0.2">
      <c r="B51" s="316"/>
      <c r="C51" s="381"/>
      <c r="D51" s="895"/>
      <c r="E51" s="895"/>
      <c r="F51" s="390"/>
      <c r="G51" s="896"/>
      <c r="H51" s="33"/>
      <c r="I51" s="897"/>
      <c r="J51" s="898"/>
      <c r="K51" s="334"/>
      <c r="L51" s="1140"/>
      <c r="M51" s="1140"/>
      <c r="N51" s="899" t="str">
        <f t="shared" si="12"/>
        <v/>
      </c>
      <c r="O51" s="900" t="str">
        <f t="shared" si="13"/>
        <v/>
      </c>
      <c r="P51" s="901" t="str">
        <f t="shared" si="14"/>
        <v/>
      </c>
      <c r="Q51" s="568" t="str">
        <f t="shared" si="21"/>
        <v/>
      </c>
      <c r="R51" s="902" t="str">
        <f t="shared" si="15"/>
        <v/>
      </c>
      <c r="S51" s="903">
        <f t="shared" si="22"/>
        <v>0</v>
      </c>
      <c r="T51" s="334"/>
      <c r="U51" s="386"/>
      <c r="X51" s="887" t="str">
        <f t="shared" si="23"/>
        <v/>
      </c>
      <c r="Y51" s="904">
        <f t="shared" si="24"/>
        <v>0.6</v>
      </c>
      <c r="Z51" s="905" t="e">
        <f t="shared" si="16"/>
        <v>#VALUE!</v>
      </c>
      <c r="AA51" s="905" t="e">
        <f t="shared" si="17"/>
        <v>#VALUE!</v>
      </c>
      <c r="AB51" s="905" t="e">
        <f t="shared" si="18"/>
        <v>#VALUE!</v>
      </c>
      <c r="AC51" s="906" t="e">
        <f t="shared" si="25"/>
        <v>#VALUE!</v>
      </c>
      <c r="AD51" s="907">
        <f t="shared" si="26"/>
        <v>0</v>
      </c>
      <c r="AE51" s="904">
        <f>IF(H51&gt;8,tab!C$194,tab!C$197)</f>
        <v>0.4</v>
      </c>
      <c r="AF51" s="907">
        <f t="shared" si="27"/>
        <v>0</v>
      </c>
      <c r="AG51" s="887">
        <f t="shared" si="28"/>
        <v>0</v>
      </c>
      <c r="AH51" s="908" t="b">
        <f t="shared" si="29"/>
        <v>0</v>
      </c>
      <c r="AI51" s="815">
        <f t="shared" si="30"/>
        <v>119</v>
      </c>
      <c r="AJ51" s="867">
        <f t="shared" si="31"/>
        <v>30</v>
      </c>
      <c r="AK51" s="540">
        <f t="shared" si="11"/>
        <v>30</v>
      </c>
      <c r="AL51" s="909">
        <f t="shared" si="32"/>
        <v>0</v>
      </c>
      <c r="AN51" s="539">
        <f t="shared" si="20"/>
        <v>0</v>
      </c>
      <c r="AR51" s="941"/>
      <c r="AT51" s="317"/>
      <c r="AU51" s="317"/>
    </row>
    <row r="52" spans="2:47" ht="13.15" hidden="1" customHeight="1" x14ac:dyDescent="0.2">
      <c r="B52" s="316"/>
      <c r="C52" s="381"/>
      <c r="D52" s="895"/>
      <c r="E52" s="895"/>
      <c r="F52" s="390"/>
      <c r="G52" s="896"/>
      <c r="H52" s="33"/>
      <c r="I52" s="897"/>
      <c r="J52" s="898"/>
      <c r="K52" s="334"/>
      <c r="L52" s="1140"/>
      <c r="M52" s="1140"/>
      <c r="N52" s="899" t="str">
        <f t="shared" si="12"/>
        <v/>
      </c>
      <c r="O52" s="900" t="str">
        <f t="shared" si="13"/>
        <v/>
      </c>
      <c r="P52" s="901" t="str">
        <f t="shared" si="14"/>
        <v/>
      </c>
      <c r="Q52" s="568" t="str">
        <f t="shared" si="21"/>
        <v/>
      </c>
      <c r="R52" s="902" t="str">
        <f t="shared" si="15"/>
        <v/>
      </c>
      <c r="S52" s="903">
        <f t="shared" si="22"/>
        <v>0</v>
      </c>
      <c r="T52" s="334"/>
      <c r="U52" s="386"/>
      <c r="X52" s="887" t="str">
        <f t="shared" si="23"/>
        <v/>
      </c>
      <c r="Y52" s="904">
        <f t="shared" si="24"/>
        <v>0.6</v>
      </c>
      <c r="Z52" s="905" t="e">
        <f t="shared" si="16"/>
        <v>#VALUE!</v>
      </c>
      <c r="AA52" s="905" t="e">
        <f t="shared" si="17"/>
        <v>#VALUE!</v>
      </c>
      <c r="AB52" s="905" t="e">
        <f t="shared" si="18"/>
        <v>#VALUE!</v>
      </c>
      <c r="AC52" s="906" t="e">
        <f t="shared" si="25"/>
        <v>#VALUE!</v>
      </c>
      <c r="AD52" s="907">
        <f t="shared" si="26"/>
        <v>0</v>
      </c>
      <c r="AE52" s="904">
        <f>IF(H52&gt;8,tab!C$194,tab!C$197)</f>
        <v>0.4</v>
      </c>
      <c r="AF52" s="907">
        <f t="shared" si="27"/>
        <v>0</v>
      </c>
      <c r="AG52" s="887">
        <f t="shared" si="28"/>
        <v>0</v>
      </c>
      <c r="AH52" s="908" t="b">
        <f t="shared" si="29"/>
        <v>0</v>
      </c>
      <c r="AI52" s="815">
        <f t="shared" si="30"/>
        <v>119</v>
      </c>
      <c r="AJ52" s="867">
        <f t="shared" si="31"/>
        <v>30</v>
      </c>
      <c r="AK52" s="540">
        <f t="shared" si="11"/>
        <v>30</v>
      </c>
      <c r="AL52" s="909">
        <f t="shared" si="32"/>
        <v>0</v>
      </c>
      <c r="AN52" s="539">
        <f t="shared" si="20"/>
        <v>0</v>
      </c>
      <c r="AR52" s="941"/>
      <c r="AT52" s="317"/>
      <c r="AU52" s="317"/>
    </row>
    <row r="53" spans="2:47" ht="13.15" hidden="1" customHeight="1" x14ac:dyDescent="0.2">
      <c r="B53" s="316"/>
      <c r="C53" s="381"/>
      <c r="D53" s="895"/>
      <c r="E53" s="895"/>
      <c r="F53" s="390"/>
      <c r="G53" s="896"/>
      <c r="H53" s="33"/>
      <c r="I53" s="897"/>
      <c r="J53" s="898"/>
      <c r="K53" s="334"/>
      <c r="L53" s="1140"/>
      <c r="M53" s="1140"/>
      <c r="N53" s="899" t="str">
        <f t="shared" si="12"/>
        <v/>
      </c>
      <c r="O53" s="900" t="str">
        <f t="shared" si="13"/>
        <v/>
      </c>
      <c r="P53" s="901" t="str">
        <f t="shared" si="14"/>
        <v/>
      </c>
      <c r="Q53" s="568" t="str">
        <f t="shared" si="21"/>
        <v/>
      </c>
      <c r="R53" s="902" t="str">
        <f t="shared" si="15"/>
        <v/>
      </c>
      <c r="S53" s="903">
        <f t="shared" si="22"/>
        <v>0</v>
      </c>
      <c r="T53" s="334"/>
      <c r="U53" s="386"/>
      <c r="X53" s="887" t="str">
        <f t="shared" si="23"/>
        <v/>
      </c>
      <c r="Y53" s="904">
        <f t="shared" si="24"/>
        <v>0.6</v>
      </c>
      <c r="Z53" s="905" t="e">
        <f t="shared" si="16"/>
        <v>#VALUE!</v>
      </c>
      <c r="AA53" s="905" t="e">
        <f t="shared" si="17"/>
        <v>#VALUE!</v>
      </c>
      <c r="AB53" s="905" t="e">
        <f t="shared" si="18"/>
        <v>#VALUE!</v>
      </c>
      <c r="AC53" s="906" t="e">
        <f t="shared" si="25"/>
        <v>#VALUE!</v>
      </c>
      <c r="AD53" s="907">
        <f t="shared" si="26"/>
        <v>0</v>
      </c>
      <c r="AE53" s="904">
        <f>IF(H53&gt;8,tab!C$194,tab!C$197)</f>
        <v>0.4</v>
      </c>
      <c r="AF53" s="907">
        <f t="shared" si="27"/>
        <v>0</v>
      </c>
      <c r="AG53" s="887">
        <f t="shared" si="28"/>
        <v>0</v>
      </c>
      <c r="AH53" s="908" t="b">
        <f t="shared" si="29"/>
        <v>0</v>
      </c>
      <c r="AI53" s="815">
        <f t="shared" si="30"/>
        <v>119</v>
      </c>
      <c r="AJ53" s="867">
        <f t="shared" si="31"/>
        <v>30</v>
      </c>
      <c r="AK53" s="540">
        <f t="shared" si="11"/>
        <v>30</v>
      </c>
      <c r="AL53" s="909">
        <f t="shared" si="32"/>
        <v>0</v>
      </c>
      <c r="AN53" s="539">
        <f t="shared" si="20"/>
        <v>0</v>
      </c>
      <c r="AR53" s="941"/>
      <c r="AT53" s="317"/>
      <c r="AU53" s="317"/>
    </row>
    <row r="54" spans="2:47" ht="13.15" hidden="1" customHeight="1" x14ac:dyDescent="0.2">
      <c r="B54" s="316"/>
      <c r="C54" s="381"/>
      <c r="D54" s="895"/>
      <c r="E54" s="895"/>
      <c r="F54" s="390"/>
      <c r="G54" s="896"/>
      <c r="H54" s="33"/>
      <c r="I54" s="897"/>
      <c r="J54" s="898"/>
      <c r="K54" s="334"/>
      <c r="L54" s="1140"/>
      <c r="M54" s="1140"/>
      <c r="N54" s="899" t="str">
        <f t="shared" si="12"/>
        <v/>
      </c>
      <c r="O54" s="900" t="str">
        <f t="shared" si="13"/>
        <v/>
      </c>
      <c r="P54" s="901" t="str">
        <f t="shared" si="14"/>
        <v/>
      </c>
      <c r="Q54" s="568" t="str">
        <f t="shared" si="21"/>
        <v/>
      </c>
      <c r="R54" s="902" t="str">
        <f t="shared" si="15"/>
        <v/>
      </c>
      <c r="S54" s="903">
        <f t="shared" si="22"/>
        <v>0</v>
      </c>
      <c r="T54" s="334"/>
      <c r="U54" s="386"/>
      <c r="X54" s="887" t="str">
        <f t="shared" si="23"/>
        <v/>
      </c>
      <c r="Y54" s="904">
        <f t="shared" si="24"/>
        <v>0.6</v>
      </c>
      <c r="Z54" s="905" t="e">
        <f t="shared" si="16"/>
        <v>#VALUE!</v>
      </c>
      <c r="AA54" s="905" t="e">
        <f t="shared" si="17"/>
        <v>#VALUE!</v>
      </c>
      <c r="AB54" s="905" t="e">
        <f t="shared" si="18"/>
        <v>#VALUE!</v>
      </c>
      <c r="AC54" s="906" t="e">
        <f t="shared" si="25"/>
        <v>#VALUE!</v>
      </c>
      <c r="AD54" s="907">
        <f t="shared" si="26"/>
        <v>0</v>
      </c>
      <c r="AE54" s="904">
        <f>IF(H54&gt;8,tab!C$194,tab!C$197)</f>
        <v>0.4</v>
      </c>
      <c r="AF54" s="907">
        <f t="shared" si="27"/>
        <v>0</v>
      </c>
      <c r="AG54" s="887">
        <f t="shared" si="28"/>
        <v>0</v>
      </c>
      <c r="AH54" s="908" t="b">
        <f t="shared" si="29"/>
        <v>0</v>
      </c>
      <c r="AI54" s="815">
        <f t="shared" si="30"/>
        <v>119</v>
      </c>
      <c r="AJ54" s="867">
        <f t="shared" si="31"/>
        <v>30</v>
      </c>
      <c r="AK54" s="540">
        <f t="shared" si="11"/>
        <v>30</v>
      </c>
      <c r="AL54" s="909">
        <f t="shared" si="32"/>
        <v>0</v>
      </c>
      <c r="AN54" s="539">
        <f t="shared" si="20"/>
        <v>0</v>
      </c>
      <c r="AR54" s="941"/>
      <c r="AT54" s="317"/>
      <c r="AU54" s="317"/>
    </row>
    <row r="55" spans="2:47" ht="13.15" hidden="1" customHeight="1" x14ac:dyDescent="0.2">
      <c r="B55" s="316"/>
      <c r="C55" s="381"/>
      <c r="D55" s="895"/>
      <c r="E55" s="895"/>
      <c r="F55" s="390"/>
      <c r="G55" s="896"/>
      <c r="H55" s="33"/>
      <c r="I55" s="897"/>
      <c r="J55" s="898"/>
      <c r="K55" s="334"/>
      <c r="L55" s="1140"/>
      <c r="M55" s="1140"/>
      <c r="N55" s="899" t="str">
        <f t="shared" si="12"/>
        <v/>
      </c>
      <c r="O55" s="900" t="str">
        <f t="shared" si="13"/>
        <v/>
      </c>
      <c r="P55" s="901" t="str">
        <f t="shared" si="14"/>
        <v/>
      </c>
      <c r="Q55" s="568" t="str">
        <f t="shared" si="21"/>
        <v/>
      </c>
      <c r="R55" s="902" t="str">
        <f t="shared" si="15"/>
        <v/>
      </c>
      <c r="S55" s="903">
        <f t="shared" si="22"/>
        <v>0</v>
      </c>
      <c r="T55" s="334"/>
      <c r="U55" s="386"/>
      <c r="X55" s="887" t="str">
        <f t="shared" si="23"/>
        <v/>
      </c>
      <c r="Y55" s="904">
        <f t="shared" si="24"/>
        <v>0.6</v>
      </c>
      <c r="Z55" s="905" t="e">
        <f t="shared" si="16"/>
        <v>#VALUE!</v>
      </c>
      <c r="AA55" s="905" t="e">
        <f t="shared" si="17"/>
        <v>#VALUE!</v>
      </c>
      <c r="AB55" s="905" t="e">
        <f t="shared" si="18"/>
        <v>#VALUE!</v>
      </c>
      <c r="AC55" s="906" t="e">
        <f t="shared" si="25"/>
        <v>#VALUE!</v>
      </c>
      <c r="AD55" s="907">
        <f t="shared" si="26"/>
        <v>0</v>
      </c>
      <c r="AE55" s="904">
        <f>IF(H55&gt;8,tab!C$194,tab!C$197)</f>
        <v>0.4</v>
      </c>
      <c r="AF55" s="907">
        <f t="shared" si="27"/>
        <v>0</v>
      </c>
      <c r="AG55" s="887">
        <f t="shared" si="28"/>
        <v>0</v>
      </c>
      <c r="AH55" s="908" t="b">
        <f t="shared" si="29"/>
        <v>0</v>
      </c>
      <c r="AI55" s="815">
        <f t="shared" si="30"/>
        <v>119</v>
      </c>
      <c r="AJ55" s="867">
        <f t="shared" si="31"/>
        <v>30</v>
      </c>
      <c r="AK55" s="540">
        <f t="shared" si="11"/>
        <v>30</v>
      </c>
      <c r="AL55" s="909">
        <f t="shared" si="32"/>
        <v>0</v>
      </c>
      <c r="AN55" s="539">
        <f t="shared" si="20"/>
        <v>0</v>
      </c>
      <c r="AR55" s="941"/>
      <c r="AT55" s="317"/>
      <c r="AU55" s="317"/>
    </row>
    <row r="56" spans="2:47" ht="13.15" hidden="1" customHeight="1" x14ac:dyDescent="0.2">
      <c r="B56" s="316"/>
      <c r="C56" s="381"/>
      <c r="D56" s="895"/>
      <c r="E56" s="895"/>
      <c r="F56" s="390"/>
      <c r="G56" s="896"/>
      <c r="H56" s="33"/>
      <c r="I56" s="897"/>
      <c r="J56" s="898"/>
      <c r="K56" s="334"/>
      <c r="L56" s="1140"/>
      <c r="M56" s="1140"/>
      <c r="N56" s="899" t="str">
        <f t="shared" si="12"/>
        <v/>
      </c>
      <c r="O56" s="900" t="str">
        <f t="shared" si="13"/>
        <v/>
      </c>
      <c r="P56" s="901" t="str">
        <f t="shared" si="14"/>
        <v/>
      </c>
      <c r="Q56" s="568" t="str">
        <f t="shared" si="21"/>
        <v/>
      </c>
      <c r="R56" s="902" t="str">
        <f t="shared" si="15"/>
        <v/>
      </c>
      <c r="S56" s="903">
        <f t="shared" si="22"/>
        <v>0</v>
      </c>
      <c r="T56" s="334"/>
      <c r="U56" s="386"/>
      <c r="X56" s="887" t="str">
        <f t="shared" si="23"/>
        <v/>
      </c>
      <c r="Y56" s="904">
        <f t="shared" si="24"/>
        <v>0.6</v>
      </c>
      <c r="Z56" s="905" t="e">
        <f t="shared" si="16"/>
        <v>#VALUE!</v>
      </c>
      <c r="AA56" s="905" t="e">
        <f t="shared" si="17"/>
        <v>#VALUE!</v>
      </c>
      <c r="AB56" s="905" t="e">
        <f t="shared" si="18"/>
        <v>#VALUE!</v>
      </c>
      <c r="AC56" s="906" t="e">
        <f t="shared" si="25"/>
        <v>#VALUE!</v>
      </c>
      <c r="AD56" s="907">
        <f t="shared" si="26"/>
        <v>0</v>
      </c>
      <c r="AE56" s="904">
        <f>IF(H56&gt;8,tab!C$194,tab!C$197)</f>
        <v>0.4</v>
      </c>
      <c r="AF56" s="907">
        <f t="shared" si="27"/>
        <v>0</v>
      </c>
      <c r="AG56" s="887">
        <f t="shared" si="28"/>
        <v>0</v>
      </c>
      <c r="AH56" s="908" t="b">
        <f t="shared" si="29"/>
        <v>0</v>
      </c>
      <c r="AI56" s="815">
        <f t="shared" si="30"/>
        <v>119</v>
      </c>
      <c r="AJ56" s="867">
        <f t="shared" si="31"/>
        <v>30</v>
      </c>
      <c r="AK56" s="540">
        <f t="shared" si="11"/>
        <v>30</v>
      </c>
      <c r="AL56" s="909">
        <f t="shared" si="32"/>
        <v>0</v>
      </c>
      <c r="AN56" s="539">
        <f t="shared" si="20"/>
        <v>0</v>
      </c>
      <c r="AR56" s="941"/>
      <c r="AT56" s="317"/>
      <c r="AU56" s="317"/>
    </row>
    <row r="57" spans="2:47" ht="13.15" hidden="1" customHeight="1" x14ac:dyDescent="0.2">
      <c r="B57" s="316"/>
      <c r="C57" s="381"/>
      <c r="D57" s="895"/>
      <c r="E57" s="895"/>
      <c r="F57" s="390"/>
      <c r="G57" s="896"/>
      <c r="H57" s="33"/>
      <c r="I57" s="897"/>
      <c r="J57" s="898"/>
      <c r="K57" s="334"/>
      <c r="L57" s="1140"/>
      <c r="M57" s="1140"/>
      <c r="N57" s="899" t="str">
        <f t="shared" si="12"/>
        <v/>
      </c>
      <c r="O57" s="900" t="str">
        <f t="shared" si="13"/>
        <v/>
      </c>
      <c r="P57" s="901" t="str">
        <f t="shared" si="14"/>
        <v/>
      </c>
      <c r="Q57" s="568" t="str">
        <f t="shared" si="21"/>
        <v/>
      </c>
      <c r="R57" s="902" t="str">
        <f t="shared" si="15"/>
        <v/>
      </c>
      <c r="S57" s="903">
        <f t="shared" si="22"/>
        <v>0</v>
      </c>
      <c r="T57" s="334"/>
      <c r="U57" s="386"/>
      <c r="X57" s="887" t="str">
        <f t="shared" si="23"/>
        <v/>
      </c>
      <c r="Y57" s="904">
        <f t="shared" si="24"/>
        <v>0.6</v>
      </c>
      <c r="Z57" s="905" t="e">
        <f t="shared" si="16"/>
        <v>#VALUE!</v>
      </c>
      <c r="AA57" s="905" t="e">
        <f t="shared" si="17"/>
        <v>#VALUE!</v>
      </c>
      <c r="AB57" s="905" t="e">
        <f t="shared" si="18"/>
        <v>#VALUE!</v>
      </c>
      <c r="AC57" s="906" t="e">
        <f t="shared" si="25"/>
        <v>#VALUE!</v>
      </c>
      <c r="AD57" s="907">
        <f t="shared" si="26"/>
        <v>0</v>
      </c>
      <c r="AE57" s="904">
        <f>IF(H57&gt;8,tab!C$194,tab!C$197)</f>
        <v>0.4</v>
      </c>
      <c r="AF57" s="907">
        <f t="shared" si="27"/>
        <v>0</v>
      </c>
      <c r="AG57" s="887">
        <f t="shared" si="28"/>
        <v>0</v>
      </c>
      <c r="AH57" s="908" t="b">
        <f t="shared" si="29"/>
        <v>0</v>
      </c>
      <c r="AI57" s="815">
        <f t="shared" si="30"/>
        <v>119</v>
      </c>
      <c r="AJ57" s="867">
        <f t="shared" si="31"/>
        <v>30</v>
      </c>
      <c r="AK57" s="540">
        <f t="shared" si="11"/>
        <v>30</v>
      </c>
      <c r="AL57" s="909">
        <f t="shared" si="32"/>
        <v>0</v>
      </c>
      <c r="AN57" s="539">
        <f t="shared" si="20"/>
        <v>0</v>
      </c>
      <c r="AR57" s="941"/>
      <c r="AT57" s="317"/>
      <c r="AU57" s="317"/>
    </row>
    <row r="58" spans="2:47" ht="13.15" hidden="1" customHeight="1" x14ac:dyDescent="0.2">
      <c r="B58" s="316"/>
      <c r="C58" s="381"/>
      <c r="D58" s="895"/>
      <c r="E58" s="895"/>
      <c r="F58" s="390"/>
      <c r="G58" s="896"/>
      <c r="H58" s="33"/>
      <c r="I58" s="897"/>
      <c r="J58" s="898"/>
      <c r="K58" s="334"/>
      <c r="L58" s="1140"/>
      <c r="M58" s="1140"/>
      <c r="N58" s="899" t="str">
        <f t="shared" si="12"/>
        <v/>
      </c>
      <c r="O58" s="900" t="str">
        <f t="shared" si="13"/>
        <v/>
      </c>
      <c r="P58" s="901" t="str">
        <f t="shared" si="14"/>
        <v/>
      </c>
      <c r="Q58" s="568" t="str">
        <f t="shared" si="21"/>
        <v/>
      </c>
      <c r="R58" s="902" t="str">
        <f t="shared" si="15"/>
        <v/>
      </c>
      <c r="S58" s="903">
        <f t="shared" si="22"/>
        <v>0</v>
      </c>
      <c r="T58" s="334"/>
      <c r="U58" s="386"/>
      <c r="X58" s="887" t="str">
        <f t="shared" si="23"/>
        <v/>
      </c>
      <c r="Y58" s="904">
        <f t="shared" si="24"/>
        <v>0.6</v>
      </c>
      <c r="Z58" s="905" t="e">
        <f t="shared" si="16"/>
        <v>#VALUE!</v>
      </c>
      <c r="AA58" s="905" t="e">
        <f t="shared" si="17"/>
        <v>#VALUE!</v>
      </c>
      <c r="AB58" s="905" t="e">
        <f t="shared" si="18"/>
        <v>#VALUE!</v>
      </c>
      <c r="AC58" s="906" t="e">
        <f t="shared" si="25"/>
        <v>#VALUE!</v>
      </c>
      <c r="AD58" s="907">
        <f t="shared" si="26"/>
        <v>0</v>
      </c>
      <c r="AE58" s="904">
        <f>IF(H58&gt;8,tab!C$194,tab!C$197)</f>
        <v>0.4</v>
      </c>
      <c r="AF58" s="907">
        <f t="shared" si="27"/>
        <v>0</v>
      </c>
      <c r="AG58" s="887">
        <f t="shared" si="28"/>
        <v>0</v>
      </c>
      <c r="AH58" s="908" t="b">
        <f t="shared" si="29"/>
        <v>0</v>
      </c>
      <c r="AI58" s="815">
        <f t="shared" si="30"/>
        <v>119</v>
      </c>
      <c r="AJ58" s="867">
        <f t="shared" si="31"/>
        <v>30</v>
      </c>
      <c r="AK58" s="540">
        <f t="shared" si="11"/>
        <v>30</v>
      </c>
      <c r="AL58" s="909">
        <f t="shared" si="32"/>
        <v>0</v>
      </c>
      <c r="AN58" s="539">
        <f t="shared" si="20"/>
        <v>0</v>
      </c>
      <c r="AR58" s="941"/>
      <c r="AT58" s="317"/>
      <c r="AU58" s="317"/>
    </row>
    <row r="59" spans="2:47" ht="13.15" hidden="1" customHeight="1" x14ac:dyDescent="0.2">
      <c r="B59" s="316"/>
      <c r="C59" s="381"/>
      <c r="D59" s="895"/>
      <c r="E59" s="895"/>
      <c r="F59" s="390"/>
      <c r="G59" s="896"/>
      <c r="H59" s="33"/>
      <c r="I59" s="897"/>
      <c r="J59" s="898"/>
      <c r="K59" s="334"/>
      <c r="L59" s="1140"/>
      <c r="M59" s="1140"/>
      <c r="N59" s="899" t="str">
        <f t="shared" si="12"/>
        <v/>
      </c>
      <c r="O59" s="900" t="str">
        <f t="shared" si="13"/>
        <v/>
      </c>
      <c r="P59" s="901" t="str">
        <f t="shared" si="14"/>
        <v/>
      </c>
      <c r="Q59" s="568" t="str">
        <f t="shared" si="21"/>
        <v/>
      </c>
      <c r="R59" s="902" t="str">
        <f t="shared" si="15"/>
        <v/>
      </c>
      <c r="S59" s="903">
        <f t="shared" si="22"/>
        <v>0</v>
      </c>
      <c r="T59" s="334"/>
      <c r="U59" s="386"/>
      <c r="X59" s="887" t="str">
        <f t="shared" si="23"/>
        <v/>
      </c>
      <c r="Y59" s="904">
        <f t="shared" si="24"/>
        <v>0.6</v>
      </c>
      <c r="Z59" s="905" t="e">
        <f t="shared" si="16"/>
        <v>#VALUE!</v>
      </c>
      <c r="AA59" s="905" t="e">
        <f t="shared" si="17"/>
        <v>#VALUE!</v>
      </c>
      <c r="AB59" s="905" t="e">
        <f t="shared" si="18"/>
        <v>#VALUE!</v>
      </c>
      <c r="AC59" s="906" t="e">
        <f t="shared" si="25"/>
        <v>#VALUE!</v>
      </c>
      <c r="AD59" s="907">
        <f t="shared" si="26"/>
        <v>0</v>
      </c>
      <c r="AE59" s="904">
        <f>IF(H59&gt;8,tab!C$194,tab!C$197)</f>
        <v>0.4</v>
      </c>
      <c r="AF59" s="907">
        <f t="shared" si="27"/>
        <v>0</v>
      </c>
      <c r="AG59" s="887">
        <f t="shared" si="28"/>
        <v>0</v>
      </c>
      <c r="AH59" s="908" t="b">
        <f t="shared" si="29"/>
        <v>0</v>
      </c>
      <c r="AI59" s="815">
        <f t="shared" si="30"/>
        <v>119</v>
      </c>
      <c r="AJ59" s="867">
        <f t="shared" si="31"/>
        <v>30</v>
      </c>
      <c r="AK59" s="540">
        <f t="shared" si="11"/>
        <v>30</v>
      </c>
      <c r="AL59" s="909">
        <f t="shared" si="32"/>
        <v>0</v>
      </c>
      <c r="AN59" s="539">
        <f t="shared" si="20"/>
        <v>0</v>
      </c>
      <c r="AR59" s="941"/>
      <c r="AT59" s="317"/>
      <c r="AU59" s="317"/>
    </row>
    <row r="60" spans="2:47" ht="13.15" hidden="1" customHeight="1" x14ac:dyDescent="0.2">
      <c r="B60" s="316"/>
      <c r="C60" s="381"/>
      <c r="D60" s="895"/>
      <c r="E60" s="895"/>
      <c r="F60" s="390"/>
      <c r="G60" s="896"/>
      <c r="H60" s="33"/>
      <c r="I60" s="897"/>
      <c r="J60" s="898"/>
      <c r="K60" s="334"/>
      <c r="L60" s="1140"/>
      <c r="M60" s="1140"/>
      <c r="N60" s="899" t="str">
        <f t="shared" si="12"/>
        <v/>
      </c>
      <c r="O60" s="900" t="str">
        <f t="shared" si="13"/>
        <v/>
      </c>
      <c r="P60" s="901" t="str">
        <f t="shared" si="14"/>
        <v/>
      </c>
      <c r="Q60" s="568" t="str">
        <f t="shared" si="21"/>
        <v/>
      </c>
      <c r="R60" s="902" t="str">
        <f t="shared" si="15"/>
        <v/>
      </c>
      <c r="S60" s="903">
        <f t="shared" si="22"/>
        <v>0</v>
      </c>
      <c r="T60" s="334"/>
      <c r="U60" s="386"/>
      <c r="X60" s="887" t="str">
        <f t="shared" si="23"/>
        <v/>
      </c>
      <c r="Y60" s="904">
        <f t="shared" si="24"/>
        <v>0.6</v>
      </c>
      <c r="Z60" s="905" t="e">
        <f t="shared" si="16"/>
        <v>#VALUE!</v>
      </c>
      <c r="AA60" s="905" t="e">
        <f t="shared" si="17"/>
        <v>#VALUE!</v>
      </c>
      <c r="AB60" s="905" t="e">
        <f t="shared" si="18"/>
        <v>#VALUE!</v>
      </c>
      <c r="AC60" s="906" t="e">
        <f t="shared" si="25"/>
        <v>#VALUE!</v>
      </c>
      <c r="AD60" s="907">
        <f t="shared" si="26"/>
        <v>0</v>
      </c>
      <c r="AE60" s="904">
        <f>IF(H60&gt;8,tab!C$194,tab!C$197)</f>
        <v>0.4</v>
      </c>
      <c r="AF60" s="907">
        <f t="shared" si="27"/>
        <v>0</v>
      </c>
      <c r="AG60" s="887">
        <f t="shared" si="28"/>
        <v>0</v>
      </c>
      <c r="AH60" s="908" t="b">
        <f t="shared" si="29"/>
        <v>0</v>
      </c>
      <c r="AI60" s="815">
        <f t="shared" si="30"/>
        <v>119</v>
      </c>
      <c r="AJ60" s="867">
        <f t="shared" si="31"/>
        <v>30</v>
      </c>
      <c r="AK60" s="540">
        <f t="shared" si="11"/>
        <v>30</v>
      </c>
      <c r="AL60" s="909">
        <f t="shared" si="32"/>
        <v>0</v>
      </c>
      <c r="AN60" s="539">
        <f t="shared" si="20"/>
        <v>0</v>
      </c>
      <c r="AR60" s="941"/>
      <c r="AT60" s="317"/>
      <c r="AU60" s="317"/>
    </row>
    <row r="61" spans="2:47" ht="13.15" hidden="1" customHeight="1" x14ac:dyDescent="0.2">
      <c r="B61" s="316"/>
      <c r="C61" s="381"/>
      <c r="D61" s="895"/>
      <c r="E61" s="895"/>
      <c r="F61" s="390"/>
      <c r="G61" s="896"/>
      <c r="H61" s="33"/>
      <c r="I61" s="897"/>
      <c r="J61" s="898"/>
      <c r="K61" s="334"/>
      <c r="L61" s="1140"/>
      <c r="M61" s="1140"/>
      <c r="N61" s="899" t="str">
        <f t="shared" si="12"/>
        <v/>
      </c>
      <c r="O61" s="900" t="str">
        <f t="shared" si="13"/>
        <v/>
      </c>
      <c r="P61" s="901" t="str">
        <f t="shared" si="14"/>
        <v/>
      </c>
      <c r="Q61" s="568" t="str">
        <f t="shared" si="21"/>
        <v/>
      </c>
      <c r="R61" s="902" t="str">
        <f t="shared" si="15"/>
        <v/>
      </c>
      <c r="S61" s="903">
        <f t="shared" si="22"/>
        <v>0</v>
      </c>
      <c r="T61" s="334"/>
      <c r="U61" s="386"/>
      <c r="X61" s="887" t="str">
        <f t="shared" si="23"/>
        <v/>
      </c>
      <c r="Y61" s="904">
        <f t="shared" si="24"/>
        <v>0.6</v>
      </c>
      <c r="Z61" s="905" t="e">
        <f t="shared" si="16"/>
        <v>#VALUE!</v>
      </c>
      <c r="AA61" s="905" t="e">
        <f t="shared" si="17"/>
        <v>#VALUE!</v>
      </c>
      <c r="AB61" s="905" t="e">
        <f t="shared" si="18"/>
        <v>#VALUE!</v>
      </c>
      <c r="AC61" s="906" t="e">
        <f t="shared" si="25"/>
        <v>#VALUE!</v>
      </c>
      <c r="AD61" s="907">
        <f t="shared" si="26"/>
        <v>0</v>
      </c>
      <c r="AE61" s="904">
        <f>IF(H61&gt;8,tab!C$194,tab!C$197)</f>
        <v>0.4</v>
      </c>
      <c r="AF61" s="907">
        <f t="shared" si="27"/>
        <v>0</v>
      </c>
      <c r="AG61" s="887">
        <f t="shared" si="28"/>
        <v>0</v>
      </c>
      <c r="AH61" s="908" t="b">
        <f t="shared" si="29"/>
        <v>0</v>
      </c>
      <c r="AI61" s="815">
        <f t="shared" si="30"/>
        <v>119</v>
      </c>
      <c r="AJ61" s="867">
        <f t="shared" si="31"/>
        <v>30</v>
      </c>
      <c r="AK61" s="540">
        <f t="shared" si="11"/>
        <v>30</v>
      </c>
      <c r="AL61" s="909">
        <f t="shared" si="32"/>
        <v>0</v>
      </c>
      <c r="AN61" s="539">
        <f t="shared" si="20"/>
        <v>0</v>
      </c>
      <c r="AR61" s="941"/>
      <c r="AT61" s="317"/>
      <c r="AU61" s="317"/>
    </row>
    <row r="62" spans="2:47" ht="13.15" hidden="1" customHeight="1" x14ac:dyDescent="0.2">
      <c r="B62" s="316"/>
      <c r="C62" s="381"/>
      <c r="D62" s="895"/>
      <c r="E62" s="895"/>
      <c r="F62" s="390"/>
      <c r="G62" s="896"/>
      <c r="H62" s="33"/>
      <c r="I62" s="897"/>
      <c r="J62" s="898"/>
      <c r="K62" s="334"/>
      <c r="L62" s="1140"/>
      <c r="M62" s="1140"/>
      <c r="N62" s="899" t="str">
        <f t="shared" si="12"/>
        <v/>
      </c>
      <c r="O62" s="900" t="str">
        <f t="shared" si="13"/>
        <v/>
      </c>
      <c r="P62" s="901" t="str">
        <f t="shared" si="14"/>
        <v/>
      </c>
      <c r="Q62" s="568" t="str">
        <f t="shared" si="21"/>
        <v/>
      </c>
      <c r="R62" s="902" t="str">
        <f t="shared" si="15"/>
        <v/>
      </c>
      <c r="S62" s="903">
        <f t="shared" si="22"/>
        <v>0</v>
      </c>
      <c r="T62" s="334"/>
      <c r="U62" s="386"/>
      <c r="X62" s="887" t="str">
        <f t="shared" si="23"/>
        <v/>
      </c>
      <c r="Y62" s="904">
        <f t="shared" si="24"/>
        <v>0.6</v>
      </c>
      <c r="Z62" s="905" t="e">
        <f t="shared" si="16"/>
        <v>#VALUE!</v>
      </c>
      <c r="AA62" s="905" t="e">
        <f t="shared" si="17"/>
        <v>#VALUE!</v>
      </c>
      <c r="AB62" s="905" t="e">
        <f t="shared" si="18"/>
        <v>#VALUE!</v>
      </c>
      <c r="AC62" s="906" t="e">
        <f t="shared" si="25"/>
        <v>#VALUE!</v>
      </c>
      <c r="AD62" s="907">
        <f t="shared" si="26"/>
        <v>0</v>
      </c>
      <c r="AE62" s="904">
        <f>IF(H62&gt;8,tab!C$194,tab!C$197)</f>
        <v>0.4</v>
      </c>
      <c r="AF62" s="907">
        <f t="shared" si="27"/>
        <v>0</v>
      </c>
      <c r="AG62" s="887">
        <f t="shared" si="28"/>
        <v>0</v>
      </c>
      <c r="AH62" s="908" t="b">
        <f t="shared" si="29"/>
        <v>0</v>
      </c>
      <c r="AI62" s="815">
        <f t="shared" si="30"/>
        <v>119</v>
      </c>
      <c r="AJ62" s="867">
        <f t="shared" si="31"/>
        <v>30</v>
      </c>
      <c r="AK62" s="540">
        <f t="shared" si="11"/>
        <v>30</v>
      </c>
      <c r="AL62" s="909">
        <f t="shared" si="32"/>
        <v>0</v>
      </c>
      <c r="AN62" s="539">
        <f t="shared" si="20"/>
        <v>0</v>
      </c>
      <c r="AR62" s="941"/>
      <c r="AT62" s="317"/>
      <c r="AU62" s="317"/>
    </row>
    <row r="63" spans="2:47" ht="13.15" hidden="1" customHeight="1" x14ac:dyDescent="0.2">
      <c r="B63" s="316"/>
      <c r="C63" s="381"/>
      <c r="D63" s="895"/>
      <c r="E63" s="895"/>
      <c r="F63" s="390"/>
      <c r="G63" s="896"/>
      <c r="H63" s="33"/>
      <c r="I63" s="897"/>
      <c r="J63" s="898"/>
      <c r="K63" s="334"/>
      <c r="L63" s="1140"/>
      <c r="M63" s="1140"/>
      <c r="N63" s="899" t="str">
        <f t="shared" si="12"/>
        <v/>
      </c>
      <c r="O63" s="900" t="str">
        <f t="shared" si="13"/>
        <v/>
      </c>
      <c r="P63" s="901" t="str">
        <f t="shared" si="14"/>
        <v/>
      </c>
      <c r="Q63" s="568" t="str">
        <f t="shared" si="21"/>
        <v/>
      </c>
      <c r="R63" s="902" t="str">
        <f t="shared" si="15"/>
        <v/>
      </c>
      <c r="S63" s="903">
        <f t="shared" si="22"/>
        <v>0</v>
      </c>
      <c r="T63" s="334"/>
      <c r="U63" s="386"/>
      <c r="X63" s="887" t="str">
        <f t="shared" si="23"/>
        <v/>
      </c>
      <c r="Y63" s="904">
        <f t="shared" si="24"/>
        <v>0.6</v>
      </c>
      <c r="Z63" s="905" t="e">
        <f t="shared" si="16"/>
        <v>#VALUE!</v>
      </c>
      <c r="AA63" s="905" t="e">
        <f t="shared" si="17"/>
        <v>#VALUE!</v>
      </c>
      <c r="AB63" s="905" t="e">
        <f t="shared" si="18"/>
        <v>#VALUE!</v>
      </c>
      <c r="AC63" s="906" t="e">
        <f t="shared" si="25"/>
        <v>#VALUE!</v>
      </c>
      <c r="AD63" s="907">
        <f t="shared" si="26"/>
        <v>0</v>
      </c>
      <c r="AE63" s="904">
        <f>IF(H63&gt;8,tab!C$194,tab!C$197)</f>
        <v>0.4</v>
      </c>
      <c r="AF63" s="907">
        <f t="shared" si="27"/>
        <v>0</v>
      </c>
      <c r="AG63" s="887">
        <f t="shared" si="28"/>
        <v>0</v>
      </c>
      <c r="AH63" s="908" t="b">
        <f t="shared" si="29"/>
        <v>0</v>
      </c>
      <c r="AI63" s="815">
        <f t="shared" si="30"/>
        <v>119</v>
      </c>
      <c r="AJ63" s="867">
        <f t="shared" si="31"/>
        <v>30</v>
      </c>
      <c r="AK63" s="540">
        <f t="shared" si="11"/>
        <v>30</v>
      </c>
      <c r="AL63" s="909">
        <f t="shared" si="32"/>
        <v>0</v>
      </c>
      <c r="AN63" s="539">
        <f t="shared" si="20"/>
        <v>0</v>
      </c>
      <c r="AR63" s="941"/>
      <c r="AT63" s="317"/>
      <c r="AU63" s="317"/>
    </row>
    <row r="64" spans="2:47" ht="13.15" hidden="1" customHeight="1" x14ac:dyDescent="0.2">
      <c r="B64" s="316"/>
      <c r="C64" s="381"/>
      <c r="D64" s="895"/>
      <c r="E64" s="895"/>
      <c r="F64" s="390"/>
      <c r="G64" s="896"/>
      <c r="H64" s="33"/>
      <c r="I64" s="897"/>
      <c r="J64" s="898"/>
      <c r="K64" s="334"/>
      <c r="L64" s="1140"/>
      <c r="M64" s="1140"/>
      <c r="N64" s="899" t="str">
        <f t="shared" si="12"/>
        <v/>
      </c>
      <c r="O64" s="900" t="str">
        <f t="shared" si="13"/>
        <v/>
      </c>
      <c r="P64" s="901" t="str">
        <f t="shared" si="14"/>
        <v/>
      </c>
      <c r="Q64" s="568" t="str">
        <f t="shared" si="21"/>
        <v/>
      </c>
      <c r="R64" s="902" t="str">
        <f t="shared" si="15"/>
        <v/>
      </c>
      <c r="S64" s="903">
        <f t="shared" si="22"/>
        <v>0</v>
      </c>
      <c r="T64" s="334"/>
      <c r="U64" s="386"/>
      <c r="X64" s="887" t="str">
        <f t="shared" si="23"/>
        <v/>
      </c>
      <c r="Y64" s="904">
        <f t="shared" si="24"/>
        <v>0.6</v>
      </c>
      <c r="Z64" s="905" t="e">
        <f t="shared" si="16"/>
        <v>#VALUE!</v>
      </c>
      <c r="AA64" s="905" t="e">
        <f t="shared" si="17"/>
        <v>#VALUE!</v>
      </c>
      <c r="AB64" s="905" t="e">
        <f t="shared" si="18"/>
        <v>#VALUE!</v>
      </c>
      <c r="AC64" s="906" t="e">
        <f t="shared" si="25"/>
        <v>#VALUE!</v>
      </c>
      <c r="AD64" s="907">
        <f t="shared" si="26"/>
        <v>0</v>
      </c>
      <c r="AE64" s="904">
        <f>IF(H64&gt;8,tab!C$194,tab!C$197)</f>
        <v>0.4</v>
      </c>
      <c r="AF64" s="907">
        <f t="shared" si="27"/>
        <v>0</v>
      </c>
      <c r="AG64" s="887">
        <f t="shared" si="28"/>
        <v>0</v>
      </c>
      <c r="AH64" s="908" t="b">
        <f t="shared" si="29"/>
        <v>0</v>
      </c>
      <c r="AI64" s="815">
        <f t="shared" si="30"/>
        <v>119</v>
      </c>
      <c r="AJ64" s="867">
        <f t="shared" si="31"/>
        <v>30</v>
      </c>
      <c r="AK64" s="540">
        <f t="shared" si="11"/>
        <v>30</v>
      </c>
      <c r="AL64" s="909">
        <f t="shared" si="32"/>
        <v>0</v>
      </c>
      <c r="AN64" s="539">
        <f t="shared" si="20"/>
        <v>0</v>
      </c>
      <c r="AR64" s="941"/>
      <c r="AT64" s="317"/>
      <c r="AU64" s="317"/>
    </row>
    <row r="65" spans="2:47" ht="13.15" hidden="1" customHeight="1" x14ac:dyDescent="0.2">
      <c r="B65" s="316"/>
      <c r="C65" s="381"/>
      <c r="D65" s="895"/>
      <c r="E65" s="895"/>
      <c r="F65" s="390"/>
      <c r="G65" s="896"/>
      <c r="H65" s="33"/>
      <c r="I65" s="897"/>
      <c r="J65" s="898"/>
      <c r="K65" s="334"/>
      <c r="L65" s="1140"/>
      <c r="M65" s="1140"/>
      <c r="N65" s="899" t="str">
        <f t="shared" si="12"/>
        <v/>
      </c>
      <c r="O65" s="900" t="str">
        <f t="shared" si="13"/>
        <v/>
      </c>
      <c r="P65" s="901" t="str">
        <f t="shared" si="14"/>
        <v/>
      </c>
      <c r="Q65" s="568" t="str">
        <f t="shared" si="21"/>
        <v/>
      </c>
      <c r="R65" s="902" t="str">
        <f t="shared" si="15"/>
        <v/>
      </c>
      <c r="S65" s="903">
        <f t="shared" si="22"/>
        <v>0</v>
      </c>
      <c r="T65" s="334"/>
      <c r="U65" s="386"/>
      <c r="X65" s="887" t="str">
        <f t="shared" si="23"/>
        <v/>
      </c>
      <c r="Y65" s="904">
        <f t="shared" si="24"/>
        <v>0.6</v>
      </c>
      <c r="Z65" s="905" t="e">
        <f t="shared" si="16"/>
        <v>#VALUE!</v>
      </c>
      <c r="AA65" s="905" t="e">
        <f t="shared" si="17"/>
        <v>#VALUE!</v>
      </c>
      <c r="AB65" s="905" t="e">
        <f t="shared" si="18"/>
        <v>#VALUE!</v>
      </c>
      <c r="AC65" s="906" t="e">
        <f t="shared" si="25"/>
        <v>#VALUE!</v>
      </c>
      <c r="AD65" s="907">
        <f t="shared" si="26"/>
        <v>0</v>
      </c>
      <c r="AE65" s="904">
        <f>IF(H65&gt;8,tab!C$194,tab!C$197)</f>
        <v>0.4</v>
      </c>
      <c r="AF65" s="907">
        <f t="shared" si="27"/>
        <v>0</v>
      </c>
      <c r="AG65" s="887">
        <f t="shared" si="28"/>
        <v>0</v>
      </c>
      <c r="AH65" s="908" t="b">
        <f t="shared" si="29"/>
        <v>0</v>
      </c>
      <c r="AI65" s="815">
        <f t="shared" si="30"/>
        <v>119</v>
      </c>
      <c r="AJ65" s="867">
        <f t="shared" si="31"/>
        <v>30</v>
      </c>
      <c r="AK65" s="540">
        <f t="shared" si="11"/>
        <v>30</v>
      </c>
      <c r="AL65" s="909">
        <f t="shared" si="32"/>
        <v>0</v>
      </c>
      <c r="AN65" s="539">
        <f t="shared" si="20"/>
        <v>0</v>
      </c>
      <c r="AR65" s="941"/>
      <c r="AT65" s="317"/>
      <c r="AU65" s="317"/>
    </row>
    <row r="66" spans="2:47" ht="13.15" hidden="1" customHeight="1" x14ac:dyDescent="0.2">
      <c r="B66" s="316"/>
      <c r="C66" s="381"/>
      <c r="D66" s="895"/>
      <c r="E66" s="895"/>
      <c r="F66" s="390"/>
      <c r="G66" s="896"/>
      <c r="H66" s="33"/>
      <c r="I66" s="897"/>
      <c r="J66" s="898"/>
      <c r="K66" s="334"/>
      <c r="L66" s="1140"/>
      <c r="M66" s="1140"/>
      <c r="N66" s="899" t="str">
        <f t="shared" si="12"/>
        <v/>
      </c>
      <c r="O66" s="900" t="str">
        <f t="shared" si="13"/>
        <v/>
      </c>
      <c r="P66" s="901" t="str">
        <f t="shared" si="14"/>
        <v/>
      </c>
      <c r="Q66" s="568" t="str">
        <f t="shared" si="21"/>
        <v/>
      </c>
      <c r="R66" s="902" t="str">
        <f t="shared" si="15"/>
        <v/>
      </c>
      <c r="S66" s="903">
        <f t="shared" si="22"/>
        <v>0</v>
      </c>
      <c r="T66" s="334"/>
      <c r="U66" s="386"/>
      <c r="X66" s="887" t="str">
        <f t="shared" si="23"/>
        <v/>
      </c>
      <c r="Y66" s="904">
        <f t="shared" si="24"/>
        <v>0.6</v>
      </c>
      <c r="Z66" s="905" t="e">
        <f t="shared" si="16"/>
        <v>#VALUE!</v>
      </c>
      <c r="AA66" s="905" t="e">
        <f t="shared" si="17"/>
        <v>#VALUE!</v>
      </c>
      <c r="AB66" s="905" t="e">
        <f t="shared" si="18"/>
        <v>#VALUE!</v>
      </c>
      <c r="AC66" s="906" t="e">
        <f t="shared" si="25"/>
        <v>#VALUE!</v>
      </c>
      <c r="AD66" s="907">
        <f t="shared" si="26"/>
        <v>0</v>
      </c>
      <c r="AE66" s="904">
        <f>IF(H66&gt;8,tab!C$194,tab!C$197)</f>
        <v>0.4</v>
      </c>
      <c r="AF66" s="907">
        <f t="shared" si="27"/>
        <v>0</v>
      </c>
      <c r="AG66" s="887">
        <f t="shared" si="28"/>
        <v>0</v>
      </c>
      <c r="AH66" s="908" t="b">
        <f t="shared" si="29"/>
        <v>0</v>
      </c>
      <c r="AI66" s="815">
        <f t="shared" si="30"/>
        <v>119</v>
      </c>
      <c r="AJ66" s="867">
        <f t="shared" si="31"/>
        <v>30</v>
      </c>
      <c r="AK66" s="540">
        <f t="shared" si="11"/>
        <v>30</v>
      </c>
      <c r="AL66" s="909">
        <f t="shared" si="32"/>
        <v>0</v>
      </c>
      <c r="AN66" s="539">
        <f t="shared" si="20"/>
        <v>0</v>
      </c>
      <c r="AR66" s="941"/>
      <c r="AT66" s="317"/>
      <c r="AU66" s="317"/>
    </row>
    <row r="67" spans="2:47" ht="13.15" hidden="1" customHeight="1" x14ac:dyDescent="0.2">
      <c r="B67" s="316"/>
      <c r="C67" s="381"/>
      <c r="D67" s="895"/>
      <c r="E67" s="895"/>
      <c r="F67" s="390"/>
      <c r="G67" s="896"/>
      <c r="H67" s="33"/>
      <c r="I67" s="897"/>
      <c r="J67" s="898"/>
      <c r="K67" s="334"/>
      <c r="L67" s="1140"/>
      <c r="M67" s="1140"/>
      <c r="N67" s="899" t="str">
        <f t="shared" si="12"/>
        <v/>
      </c>
      <c r="O67" s="900" t="str">
        <f t="shared" si="13"/>
        <v/>
      </c>
      <c r="P67" s="901" t="str">
        <f t="shared" si="14"/>
        <v/>
      </c>
      <c r="Q67" s="568" t="str">
        <f t="shared" si="21"/>
        <v/>
      </c>
      <c r="R67" s="902" t="str">
        <f t="shared" si="15"/>
        <v/>
      </c>
      <c r="S67" s="903">
        <f t="shared" si="22"/>
        <v>0</v>
      </c>
      <c r="T67" s="334"/>
      <c r="U67" s="386"/>
      <c r="X67" s="887" t="str">
        <f t="shared" si="23"/>
        <v/>
      </c>
      <c r="Y67" s="904">
        <f t="shared" si="24"/>
        <v>0.6</v>
      </c>
      <c r="Z67" s="905" t="e">
        <f t="shared" si="16"/>
        <v>#VALUE!</v>
      </c>
      <c r="AA67" s="905" t="e">
        <f t="shared" si="17"/>
        <v>#VALUE!</v>
      </c>
      <c r="AB67" s="905" t="e">
        <f t="shared" si="18"/>
        <v>#VALUE!</v>
      </c>
      <c r="AC67" s="906" t="e">
        <f t="shared" si="25"/>
        <v>#VALUE!</v>
      </c>
      <c r="AD67" s="907">
        <f t="shared" si="26"/>
        <v>0</v>
      </c>
      <c r="AE67" s="904">
        <f>IF(H67&gt;8,tab!C$194,tab!C$197)</f>
        <v>0.4</v>
      </c>
      <c r="AF67" s="907">
        <f t="shared" si="27"/>
        <v>0</v>
      </c>
      <c r="AG67" s="887">
        <f t="shared" si="28"/>
        <v>0</v>
      </c>
      <c r="AH67" s="908" t="b">
        <f t="shared" si="29"/>
        <v>0</v>
      </c>
      <c r="AI67" s="815">
        <f t="shared" si="30"/>
        <v>119</v>
      </c>
      <c r="AJ67" s="867">
        <f t="shared" si="31"/>
        <v>30</v>
      </c>
      <c r="AK67" s="540">
        <f t="shared" si="11"/>
        <v>30</v>
      </c>
      <c r="AL67" s="909">
        <f t="shared" si="32"/>
        <v>0</v>
      </c>
      <c r="AN67" s="539">
        <f t="shared" si="20"/>
        <v>0</v>
      </c>
      <c r="AR67" s="941"/>
      <c r="AT67" s="317"/>
      <c r="AU67" s="317"/>
    </row>
    <row r="68" spans="2:47" ht="13.15" hidden="1" customHeight="1" x14ac:dyDescent="0.2">
      <c r="B68" s="316"/>
      <c r="C68" s="381"/>
      <c r="D68" s="895"/>
      <c r="E68" s="895"/>
      <c r="F68" s="390"/>
      <c r="G68" s="896"/>
      <c r="H68" s="33"/>
      <c r="I68" s="897"/>
      <c r="J68" s="898"/>
      <c r="K68" s="334"/>
      <c r="L68" s="1140"/>
      <c r="M68" s="1140"/>
      <c r="N68" s="899" t="str">
        <f t="shared" si="12"/>
        <v/>
      </c>
      <c r="O68" s="900" t="str">
        <f t="shared" si="13"/>
        <v/>
      </c>
      <c r="P68" s="901" t="str">
        <f t="shared" si="14"/>
        <v/>
      </c>
      <c r="Q68" s="568" t="str">
        <f t="shared" si="21"/>
        <v/>
      </c>
      <c r="R68" s="902" t="str">
        <f t="shared" si="15"/>
        <v/>
      </c>
      <c r="S68" s="903">
        <f t="shared" si="22"/>
        <v>0</v>
      </c>
      <c r="T68" s="334"/>
      <c r="U68" s="386"/>
      <c r="X68" s="887" t="str">
        <f t="shared" si="23"/>
        <v/>
      </c>
      <c r="Y68" s="904">
        <f t="shared" si="24"/>
        <v>0.6</v>
      </c>
      <c r="Z68" s="905" t="e">
        <f t="shared" si="16"/>
        <v>#VALUE!</v>
      </c>
      <c r="AA68" s="905" t="e">
        <f t="shared" si="17"/>
        <v>#VALUE!</v>
      </c>
      <c r="AB68" s="905" t="e">
        <f t="shared" si="18"/>
        <v>#VALUE!</v>
      </c>
      <c r="AC68" s="906" t="e">
        <f t="shared" si="25"/>
        <v>#VALUE!</v>
      </c>
      <c r="AD68" s="907">
        <f t="shared" si="26"/>
        <v>0</v>
      </c>
      <c r="AE68" s="904">
        <f>IF(H68&gt;8,tab!C$194,tab!C$197)</f>
        <v>0.4</v>
      </c>
      <c r="AF68" s="907">
        <f t="shared" si="27"/>
        <v>0</v>
      </c>
      <c r="AG68" s="887">
        <f t="shared" si="28"/>
        <v>0</v>
      </c>
      <c r="AH68" s="908" t="b">
        <f t="shared" si="29"/>
        <v>0</v>
      </c>
      <c r="AI68" s="815">
        <f t="shared" si="30"/>
        <v>119</v>
      </c>
      <c r="AJ68" s="867">
        <f t="shared" si="31"/>
        <v>30</v>
      </c>
      <c r="AK68" s="540">
        <f t="shared" si="11"/>
        <v>30</v>
      </c>
      <c r="AL68" s="909">
        <f t="shared" si="32"/>
        <v>0</v>
      </c>
      <c r="AN68" s="539">
        <f t="shared" si="20"/>
        <v>0</v>
      </c>
      <c r="AR68" s="941"/>
      <c r="AT68" s="317"/>
      <c r="AU68" s="317"/>
    </row>
    <row r="69" spans="2:47" ht="13.15" hidden="1" customHeight="1" x14ac:dyDescent="0.2">
      <c r="B69" s="316"/>
      <c r="C69" s="381"/>
      <c r="D69" s="895"/>
      <c r="E69" s="895"/>
      <c r="F69" s="390"/>
      <c r="G69" s="896"/>
      <c r="H69" s="33"/>
      <c r="I69" s="897"/>
      <c r="J69" s="898"/>
      <c r="K69" s="334"/>
      <c r="L69" s="1140"/>
      <c r="M69" s="1140"/>
      <c r="N69" s="899" t="str">
        <f t="shared" si="12"/>
        <v/>
      </c>
      <c r="O69" s="900" t="str">
        <f t="shared" si="13"/>
        <v/>
      </c>
      <c r="P69" s="901" t="str">
        <f t="shared" si="14"/>
        <v/>
      </c>
      <c r="Q69" s="568" t="str">
        <f t="shared" si="21"/>
        <v/>
      </c>
      <c r="R69" s="902" t="str">
        <f t="shared" si="15"/>
        <v/>
      </c>
      <c r="S69" s="903">
        <f t="shared" si="22"/>
        <v>0</v>
      </c>
      <c r="T69" s="334"/>
      <c r="U69" s="386"/>
      <c r="X69" s="887" t="str">
        <f t="shared" si="23"/>
        <v/>
      </c>
      <c r="Y69" s="904">
        <f t="shared" si="24"/>
        <v>0.6</v>
      </c>
      <c r="Z69" s="905" t="e">
        <f t="shared" si="16"/>
        <v>#VALUE!</v>
      </c>
      <c r="AA69" s="905" t="e">
        <f t="shared" si="17"/>
        <v>#VALUE!</v>
      </c>
      <c r="AB69" s="905" t="e">
        <f t="shared" si="18"/>
        <v>#VALUE!</v>
      </c>
      <c r="AC69" s="906" t="e">
        <f t="shared" si="25"/>
        <v>#VALUE!</v>
      </c>
      <c r="AD69" s="907">
        <f t="shared" si="26"/>
        <v>0</v>
      </c>
      <c r="AE69" s="904">
        <f>IF(H69&gt;8,tab!C$194,tab!C$197)</f>
        <v>0.4</v>
      </c>
      <c r="AF69" s="907">
        <f t="shared" si="27"/>
        <v>0</v>
      </c>
      <c r="AG69" s="887">
        <f t="shared" si="28"/>
        <v>0</v>
      </c>
      <c r="AH69" s="908" t="b">
        <f t="shared" si="29"/>
        <v>0</v>
      </c>
      <c r="AI69" s="815">
        <f t="shared" si="30"/>
        <v>119</v>
      </c>
      <c r="AJ69" s="867">
        <f t="shared" si="31"/>
        <v>30</v>
      </c>
      <c r="AK69" s="540">
        <f t="shared" si="11"/>
        <v>30</v>
      </c>
      <c r="AL69" s="909">
        <f t="shared" si="32"/>
        <v>0</v>
      </c>
      <c r="AN69" s="539">
        <f t="shared" si="20"/>
        <v>0</v>
      </c>
      <c r="AR69" s="941"/>
      <c r="AT69" s="317"/>
      <c r="AU69" s="317"/>
    </row>
    <row r="70" spans="2:47" ht="13.15" hidden="1" customHeight="1" x14ac:dyDescent="0.2">
      <c r="B70" s="316"/>
      <c r="C70" s="381"/>
      <c r="D70" s="895"/>
      <c r="E70" s="895"/>
      <c r="F70" s="390"/>
      <c r="G70" s="896"/>
      <c r="H70" s="33"/>
      <c r="I70" s="897"/>
      <c r="J70" s="898"/>
      <c r="K70" s="334"/>
      <c r="L70" s="1140"/>
      <c r="M70" s="1140"/>
      <c r="N70" s="899" t="str">
        <f t="shared" si="12"/>
        <v/>
      </c>
      <c r="O70" s="900" t="str">
        <f t="shared" si="13"/>
        <v/>
      </c>
      <c r="P70" s="901" t="str">
        <f t="shared" si="14"/>
        <v/>
      </c>
      <c r="Q70" s="568" t="str">
        <f t="shared" si="21"/>
        <v/>
      </c>
      <c r="R70" s="902" t="str">
        <f t="shared" si="15"/>
        <v/>
      </c>
      <c r="S70" s="903">
        <f t="shared" si="22"/>
        <v>0</v>
      </c>
      <c r="T70" s="334"/>
      <c r="U70" s="386"/>
      <c r="X70" s="887" t="str">
        <f t="shared" si="23"/>
        <v/>
      </c>
      <c r="Y70" s="904">
        <f t="shared" si="24"/>
        <v>0.6</v>
      </c>
      <c r="Z70" s="905" t="e">
        <f t="shared" si="16"/>
        <v>#VALUE!</v>
      </c>
      <c r="AA70" s="905" t="e">
        <f t="shared" si="17"/>
        <v>#VALUE!</v>
      </c>
      <c r="AB70" s="905" t="e">
        <f t="shared" si="18"/>
        <v>#VALUE!</v>
      </c>
      <c r="AC70" s="906" t="e">
        <f t="shared" si="25"/>
        <v>#VALUE!</v>
      </c>
      <c r="AD70" s="907">
        <f t="shared" si="26"/>
        <v>0</v>
      </c>
      <c r="AE70" s="904">
        <f>IF(H70&gt;8,tab!C$194,tab!C$197)</f>
        <v>0.4</v>
      </c>
      <c r="AF70" s="907">
        <f t="shared" si="27"/>
        <v>0</v>
      </c>
      <c r="AG70" s="887">
        <f t="shared" si="28"/>
        <v>0</v>
      </c>
      <c r="AH70" s="908" t="b">
        <f t="shared" si="29"/>
        <v>0</v>
      </c>
      <c r="AI70" s="815">
        <f t="shared" si="30"/>
        <v>119</v>
      </c>
      <c r="AJ70" s="867">
        <f t="shared" si="31"/>
        <v>30</v>
      </c>
      <c r="AK70" s="540">
        <f t="shared" si="11"/>
        <v>30</v>
      </c>
      <c r="AL70" s="909">
        <f t="shared" si="32"/>
        <v>0</v>
      </c>
      <c r="AN70" s="539">
        <f t="shared" si="20"/>
        <v>0</v>
      </c>
      <c r="AR70" s="941"/>
      <c r="AT70" s="317"/>
      <c r="AU70" s="317"/>
    </row>
    <row r="71" spans="2:47" ht="13.15" hidden="1" customHeight="1" x14ac:dyDescent="0.2">
      <c r="B71" s="316"/>
      <c r="C71" s="381"/>
      <c r="D71" s="895"/>
      <c r="E71" s="895"/>
      <c r="F71" s="390"/>
      <c r="G71" s="896"/>
      <c r="H71" s="33"/>
      <c r="I71" s="897"/>
      <c r="J71" s="898"/>
      <c r="K71" s="334"/>
      <c r="L71" s="1140"/>
      <c r="M71" s="1140"/>
      <c r="N71" s="899" t="str">
        <f t="shared" si="12"/>
        <v/>
      </c>
      <c r="O71" s="900" t="str">
        <f t="shared" si="13"/>
        <v/>
      </c>
      <c r="P71" s="901" t="str">
        <f t="shared" si="14"/>
        <v/>
      </c>
      <c r="Q71" s="568" t="str">
        <f t="shared" si="21"/>
        <v/>
      </c>
      <c r="R71" s="902" t="str">
        <f t="shared" si="15"/>
        <v/>
      </c>
      <c r="S71" s="903">
        <f t="shared" si="22"/>
        <v>0</v>
      </c>
      <c r="T71" s="334"/>
      <c r="U71" s="386"/>
      <c r="X71" s="887" t="str">
        <f t="shared" si="23"/>
        <v/>
      </c>
      <c r="Y71" s="904">
        <f t="shared" si="24"/>
        <v>0.6</v>
      </c>
      <c r="Z71" s="905" t="e">
        <f t="shared" si="16"/>
        <v>#VALUE!</v>
      </c>
      <c r="AA71" s="905" t="e">
        <f t="shared" si="17"/>
        <v>#VALUE!</v>
      </c>
      <c r="AB71" s="905" t="e">
        <f t="shared" si="18"/>
        <v>#VALUE!</v>
      </c>
      <c r="AC71" s="906" t="e">
        <f t="shared" si="25"/>
        <v>#VALUE!</v>
      </c>
      <c r="AD71" s="907">
        <f t="shared" si="26"/>
        <v>0</v>
      </c>
      <c r="AE71" s="904">
        <f>IF(H71&gt;8,tab!C$194,tab!C$197)</f>
        <v>0.4</v>
      </c>
      <c r="AF71" s="907">
        <f t="shared" si="27"/>
        <v>0</v>
      </c>
      <c r="AG71" s="887">
        <f t="shared" si="28"/>
        <v>0</v>
      </c>
      <c r="AH71" s="908" t="b">
        <f t="shared" si="29"/>
        <v>0</v>
      </c>
      <c r="AI71" s="815">
        <f t="shared" si="30"/>
        <v>119</v>
      </c>
      <c r="AJ71" s="867">
        <f t="shared" si="31"/>
        <v>30</v>
      </c>
      <c r="AK71" s="540">
        <f t="shared" si="11"/>
        <v>30</v>
      </c>
      <c r="AL71" s="909">
        <f t="shared" si="32"/>
        <v>0</v>
      </c>
      <c r="AN71" s="539">
        <f t="shared" si="20"/>
        <v>0</v>
      </c>
      <c r="AR71" s="941"/>
      <c r="AT71" s="317"/>
      <c r="AU71" s="317"/>
    </row>
    <row r="72" spans="2:47" ht="13.15" hidden="1" customHeight="1" x14ac:dyDescent="0.2">
      <c r="B72" s="316"/>
      <c r="C72" s="381"/>
      <c r="D72" s="895"/>
      <c r="E72" s="895"/>
      <c r="F72" s="390"/>
      <c r="G72" s="896"/>
      <c r="H72" s="33"/>
      <c r="I72" s="897"/>
      <c r="J72" s="898"/>
      <c r="K72" s="334"/>
      <c r="L72" s="1140"/>
      <c r="M72" s="1140"/>
      <c r="N72" s="899" t="str">
        <f t="shared" si="12"/>
        <v/>
      </c>
      <c r="O72" s="900" t="str">
        <f t="shared" si="13"/>
        <v/>
      </c>
      <c r="P72" s="901" t="str">
        <f t="shared" si="14"/>
        <v/>
      </c>
      <c r="Q72" s="568" t="str">
        <f t="shared" si="21"/>
        <v/>
      </c>
      <c r="R72" s="902" t="str">
        <f t="shared" si="15"/>
        <v/>
      </c>
      <c r="S72" s="903">
        <f t="shared" si="22"/>
        <v>0</v>
      </c>
      <c r="T72" s="334"/>
      <c r="U72" s="386"/>
      <c r="X72" s="887" t="str">
        <f t="shared" si="23"/>
        <v/>
      </c>
      <c r="Y72" s="904">
        <f t="shared" si="24"/>
        <v>0.6</v>
      </c>
      <c r="Z72" s="905" t="e">
        <f t="shared" si="16"/>
        <v>#VALUE!</v>
      </c>
      <c r="AA72" s="905" t="e">
        <f t="shared" si="17"/>
        <v>#VALUE!</v>
      </c>
      <c r="AB72" s="905" t="e">
        <f t="shared" si="18"/>
        <v>#VALUE!</v>
      </c>
      <c r="AC72" s="906" t="e">
        <f t="shared" si="25"/>
        <v>#VALUE!</v>
      </c>
      <c r="AD72" s="907">
        <f t="shared" si="26"/>
        <v>0</v>
      </c>
      <c r="AE72" s="904">
        <f>IF(H72&gt;8,tab!C$194,tab!C$197)</f>
        <v>0.4</v>
      </c>
      <c r="AF72" s="907">
        <f t="shared" si="27"/>
        <v>0</v>
      </c>
      <c r="AG72" s="887">
        <f t="shared" si="28"/>
        <v>0</v>
      </c>
      <c r="AH72" s="908" t="b">
        <f t="shared" si="29"/>
        <v>0</v>
      </c>
      <c r="AI72" s="815">
        <f t="shared" si="30"/>
        <v>119</v>
      </c>
      <c r="AJ72" s="867">
        <f t="shared" si="31"/>
        <v>30</v>
      </c>
      <c r="AK72" s="540">
        <f t="shared" si="11"/>
        <v>30</v>
      </c>
      <c r="AL72" s="909">
        <f t="shared" si="32"/>
        <v>0</v>
      </c>
      <c r="AN72" s="539">
        <f t="shared" si="20"/>
        <v>0</v>
      </c>
      <c r="AR72" s="941"/>
      <c r="AT72" s="317"/>
      <c r="AU72" s="317"/>
    </row>
    <row r="73" spans="2:47" ht="13.15" hidden="1" customHeight="1" x14ac:dyDescent="0.2">
      <c r="B73" s="316"/>
      <c r="C73" s="381"/>
      <c r="D73" s="895"/>
      <c r="E73" s="895"/>
      <c r="F73" s="390"/>
      <c r="G73" s="896"/>
      <c r="H73" s="33"/>
      <c r="I73" s="897"/>
      <c r="J73" s="898"/>
      <c r="K73" s="334"/>
      <c r="L73" s="1140"/>
      <c r="M73" s="1140"/>
      <c r="N73" s="899" t="str">
        <f t="shared" si="12"/>
        <v/>
      </c>
      <c r="O73" s="900" t="str">
        <f t="shared" si="13"/>
        <v/>
      </c>
      <c r="P73" s="901" t="str">
        <f t="shared" si="14"/>
        <v/>
      </c>
      <c r="Q73" s="568" t="str">
        <f t="shared" si="21"/>
        <v/>
      </c>
      <c r="R73" s="902" t="str">
        <f t="shared" si="15"/>
        <v/>
      </c>
      <c r="S73" s="903">
        <f t="shared" si="22"/>
        <v>0</v>
      </c>
      <c r="T73" s="334"/>
      <c r="U73" s="386"/>
      <c r="X73" s="887" t="str">
        <f t="shared" si="23"/>
        <v/>
      </c>
      <c r="Y73" s="904">
        <f t="shared" si="24"/>
        <v>0.6</v>
      </c>
      <c r="Z73" s="905" t="e">
        <f t="shared" si="16"/>
        <v>#VALUE!</v>
      </c>
      <c r="AA73" s="905" t="e">
        <f t="shared" si="17"/>
        <v>#VALUE!</v>
      </c>
      <c r="AB73" s="905" t="e">
        <f t="shared" si="18"/>
        <v>#VALUE!</v>
      </c>
      <c r="AC73" s="906" t="e">
        <f t="shared" si="25"/>
        <v>#VALUE!</v>
      </c>
      <c r="AD73" s="907">
        <f t="shared" si="26"/>
        <v>0</v>
      </c>
      <c r="AE73" s="904">
        <f>IF(H73&gt;8,tab!C$194,tab!C$197)</f>
        <v>0.4</v>
      </c>
      <c r="AF73" s="907">
        <f t="shared" si="27"/>
        <v>0</v>
      </c>
      <c r="AG73" s="887">
        <f t="shared" si="28"/>
        <v>0</v>
      </c>
      <c r="AH73" s="908" t="b">
        <f t="shared" si="29"/>
        <v>0</v>
      </c>
      <c r="AI73" s="815">
        <f t="shared" si="30"/>
        <v>119</v>
      </c>
      <c r="AJ73" s="867">
        <f t="shared" si="31"/>
        <v>30</v>
      </c>
      <c r="AK73" s="540">
        <f t="shared" si="11"/>
        <v>30</v>
      </c>
      <c r="AL73" s="909">
        <f t="shared" si="32"/>
        <v>0</v>
      </c>
      <c r="AN73" s="539">
        <f t="shared" si="20"/>
        <v>0</v>
      </c>
      <c r="AR73" s="941"/>
      <c r="AT73" s="317"/>
      <c r="AU73" s="317"/>
    </row>
    <row r="74" spans="2:47" ht="13.15" hidden="1" customHeight="1" x14ac:dyDescent="0.2">
      <c r="B74" s="316"/>
      <c r="C74" s="381"/>
      <c r="D74" s="895"/>
      <c r="E74" s="895"/>
      <c r="F74" s="390"/>
      <c r="G74" s="896"/>
      <c r="H74" s="33"/>
      <c r="I74" s="897"/>
      <c r="J74" s="898"/>
      <c r="K74" s="334"/>
      <c r="L74" s="1140"/>
      <c r="M74" s="1140"/>
      <c r="N74" s="899" t="str">
        <f t="shared" si="12"/>
        <v/>
      </c>
      <c r="O74" s="900" t="str">
        <f t="shared" si="13"/>
        <v/>
      </c>
      <c r="P74" s="901" t="str">
        <f t="shared" si="14"/>
        <v/>
      </c>
      <c r="Q74" s="568" t="str">
        <f t="shared" si="21"/>
        <v/>
      </c>
      <c r="R74" s="902" t="str">
        <f t="shared" si="15"/>
        <v/>
      </c>
      <c r="S74" s="903">
        <f t="shared" si="22"/>
        <v>0</v>
      </c>
      <c r="T74" s="334"/>
      <c r="U74" s="386"/>
      <c r="X74" s="887" t="str">
        <f t="shared" si="23"/>
        <v/>
      </c>
      <c r="Y74" s="904">
        <f t="shared" si="24"/>
        <v>0.6</v>
      </c>
      <c r="Z74" s="905" t="e">
        <f t="shared" si="16"/>
        <v>#VALUE!</v>
      </c>
      <c r="AA74" s="905" t="e">
        <f t="shared" si="17"/>
        <v>#VALUE!</v>
      </c>
      <c r="AB74" s="905" t="e">
        <f t="shared" si="18"/>
        <v>#VALUE!</v>
      </c>
      <c r="AC74" s="906" t="e">
        <f t="shared" si="25"/>
        <v>#VALUE!</v>
      </c>
      <c r="AD74" s="907">
        <f t="shared" si="26"/>
        <v>0</v>
      </c>
      <c r="AE74" s="904">
        <f>IF(H74&gt;8,tab!C$194,tab!C$197)</f>
        <v>0.4</v>
      </c>
      <c r="AF74" s="907">
        <f t="shared" si="27"/>
        <v>0</v>
      </c>
      <c r="AG74" s="887">
        <f t="shared" si="28"/>
        <v>0</v>
      </c>
      <c r="AH74" s="908" t="b">
        <f t="shared" si="29"/>
        <v>0</v>
      </c>
      <c r="AI74" s="815">
        <f t="shared" si="30"/>
        <v>119</v>
      </c>
      <c r="AJ74" s="867">
        <f t="shared" si="31"/>
        <v>30</v>
      </c>
      <c r="AK74" s="540">
        <f t="shared" si="11"/>
        <v>30</v>
      </c>
      <c r="AL74" s="909">
        <f t="shared" si="32"/>
        <v>0</v>
      </c>
      <c r="AN74" s="539">
        <f t="shared" si="20"/>
        <v>0</v>
      </c>
      <c r="AR74" s="941"/>
      <c r="AT74" s="317"/>
      <c r="AU74" s="317"/>
    </row>
    <row r="75" spans="2:47" ht="13.15" hidden="1" customHeight="1" x14ac:dyDescent="0.2">
      <c r="B75" s="316"/>
      <c r="C75" s="381"/>
      <c r="D75" s="895"/>
      <c r="E75" s="895"/>
      <c r="F75" s="390"/>
      <c r="G75" s="896"/>
      <c r="H75" s="33"/>
      <c r="I75" s="897"/>
      <c r="J75" s="898"/>
      <c r="K75" s="334"/>
      <c r="L75" s="1140"/>
      <c r="M75" s="1140"/>
      <c r="N75" s="899" t="str">
        <f t="shared" si="12"/>
        <v/>
      </c>
      <c r="O75" s="900" t="str">
        <f t="shared" si="13"/>
        <v/>
      </c>
      <c r="P75" s="901" t="str">
        <f t="shared" si="14"/>
        <v/>
      </c>
      <c r="Q75" s="568" t="str">
        <f t="shared" si="21"/>
        <v/>
      </c>
      <c r="R75" s="902" t="str">
        <f t="shared" si="15"/>
        <v/>
      </c>
      <c r="S75" s="903">
        <f t="shared" si="22"/>
        <v>0</v>
      </c>
      <c r="T75" s="334"/>
      <c r="U75" s="386"/>
      <c r="X75" s="887" t="str">
        <f t="shared" si="23"/>
        <v/>
      </c>
      <c r="Y75" s="904">
        <f t="shared" si="24"/>
        <v>0.6</v>
      </c>
      <c r="Z75" s="905" t="e">
        <f t="shared" si="16"/>
        <v>#VALUE!</v>
      </c>
      <c r="AA75" s="905" t="e">
        <f t="shared" si="17"/>
        <v>#VALUE!</v>
      </c>
      <c r="AB75" s="905" t="e">
        <f t="shared" si="18"/>
        <v>#VALUE!</v>
      </c>
      <c r="AC75" s="906" t="e">
        <f t="shared" si="25"/>
        <v>#VALUE!</v>
      </c>
      <c r="AD75" s="907">
        <f t="shared" si="26"/>
        <v>0</v>
      </c>
      <c r="AE75" s="904">
        <f>IF(H75&gt;8,tab!C$194,tab!C$197)</f>
        <v>0.4</v>
      </c>
      <c r="AF75" s="907">
        <f t="shared" si="27"/>
        <v>0</v>
      </c>
      <c r="AG75" s="887">
        <f t="shared" si="28"/>
        <v>0</v>
      </c>
      <c r="AH75" s="908" t="b">
        <f t="shared" si="29"/>
        <v>0</v>
      </c>
      <c r="AI75" s="815">
        <f t="shared" si="30"/>
        <v>119</v>
      </c>
      <c r="AJ75" s="867">
        <f t="shared" si="31"/>
        <v>30</v>
      </c>
      <c r="AK75" s="540">
        <f t="shared" si="11"/>
        <v>30</v>
      </c>
      <c r="AL75" s="909">
        <f t="shared" si="32"/>
        <v>0</v>
      </c>
      <c r="AN75" s="539">
        <f t="shared" si="20"/>
        <v>0</v>
      </c>
      <c r="AR75" s="941"/>
      <c r="AT75" s="317"/>
      <c r="AU75" s="317"/>
    </row>
    <row r="76" spans="2:47" ht="13.15" hidden="1" customHeight="1" x14ac:dyDescent="0.2">
      <c r="B76" s="316"/>
      <c r="C76" s="381"/>
      <c r="D76" s="895"/>
      <c r="E76" s="895"/>
      <c r="F76" s="390"/>
      <c r="G76" s="896"/>
      <c r="H76" s="33"/>
      <c r="I76" s="897"/>
      <c r="J76" s="898"/>
      <c r="K76" s="334"/>
      <c r="L76" s="1140"/>
      <c r="M76" s="1140"/>
      <c r="N76" s="899" t="str">
        <f t="shared" si="12"/>
        <v/>
      </c>
      <c r="O76" s="900" t="str">
        <f t="shared" si="13"/>
        <v/>
      </c>
      <c r="P76" s="901" t="str">
        <f t="shared" si="14"/>
        <v/>
      </c>
      <c r="Q76" s="568" t="str">
        <f t="shared" si="21"/>
        <v/>
      </c>
      <c r="R76" s="902" t="str">
        <f t="shared" si="15"/>
        <v/>
      </c>
      <c r="S76" s="903">
        <f t="shared" si="22"/>
        <v>0</v>
      </c>
      <c r="T76" s="334"/>
      <c r="U76" s="386"/>
      <c r="X76" s="887" t="str">
        <f t="shared" si="23"/>
        <v/>
      </c>
      <c r="Y76" s="904">
        <f t="shared" si="24"/>
        <v>0.6</v>
      </c>
      <c r="Z76" s="905" t="e">
        <f t="shared" si="16"/>
        <v>#VALUE!</v>
      </c>
      <c r="AA76" s="905" t="e">
        <f t="shared" si="17"/>
        <v>#VALUE!</v>
      </c>
      <c r="AB76" s="905" t="e">
        <f t="shared" si="18"/>
        <v>#VALUE!</v>
      </c>
      <c r="AC76" s="906" t="e">
        <f t="shared" si="25"/>
        <v>#VALUE!</v>
      </c>
      <c r="AD76" s="907">
        <f t="shared" si="26"/>
        <v>0</v>
      </c>
      <c r="AE76" s="904">
        <f>IF(H76&gt;8,tab!C$194,tab!C$197)</f>
        <v>0.4</v>
      </c>
      <c r="AF76" s="907">
        <f t="shared" si="27"/>
        <v>0</v>
      </c>
      <c r="AG76" s="887">
        <f t="shared" si="28"/>
        <v>0</v>
      </c>
      <c r="AH76" s="908" t="b">
        <f t="shared" si="29"/>
        <v>0</v>
      </c>
      <c r="AI76" s="815">
        <f t="shared" si="30"/>
        <v>119</v>
      </c>
      <c r="AJ76" s="867">
        <f t="shared" si="31"/>
        <v>30</v>
      </c>
      <c r="AK76" s="540">
        <f t="shared" si="11"/>
        <v>30</v>
      </c>
      <c r="AL76" s="909">
        <f t="shared" si="32"/>
        <v>0</v>
      </c>
      <c r="AN76" s="539">
        <f t="shared" si="20"/>
        <v>0</v>
      </c>
      <c r="AR76" s="941"/>
      <c r="AT76" s="317"/>
      <c r="AU76" s="317"/>
    </row>
    <row r="77" spans="2:47" ht="13.15" hidden="1" customHeight="1" x14ac:dyDescent="0.2">
      <c r="B77" s="316"/>
      <c r="C77" s="381"/>
      <c r="D77" s="895"/>
      <c r="E77" s="895"/>
      <c r="F77" s="390"/>
      <c r="G77" s="896"/>
      <c r="H77" s="33"/>
      <c r="I77" s="897"/>
      <c r="J77" s="898"/>
      <c r="K77" s="334"/>
      <c r="L77" s="1140"/>
      <c r="M77" s="1140"/>
      <c r="N77" s="899" t="str">
        <f t="shared" si="12"/>
        <v/>
      </c>
      <c r="O77" s="900" t="str">
        <f t="shared" si="13"/>
        <v/>
      </c>
      <c r="P77" s="901" t="str">
        <f t="shared" si="14"/>
        <v/>
      </c>
      <c r="Q77" s="568" t="str">
        <f t="shared" si="21"/>
        <v/>
      </c>
      <c r="R77" s="902" t="str">
        <f t="shared" si="15"/>
        <v/>
      </c>
      <c r="S77" s="903">
        <f t="shared" si="22"/>
        <v>0</v>
      </c>
      <c r="T77" s="334"/>
      <c r="U77" s="386"/>
      <c r="X77" s="887" t="str">
        <f t="shared" si="23"/>
        <v/>
      </c>
      <c r="Y77" s="904">
        <f t="shared" si="24"/>
        <v>0.6</v>
      </c>
      <c r="Z77" s="905" t="e">
        <f t="shared" si="16"/>
        <v>#VALUE!</v>
      </c>
      <c r="AA77" s="905" t="e">
        <f t="shared" si="17"/>
        <v>#VALUE!</v>
      </c>
      <c r="AB77" s="905" t="e">
        <f t="shared" si="18"/>
        <v>#VALUE!</v>
      </c>
      <c r="AC77" s="906" t="e">
        <f t="shared" si="25"/>
        <v>#VALUE!</v>
      </c>
      <c r="AD77" s="907">
        <f t="shared" si="26"/>
        <v>0</v>
      </c>
      <c r="AE77" s="904">
        <f>IF(H77&gt;8,tab!C$194,tab!C$197)</f>
        <v>0.4</v>
      </c>
      <c r="AF77" s="907">
        <f t="shared" si="27"/>
        <v>0</v>
      </c>
      <c r="AG77" s="887">
        <f t="shared" si="28"/>
        <v>0</v>
      </c>
      <c r="AH77" s="908" t="b">
        <f t="shared" si="29"/>
        <v>0</v>
      </c>
      <c r="AI77" s="815">
        <f t="shared" si="30"/>
        <v>119</v>
      </c>
      <c r="AJ77" s="867">
        <f t="shared" si="31"/>
        <v>30</v>
      </c>
      <c r="AK77" s="540">
        <f t="shared" si="11"/>
        <v>30</v>
      </c>
      <c r="AL77" s="909">
        <f t="shared" si="32"/>
        <v>0</v>
      </c>
      <c r="AN77" s="539">
        <f t="shared" si="20"/>
        <v>0</v>
      </c>
      <c r="AR77" s="941"/>
      <c r="AT77" s="317"/>
      <c r="AU77" s="317"/>
    </row>
    <row r="78" spans="2:47" ht="13.15" hidden="1" customHeight="1" x14ac:dyDescent="0.2">
      <c r="B78" s="316"/>
      <c r="C78" s="381"/>
      <c r="D78" s="895"/>
      <c r="E78" s="895"/>
      <c r="F78" s="390"/>
      <c r="G78" s="896"/>
      <c r="H78" s="33"/>
      <c r="I78" s="897"/>
      <c r="J78" s="898"/>
      <c r="K78" s="334"/>
      <c r="L78" s="1140"/>
      <c r="M78" s="1140"/>
      <c r="N78" s="899" t="str">
        <f t="shared" si="12"/>
        <v/>
      </c>
      <c r="O78" s="900" t="str">
        <f t="shared" si="13"/>
        <v/>
      </c>
      <c r="P78" s="901" t="str">
        <f t="shared" si="14"/>
        <v/>
      </c>
      <c r="Q78" s="568" t="str">
        <f t="shared" si="21"/>
        <v/>
      </c>
      <c r="R78" s="902" t="str">
        <f t="shared" si="15"/>
        <v/>
      </c>
      <c r="S78" s="903">
        <f t="shared" si="22"/>
        <v>0</v>
      </c>
      <c r="T78" s="334"/>
      <c r="U78" s="386"/>
      <c r="X78" s="887" t="str">
        <f t="shared" si="23"/>
        <v/>
      </c>
      <c r="Y78" s="904">
        <f t="shared" si="24"/>
        <v>0.6</v>
      </c>
      <c r="Z78" s="905" t="e">
        <f t="shared" si="16"/>
        <v>#VALUE!</v>
      </c>
      <c r="AA78" s="905" t="e">
        <f t="shared" si="17"/>
        <v>#VALUE!</v>
      </c>
      <c r="AB78" s="905" t="e">
        <f t="shared" si="18"/>
        <v>#VALUE!</v>
      </c>
      <c r="AC78" s="906" t="e">
        <f t="shared" si="25"/>
        <v>#VALUE!</v>
      </c>
      <c r="AD78" s="907">
        <f t="shared" si="26"/>
        <v>0</v>
      </c>
      <c r="AE78" s="904">
        <f>IF(H78&gt;8,tab!C$194,tab!C$197)</f>
        <v>0.4</v>
      </c>
      <c r="AF78" s="907">
        <f t="shared" si="27"/>
        <v>0</v>
      </c>
      <c r="AG78" s="887">
        <f t="shared" si="28"/>
        <v>0</v>
      </c>
      <c r="AH78" s="908" t="b">
        <f t="shared" si="29"/>
        <v>0</v>
      </c>
      <c r="AI78" s="815">
        <f t="shared" si="30"/>
        <v>119</v>
      </c>
      <c r="AJ78" s="867">
        <f t="shared" si="31"/>
        <v>30</v>
      </c>
      <c r="AK78" s="540">
        <f t="shared" si="11"/>
        <v>30</v>
      </c>
      <c r="AL78" s="909">
        <f t="shared" si="32"/>
        <v>0</v>
      </c>
      <c r="AN78" s="539">
        <f t="shared" si="20"/>
        <v>0</v>
      </c>
      <c r="AR78" s="941"/>
      <c r="AT78" s="317"/>
      <c r="AU78" s="317"/>
    </row>
    <row r="79" spans="2:47" ht="13.15" hidden="1" customHeight="1" x14ac:dyDescent="0.2">
      <c r="B79" s="316"/>
      <c r="C79" s="381"/>
      <c r="D79" s="895"/>
      <c r="E79" s="895"/>
      <c r="F79" s="390"/>
      <c r="G79" s="896"/>
      <c r="H79" s="33"/>
      <c r="I79" s="897"/>
      <c r="J79" s="898"/>
      <c r="K79" s="334"/>
      <c r="L79" s="1140"/>
      <c r="M79" s="1140"/>
      <c r="N79" s="899" t="str">
        <f t="shared" si="12"/>
        <v/>
      </c>
      <c r="O79" s="900" t="str">
        <f t="shared" si="13"/>
        <v/>
      </c>
      <c r="P79" s="901" t="str">
        <f t="shared" si="14"/>
        <v/>
      </c>
      <c r="Q79" s="568" t="str">
        <f t="shared" si="21"/>
        <v/>
      </c>
      <c r="R79" s="902" t="str">
        <f t="shared" si="15"/>
        <v/>
      </c>
      <c r="S79" s="903">
        <f t="shared" si="22"/>
        <v>0</v>
      </c>
      <c r="T79" s="334"/>
      <c r="U79" s="386"/>
      <c r="X79" s="887" t="str">
        <f t="shared" si="23"/>
        <v/>
      </c>
      <c r="Y79" s="904">
        <f t="shared" si="24"/>
        <v>0.6</v>
      </c>
      <c r="Z79" s="905" t="e">
        <f t="shared" si="16"/>
        <v>#VALUE!</v>
      </c>
      <c r="AA79" s="905" t="e">
        <f t="shared" si="17"/>
        <v>#VALUE!</v>
      </c>
      <c r="AB79" s="905" t="e">
        <f t="shared" si="18"/>
        <v>#VALUE!</v>
      </c>
      <c r="AC79" s="906" t="e">
        <f t="shared" si="25"/>
        <v>#VALUE!</v>
      </c>
      <c r="AD79" s="907">
        <f t="shared" si="26"/>
        <v>0</v>
      </c>
      <c r="AE79" s="904">
        <f>IF(H79&gt;8,tab!C$194,tab!C$197)</f>
        <v>0.4</v>
      </c>
      <c r="AF79" s="907">
        <f t="shared" si="27"/>
        <v>0</v>
      </c>
      <c r="AG79" s="887">
        <f t="shared" si="28"/>
        <v>0</v>
      </c>
      <c r="AH79" s="908" t="b">
        <f t="shared" si="29"/>
        <v>0</v>
      </c>
      <c r="AI79" s="815">
        <f t="shared" si="30"/>
        <v>119</v>
      </c>
      <c r="AJ79" s="867">
        <f t="shared" si="31"/>
        <v>30</v>
      </c>
      <c r="AK79" s="540">
        <f t="shared" si="11"/>
        <v>30</v>
      </c>
      <c r="AL79" s="909">
        <f t="shared" si="32"/>
        <v>0</v>
      </c>
      <c r="AN79" s="539">
        <f t="shared" si="20"/>
        <v>0</v>
      </c>
      <c r="AR79" s="941"/>
      <c r="AT79" s="317"/>
      <c r="AU79" s="317"/>
    </row>
    <row r="80" spans="2:47" ht="13.15" hidden="1" customHeight="1" x14ac:dyDescent="0.2">
      <c r="B80" s="316"/>
      <c r="C80" s="381"/>
      <c r="D80" s="895"/>
      <c r="E80" s="895"/>
      <c r="F80" s="390"/>
      <c r="G80" s="896"/>
      <c r="H80" s="33"/>
      <c r="I80" s="897"/>
      <c r="J80" s="898"/>
      <c r="K80" s="334"/>
      <c r="L80" s="1140"/>
      <c r="M80" s="1140"/>
      <c r="N80" s="899" t="str">
        <f t="shared" si="12"/>
        <v/>
      </c>
      <c r="O80" s="900" t="str">
        <f t="shared" si="13"/>
        <v/>
      </c>
      <c r="P80" s="901" t="str">
        <f t="shared" si="14"/>
        <v/>
      </c>
      <c r="Q80" s="568" t="str">
        <f t="shared" ref="Q80:Q111" si="33">IF(J80="","",(1659*J80-P80)*AA80)</f>
        <v/>
      </c>
      <c r="R80" s="902" t="str">
        <f t="shared" si="15"/>
        <v/>
      </c>
      <c r="S80" s="903">
        <f t="shared" ref="S80:S111" si="34">IF(E80=0,0,SUM(Q80:R80))</f>
        <v>0</v>
      </c>
      <c r="T80" s="334"/>
      <c r="U80" s="386"/>
      <c r="X80" s="887" t="str">
        <f t="shared" ref="X80:X115" si="35">IF(H80="","",5/12*VLOOKUP(H80,Salaris2019,I80+1,FALSE)+7/12*VLOOKUP(H80,Salaris2020,I80+1,FALSE))</f>
        <v/>
      </c>
      <c r="Y80" s="904">
        <f t="shared" ref="Y80:Y115" si="36">$Y$14</f>
        <v>0.6</v>
      </c>
      <c r="Z80" s="905" t="e">
        <f t="shared" si="16"/>
        <v>#VALUE!</v>
      </c>
      <c r="AA80" s="905" t="e">
        <f t="shared" si="17"/>
        <v>#VALUE!</v>
      </c>
      <c r="AB80" s="905" t="e">
        <f t="shared" si="18"/>
        <v>#VALUE!</v>
      </c>
      <c r="AC80" s="906" t="e">
        <f t="shared" ref="AC80:AC115" si="37">N80+O80</f>
        <v>#VALUE!</v>
      </c>
      <c r="AD80" s="907">
        <f t="shared" ref="AD80:AD115" si="38">SUM(L80:M80)</f>
        <v>0</v>
      </c>
      <c r="AE80" s="904">
        <f>IF(H80&gt;8,tab!C$194,tab!C$197)</f>
        <v>0.4</v>
      </c>
      <c r="AF80" s="907">
        <f t="shared" ref="AF80:AF115" si="39">IF(F80&lt;25,0,IF(F80=25,25,IF(F80&lt;40,0,IF(F80=40,40,IF(F80&gt;=40,0)))))</f>
        <v>0</v>
      </c>
      <c r="AG80" s="887">
        <f t="shared" ref="AG80:AG111" si="40">IF(AF80=25,(X80*1.08*J80/2),IF(AF80=40,(Y80*1.08*J80),IF(AF80=0,0)))</f>
        <v>0</v>
      </c>
      <c r="AH80" s="908" t="b">
        <f t="shared" ref="AH80:AH115" si="41">DATE(YEAR($E$9),MONTH(G80),DAY(G80))&gt;$E$9</f>
        <v>0</v>
      </c>
      <c r="AI80" s="815">
        <f t="shared" ref="AI80:AI111" si="42">YEAR($E$9)-YEAR(G80)-AH80</f>
        <v>119</v>
      </c>
      <c r="AJ80" s="867">
        <f t="shared" ref="AJ80:AJ111" si="43">IF((G80=""),30,AI80)</f>
        <v>30</v>
      </c>
      <c r="AK80" s="540">
        <f t="shared" ref="AK80:AK115" si="44">IF((AJ80)&gt;50,50,(AJ80))</f>
        <v>30</v>
      </c>
      <c r="AL80" s="909">
        <f t="shared" ref="AL80:AL111" si="45">(AK80*(SUM(J80:J80)))</f>
        <v>0</v>
      </c>
      <c r="AN80" s="539">
        <f t="shared" si="20"/>
        <v>0</v>
      </c>
      <c r="AR80" s="941"/>
      <c r="AT80" s="317"/>
      <c r="AU80" s="317"/>
    </row>
    <row r="81" spans="2:47" ht="13.15" hidden="1" customHeight="1" x14ac:dyDescent="0.2">
      <c r="B81" s="316"/>
      <c r="C81" s="381"/>
      <c r="D81" s="895"/>
      <c r="E81" s="895"/>
      <c r="F81" s="390"/>
      <c r="G81" s="896"/>
      <c r="H81" s="33"/>
      <c r="I81" s="897"/>
      <c r="J81" s="898"/>
      <c r="K81" s="334"/>
      <c r="L81" s="1140"/>
      <c r="M81" s="1140"/>
      <c r="N81" s="899" t="str">
        <f t="shared" ref="N81:N115" si="46">IF(J81="","",IF(J81*40&gt;40,40,J81*40))</f>
        <v/>
      </c>
      <c r="O81" s="900" t="str">
        <f t="shared" ref="O81:O115" si="47">IF(H81="","",IF(I81&lt;4,IF(40*J81&gt;40,40,40*J81),0))</f>
        <v/>
      </c>
      <c r="P81" s="901" t="str">
        <f t="shared" ref="P81:P115" si="48">IF(J81="","",SUM(L81:O81))</f>
        <v/>
      </c>
      <c r="Q81" s="568" t="str">
        <f t="shared" si="33"/>
        <v/>
      </c>
      <c r="R81" s="902" t="str">
        <f t="shared" ref="R81:R115" si="49">IF(J81="","",(P81*AB81)+Z81*(AC81+AD81*(1-AE81)))</f>
        <v/>
      </c>
      <c r="S81" s="903">
        <f t="shared" si="34"/>
        <v>0</v>
      </c>
      <c r="T81" s="334"/>
      <c r="U81" s="386"/>
      <c r="X81" s="887" t="str">
        <f t="shared" si="35"/>
        <v/>
      </c>
      <c r="Y81" s="904">
        <f t="shared" si="36"/>
        <v>0.6</v>
      </c>
      <c r="Z81" s="905" t="e">
        <f t="shared" ref="Z81:Z115" si="50">X81*12/1659</f>
        <v>#VALUE!</v>
      </c>
      <c r="AA81" s="905" t="e">
        <f t="shared" ref="AA81:AA115" si="51">X81*12*(1+Y81)/1659</f>
        <v>#VALUE!</v>
      </c>
      <c r="AB81" s="905" t="e">
        <f t="shared" ref="AB81:AB115" si="52">AA81-Z81</f>
        <v>#VALUE!</v>
      </c>
      <c r="AC81" s="906" t="e">
        <f t="shared" si="37"/>
        <v>#VALUE!</v>
      </c>
      <c r="AD81" s="907">
        <f t="shared" si="38"/>
        <v>0</v>
      </c>
      <c r="AE81" s="904">
        <f>IF(H81&gt;8,tab!C$194,tab!C$197)</f>
        <v>0.4</v>
      </c>
      <c r="AF81" s="907">
        <f t="shared" si="39"/>
        <v>0</v>
      </c>
      <c r="AG81" s="887">
        <f t="shared" si="40"/>
        <v>0</v>
      </c>
      <c r="AH81" s="908" t="b">
        <f t="shared" si="41"/>
        <v>0</v>
      </c>
      <c r="AI81" s="815">
        <f t="shared" si="42"/>
        <v>119</v>
      </c>
      <c r="AJ81" s="867">
        <f t="shared" si="43"/>
        <v>30</v>
      </c>
      <c r="AK81" s="540">
        <f t="shared" si="44"/>
        <v>30</v>
      </c>
      <c r="AL81" s="909">
        <f t="shared" si="45"/>
        <v>0</v>
      </c>
      <c r="AN81" s="539">
        <f t="shared" ref="AN81:AN115" si="53">IF(AND(AL81&gt;0.01,AL81&lt;50.01),1,0)</f>
        <v>0</v>
      </c>
      <c r="AR81" s="941"/>
      <c r="AT81" s="317"/>
      <c r="AU81" s="317"/>
    </row>
    <row r="82" spans="2:47" ht="13.15" hidden="1" customHeight="1" x14ac:dyDescent="0.2">
      <c r="B82" s="316"/>
      <c r="C82" s="381"/>
      <c r="D82" s="895"/>
      <c r="E82" s="895"/>
      <c r="F82" s="390"/>
      <c r="G82" s="896"/>
      <c r="H82" s="33"/>
      <c r="I82" s="897"/>
      <c r="J82" s="898"/>
      <c r="K82" s="334"/>
      <c r="L82" s="1140"/>
      <c r="M82" s="1140"/>
      <c r="N82" s="899" t="str">
        <f t="shared" si="46"/>
        <v/>
      </c>
      <c r="O82" s="900" t="str">
        <f t="shared" si="47"/>
        <v/>
      </c>
      <c r="P82" s="901" t="str">
        <f t="shared" si="48"/>
        <v/>
      </c>
      <c r="Q82" s="568" t="str">
        <f t="shared" si="33"/>
        <v/>
      </c>
      <c r="R82" s="902" t="str">
        <f t="shared" si="49"/>
        <v/>
      </c>
      <c r="S82" s="903">
        <f t="shared" si="34"/>
        <v>0</v>
      </c>
      <c r="T82" s="334"/>
      <c r="U82" s="386"/>
      <c r="X82" s="887" t="str">
        <f t="shared" si="35"/>
        <v/>
      </c>
      <c r="Y82" s="904">
        <f t="shared" si="36"/>
        <v>0.6</v>
      </c>
      <c r="Z82" s="905" t="e">
        <f t="shared" si="50"/>
        <v>#VALUE!</v>
      </c>
      <c r="AA82" s="905" t="e">
        <f t="shared" si="51"/>
        <v>#VALUE!</v>
      </c>
      <c r="AB82" s="905" t="e">
        <f t="shared" si="52"/>
        <v>#VALUE!</v>
      </c>
      <c r="AC82" s="906" t="e">
        <f t="shared" si="37"/>
        <v>#VALUE!</v>
      </c>
      <c r="AD82" s="907">
        <f t="shared" si="38"/>
        <v>0</v>
      </c>
      <c r="AE82" s="904">
        <f>IF(H82&gt;8,tab!C$194,tab!C$197)</f>
        <v>0.4</v>
      </c>
      <c r="AF82" s="907">
        <f t="shared" si="39"/>
        <v>0</v>
      </c>
      <c r="AG82" s="887">
        <f t="shared" si="40"/>
        <v>0</v>
      </c>
      <c r="AH82" s="908" t="b">
        <f t="shared" si="41"/>
        <v>0</v>
      </c>
      <c r="AI82" s="815">
        <f t="shared" si="42"/>
        <v>119</v>
      </c>
      <c r="AJ82" s="867">
        <f t="shared" si="43"/>
        <v>30</v>
      </c>
      <c r="AK82" s="540">
        <f t="shared" si="44"/>
        <v>30</v>
      </c>
      <c r="AL82" s="909">
        <f t="shared" si="45"/>
        <v>0</v>
      </c>
      <c r="AN82" s="539">
        <f t="shared" si="53"/>
        <v>0</v>
      </c>
      <c r="AR82" s="941"/>
      <c r="AT82" s="317"/>
      <c r="AU82" s="317"/>
    </row>
    <row r="83" spans="2:47" ht="13.15" hidden="1" customHeight="1" x14ac:dyDescent="0.2">
      <c r="B83" s="316"/>
      <c r="C83" s="381"/>
      <c r="D83" s="895"/>
      <c r="E83" s="895"/>
      <c r="F83" s="390"/>
      <c r="G83" s="896"/>
      <c r="H83" s="33"/>
      <c r="I83" s="897"/>
      <c r="J83" s="898"/>
      <c r="K83" s="334"/>
      <c r="L83" s="1140"/>
      <c r="M83" s="1140"/>
      <c r="N83" s="899" t="str">
        <f t="shared" si="46"/>
        <v/>
      </c>
      <c r="O83" s="900" t="str">
        <f t="shared" si="47"/>
        <v/>
      </c>
      <c r="P83" s="901" t="str">
        <f t="shared" si="48"/>
        <v/>
      </c>
      <c r="Q83" s="568" t="str">
        <f t="shared" si="33"/>
        <v/>
      </c>
      <c r="R83" s="902" t="str">
        <f t="shared" si="49"/>
        <v/>
      </c>
      <c r="S83" s="903">
        <f t="shared" si="34"/>
        <v>0</v>
      </c>
      <c r="T83" s="334"/>
      <c r="U83" s="386"/>
      <c r="X83" s="887" t="str">
        <f t="shared" si="35"/>
        <v/>
      </c>
      <c r="Y83" s="904">
        <f t="shared" si="36"/>
        <v>0.6</v>
      </c>
      <c r="Z83" s="905" t="e">
        <f t="shared" si="50"/>
        <v>#VALUE!</v>
      </c>
      <c r="AA83" s="905" t="e">
        <f t="shared" si="51"/>
        <v>#VALUE!</v>
      </c>
      <c r="AB83" s="905" t="e">
        <f t="shared" si="52"/>
        <v>#VALUE!</v>
      </c>
      <c r="AC83" s="906" t="e">
        <f t="shared" si="37"/>
        <v>#VALUE!</v>
      </c>
      <c r="AD83" s="907">
        <f t="shared" si="38"/>
        <v>0</v>
      </c>
      <c r="AE83" s="904">
        <f>IF(H83&gt;8,tab!C$194,tab!C$197)</f>
        <v>0.4</v>
      </c>
      <c r="AF83" s="907">
        <f t="shared" si="39"/>
        <v>0</v>
      </c>
      <c r="AG83" s="887">
        <f t="shared" si="40"/>
        <v>0</v>
      </c>
      <c r="AH83" s="908" t="b">
        <f t="shared" si="41"/>
        <v>0</v>
      </c>
      <c r="AI83" s="815">
        <f t="shared" si="42"/>
        <v>119</v>
      </c>
      <c r="AJ83" s="867">
        <f t="shared" si="43"/>
        <v>30</v>
      </c>
      <c r="AK83" s="540">
        <f t="shared" si="44"/>
        <v>30</v>
      </c>
      <c r="AL83" s="909">
        <f t="shared" si="45"/>
        <v>0</v>
      </c>
      <c r="AN83" s="539">
        <f t="shared" si="53"/>
        <v>0</v>
      </c>
      <c r="AR83" s="941"/>
      <c r="AT83" s="317"/>
      <c r="AU83" s="317"/>
    </row>
    <row r="84" spans="2:47" ht="13.15" hidden="1" customHeight="1" x14ac:dyDescent="0.2">
      <c r="B84" s="316"/>
      <c r="C84" s="381"/>
      <c r="D84" s="895"/>
      <c r="E84" s="895"/>
      <c r="F84" s="390"/>
      <c r="G84" s="896"/>
      <c r="H84" s="33"/>
      <c r="I84" s="897"/>
      <c r="J84" s="898"/>
      <c r="K84" s="334"/>
      <c r="L84" s="1140"/>
      <c r="M84" s="1140"/>
      <c r="N84" s="899" t="str">
        <f t="shared" si="46"/>
        <v/>
      </c>
      <c r="O84" s="900" t="str">
        <f t="shared" si="47"/>
        <v/>
      </c>
      <c r="P84" s="901" t="str">
        <f t="shared" si="48"/>
        <v/>
      </c>
      <c r="Q84" s="568" t="str">
        <f t="shared" si="33"/>
        <v/>
      </c>
      <c r="R84" s="902" t="str">
        <f t="shared" si="49"/>
        <v/>
      </c>
      <c r="S84" s="903">
        <f t="shared" si="34"/>
        <v>0</v>
      </c>
      <c r="T84" s="334"/>
      <c r="U84" s="386"/>
      <c r="X84" s="887" t="str">
        <f t="shared" si="35"/>
        <v/>
      </c>
      <c r="Y84" s="904">
        <f t="shared" si="36"/>
        <v>0.6</v>
      </c>
      <c r="Z84" s="905" t="e">
        <f t="shared" si="50"/>
        <v>#VALUE!</v>
      </c>
      <c r="AA84" s="905" t="e">
        <f t="shared" si="51"/>
        <v>#VALUE!</v>
      </c>
      <c r="AB84" s="905" t="e">
        <f t="shared" si="52"/>
        <v>#VALUE!</v>
      </c>
      <c r="AC84" s="906" t="e">
        <f t="shared" si="37"/>
        <v>#VALUE!</v>
      </c>
      <c r="AD84" s="907">
        <f t="shared" si="38"/>
        <v>0</v>
      </c>
      <c r="AE84" s="904">
        <f>IF(H84&gt;8,tab!C$194,tab!C$197)</f>
        <v>0.4</v>
      </c>
      <c r="AF84" s="907">
        <f t="shared" si="39"/>
        <v>0</v>
      </c>
      <c r="AG84" s="887">
        <f t="shared" si="40"/>
        <v>0</v>
      </c>
      <c r="AH84" s="908" t="b">
        <f t="shared" si="41"/>
        <v>0</v>
      </c>
      <c r="AI84" s="815">
        <f t="shared" si="42"/>
        <v>119</v>
      </c>
      <c r="AJ84" s="867">
        <f t="shared" si="43"/>
        <v>30</v>
      </c>
      <c r="AK84" s="540">
        <f t="shared" si="44"/>
        <v>30</v>
      </c>
      <c r="AL84" s="909">
        <f t="shared" si="45"/>
        <v>0</v>
      </c>
      <c r="AN84" s="539">
        <f t="shared" si="53"/>
        <v>0</v>
      </c>
      <c r="AR84" s="941"/>
      <c r="AT84" s="317"/>
      <c r="AU84" s="317"/>
    </row>
    <row r="85" spans="2:47" ht="13.15" hidden="1" customHeight="1" x14ac:dyDescent="0.2">
      <c r="B85" s="316"/>
      <c r="C85" s="381"/>
      <c r="D85" s="895"/>
      <c r="E85" s="895"/>
      <c r="F85" s="390"/>
      <c r="G85" s="896"/>
      <c r="H85" s="33"/>
      <c r="I85" s="897"/>
      <c r="J85" s="898"/>
      <c r="K85" s="334"/>
      <c r="L85" s="1140"/>
      <c r="M85" s="1140"/>
      <c r="N85" s="899" t="str">
        <f t="shared" si="46"/>
        <v/>
      </c>
      <c r="O85" s="900" t="str">
        <f t="shared" si="47"/>
        <v/>
      </c>
      <c r="P85" s="901" t="str">
        <f t="shared" si="48"/>
        <v/>
      </c>
      <c r="Q85" s="568" t="str">
        <f t="shared" si="33"/>
        <v/>
      </c>
      <c r="R85" s="902" t="str">
        <f t="shared" si="49"/>
        <v/>
      </c>
      <c r="S85" s="903">
        <f t="shared" si="34"/>
        <v>0</v>
      </c>
      <c r="T85" s="334"/>
      <c r="U85" s="386"/>
      <c r="X85" s="887" t="str">
        <f t="shared" si="35"/>
        <v/>
      </c>
      <c r="Y85" s="904">
        <f t="shared" si="36"/>
        <v>0.6</v>
      </c>
      <c r="Z85" s="905" t="e">
        <f t="shared" si="50"/>
        <v>#VALUE!</v>
      </c>
      <c r="AA85" s="905" t="e">
        <f t="shared" si="51"/>
        <v>#VALUE!</v>
      </c>
      <c r="AB85" s="905" t="e">
        <f t="shared" si="52"/>
        <v>#VALUE!</v>
      </c>
      <c r="AC85" s="906" t="e">
        <f t="shared" si="37"/>
        <v>#VALUE!</v>
      </c>
      <c r="AD85" s="907">
        <f t="shared" si="38"/>
        <v>0</v>
      </c>
      <c r="AE85" s="904">
        <f>IF(H85&gt;8,tab!C$194,tab!C$197)</f>
        <v>0.4</v>
      </c>
      <c r="AF85" s="907">
        <f t="shared" si="39"/>
        <v>0</v>
      </c>
      <c r="AG85" s="887">
        <f t="shared" si="40"/>
        <v>0</v>
      </c>
      <c r="AH85" s="908" t="b">
        <f t="shared" si="41"/>
        <v>0</v>
      </c>
      <c r="AI85" s="815">
        <f t="shared" si="42"/>
        <v>119</v>
      </c>
      <c r="AJ85" s="867">
        <f t="shared" si="43"/>
        <v>30</v>
      </c>
      <c r="AK85" s="540">
        <f t="shared" si="44"/>
        <v>30</v>
      </c>
      <c r="AL85" s="909">
        <f t="shared" si="45"/>
        <v>0</v>
      </c>
      <c r="AN85" s="539">
        <f t="shared" si="53"/>
        <v>0</v>
      </c>
      <c r="AR85" s="941"/>
      <c r="AT85" s="317"/>
      <c r="AU85" s="317"/>
    </row>
    <row r="86" spans="2:47" ht="13.15" hidden="1" customHeight="1" x14ac:dyDescent="0.2">
      <c r="B86" s="316"/>
      <c r="C86" s="381"/>
      <c r="D86" s="895"/>
      <c r="E86" s="895"/>
      <c r="F86" s="390"/>
      <c r="G86" s="896"/>
      <c r="H86" s="33"/>
      <c r="I86" s="897"/>
      <c r="J86" s="898"/>
      <c r="K86" s="334"/>
      <c r="L86" s="1140"/>
      <c r="M86" s="1140"/>
      <c r="N86" s="899" t="str">
        <f t="shared" si="46"/>
        <v/>
      </c>
      <c r="O86" s="900" t="str">
        <f t="shared" si="47"/>
        <v/>
      </c>
      <c r="P86" s="901" t="str">
        <f t="shared" si="48"/>
        <v/>
      </c>
      <c r="Q86" s="568" t="str">
        <f t="shared" si="33"/>
        <v/>
      </c>
      <c r="R86" s="902" t="str">
        <f t="shared" si="49"/>
        <v/>
      </c>
      <c r="S86" s="903">
        <f t="shared" si="34"/>
        <v>0</v>
      </c>
      <c r="T86" s="334"/>
      <c r="U86" s="386"/>
      <c r="X86" s="887" t="str">
        <f t="shared" si="35"/>
        <v/>
      </c>
      <c r="Y86" s="904">
        <f t="shared" si="36"/>
        <v>0.6</v>
      </c>
      <c r="Z86" s="905" t="e">
        <f t="shared" si="50"/>
        <v>#VALUE!</v>
      </c>
      <c r="AA86" s="905" t="e">
        <f t="shared" si="51"/>
        <v>#VALUE!</v>
      </c>
      <c r="AB86" s="905" t="e">
        <f t="shared" si="52"/>
        <v>#VALUE!</v>
      </c>
      <c r="AC86" s="906" t="e">
        <f t="shared" si="37"/>
        <v>#VALUE!</v>
      </c>
      <c r="AD86" s="907">
        <f t="shared" si="38"/>
        <v>0</v>
      </c>
      <c r="AE86" s="904">
        <f>IF(H86&gt;8,tab!C$194,tab!C$197)</f>
        <v>0.4</v>
      </c>
      <c r="AF86" s="907">
        <f t="shared" si="39"/>
        <v>0</v>
      </c>
      <c r="AG86" s="887">
        <f t="shared" si="40"/>
        <v>0</v>
      </c>
      <c r="AH86" s="908" t="b">
        <f t="shared" si="41"/>
        <v>0</v>
      </c>
      <c r="AI86" s="815">
        <f t="shared" si="42"/>
        <v>119</v>
      </c>
      <c r="AJ86" s="867">
        <f t="shared" si="43"/>
        <v>30</v>
      </c>
      <c r="AK86" s="540">
        <f t="shared" si="44"/>
        <v>30</v>
      </c>
      <c r="AL86" s="909">
        <f t="shared" si="45"/>
        <v>0</v>
      </c>
      <c r="AN86" s="539">
        <f t="shared" si="53"/>
        <v>0</v>
      </c>
      <c r="AR86" s="941"/>
      <c r="AT86" s="317"/>
      <c r="AU86" s="317"/>
    </row>
    <row r="87" spans="2:47" ht="13.15" hidden="1" customHeight="1" x14ac:dyDescent="0.2">
      <c r="B87" s="316"/>
      <c r="C87" s="381"/>
      <c r="D87" s="895"/>
      <c r="E87" s="895"/>
      <c r="F87" s="390"/>
      <c r="G87" s="896"/>
      <c r="H87" s="33"/>
      <c r="I87" s="897"/>
      <c r="J87" s="898"/>
      <c r="K87" s="334"/>
      <c r="L87" s="1140"/>
      <c r="M87" s="1140"/>
      <c r="N87" s="899" t="str">
        <f t="shared" si="46"/>
        <v/>
      </c>
      <c r="O87" s="900" t="str">
        <f t="shared" si="47"/>
        <v/>
      </c>
      <c r="P87" s="901" t="str">
        <f t="shared" si="48"/>
        <v/>
      </c>
      <c r="Q87" s="568" t="str">
        <f t="shared" si="33"/>
        <v/>
      </c>
      <c r="R87" s="902" t="str">
        <f t="shared" si="49"/>
        <v/>
      </c>
      <c r="S87" s="903">
        <f t="shared" si="34"/>
        <v>0</v>
      </c>
      <c r="T87" s="334"/>
      <c r="U87" s="386"/>
      <c r="X87" s="887" t="str">
        <f t="shared" si="35"/>
        <v/>
      </c>
      <c r="Y87" s="904">
        <f t="shared" si="36"/>
        <v>0.6</v>
      </c>
      <c r="Z87" s="905" t="e">
        <f t="shared" si="50"/>
        <v>#VALUE!</v>
      </c>
      <c r="AA87" s="905" t="e">
        <f t="shared" si="51"/>
        <v>#VALUE!</v>
      </c>
      <c r="AB87" s="905" t="e">
        <f t="shared" si="52"/>
        <v>#VALUE!</v>
      </c>
      <c r="AC87" s="906" t="e">
        <f t="shared" si="37"/>
        <v>#VALUE!</v>
      </c>
      <c r="AD87" s="907">
        <f t="shared" si="38"/>
        <v>0</v>
      </c>
      <c r="AE87" s="904">
        <f>IF(H87&gt;8,tab!C$194,tab!C$197)</f>
        <v>0.4</v>
      </c>
      <c r="AF87" s="907">
        <f t="shared" si="39"/>
        <v>0</v>
      </c>
      <c r="AG87" s="887">
        <f t="shared" si="40"/>
        <v>0</v>
      </c>
      <c r="AH87" s="908" t="b">
        <f t="shared" si="41"/>
        <v>0</v>
      </c>
      <c r="AI87" s="815">
        <f t="shared" si="42"/>
        <v>119</v>
      </c>
      <c r="AJ87" s="867">
        <f t="shared" si="43"/>
        <v>30</v>
      </c>
      <c r="AK87" s="540">
        <f t="shared" si="44"/>
        <v>30</v>
      </c>
      <c r="AL87" s="909">
        <f t="shared" si="45"/>
        <v>0</v>
      </c>
      <c r="AN87" s="539">
        <f t="shared" si="53"/>
        <v>0</v>
      </c>
      <c r="AR87" s="941"/>
      <c r="AT87" s="317"/>
      <c r="AU87" s="317"/>
    </row>
    <row r="88" spans="2:47" ht="13.15" hidden="1" customHeight="1" x14ac:dyDescent="0.2">
      <c r="B88" s="316"/>
      <c r="C88" s="381"/>
      <c r="D88" s="895"/>
      <c r="E88" s="895"/>
      <c r="F88" s="390"/>
      <c r="G88" s="896"/>
      <c r="H88" s="33"/>
      <c r="I88" s="897"/>
      <c r="J88" s="898"/>
      <c r="K88" s="334"/>
      <c r="L88" s="1140"/>
      <c r="M88" s="1140"/>
      <c r="N88" s="899" t="str">
        <f t="shared" si="46"/>
        <v/>
      </c>
      <c r="O88" s="900" t="str">
        <f t="shared" si="47"/>
        <v/>
      </c>
      <c r="P88" s="901" t="str">
        <f t="shared" si="48"/>
        <v/>
      </c>
      <c r="Q88" s="568" t="str">
        <f t="shared" si="33"/>
        <v/>
      </c>
      <c r="R88" s="902" t="str">
        <f t="shared" si="49"/>
        <v/>
      </c>
      <c r="S88" s="903">
        <f t="shared" si="34"/>
        <v>0</v>
      </c>
      <c r="T88" s="334"/>
      <c r="U88" s="386"/>
      <c r="X88" s="887" t="str">
        <f t="shared" si="35"/>
        <v/>
      </c>
      <c r="Y88" s="904">
        <f t="shared" si="36"/>
        <v>0.6</v>
      </c>
      <c r="Z88" s="905" t="e">
        <f t="shared" si="50"/>
        <v>#VALUE!</v>
      </c>
      <c r="AA88" s="905" t="e">
        <f t="shared" si="51"/>
        <v>#VALUE!</v>
      </c>
      <c r="AB88" s="905" t="e">
        <f t="shared" si="52"/>
        <v>#VALUE!</v>
      </c>
      <c r="AC88" s="906" t="e">
        <f t="shared" si="37"/>
        <v>#VALUE!</v>
      </c>
      <c r="AD88" s="907">
        <f t="shared" si="38"/>
        <v>0</v>
      </c>
      <c r="AE88" s="904">
        <f>IF(H88&gt;8,tab!C$194,tab!C$197)</f>
        <v>0.4</v>
      </c>
      <c r="AF88" s="907">
        <f t="shared" si="39"/>
        <v>0</v>
      </c>
      <c r="AG88" s="887">
        <f t="shared" si="40"/>
        <v>0</v>
      </c>
      <c r="AH88" s="908" t="b">
        <f t="shared" si="41"/>
        <v>0</v>
      </c>
      <c r="AI88" s="815">
        <f t="shared" si="42"/>
        <v>119</v>
      </c>
      <c r="AJ88" s="867">
        <f t="shared" si="43"/>
        <v>30</v>
      </c>
      <c r="AK88" s="540">
        <f t="shared" si="44"/>
        <v>30</v>
      </c>
      <c r="AL88" s="909">
        <f t="shared" si="45"/>
        <v>0</v>
      </c>
      <c r="AN88" s="539">
        <f t="shared" si="53"/>
        <v>0</v>
      </c>
      <c r="AR88" s="941"/>
      <c r="AT88" s="317"/>
      <c r="AU88" s="317"/>
    </row>
    <row r="89" spans="2:47" ht="13.15" hidden="1" customHeight="1" x14ac:dyDescent="0.2">
      <c r="B89" s="316"/>
      <c r="C89" s="381"/>
      <c r="D89" s="895"/>
      <c r="E89" s="895"/>
      <c r="F89" s="390"/>
      <c r="G89" s="896"/>
      <c r="H89" s="33"/>
      <c r="I89" s="897"/>
      <c r="J89" s="898"/>
      <c r="K89" s="334"/>
      <c r="L89" s="1140"/>
      <c r="M89" s="1140"/>
      <c r="N89" s="899" t="str">
        <f t="shared" si="46"/>
        <v/>
      </c>
      <c r="O89" s="900" t="str">
        <f t="shared" si="47"/>
        <v/>
      </c>
      <c r="P89" s="901" t="str">
        <f t="shared" si="48"/>
        <v/>
      </c>
      <c r="Q89" s="568" t="str">
        <f t="shared" si="33"/>
        <v/>
      </c>
      <c r="R89" s="902" t="str">
        <f t="shared" si="49"/>
        <v/>
      </c>
      <c r="S89" s="903">
        <f t="shared" si="34"/>
        <v>0</v>
      </c>
      <c r="T89" s="334"/>
      <c r="U89" s="386"/>
      <c r="X89" s="887" t="str">
        <f t="shared" si="35"/>
        <v/>
      </c>
      <c r="Y89" s="904">
        <f t="shared" si="36"/>
        <v>0.6</v>
      </c>
      <c r="Z89" s="905" t="e">
        <f t="shared" si="50"/>
        <v>#VALUE!</v>
      </c>
      <c r="AA89" s="905" t="e">
        <f t="shared" si="51"/>
        <v>#VALUE!</v>
      </c>
      <c r="AB89" s="905" t="e">
        <f t="shared" si="52"/>
        <v>#VALUE!</v>
      </c>
      <c r="AC89" s="906" t="e">
        <f t="shared" si="37"/>
        <v>#VALUE!</v>
      </c>
      <c r="AD89" s="907">
        <f t="shared" si="38"/>
        <v>0</v>
      </c>
      <c r="AE89" s="904">
        <f>IF(H89&gt;8,tab!C$194,tab!C$197)</f>
        <v>0.4</v>
      </c>
      <c r="AF89" s="907">
        <f t="shared" si="39"/>
        <v>0</v>
      </c>
      <c r="AG89" s="887">
        <f t="shared" si="40"/>
        <v>0</v>
      </c>
      <c r="AH89" s="908" t="b">
        <f t="shared" si="41"/>
        <v>0</v>
      </c>
      <c r="AI89" s="815">
        <f t="shared" si="42"/>
        <v>119</v>
      </c>
      <c r="AJ89" s="867">
        <f t="shared" si="43"/>
        <v>30</v>
      </c>
      <c r="AK89" s="540">
        <f t="shared" si="44"/>
        <v>30</v>
      </c>
      <c r="AL89" s="909">
        <f t="shared" si="45"/>
        <v>0</v>
      </c>
      <c r="AN89" s="539">
        <f t="shared" si="53"/>
        <v>0</v>
      </c>
      <c r="AR89" s="941"/>
      <c r="AT89" s="317"/>
      <c r="AU89" s="317"/>
    </row>
    <row r="90" spans="2:47" ht="13.15" hidden="1" customHeight="1" x14ac:dyDescent="0.2">
      <c r="B90" s="316"/>
      <c r="C90" s="381"/>
      <c r="D90" s="895"/>
      <c r="E90" s="895"/>
      <c r="F90" s="390"/>
      <c r="G90" s="896"/>
      <c r="H90" s="33"/>
      <c r="I90" s="897"/>
      <c r="J90" s="898"/>
      <c r="K90" s="334"/>
      <c r="L90" s="1140"/>
      <c r="M90" s="1140"/>
      <c r="N90" s="899" t="str">
        <f t="shared" si="46"/>
        <v/>
      </c>
      <c r="O90" s="900" t="str">
        <f t="shared" si="47"/>
        <v/>
      </c>
      <c r="P90" s="901" t="str">
        <f t="shared" si="48"/>
        <v/>
      </c>
      <c r="Q90" s="568" t="str">
        <f t="shared" si="33"/>
        <v/>
      </c>
      <c r="R90" s="902" t="str">
        <f t="shared" si="49"/>
        <v/>
      </c>
      <c r="S90" s="903">
        <f t="shared" si="34"/>
        <v>0</v>
      </c>
      <c r="T90" s="334"/>
      <c r="U90" s="386"/>
      <c r="X90" s="887" t="str">
        <f t="shared" si="35"/>
        <v/>
      </c>
      <c r="Y90" s="904">
        <f t="shared" si="36"/>
        <v>0.6</v>
      </c>
      <c r="Z90" s="905" t="e">
        <f t="shared" si="50"/>
        <v>#VALUE!</v>
      </c>
      <c r="AA90" s="905" t="e">
        <f t="shared" si="51"/>
        <v>#VALUE!</v>
      </c>
      <c r="AB90" s="905" t="e">
        <f t="shared" si="52"/>
        <v>#VALUE!</v>
      </c>
      <c r="AC90" s="906" t="e">
        <f t="shared" si="37"/>
        <v>#VALUE!</v>
      </c>
      <c r="AD90" s="907">
        <f t="shared" si="38"/>
        <v>0</v>
      </c>
      <c r="AE90" s="904">
        <f>IF(H90&gt;8,tab!C$194,tab!C$197)</f>
        <v>0.4</v>
      </c>
      <c r="AF90" s="907">
        <f t="shared" si="39"/>
        <v>0</v>
      </c>
      <c r="AG90" s="887">
        <f t="shared" si="40"/>
        <v>0</v>
      </c>
      <c r="AH90" s="908" t="b">
        <f t="shared" si="41"/>
        <v>0</v>
      </c>
      <c r="AI90" s="815">
        <f t="shared" si="42"/>
        <v>119</v>
      </c>
      <c r="AJ90" s="867">
        <f t="shared" si="43"/>
        <v>30</v>
      </c>
      <c r="AK90" s="540">
        <f t="shared" si="44"/>
        <v>30</v>
      </c>
      <c r="AL90" s="909">
        <f t="shared" si="45"/>
        <v>0</v>
      </c>
      <c r="AN90" s="539">
        <f t="shared" si="53"/>
        <v>0</v>
      </c>
      <c r="AR90" s="941"/>
      <c r="AT90" s="317"/>
      <c r="AU90" s="317"/>
    </row>
    <row r="91" spans="2:47" ht="13.15" hidden="1" customHeight="1" x14ac:dyDescent="0.2">
      <c r="B91" s="316"/>
      <c r="C91" s="381"/>
      <c r="D91" s="895"/>
      <c r="E91" s="895"/>
      <c r="F91" s="390"/>
      <c r="G91" s="896"/>
      <c r="H91" s="33"/>
      <c r="I91" s="897"/>
      <c r="J91" s="898"/>
      <c r="K91" s="334"/>
      <c r="L91" s="1140"/>
      <c r="M91" s="1140"/>
      <c r="N91" s="899" t="str">
        <f t="shared" si="46"/>
        <v/>
      </c>
      <c r="O91" s="900" t="str">
        <f t="shared" si="47"/>
        <v/>
      </c>
      <c r="P91" s="901" t="str">
        <f t="shared" si="48"/>
        <v/>
      </c>
      <c r="Q91" s="568" t="str">
        <f t="shared" si="33"/>
        <v/>
      </c>
      <c r="R91" s="902" t="str">
        <f t="shared" si="49"/>
        <v/>
      </c>
      <c r="S91" s="903">
        <f t="shared" si="34"/>
        <v>0</v>
      </c>
      <c r="T91" s="334"/>
      <c r="U91" s="386"/>
      <c r="X91" s="887" t="str">
        <f t="shared" si="35"/>
        <v/>
      </c>
      <c r="Y91" s="904">
        <f t="shared" si="36"/>
        <v>0.6</v>
      </c>
      <c r="Z91" s="905" t="e">
        <f t="shared" si="50"/>
        <v>#VALUE!</v>
      </c>
      <c r="AA91" s="905" t="e">
        <f t="shared" si="51"/>
        <v>#VALUE!</v>
      </c>
      <c r="AB91" s="905" t="e">
        <f t="shared" si="52"/>
        <v>#VALUE!</v>
      </c>
      <c r="AC91" s="906" t="e">
        <f t="shared" si="37"/>
        <v>#VALUE!</v>
      </c>
      <c r="AD91" s="907">
        <f t="shared" si="38"/>
        <v>0</v>
      </c>
      <c r="AE91" s="904">
        <f>IF(H91&gt;8,tab!C$194,tab!C$197)</f>
        <v>0.4</v>
      </c>
      <c r="AF91" s="907">
        <f t="shared" si="39"/>
        <v>0</v>
      </c>
      <c r="AG91" s="887">
        <f t="shared" si="40"/>
        <v>0</v>
      </c>
      <c r="AH91" s="908" t="b">
        <f t="shared" si="41"/>
        <v>0</v>
      </c>
      <c r="AI91" s="815">
        <f t="shared" si="42"/>
        <v>119</v>
      </c>
      <c r="AJ91" s="867">
        <f t="shared" si="43"/>
        <v>30</v>
      </c>
      <c r="AK91" s="540">
        <f t="shared" si="44"/>
        <v>30</v>
      </c>
      <c r="AL91" s="909">
        <f t="shared" si="45"/>
        <v>0</v>
      </c>
      <c r="AN91" s="539">
        <f t="shared" si="53"/>
        <v>0</v>
      </c>
      <c r="AR91" s="941"/>
      <c r="AT91" s="317"/>
      <c r="AU91" s="317"/>
    </row>
    <row r="92" spans="2:47" ht="13.15" hidden="1" customHeight="1" x14ac:dyDescent="0.2">
      <c r="B92" s="316"/>
      <c r="C92" s="381"/>
      <c r="D92" s="895"/>
      <c r="E92" s="895"/>
      <c r="F92" s="390"/>
      <c r="G92" s="896"/>
      <c r="H92" s="33"/>
      <c r="I92" s="897"/>
      <c r="J92" s="898"/>
      <c r="K92" s="334"/>
      <c r="L92" s="1140"/>
      <c r="M92" s="1140"/>
      <c r="N92" s="899" t="str">
        <f t="shared" si="46"/>
        <v/>
      </c>
      <c r="O92" s="900" t="str">
        <f t="shared" si="47"/>
        <v/>
      </c>
      <c r="P92" s="901" t="str">
        <f t="shared" si="48"/>
        <v/>
      </c>
      <c r="Q92" s="568" t="str">
        <f t="shared" si="33"/>
        <v/>
      </c>
      <c r="R92" s="902" t="str">
        <f t="shared" si="49"/>
        <v/>
      </c>
      <c r="S92" s="903">
        <f t="shared" si="34"/>
        <v>0</v>
      </c>
      <c r="T92" s="334"/>
      <c r="U92" s="386"/>
      <c r="X92" s="887" t="str">
        <f t="shared" si="35"/>
        <v/>
      </c>
      <c r="Y92" s="904">
        <f t="shared" si="36"/>
        <v>0.6</v>
      </c>
      <c r="Z92" s="905" t="e">
        <f t="shared" si="50"/>
        <v>#VALUE!</v>
      </c>
      <c r="AA92" s="905" t="e">
        <f t="shared" si="51"/>
        <v>#VALUE!</v>
      </c>
      <c r="AB92" s="905" t="e">
        <f t="shared" si="52"/>
        <v>#VALUE!</v>
      </c>
      <c r="AC92" s="906" t="e">
        <f t="shared" si="37"/>
        <v>#VALUE!</v>
      </c>
      <c r="AD92" s="907">
        <f t="shared" si="38"/>
        <v>0</v>
      </c>
      <c r="AE92" s="904">
        <f>IF(H92&gt;8,tab!C$194,tab!C$197)</f>
        <v>0.4</v>
      </c>
      <c r="AF92" s="907">
        <f t="shared" si="39"/>
        <v>0</v>
      </c>
      <c r="AG92" s="887">
        <f t="shared" si="40"/>
        <v>0</v>
      </c>
      <c r="AH92" s="908" t="b">
        <f t="shared" si="41"/>
        <v>0</v>
      </c>
      <c r="AI92" s="815">
        <f t="shared" si="42"/>
        <v>119</v>
      </c>
      <c r="AJ92" s="867">
        <f t="shared" si="43"/>
        <v>30</v>
      </c>
      <c r="AK92" s="540">
        <f t="shared" si="44"/>
        <v>30</v>
      </c>
      <c r="AL92" s="909">
        <f t="shared" si="45"/>
        <v>0</v>
      </c>
      <c r="AN92" s="539">
        <f t="shared" si="53"/>
        <v>0</v>
      </c>
      <c r="AR92" s="941"/>
      <c r="AT92" s="317"/>
      <c r="AU92" s="317"/>
    </row>
    <row r="93" spans="2:47" ht="13.15" hidden="1" customHeight="1" x14ac:dyDescent="0.2">
      <c r="B93" s="316"/>
      <c r="C93" s="381"/>
      <c r="D93" s="895"/>
      <c r="E93" s="895"/>
      <c r="F93" s="390"/>
      <c r="G93" s="896"/>
      <c r="H93" s="33"/>
      <c r="I93" s="897"/>
      <c r="J93" s="898"/>
      <c r="K93" s="334"/>
      <c r="L93" s="1140"/>
      <c r="M93" s="1140"/>
      <c r="N93" s="899" t="str">
        <f t="shared" si="46"/>
        <v/>
      </c>
      <c r="O93" s="900" t="str">
        <f t="shared" si="47"/>
        <v/>
      </c>
      <c r="P93" s="901" t="str">
        <f t="shared" si="48"/>
        <v/>
      </c>
      <c r="Q93" s="568" t="str">
        <f t="shared" si="33"/>
        <v/>
      </c>
      <c r="R93" s="902" t="str">
        <f t="shared" si="49"/>
        <v/>
      </c>
      <c r="S93" s="903">
        <f t="shared" si="34"/>
        <v>0</v>
      </c>
      <c r="T93" s="334"/>
      <c r="U93" s="386"/>
      <c r="X93" s="887" t="str">
        <f t="shared" si="35"/>
        <v/>
      </c>
      <c r="Y93" s="904">
        <f t="shared" si="36"/>
        <v>0.6</v>
      </c>
      <c r="Z93" s="905" t="e">
        <f t="shared" si="50"/>
        <v>#VALUE!</v>
      </c>
      <c r="AA93" s="905" t="e">
        <f t="shared" si="51"/>
        <v>#VALUE!</v>
      </c>
      <c r="AB93" s="905" t="e">
        <f t="shared" si="52"/>
        <v>#VALUE!</v>
      </c>
      <c r="AC93" s="906" t="e">
        <f t="shared" si="37"/>
        <v>#VALUE!</v>
      </c>
      <c r="AD93" s="907">
        <f t="shared" si="38"/>
        <v>0</v>
      </c>
      <c r="AE93" s="904">
        <f>IF(H93&gt;8,tab!C$194,tab!C$197)</f>
        <v>0.4</v>
      </c>
      <c r="AF93" s="907">
        <f t="shared" si="39"/>
        <v>0</v>
      </c>
      <c r="AG93" s="887">
        <f t="shared" si="40"/>
        <v>0</v>
      </c>
      <c r="AH93" s="908" t="b">
        <f t="shared" si="41"/>
        <v>0</v>
      </c>
      <c r="AI93" s="815">
        <f t="shared" si="42"/>
        <v>119</v>
      </c>
      <c r="AJ93" s="867">
        <f t="shared" si="43"/>
        <v>30</v>
      </c>
      <c r="AK93" s="540">
        <f t="shared" si="44"/>
        <v>30</v>
      </c>
      <c r="AL93" s="909">
        <f t="shared" si="45"/>
        <v>0</v>
      </c>
      <c r="AN93" s="539">
        <f t="shared" si="53"/>
        <v>0</v>
      </c>
      <c r="AR93" s="941"/>
      <c r="AT93" s="317"/>
      <c r="AU93" s="317"/>
    </row>
    <row r="94" spans="2:47" ht="13.15" hidden="1" customHeight="1" x14ac:dyDescent="0.2">
      <c r="B94" s="316"/>
      <c r="C94" s="381"/>
      <c r="D94" s="895"/>
      <c r="E94" s="895"/>
      <c r="F94" s="390"/>
      <c r="G94" s="896"/>
      <c r="H94" s="33"/>
      <c r="I94" s="897"/>
      <c r="J94" s="898"/>
      <c r="K94" s="334"/>
      <c r="L94" s="1140"/>
      <c r="M94" s="1140"/>
      <c r="N94" s="899" t="str">
        <f t="shared" si="46"/>
        <v/>
      </c>
      <c r="O94" s="900" t="str">
        <f t="shared" si="47"/>
        <v/>
      </c>
      <c r="P94" s="901" t="str">
        <f t="shared" si="48"/>
        <v/>
      </c>
      <c r="Q94" s="568" t="str">
        <f t="shared" si="33"/>
        <v/>
      </c>
      <c r="R94" s="902" t="str">
        <f t="shared" si="49"/>
        <v/>
      </c>
      <c r="S94" s="903">
        <f t="shared" si="34"/>
        <v>0</v>
      </c>
      <c r="T94" s="334"/>
      <c r="U94" s="386"/>
      <c r="X94" s="887" t="str">
        <f t="shared" si="35"/>
        <v/>
      </c>
      <c r="Y94" s="904">
        <f t="shared" si="36"/>
        <v>0.6</v>
      </c>
      <c r="Z94" s="905" t="e">
        <f t="shared" si="50"/>
        <v>#VALUE!</v>
      </c>
      <c r="AA94" s="905" t="e">
        <f t="shared" si="51"/>
        <v>#VALUE!</v>
      </c>
      <c r="AB94" s="905" t="e">
        <f t="shared" si="52"/>
        <v>#VALUE!</v>
      </c>
      <c r="AC94" s="906" t="e">
        <f t="shared" si="37"/>
        <v>#VALUE!</v>
      </c>
      <c r="AD94" s="907">
        <f t="shared" si="38"/>
        <v>0</v>
      </c>
      <c r="AE94" s="904">
        <f>IF(H94&gt;8,tab!C$194,tab!C$197)</f>
        <v>0.4</v>
      </c>
      <c r="AF94" s="907">
        <f t="shared" si="39"/>
        <v>0</v>
      </c>
      <c r="AG94" s="887">
        <f t="shared" si="40"/>
        <v>0</v>
      </c>
      <c r="AH94" s="908" t="b">
        <f t="shared" si="41"/>
        <v>0</v>
      </c>
      <c r="AI94" s="815">
        <f t="shared" si="42"/>
        <v>119</v>
      </c>
      <c r="AJ94" s="867">
        <f t="shared" si="43"/>
        <v>30</v>
      </c>
      <c r="AK94" s="540">
        <f t="shared" si="44"/>
        <v>30</v>
      </c>
      <c r="AL94" s="909">
        <f t="shared" si="45"/>
        <v>0</v>
      </c>
      <c r="AN94" s="539">
        <f t="shared" si="53"/>
        <v>0</v>
      </c>
      <c r="AR94" s="941"/>
      <c r="AT94" s="317"/>
      <c r="AU94" s="317"/>
    </row>
    <row r="95" spans="2:47" ht="13.15" hidden="1" customHeight="1" x14ac:dyDescent="0.2">
      <c r="B95" s="316"/>
      <c r="C95" s="381"/>
      <c r="D95" s="895"/>
      <c r="E95" s="895"/>
      <c r="F95" s="390"/>
      <c r="G95" s="896"/>
      <c r="H95" s="33"/>
      <c r="I95" s="897"/>
      <c r="J95" s="898"/>
      <c r="K95" s="334"/>
      <c r="L95" s="1140"/>
      <c r="M95" s="1140"/>
      <c r="N95" s="899" t="str">
        <f t="shared" si="46"/>
        <v/>
      </c>
      <c r="O95" s="900" t="str">
        <f t="shared" si="47"/>
        <v/>
      </c>
      <c r="P95" s="901" t="str">
        <f t="shared" si="48"/>
        <v/>
      </c>
      <c r="Q95" s="568" t="str">
        <f t="shared" si="33"/>
        <v/>
      </c>
      <c r="R95" s="902" t="str">
        <f t="shared" si="49"/>
        <v/>
      </c>
      <c r="S95" s="903">
        <f t="shared" si="34"/>
        <v>0</v>
      </c>
      <c r="T95" s="334"/>
      <c r="U95" s="386"/>
      <c r="X95" s="887" t="str">
        <f t="shared" si="35"/>
        <v/>
      </c>
      <c r="Y95" s="904">
        <f t="shared" si="36"/>
        <v>0.6</v>
      </c>
      <c r="Z95" s="905" t="e">
        <f t="shared" si="50"/>
        <v>#VALUE!</v>
      </c>
      <c r="AA95" s="905" t="e">
        <f t="shared" si="51"/>
        <v>#VALUE!</v>
      </c>
      <c r="AB95" s="905" t="e">
        <f t="shared" si="52"/>
        <v>#VALUE!</v>
      </c>
      <c r="AC95" s="906" t="e">
        <f t="shared" si="37"/>
        <v>#VALUE!</v>
      </c>
      <c r="AD95" s="907">
        <f t="shared" si="38"/>
        <v>0</v>
      </c>
      <c r="AE95" s="904">
        <f>IF(H95&gt;8,tab!C$194,tab!C$197)</f>
        <v>0.4</v>
      </c>
      <c r="AF95" s="907">
        <f t="shared" si="39"/>
        <v>0</v>
      </c>
      <c r="AG95" s="887">
        <f t="shared" si="40"/>
        <v>0</v>
      </c>
      <c r="AH95" s="908" t="b">
        <f t="shared" si="41"/>
        <v>0</v>
      </c>
      <c r="AI95" s="815">
        <f t="shared" si="42"/>
        <v>119</v>
      </c>
      <c r="AJ95" s="867">
        <f t="shared" si="43"/>
        <v>30</v>
      </c>
      <c r="AK95" s="540">
        <f t="shared" si="44"/>
        <v>30</v>
      </c>
      <c r="AL95" s="909">
        <f t="shared" si="45"/>
        <v>0</v>
      </c>
      <c r="AN95" s="539">
        <f t="shared" si="53"/>
        <v>0</v>
      </c>
      <c r="AR95" s="941"/>
      <c r="AT95" s="317"/>
      <c r="AU95" s="317"/>
    </row>
    <row r="96" spans="2:47" ht="13.15" hidden="1" customHeight="1" x14ac:dyDescent="0.2">
      <c r="B96" s="316"/>
      <c r="C96" s="381"/>
      <c r="D96" s="895"/>
      <c r="E96" s="895"/>
      <c r="F96" s="390"/>
      <c r="G96" s="896"/>
      <c r="H96" s="33"/>
      <c r="I96" s="897"/>
      <c r="J96" s="898"/>
      <c r="K96" s="334"/>
      <c r="L96" s="1140"/>
      <c r="M96" s="1140"/>
      <c r="N96" s="899" t="str">
        <f t="shared" si="46"/>
        <v/>
      </c>
      <c r="O96" s="900" t="str">
        <f t="shared" si="47"/>
        <v/>
      </c>
      <c r="P96" s="901" t="str">
        <f t="shared" si="48"/>
        <v/>
      </c>
      <c r="Q96" s="568" t="str">
        <f t="shared" si="33"/>
        <v/>
      </c>
      <c r="R96" s="902" t="str">
        <f t="shared" si="49"/>
        <v/>
      </c>
      <c r="S96" s="903">
        <f t="shared" si="34"/>
        <v>0</v>
      </c>
      <c r="T96" s="334"/>
      <c r="U96" s="386"/>
      <c r="X96" s="887" t="str">
        <f t="shared" si="35"/>
        <v/>
      </c>
      <c r="Y96" s="904">
        <f t="shared" si="36"/>
        <v>0.6</v>
      </c>
      <c r="Z96" s="905" t="e">
        <f t="shared" si="50"/>
        <v>#VALUE!</v>
      </c>
      <c r="AA96" s="905" t="e">
        <f t="shared" si="51"/>
        <v>#VALUE!</v>
      </c>
      <c r="AB96" s="905" t="e">
        <f t="shared" si="52"/>
        <v>#VALUE!</v>
      </c>
      <c r="AC96" s="906" t="e">
        <f t="shared" si="37"/>
        <v>#VALUE!</v>
      </c>
      <c r="AD96" s="907">
        <f t="shared" si="38"/>
        <v>0</v>
      </c>
      <c r="AE96" s="904">
        <f>IF(H96&gt;8,tab!C$194,tab!C$197)</f>
        <v>0.4</v>
      </c>
      <c r="AF96" s="907">
        <f t="shared" si="39"/>
        <v>0</v>
      </c>
      <c r="AG96" s="887">
        <f t="shared" si="40"/>
        <v>0</v>
      </c>
      <c r="AH96" s="908" t="b">
        <f t="shared" si="41"/>
        <v>0</v>
      </c>
      <c r="AI96" s="815">
        <f t="shared" si="42"/>
        <v>119</v>
      </c>
      <c r="AJ96" s="867">
        <f t="shared" si="43"/>
        <v>30</v>
      </c>
      <c r="AK96" s="540">
        <f t="shared" si="44"/>
        <v>30</v>
      </c>
      <c r="AL96" s="909">
        <f t="shared" si="45"/>
        <v>0</v>
      </c>
      <c r="AN96" s="539">
        <f t="shared" si="53"/>
        <v>0</v>
      </c>
      <c r="AR96" s="941"/>
      <c r="AT96" s="317"/>
      <c r="AU96" s="317"/>
    </row>
    <row r="97" spans="2:47" ht="13.15" hidden="1" customHeight="1" x14ac:dyDescent="0.2">
      <c r="B97" s="316"/>
      <c r="C97" s="381"/>
      <c r="D97" s="895"/>
      <c r="E97" s="895"/>
      <c r="F97" s="390"/>
      <c r="G97" s="896"/>
      <c r="H97" s="33"/>
      <c r="I97" s="897"/>
      <c r="J97" s="898"/>
      <c r="K97" s="334"/>
      <c r="L97" s="1140"/>
      <c r="M97" s="1140"/>
      <c r="N97" s="899" t="str">
        <f t="shared" si="46"/>
        <v/>
      </c>
      <c r="O97" s="900" t="str">
        <f t="shared" si="47"/>
        <v/>
      </c>
      <c r="P97" s="901" t="str">
        <f t="shared" si="48"/>
        <v/>
      </c>
      <c r="Q97" s="568" t="str">
        <f t="shared" si="33"/>
        <v/>
      </c>
      <c r="R97" s="902" t="str">
        <f t="shared" si="49"/>
        <v/>
      </c>
      <c r="S97" s="903">
        <f t="shared" si="34"/>
        <v>0</v>
      </c>
      <c r="T97" s="334"/>
      <c r="U97" s="386"/>
      <c r="X97" s="887" t="str">
        <f t="shared" si="35"/>
        <v/>
      </c>
      <c r="Y97" s="904">
        <f t="shared" si="36"/>
        <v>0.6</v>
      </c>
      <c r="Z97" s="905" t="e">
        <f t="shared" si="50"/>
        <v>#VALUE!</v>
      </c>
      <c r="AA97" s="905" t="e">
        <f t="shared" si="51"/>
        <v>#VALUE!</v>
      </c>
      <c r="AB97" s="905" t="e">
        <f t="shared" si="52"/>
        <v>#VALUE!</v>
      </c>
      <c r="AC97" s="906" t="e">
        <f t="shared" si="37"/>
        <v>#VALUE!</v>
      </c>
      <c r="AD97" s="907">
        <f t="shared" si="38"/>
        <v>0</v>
      </c>
      <c r="AE97" s="904">
        <f>IF(H97&gt;8,tab!C$194,tab!C$197)</f>
        <v>0.4</v>
      </c>
      <c r="AF97" s="907">
        <f t="shared" si="39"/>
        <v>0</v>
      </c>
      <c r="AG97" s="887">
        <f t="shared" si="40"/>
        <v>0</v>
      </c>
      <c r="AH97" s="908" t="b">
        <f t="shared" si="41"/>
        <v>0</v>
      </c>
      <c r="AI97" s="815">
        <f t="shared" si="42"/>
        <v>119</v>
      </c>
      <c r="AJ97" s="867">
        <f t="shared" si="43"/>
        <v>30</v>
      </c>
      <c r="AK97" s="540">
        <f t="shared" si="44"/>
        <v>30</v>
      </c>
      <c r="AL97" s="909">
        <f t="shared" si="45"/>
        <v>0</v>
      </c>
      <c r="AN97" s="539">
        <f t="shared" si="53"/>
        <v>0</v>
      </c>
      <c r="AR97" s="941"/>
      <c r="AT97" s="317"/>
      <c r="AU97" s="317"/>
    </row>
    <row r="98" spans="2:47" ht="13.15" hidden="1" customHeight="1" x14ac:dyDescent="0.2">
      <c r="B98" s="316"/>
      <c r="C98" s="381"/>
      <c r="D98" s="895"/>
      <c r="E98" s="895"/>
      <c r="F98" s="390"/>
      <c r="G98" s="896"/>
      <c r="H98" s="33"/>
      <c r="I98" s="897"/>
      <c r="J98" s="898"/>
      <c r="K98" s="334"/>
      <c r="L98" s="1140"/>
      <c r="M98" s="1140"/>
      <c r="N98" s="899" t="str">
        <f t="shared" si="46"/>
        <v/>
      </c>
      <c r="O98" s="900" t="str">
        <f t="shared" si="47"/>
        <v/>
      </c>
      <c r="P98" s="901" t="str">
        <f t="shared" si="48"/>
        <v/>
      </c>
      <c r="Q98" s="568" t="str">
        <f t="shared" si="33"/>
        <v/>
      </c>
      <c r="R98" s="902" t="str">
        <f t="shared" si="49"/>
        <v/>
      </c>
      <c r="S98" s="903">
        <f t="shared" si="34"/>
        <v>0</v>
      </c>
      <c r="T98" s="334"/>
      <c r="U98" s="386"/>
      <c r="X98" s="887" t="str">
        <f t="shared" si="35"/>
        <v/>
      </c>
      <c r="Y98" s="904">
        <f t="shared" si="36"/>
        <v>0.6</v>
      </c>
      <c r="Z98" s="905" t="e">
        <f t="shared" si="50"/>
        <v>#VALUE!</v>
      </c>
      <c r="AA98" s="905" t="e">
        <f t="shared" si="51"/>
        <v>#VALUE!</v>
      </c>
      <c r="AB98" s="905" t="e">
        <f t="shared" si="52"/>
        <v>#VALUE!</v>
      </c>
      <c r="AC98" s="906" t="e">
        <f t="shared" si="37"/>
        <v>#VALUE!</v>
      </c>
      <c r="AD98" s="907">
        <f t="shared" si="38"/>
        <v>0</v>
      </c>
      <c r="AE98" s="904">
        <f>IF(H98&gt;8,tab!C$194,tab!C$197)</f>
        <v>0.4</v>
      </c>
      <c r="AF98" s="907">
        <f t="shared" si="39"/>
        <v>0</v>
      </c>
      <c r="AG98" s="887">
        <f t="shared" si="40"/>
        <v>0</v>
      </c>
      <c r="AH98" s="908" t="b">
        <f t="shared" si="41"/>
        <v>0</v>
      </c>
      <c r="AI98" s="815">
        <f t="shared" si="42"/>
        <v>119</v>
      </c>
      <c r="AJ98" s="867">
        <f t="shared" si="43"/>
        <v>30</v>
      </c>
      <c r="AK98" s="540">
        <f t="shared" si="44"/>
        <v>30</v>
      </c>
      <c r="AL98" s="909">
        <f t="shared" si="45"/>
        <v>0</v>
      </c>
      <c r="AN98" s="539">
        <f t="shared" si="53"/>
        <v>0</v>
      </c>
      <c r="AR98" s="941"/>
      <c r="AT98" s="317"/>
      <c r="AU98" s="317"/>
    </row>
    <row r="99" spans="2:47" ht="13.15" hidden="1" customHeight="1" x14ac:dyDescent="0.2">
      <c r="B99" s="316"/>
      <c r="C99" s="381"/>
      <c r="D99" s="895"/>
      <c r="E99" s="895"/>
      <c r="F99" s="390"/>
      <c r="G99" s="896"/>
      <c r="H99" s="33"/>
      <c r="I99" s="897"/>
      <c r="J99" s="898"/>
      <c r="K99" s="334"/>
      <c r="L99" s="1140"/>
      <c r="M99" s="1140"/>
      <c r="N99" s="899" t="str">
        <f t="shared" si="46"/>
        <v/>
      </c>
      <c r="O99" s="900" t="str">
        <f t="shared" si="47"/>
        <v/>
      </c>
      <c r="P99" s="901" t="str">
        <f t="shared" si="48"/>
        <v/>
      </c>
      <c r="Q99" s="568" t="str">
        <f t="shared" si="33"/>
        <v/>
      </c>
      <c r="R99" s="902" t="str">
        <f t="shared" si="49"/>
        <v/>
      </c>
      <c r="S99" s="903">
        <f t="shared" si="34"/>
        <v>0</v>
      </c>
      <c r="T99" s="334"/>
      <c r="U99" s="386"/>
      <c r="X99" s="887" t="str">
        <f t="shared" si="35"/>
        <v/>
      </c>
      <c r="Y99" s="904">
        <f t="shared" si="36"/>
        <v>0.6</v>
      </c>
      <c r="Z99" s="905" t="e">
        <f t="shared" si="50"/>
        <v>#VALUE!</v>
      </c>
      <c r="AA99" s="905" t="e">
        <f t="shared" si="51"/>
        <v>#VALUE!</v>
      </c>
      <c r="AB99" s="905" t="e">
        <f t="shared" si="52"/>
        <v>#VALUE!</v>
      </c>
      <c r="AC99" s="906" t="e">
        <f t="shared" si="37"/>
        <v>#VALUE!</v>
      </c>
      <c r="AD99" s="907">
        <f t="shared" si="38"/>
        <v>0</v>
      </c>
      <c r="AE99" s="904">
        <f>IF(H99&gt;8,tab!C$194,tab!C$197)</f>
        <v>0.4</v>
      </c>
      <c r="AF99" s="907">
        <f t="shared" si="39"/>
        <v>0</v>
      </c>
      <c r="AG99" s="887">
        <f t="shared" si="40"/>
        <v>0</v>
      </c>
      <c r="AH99" s="908" t="b">
        <f t="shared" si="41"/>
        <v>0</v>
      </c>
      <c r="AI99" s="815">
        <f t="shared" si="42"/>
        <v>119</v>
      </c>
      <c r="AJ99" s="867">
        <f t="shared" si="43"/>
        <v>30</v>
      </c>
      <c r="AK99" s="540">
        <f t="shared" si="44"/>
        <v>30</v>
      </c>
      <c r="AL99" s="909">
        <f t="shared" si="45"/>
        <v>0</v>
      </c>
      <c r="AN99" s="539">
        <f t="shared" si="53"/>
        <v>0</v>
      </c>
      <c r="AR99" s="941"/>
      <c r="AT99" s="317"/>
      <c r="AU99" s="317"/>
    </row>
    <row r="100" spans="2:47" ht="13.15" hidden="1" customHeight="1" x14ac:dyDescent="0.2">
      <c r="B100" s="316"/>
      <c r="C100" s="381"/>
      <c r="D100" s="895"/>
      <c r="E100" s="895"/>
      <c r="F100" s="390"/>
      <c r="G100" s="896"/>
      <c r="H100" s="33"/>
      <c r="I100" s="897"/>
      <c r="J100" s="898"/>
      <c r="K100" s="334"/>
      <c r="L100" s="1140"/>
      <c r="M100" s="1140"/>
      <c r="N100" s="899" t="str">
        <f t="shared" si="46"/>
        <v/>
      </c>
      <c r="O100" s="900" t="str">
        <f t="shared" si="47"/>
        <v/>
      </c>
      <c r="P100" s="901" t="str">
        <f t="shared" si="48"/>
        <v/>
      </c>
      <c r="Q100" s="568" t="str">
        <f t="shared" si="33"/>
        <v/>
      </c>
      <c r="R100" s="902" t="str">
        <f t="shared" si="49"/>
        <v/>
      </c>
      <c r="S100" s="903">
        <f t="shared" si="34"/>
        <v>0</v>
      </c>
      <c r="T100" s="334"/>
      <c r="U100" s="386"/>
      <c r="X100" s="887" t="str">
        <f t="shared" si="35"/>
        <v/>
      </c>
      <c r="Y100" s="904">
        <f t="shared" si="36"/>
        <v>0.6</v>
      </c>
      <c r="Z100" s="905" t="e">
        <f t="shared" si="50"/>
        <v>#VALUE!</v>
      </c>
      <c r="AA100" s="905" t="e">
        <f t="shared" si="51"/>
        <v>#VALUE!</v>
      </c>
      <c r="AB100" s="905" t="e">
        <f t="shared" si="52"/>
        <v>#VALUE!</v>
      </c>
      <c r="AC100" s="906" t="e">
        <f t="shared" si="37"/>
        <v>#VALUE!</v>
      </c>
      <c r="AD100" s="907">
        <f t="shared" si="38"/>
        <v>0</v>
      </c>
      <c r="AE100" s="904">
        <f>IF(H100&gt;8,tab!C$194,tab!C$197)</f>
        <v>0.4</v>
      </c>
      <c r="AF100" s="907">
        <f t="shared" si="39"/>
        <v>0</v>
      </c>
      <c r="AG100" s="887">
        <f t="shared" si="40"/>
        <v>0</v>
      </c>
      <c r="AH100" s="908" t="b">
        <f t="shared" si="41"/>
        <v>0</v>
      </c>
      <c r="AI100" s="815">
        <f t="shared" si="42"/>
        <v>119</v>
      </c>
      <c r="AJ100" s="867">
        <f t="shared" si="43"/>
        <v>30</v>
      </c>
      <c r="AK100" s="540">
        <f t="shared" si="44"/>
        <v>30</v>
      </c>
      <c r="AL100" s="909">
        <f t="shared" si="45"/>
        <v>0</v>
      </c>
      <c r="AN100" s="539">
        <f t="shared" si="53"/>
        <v>0</v>
      </c>
      <c r="AR100" s="941"/>
      <c r="AT100" s="317"/>
      <c r="AU100" s="317"/>
    </row>
    <row r="101" spans="2:47" ht="13.15" hidden="1" customHeight="1" x14ac:dyDescent="0.2">
      <c r="B101" s="316"/>
      <c r="C101" s="381"/>
      <c r="D101" s="895"/>
      <c r="E101" s="895"/>
      <c r="F101" s="390"/>
      <c r="G101" s="896"/>
      <c r="H101" s="33"/>
      <c r="I101" s="897"/>
      <c r="J101" s="898"/>
      <c r="K101" s="334"/>
      <c r="L101" s="1140"/>
      <c r="M101" s="1140"/>
      <c r="N101" s="899" t="str">
        <f t="shared" si="46"/>
        <v/>
      </c>
      <c r="O101" s="900" t="str">
        <f t="shared" si="47"/>
        <v/>
      </c>
      <c r="P101" s="901" t="str">
        <f t="shared" si="48"/>
        <v/>
      </c>
      <c r="Q101" s="568" t="str">
        <f t="shared" si="33"/>
        <v/>
      </c>
      <c r="R101" s="902" t="str">
        <f t="shared" si="49"/>
        <v/>
      </c>
      <c r="S101" s="903">
        <f t="shared" si="34"/>
        <v>0</v>
      </c>
      <c r="T101" s="334"/>
      <c r="U101" s="386"/>
      <c r="X101" s="887" t="str">
        <f t="shared" si="35"/>
        <v/>
      </c>
      <c r="Y101" s="904">
        <f t="shared" si="36"/>
        <v>0.6</v>
      </c>
      <c r="Z101" s="905" t="e">
        <f t="shared" si="50"/>
        <v>#VALUE!</v>
      </c>
      <c r="AA101" s="905" t="e">
        <f t="shared" si="51"/>
        <v>#VALUE!</v>
      </c>
      <c r="AB101" s="905" t="e">
        <f t="shared" si="52"/>
        <v>#VALUE!</v>
      </c>
      <c r="AC101" s="906" t="e">
        <f t="shared" si="37"/>
        <v>#VALUE!</v>
      </c>
      <c r="AD101" s="907">
        <f t="shared" si="38"/>
        <v>0</v>
      </c>
      <c r="AE101" s="904">
        <f>IF(H101&gt;8,tab!C$194,tab!C$197)</f>
        <v>0.4</v>
      </c>
      <c r="AF101" s="907">
        <f t="shared" si="39"/>
        <v>0</v>
      </c>
      <c r="AG101" s="887">
        <f t="shared" si="40"/>
        <v>0</v>
      </c>
      <c r="AH101" s="908" t="b">
        <f t="shared" si="41"/>
        <v>0</v>
      </c>
      <c r="AI101" s="815">
        <f t="shared" si="42"/>
        <v>119</v>
      </c>
      <c r="AJ101" s="867">
        <f t="shared" si="43"/>
        <v>30</v>
      </c>
      <c r="AK101" s="540">
        <f t="shared" si="44"/>
        <v>30</v>
      </c>
      <c r="AL101" s="909">
        <f t="shared" si="45"/>
        <v>0</v>
      </c>
      <c r="AN101" s="539">
        <f t="shared" si="53"/>
        <v>0</v>
      </c>
      <c r="AR101" s="941"/>
      <c r="AT101" s="317"/>
      <c r="AU101" s="317"/>
    </row>
    <row r="102" spans="2:47" ht="13.15" hidden="1" customHeight="1" x14ac:dyDescent="0.2">
      <c r="B102" s="316"/>
      <c r="C102" s="381"/>
      <c r="D102" s="895"/>
      <c r="E102" s="895"/>
      <c r="F102" s="390"/>
      <c r="G102" s="896"/>
      <c r="H102" s="33"/>
      <c r="I102" s="897"/>
      <c r="J102" s="898"/>
      <c r="K102" s="334"/>
      <c r="L102" s="1140"/>
      <c r="M102" s="1140"/>
      <c r="N102" s="899" t="str">
        <f t="shared" si="46"/>
        <v/>
      </c>
      <c r="O102" s="900" t="str">
        <f t="shared" si="47"/>
        <v/>
      </c>
      <c r="P102" s="901" t="str">
        <f t="shared" si="48"/>
        <v/>
      </c>
      <c r="Q102" s="568" t="str">
        <f t="shared" si="33"/>
        <v/>
      </c>
      <c r="R102" s="902" t="str">
        <f t="shared" si="49"/>
        <v/>
      </c>
      <c r="S102" s="903">
        <f t="shared" si="34"/>
        <v>0</v>
      </c>
      <c r="T102" s="334"/>
      <c r="U102" s="386"/>
      <c r="X102" s="887" t="str">
        <f t="shared" si="35"/>
        <v/>
      </c>
      <c r="Y102" s="904">
        <f t="shared" si="36"/>
        <v>0.6</v>
      </c>
      <c r="Z102" s="905" t="e">
        <f t="shared" si="50"/>
        <v>#VALUE!</v>
      </c>
      <c r="AA102" s="905" t="e">
        <f t="shared" si="51"/>
        <v>#VALUE!</v>
      </c>
      <c r="AB102" s="905" t="e">
        <f t="shared" si="52"/>
        <v>#VALUE!</v>
      </c>
      <c r="AC102" s="906" t="e">
        <f t="shared" si="37"/>
        <v>#VALUE!</v>
      </c>
      <c r="AD102" s="907">
        <f t="shared" si="38"/>
        <v>0</v>
      </c>
      <c r="AE102" s="904">
        <f>IF(H102&gt;8,tab!C$194,tab!C$197)</f>
        <v>0.4</v>
      </c>
      <c r="AF102" s="907">
        <f t="shared" si="39"/>
        <v>0</v>
      </c>
      <c r="AG102" s="887">
        <f t="shared" si="40"/>
        <v>0</v>
      </c>
      <c r="AH102" s="908" t="b">
        <f t="shared" si="41"/>
        <v>0</v>
      </c>
      <c r="AI102" s="815">
        <f t="shared" si="42"/>
        <v>119</v>
      </c>
      <c r="AJ102" s="867">
        <f t="shared" si="43"/>
        <v>30</v>
      </c>
      <c r="AK102" s="540">
        <f t="shared" si="44"/>
        <v>30</v>
      </c>
      <c r="AL102" s="909">
        <f t="shared" si="45"/>
        <v>0</v>
      </c>
      <c r="AN102" s="539">
        <f t="shared" si="53"/>
        <v>0</v>
      </c>
      <c r="AR102" s="941"/>
      <c r="AT102" s="317"/>
      <c r="AU102" s="317"/>
    </row>
    <row r="103" spans="2:47" ht="13.15" hidden="1" customHeight="1" x14ac:dyDescent="0.2">
      <c r="B103" s="316"/>
      <c r="C103" s="381"/>
      <c r="D103" s="895"/>
      <c r="E103" s="895"/>
      <c r="F103" s="390"/>
      <c r="G103" s="896"/>
      <c r="H103" s="33"/>
      <c r="I103" s="897"/>
      <c r="J103" s="898"/>
      <c r="K103" s="334"/>
      <c r="L103" s="1140"/>
      <c r="M103" s="1140"/>
      <c r="N103" s="899" t="str">
        <f t="shared" si="46"/>
        <v/>
      </c>
      <c r="O103" s="900" t="str">
        <f t="shared" si="47"/>
        <v/>
      </c>
      <c r="P103" s="901" t="str">
        <f t="shared" si="48"/>
        <v/>
      </c>
      <c r="Q103" s="568" t="str">
        <f t="shared" si="33"/>
        <v/>
      </c>
      <c r="R103" s="902" t="str">
        <f t="shared" si="49"/>
        <v/>
      </c>
      <c r="S103" s="903">
        <f t="shared" si="34"/>
        <v>0</v>
      </c>
      <c r="T103" s="334"/>
      <c r="U103" s="386"/>
      <c r="X103" s="887" t="str">
        <f t="shared" si="35"/>
        <v/>
      </c>
      <c r="Y103" s="904">
        <f t="shared" si="36"/>
        <v>0.6</v>
      </c>
      <c r="Z103" s="905" t="e">
        <f t="shared" si="50"/>
        <v>#VALUE!</v>
      </c>
      <c r="AA103" s="905" t="e">
        <f t="shared" si="51"/>
        <v>#VALUE!</v>
      </c>
      <c r="AB103" s="905" t="e">
        <f t="shared" si="52"/>
        <v>#VALUE!</v>
      </c>
      <c r="AC103" s="906" t="e">
        <f t="shared" si="37"/>
        <v>#VALUE!</v>
      </c>
      <c r="AD103" s="907">
        <f t="shared" si="38"/>
        <v>0</v>
      </c>
      <c r="AE103" s="904">
        <f>IF(H103&gt;8,tab!C$194,tab!C$197)</f>
        <v>0.4</v>
      </c>
      <c r="AF103" s="907">
        <f t="shared" si="39"/>
        <v>0</v>
      </c>
      <c r="AG103" s="887">
        <f t="shared" si="40"/>
        <v>0</v>
      </c>
      <c r="AH103" s="908" t="b">
        <f t="shared" si="41"/>
        <v>0</v>
      </c>
      <c r="AI103" s="815">
        <f t="shared" si="42"/>
        <v>119</v>
      </c>
      <c r="AJ103" s="867">
        <f t="shared" si="43"/>
        <v>30</v>
      </c>
      <c r="AK103" s="540">
        <f t="shared" si="44"/>
        <v>30</v>
      </c>
      <c r="AL103" s="909">
        <f t="shared" si="45"/>
        <v>0</v>
      </c>
      <c r="AN103" s="539">
        <f t="shared" si="53"/>
        <v>0</v>
      </c>
      <c r="AR103" s="941"/>
      <c r="AT103" s="317"/>
      <c r="AU103" s="317"/>
    </row>
    <row r="104" spans="2:47" ht="13.15" hidden="1" customHeight="1" x14ac:dyDescent="0.2">
      <c r="B104" s="316"/>
      <c r="C104" s="381"/>
      <c r="D104" s="895"/>
      <c r="E104" s="895"/>
      <c r="F104" s="390"/>
      <c r="G104" s="896"/>
      <c r="H104" s="33"/>
      <c r="I104" s="897"/>
      <c r="J104" s="898"/>
      <c r="K104" s="334"/>
      <c r="L104" s="1140"/>
      <c r="M104" s="1140"/>
      <c r="N104" s="899" t="str">
        <f t="shared" si="46"/>
        <v/>
      </c>
      <c r="O104" s="900" t="str">
        <f t="shared" si="47"/>
        <v/>
      </c>
      <c r="P104" s="901" t="str">
        <f t="shared" si="48"/>
        <v/>
      </c>
      <c r="Q104" s="568" t="str">
        <f t="shared" si="33"/>
        <v/>
      </c>
      <c r="R104" s="902" t="str">
        <f t="shared" si="49"/>
        <v/>
      </c>
      <c r="S104" s="903">
        <f t="shared" si="34"/>
        <v>0</v>
      </c>
      <c r="T104" s="334"/>
      <c r="U104" s="386"/>
      <c r="X104" s="887" t="str">
        <f t="shared" si="35"/>
        <v/>
      </c>
      <c r="Y104" s="904">
        <f t="shared" si="36"/>
        <v>0.6</v>
      </c>
      <c r="Z104" s="905" t="e">
        <f t="shared" si="50"/>
        <v>#VALUE!</v>
      </c>
      <c r="AA104" s="905" t="e">
        <f t="shared" si="51"/>
        <v>#VALUE!</v>
      </c>
      <c r="AB104" s="905" t="e">
        <f t="shared" si="52"/>
        <v>#VALUE!</v>
      </c>
      <c r="AC104" s="906" t="e">
        <f t="shared" si="37"/>
        <v>#VALUE!</v>
      </c>
      <c r="AD104" s="907">
        <f t="shared" si="38"/>
        <v>0</v>
      </c>
      <c r="AE104" s="904">
        <f>IF(H104&gt;8,tab!C$194,tab!C$197)</f>
        <v>0.4</v>
      </c>
      <c r="AF104" s="907">
        <f t="shared" si="39"/>
        <v>0</v>
      </c>
      <c r="AG104" s="887">
        <f t="shared" si="40"/>
        <v>0</v>
      </c>
      <c r="AH104" s="908" t="b">
        <f t="shared" si="41"/>
        <v>0</v>
      </c>
      <c r="AI104" s="815">
        <f t="shared" si="42"/>
        <v>119</v>
      </c>
      <c r="AJ104" s="867">
        <f t="shared" si="43"/>
        <v>30</v>
      </c>
      <c r="AK104" s="540">
        <f t="shared" si="44"/>
        <v>30</v>
      </c>
      <c r="AL104" s="909">
        <f t="shared" si="45"/>
        <v>0</v>
      </c>
      <c r="AN104" s="539">
        <f t="shared" si="53"/>
        <v>0</v>
      </c>
      <c r="AR104" s="941"/>
      <c r="AT104" s="317"/>
      <c r="AU104" s="317"/>
    </row>
    <row r="105" spans="2:47" ht="13.15" hidden="1" customHeight="1" x14ac:dyDescent="0.2">
      <c r="B105" s="316"/>
      <c r="C105" s="381"/>
      <c r="D105" s="895"/>
      <c r="E105" s="895"/>
      <c r="F105" s="390"/>
      <c r="G105" s="896"/>
      <c r="H105" s="33"/>
      <c r="I105" s="897"/>
      <c r="J105" s="898"/>
      <c r="K105" s="334"/>
      <c r="L105" s="1140"/>
      <c r="M105" s="1140"/>
      <c r="N105" s="899" t="str">
        <f t="shared" si="46"/>
        <v/>
      </c>
      <c r="O105" s="900" t="str">
        <f t="shared" si="47"/>
        <v/>
      </c>
      <c r="P105" s="901" t="str">
        <f t="shared" si="48"/>
        <v/>
      </c>
      <c r="Q105" s="568" t="str">
        <f t="shared" si="33"/>
        <v/>
      </c>
      <c r="R105" s="902" t="str">
        <f t="shared" si="49"/>
        <v/>
      </c>
      <c r="S105" s="903">
        <f t="shared" si="34"/>
        <v>0</v>
      </c>
      <c r="T105" s="334"/>
      <c r="U105" s="386"/>
      <c r="X105" s="887" t="str">
        <f t="shared" si="35"/>
        <v/>
      </c>
      <c r="Y105" s="904">
        <f t="shared" si="36"/>
        <v>0.6</v>
      </c>
      <c r="Z105" s="905" t="e">
        <f t="shared" si="50"/>
        <v>#VALUE!</v>
      </c>
      <c r="AA105" s="905" t="e">
        <f t="shared" si="51"/>
        <v>#VALUE!</v>
      </c>
      <c r="AB105" s="905" t="e">
        <f t="shared" si="52"/>
        <v>#VALUE!</v>
      </c>
      <c r="AC105" s="906" t="e">
        <f t="shared" si="37"/>
        <v>#VALUE!</v>
      </c>
      <c r="AD105" s="907">
        <f t="shared" si="38"/>
        <v>0</v>
      </c>
      <c r="AE105" s="904">
        <f>IF(H105&gt;8,tab!C$194,tab!C$197)</f>
        <v>0.4</v>
      </c>
      <c r="AF105" s="907">
        <f t="shared" si="39"/>
        <v>0</v>
      </c>
      <c r="AG105" s="887">
        <f t="shared" si="40"/>
        <v>0</v>
      </c>
      <c r="AH105" s="908" t="b">
        <f t="shared" si="41"/>
        <v>0</v>
      </c>
      <c r="AI105" s="815">
        <f t="shared" si="42"/>
        <v>119</v>
      </c>
      <c r="AJ105" s="867">
        <f t="shared" si="43"/>
        <v>30</v>
      </c>
      <c r="AK105" s="540">
        <f t="shared" si="44"/>
        <v>30</v>
      </c>
      <c r="AL105" s="909">
        <f t="shared" si="45"/>
        <v>0</v>
      </c>
      <c r="AN105" s="539">
        <f t="shared" si="53"/>
        <v>0</v>
      </c>
      <c r="AR105" s="941"/>
      <c r="AT105" s="317"/>
      <c r="AU105" s="317"/>
    </row>
    <row r="106" spans="2:47" ht="13.15" hidden="1" customHeight="1" x14ac:dyDescent="0.2">
      <c r="B106" s="316"/>
      <c r="C106" s="381"/>
      <c r="D106" s="895"/>
      <c r="E106" s="895"/>
      <c r="F106" s="390"/>
      <c r="G106" s="896"/>
      <c r="H106" s="33"/>
      <c r="I106" s="897"/>
      <c r="J106" s="898"/>
      <c r="K106" s="334"/>
      <c r="L106" s="1140"/>
      <c r="M106" s="1140"/>
      <c r="N106" s="899" t="str">
        <f t="shared" si="46"/>
        <v/>
      </c>
      <c r="O106" s="900" t="str">
        <f t="shared" si="47"/>
        <v/>
      </c>
      <c r="P106" s="901" t="str">
        <f t="shared" si="48"/>
        <v/>
      </c>
      <c r="Q106" s="568" t="str">
        <f t="shared" si="33"/>
        <v/>
      </c>
      <c r="R106" s="902" t="str">
        <f t="shared" si="49"/>
        <v/>
      </c>
      <c r="S106" s="903">
        <f t="shared" si="34"/>
        <v>0</v>
      </c>
      <c r="T106" s="334"/>
      <c r="U106" s="386"/>
      <c r="X106" s="887" t="str">
        <f t="shared" si="35"/>
        <v/>
      </c>
      <c r="Y106" s="904">
        <f t="shared" si="36"/>
        <v>0.6</v>
      </c>
      <c r="Z106" s="905" t="e">
        <f t="shared" si="50"/>
        <v>#VALUE!</v>
      </c>
      <c r="AA106" s="905" t="e">
        <f t="shared" si="51"/>
        <v>#VALUE!</v>
      </c>
      <c r="AB106" s="905" t="e">
        <f t="shared" si="52"/>
        <v>#VALUE!</v>
      </c>
      <c r="AC106" s="906" t="e">
        <f t="shared" si="37"/>
        <v>#VALUE!</v>
      </c>
      <c r="AD106" s="907">
        <f t="shared" si="38"/>
        <v>0</v>
      </c>
      <c r="AE106" s="904">
        <f>IF(H106&gt;8,tab!C$194,tab!C$197)</f>
        <v>0.4</v>
      </c>
      <c r="AF106" s="907">
        <f t="shared" si="39"/>
        <v>0</v>
      </c>
      <c r="AG106" s="887">
        <f t="shared" si="40"/>
        <v>0</v>
      </c>
      <c r="AH106" s="908" t="b">
        <f t="shared" si="41"/>
        <v>0</v>
      </c>
      <c r="AI106" s="815">
        <f t="shared" si="42"/>
        <v>119</v>
      </c>
      <c r="AJ106" s="867">
        <f t="shared" si="43"/>
        <v>30</v>
      </c>
      <c r="AK106" s="540">
        <f t="shared" si="44"/>
        <v>30</v>
      </c>
      <c r="AL106" s="909">
        <f t="shared" si="45"/>
        <v>0</v>
      </c>
      <c r="AN106" s="539">
        <f t="shared" si="53"/>
        <v>0</v>
      </c>
      <c r="AR106" s="941"/>
      <c r="AT106" s="317"/>
      <c r="AU106" s="317"/>
    </row>
    <row r="107" spans="2:47" ht="13.15" hidden="1" customHeight="1" x14ac:dyDescent="0.2">
      <c r="B107" s="316"/>
      <c r="C107" s="381"/>
      <c r="D107" s="895"/>
      <c r="E107" s="895"/>
      <c r="F107" s="390"/>
      <c r="G107" s="896"/>
      <c r="H107" s="33"/>
      <c r="I107" s="897"/>
      <c r="J107" s="898"/>
      <c r="K107" s="334"/>
      <c r="L107" s="1140"/>
      <c r="M107" s="1140"/>
      <c r="N107" s="899" t="str">
        <f t="shared" si="46"/>
        <v/>
      </c>
      <c r="O107" s="900" t="str">
        <f t="shared" si="47"/>
        <v/>
      </c>
      <c r="P107" s="901" t="str">
        <f t="shared" si="48"/>
        <v/>
      </c>
      <c r="Q107" s="568" t="str">
        <f t="shared" si="33"/>
        <v/>
      </c>
      <c r="R107" s="902" t="str">
        <f t="shared" si="49"/>
        <v/>
      </c>
      <c r="S107" s="903">
        <f t="shared" si="34"/>
        <v>0</v>
      </c>
      <c r="T107" s="334"/>
      <c r="U107" s="386"/>
      <c r="X107" s="887" t="str">
        <f t="shared" si="35"/>
        <v/>
      </c>
      <c r="Y107" s="904">
        <f t="shared" si="36"/>
        <v>0.6</v>
      </c>
      <c r="Z107" s="905" t="e">
        <f t="shared" si="50"/>
        <v>#VALUE!</v>
      </c>
      <c r="AA107" s="905" t="e">
        <f t="shared" si="51"/>
        <v>#VALUE!</v>
      </c>
      <c r="AB107" s="905" t="e">
        <f t="shared" si="52"/>
        <v>#VALUE!</v>
      </c>
      <c r="AC107" s="906" t="e">
        <f t="shared" si="37"/>
        <v>#VALUE!</v>
      </c>
      <c r="AD107" s="907">
        <f t="shared" si="38"/>
        <v>0</v>
      </c>
      <c r="AE107" s="904">
        <f>IF(H107&gt;8,tab!C$194,tab!C$197)</f>
        <v>0.4</v>
      </c>
      <c r="AF107" s="907">
        <f t="shared" si="39"/>
        <v>0</v>
      </c>
      <c r="AG107" s="887">
        <f t="shared" si="40"/>
        <v>0</v>
      </c>
      <c r="AH107" s="908" t="b">
        <f t="shared" si="41"/>
        <v>0</v>
      </c>
      <c r="AI107" s="815">
        <f t="shared" si="42"/>
        <v>119</v>
      </c>
      <c r="AJ107" s="867">
        <f t="shared" si="43"/>
        <v>30</v>
      </c>
      <c r="AK107" s="540">
        <f t="shared" si="44"/>
        <v>30</v>
      </c>
      <c r="AL107" s="909">
        <f t="shared" si="45"/>
        <v>0</v>
      </c>
      <c r="AN107" s="539">
        <f t="shared" si="53"/>
        <v>0</v>
      </c>
      <c r="AR107" s="941"/>
      <c r="AT107" s="317"/>
      <c r="AU107" s="317"/>
    </row>
    <row r="108" spans="2:47" ht="13.15" hidden="1" customHeight="1" x14ac:dyDescent="0.2">
      <c r="B108" s="316"/>
      <c r="C108" s="381"/>
      <c r="D108" s="895"/>
      <c r="E108" s="895"/>
      <c r="F108" s="390"/>
      <c r="G108" s="896"/>
      <c r="H108" s="33"/>
      <c r="I108" s="897"/>
      <c r="J108" s="898"/>
      <c r="K108" s="334"/>
      <c r="L108" s="1140"/>
      <c r="M108" s="1140"/>
      <c r="N108" s="899" t="str">
        <f t="shared" si="46"/>
        <v/>
      </c>
      <c r="O108" s="900" t="str">
        <f t="shared" si="47"/>
        <v/>
      </c>
      <c r="P108" s="901" t="str">
        <f t="shared" si="48"/>
        <v/>
      </c>
      <c r="Q108" s="568" t="str">
        <f t="shared" si="33"/>
        <v/>
      </c>
      <c r="R108" s="902" t="str">
        <f t="shared" si="49"/>
        <v/>
      </c>
      <c r="S108" s="903">
        <f t="shared" si="34"/>
        <v>0</v>
      </c>
      <c r="T108" s="334"/>
      <c r="U108" s="386"/>
      <c r="X108" s="887" t="str">
        <f t="shared" si="35"/>
        <v/>
      </c>
      <c r="Y108" s="904">
        <f t="shared" si="36"/>
        <v>0.6</v>
      </c>
      <c r="Z108" s="905" t="e">
        <f t="shared" si="50"/>
        <v>#VALUE!</v>
      </c>
      <c r="AA108" s="905" t="e">
        <f t="shared" si="51"/>
        <v>#VALUE!</v>
      </c>
      <c r="AB108" s="905" t="e">
        <f t="shared" si="52"/>
        <v>#VALUE!</v>
      </c>
      <c r="AC108" s="906" t="e">
        <f t="shared" si="37"/>
        <v>#VALUE!</v>
      </c>
      <c r="AD108" s="907">
        <f t="shared" si="38"/>
        <v>0</v>
      </c>
      <c r="AE108" s="904">
        <f>IF(H108&gt;8,tab!C$194,tab!C$197)</f>
        <v>0.4</v>
      </c>
      <c r="AF108" s="907">
        <f t="shared" si="39"/>
        <v>0</v>
      </c>
      <c r="AG108" s="887">
        <f t="shared" si="40"/>
        <v>0</v>
      </c>
      <c r="AH108" s="908" t="b">
        <f t="shared" si="41"/>
        <v>0</v>
      </c>
      <c r="AI108" s="815">
        <f t="shared" si="42"/>
        <v>119</v>
      </c>
      <c r="AJ108" s="867">
        <f t="shared" si="43"/>
        <v>30</v>
      </c>
      <c r="AK108" s="540">
        <f t="shared" si="44"/>
        <v>30</v>
      </c>
      <c r="AL108" s="909">
        <f t="shared" si="45"/>
        <v>0</v>
      </c>
      <c r="AN108" s="539">
        <f t="shared" si="53"/>
        <v>0</v>
      </c>
      <c r="AR108" s="941"/>
      <c r="AT108" s="317"/>
      <c r="AU108" s="317"/>
    </row>
    <row r="109" spans="2:47" ht="13.15" hidden="1" customHeight="1" x14ac:dyDescent="0.2">
      <c r="B109" s="316"/>
      <c r="C109" s="381"/>
      <c r="D109" s="895"/>
      <c r="E109" s="895"/>
      <c r="F109" s="390"/>
      <c r="G109" s="896"/>
      <c r="H109" s="33"/>
      <c r="I109" s="897"/>
      <c r="J109" s="898"/>
      <c r="K109" s="334"/>
      <c r="L109" s="1140"/>
      <c r="M109" s="1140"/>
      <c r="N109" s="899" t="str">
        <f t="shared" si="46"/>
        <v/>
      </c>
      <c r="O109" s="900" t="str">
        <f t="shared" si="47"/>
        <v/>
      </c>
      <c r="P109" s="901" t="str">
        <f t="shared" si="48"/>
        <v/>
      </c>
      <c r="Q109" s="568" t="str">
        <f t="shared" si="33"/>
        <v/>
      </c>
      <c r="R109" s="902" t="str">
        <f t="shared" si="49"/>
        <v/>
      </c>
      <c r="S109" s="903">
        <f t="shared" si="34"/>
        <v>0</v>
      </c>
      <c r="T109" s="334"/>
      <c r="U109" s="386"/>
      <c r="X109" s="887" t="str">
        <f t="shared" si="35"/>
        <v/>
      </c>
      <c r="Y109" s="904">
        <f t="shared" si="36"/>
        <v>0.6</v>
      </c>
      <c r="Z109" s="905" t="e">
        <f t="shared" si="50"/>
        <v>#VALUE!</v>
      </c>
      <c r="AA109" s="905" t="e">
        <f t="shared" si="51"/>
        <v>#VALUE!</v>
      </c>
      <c r="AB109" s="905" t="e">
        <f t="shared" si="52"/>
        <v>#VALUE!</v>
      </c>
      <c r="AC109" s="906" t="e">
        <f t="shared" si="37"/>
        <v>#VALUE!</v>
      </c>
      <c r="AD109" s="907">
        <f t="shared" si="38"/>
        <v>0</v>
      </c>
      <c r="AE109" s="904">
        <f>IF(H109&gt;8,tab!C$194,tab!C$197)</f>
        <v>0.4</v>
      </c>
      <c r="AF109" s="907">
        <f t="shared" si="39"/>
        <v>0</v>
      </c>
      <c r="AG109" s="887">
        <f t="shared" si="40"/>
        <v>0</v>
      </c>
      <c r="AH109" s="908" t="b">
        <f t="shared" si="41"/>
        <v>0</v>
      </c>
      <c r="AI109" s="815">
        <f t="shared" si="42"/>
        <v>119</v>
      </c>
      <c r="AJ109" s="867">
        <f t="shared" si="43"/>
        <v>30</v>
      </c>
      <c r="AK109" s="540">
        <f t="shared" si="44"/>
        <v>30</v>
      </c>
      <c r="AL109" s="909">
        <f t="shared" si="45"/>
        <v>0</v>
      </c>
      <c r="AN109" s="539">
        <f t="shared" si="53"/>
        <v>0</v>
      </c>
      <c r="AR109" s="941"/>
      <c r="AT109" s="317"/>
      <c r="AU109" s="317"/>
    </row>
    <row r="110" spans="2:47" ht="13.15" hidden="1" customHeight="1" x14ac:dyDescent="0.2">
      <c r="B110" s="316"/>
      <c r="C110" s="381"/>
      <c r="D110" s="895"/>
      <c r="E110" s="895"/>
      <c r="F110" s="390"/>
      <c r="G110" s="896"/>
      <c r="H110" s="33"/>
      <c r="I110" s="897"/>
      <c r="J110" s="898"/>
      <c r="K110" s="334"/>
      <c r="L110" s="1140"/>
      <c r="M110" s="1140"/>
      <c r="N110" s="899" t="str">
        <f t="shared" si="46"/>
        <v/>
      </c>
      <c r="O110" s="900" t="str">
        <f t="shared" si="47"/>
        <v/>
      </c>
      <c r="P110" s="901" t="str">
        <f t="shared" si="48"/>
        <v/>
      </c>
      <c r="Q110" s="568" t="str">
        <f t="shared" si="33"/>
        <v/>
      </c>
      <c r="R110" s="902" t="str">
        <f t="shared" si="49"/>
        <v/>
      </c>
      <c r="S110" s="903">
        <f t="shared" si="34"/>
        <v>0</v>
      </c>
      <c r="T110" s="334"/>
      <c r="U110" s="386"/>
      <c r="X110" s="887" t="str">
        <f t="shared" si="35"/>
        <v/>
      </c>
      <c r="Y110" s="904">
        <f t="shared" si="36"/>
        <v>0.6</v>
      </c>
      <c r="Z110" s="905" t="e">
        <f t="shared" si="50"/>
        <v>#VALUE!</v>
      </c>
      <c r="AA110" s="905" t="e">
        <f t="shared" si="51"/>
        <v>#VALUE!</v>
      </c>
      <c r="AB110" s="905" t="e">
        <f t="shared" si="52"/>
        <v>#VALUE!</v>
      </c>
      <c r="AC110" s="906" t="e">
        <f t="shared" si="37"/>
        <v>#VALUE!</v>
      </c>
      <c r="AD110" s="907">
        <f t="shared" si="38"/>
        <v>0</v>
      </c>
      <c r="AE110" s="904">
        <f>IF(H110&gt;8,tab!C$194,tab!C$197)</f>
        <v>0.4</v>
      </c>
      <c r="AF110" s="907">
        <f t="shared" si="39"/>
        <v>0</v>
      </c>
      <c r="AG110" s="887">
        <f t="shared" si="40"/>
        <v>0</v>
      </c>
      <c r="AH110" s="908" t="b">
        <f t="shared" si="41"/>
        <v>0</v>
      </c>
      <c r="AI110" s="815">
        <f t="shared" si="42"/>
        <v>119</v>
      </c>
      <c r="AJ110" s="867">
        <f t="shared" si="43"/>
        <v>30</v>
      </c>
      <c r="AK110" s="540">
        <f t="shared" si="44"/>
        <v>30</v>
      </c>
      <c r="AL110" s="909">
        <f t="shared" si="45"/>
        <v>0</v>
      </c>
      <c r="AN110" s="539">
        <f t="shared" si="53"/>
        <v>0</v>
      </c>
      <c r="AR110" s="941"/>
      <c r="AT110" s="317"/>
      <c r="AU110" s="317"/>
    </row>
    <row r="111" spans="2:47" ht="13.15" hidden="1" customHeight="1" x14ac:dyDescent="0.2">
      <c r="B111" s="316"/>
      <c r="C111" s="381"/>
      <c r="D111" s="895"/>
      <c r="E111" s="895"/>
      <c r="F111" s="390"/>
      <c r="G111" s="896"/>
      <c r="H111" s="33"/>
      <c r="I111" s="897"/>
      <c r="J111" s="898"/>
      <c r="K111" s="334"/>
      <c r="L111" s="1140"/>
      <c r="M111" s="1140"/>
      <c r="N111" s="899" t="str">
        <f t="shared" si="46"/>
        <v/>
      </c>
      <c r="O111" s="900" t="str">
        <f t="shared" si="47"/>
        <v/>
      </c>
      <c r="P111" s="901" t="str">
        <f t="shared" si="48"/>
        <v/>
      </c>
      <c r="Q111" s="568" t="str">
        <f t="shared" si="33"/>
        <v/>
      </c>
      <c r="R111" s="902" t="str">
        <f t="shared" si="49"/>
        <v/>
      </c>
      <c r="S111" s="903">
        <f t="shared" si="34"/>
        <v>0</v>
      </c>
      <c r="T111" s="334"/>
      <c r="U111" s="386"/>
      <c r="X111" s="887" t="str">
        <f t="shared" si="35"/>
        <v/>
      </c>
      <c r="Y111" s="904">
        <f t="shared" si="36"/>
        <v>0.6</v>
      </c>
      <c r="Z111" s="905" t="e">
        <f t="shared" si="50"/>
        <v>#VALUE!</v>
      </c>
      <c r="AA111" s="905" t="e">
        <f t="shared" si="51"/>
        <v>#VALUE!</v>
      </c>
      <c r="AB111" s="905" t="e">
        <f t="shared" si="52"/>
        <v>#VALUE!</v>
      </c>
      <c r="AC111" s="906" t="e">
        <f t="shared" si="37"/>
        <v>#VALUE!</v>
      </c>
      <c r="AD111" s="907">
        <f t="shared" si="38"/>
        <v>0</v>
      </c>
      <c r="AE111" s="904">
        <f>IF(H111&gt;8,tab!C$194,tab!C$197)</f>
        <v>0.4</v>
      </c>
      <c r="AF111" s="907">
        <f t="shared" si="39"/>
        <v>0</v>
      </c>
      <c r="AG111" s="887">
        <f t="shared" si="40"/>
        <v>0</v>
      </c>
      <c r="AH111" s="908" t="b">
        <f t="shared" si="41"/>
        <v>0</v>
      </c>
      <c r="AI111" s="815">
        <f t="shared" si="42"/>
        <v>119</v>
      </c>
      <c r="AJ111" s="867">
        <f t="shared" si="43"/>
        <v>30</v>
      </c>
      <c r="AK111" s="540">
        <f t="shared" si="44"/>
        <v>30</v>
      </c>
      <c r="AL111" s="909">
        <f t="shared" si="45"/>
        <v>0</v>
      </c>
      <c r="AN111" s="539">
        <f t="shared" si="53"/>
        <v>0</v>
      </c>
      <c r="AR111" s="941"/>
      <c r="AT111" s="317"/>
      <c r="AU111" s="317"/>
    </row>
    <row r="112" spans="2:47" ht="13.15" hidden="1" customHeight="1" x14ac:dyDescent="0.2">
      <c r="B112" s="316"/>
      <c r="C112" s="381"/>
      <c r="D112" s="895"/>
      <c r="E112" s="895"/>
      <c r="F112" s="390"/>
      <c r="G112" s="896"/>
      <c r="H112" s="33"/>
      <c r="I112" s="897"/>
      <c r="J112" s="898"/>
      <c r="K112" s="334"/>
      <c r="L112" s="1140"/>
      <c r="M112" s="1140"/>
      <c r="N112" s="899" t="str">
        <f t="shared" si="46"/>
        <v/>
      </c>
      <c r="O112" s="900" t="str">
        <f t="shared" si="47"/>
        <v/>
      </c>
      <c r="P112" s="901" t="str">
        <f t="shared" si="48"/>
        <v/>
      </c>
      <c r="Q112" s="568" t="str">
        <f>IF(J112="","",(1659*J112-P112)*AA112)</f>
        <v/>
      </c>
      <c r="R112" s="902" t="str">
        <f t="shared" si="49"/>
        <v/>
      </c>
      <c r="S112" s="903">
        <f>IF(E112=0,0,SUM(Q112:R112))</f>
        <v>0</v>
      </c>
      <c r="T112" s="334"/>
      <c r="U112" s="386"/>
      <c r="X112" s="887" t="str">
        <f t="shared" si="35"/>
        <v/>
      </c>
      <c r="Y112" s="904">
        <f t="shared" si="36"/>
        <v>0.6</v>
      </c>
      <c r="Z112" s="905" t="e">
        <f t="shared" si="50"/>
        <v>#VALUE!</v>
      </c>
      <c r="AA112" s="905" t="e">
        <f t="shared" si="51"/>
        <v>#VALUE!</v>
      </c>
      <c r="AB112" s="905" t="e">
        <f t="shared" si="52"/>
        <v>#VALUE!</v>
      </c>
      <c r="AC112" s="906" t="e">
        <f t="shared" si="37"/>
        <v>#VALUE!</v>
      </c>
      <c r="AD112" s="907">
        <f t="shared" si="38"/>
        <v>0</v>
      </c>
      <c r="AE112" s="904">
        <f>IF(H112&gt;8,tab!C$194,tab!C$197)</f>
        <v>0.4</v>
      </c>
      <c r="AF112" s="907">
        <f t="shared" si="39"/>
        <v>0</v>
      </c>
      <c r="AG112" s="887">
        <f>IF(AF112=25,(X112*1.08*J112/2),IF(AF112=40,(Y112*1.08*J112),IF(AF112=0,0)))</f>
        <v>0</v>
      </c>
      <c r="AH112" s="908" t="b">
        <f t="shared" si="41"/>
        <v>0</v>
      </c>
      <c r="AI112" s="815">
        <f>YEAR($E$9)-YEAR(G112)-AH112</f>
        <v>119</v>
      </c>
      <c r="AJ112" s="867">
        <f>IF((G112=""),30,AI112)</f>
        <v>30</v>
      </c>
      <c r="AK112" s="540">
        <f t="shared" si="44"/>
        <v>30</v>
      </c>
      <c r="AL112" s="909">
        <f>(AK112*(SUM(J112:J112)))</f>
        <v>0</v>
      </c>
      <c r="AN112" s="539">
        <f t="shared" si="53"/>
        <v>0</v>
      </c>
      <c r="AR112" s="941"/>
      <c r="AT112" s="317"/>
      <c r="AU112" s="317"/>
    </row>
    <row r="113" spans="2:49" ht="13.15" hidden="1" customHeight="1" x14ac:dyDescent="0.2">
      <c r="B113" s="316"/>
      <c r="C113" s="381"/>
      <c r="D113" s="895"/>
      <c r="E113" s="895"/>
      <c r="F113" s="390"/>
      <c r="G113" s="896"/>
      <c r="H113" s="33"/>
      <c r="I113" s="897"/>
      <c r="J113" s="898"/>
      <c r="K113" s="334"/>
      <c r="L113" s="1140"/>
      <c r="M113" s="1140"/>
      <c r="N113" s="899" t="str">
        <f t="shared" si="46"/>
        <v/>
      </c>
      <c r="O113" s="900" t="str">
        <f t="shared" si="47"/>
        <v/>
      </c>
      <c r="P113" s="901" t="str">
        <f t="shared" si="48"/>
        <v/>
      </c>
      <c r="Q113" s="568" t="str">
        <f>IF(J113="","",(1659*J113-P113)*AA113)</f>
        <v/>
      </c>
      <c r="R113" s="902" t="str">
        <f t="shared" si="49"/>
        <v/>
      </c>
      <c r="S113" s="903">
        <f>IF(E113=0,0,SUM(Q113:R113))</f>
        <v>0</v>
      </c>
      <c r="T113" s="334"/>
      <c r="U113" s="386"/>
      <c r="X113" s="887" t="str">
        <f t="shared" si="35"/>
        <v/>
      </c>
      <c r="Y113" s="904">
        <f t="shared" si="36"/>
        <v>0.6</v>
      </c>
      <c r="Z113" s="905" t="e">
        <f t="shared" si="50"/>
        <v>#VALUE!</v>
      </c>
      <c r="AA113" s="905" t="e">
        <f t="shared" si="51"/>
        <v>#VALUE!</v>
      </c>
      <c r="AB113" s="905" t="e">
        <f t="shared" si="52"/>
        <v>#VALUE!</v>
      </c>
      <c r="AC113" s="906" t="e">
        <f t="shared" si="37"/>
        <v>#VALUE!</v>
      </c>
      <c r="AD113" s="907">
        <f t="shared" si="38"/>
        <v>0</v>
      </c>
      <c r="AE113" s="904">
        <f>IF(H113&gt;8,tab!C$194,tab!C$197)</f>
        <v>0.4</v>
      </c>
      <c r="AF113" s="907">
        <f t="shared" si="39"/>
        <v>0</v>
      </c>
      <c r="AG113" s="887">
        <f>IF(AF113=25,(X113*1.08*J113/2),IF(AF113=40,(Y113*1.08*J113),IF(AF113=0,0)))</f>
        <v>0</v>
      </c>
      <c r="AH113" s="908" t="b">
        <f t="shared" si="41"/>
        <v>0</v>
      </c>
      <c r="AI113" s="815">
        <f>YEAR($E$9)-YEAR(G113)-AH113</f>
        <v>119</v>
      </c>
      <c r="AJ113" s="867">
        <f>IF((G113=""),30,AI113)</f>
        <v>30</v>
      </c>
      <c r="AK113" s="540">
        <f t="shared" si="44"/>
        <v>30</v>
      </c>
      <c r="AL113" s="909">
        <f>(AK113*(SUM(J113:J113)))</f>
        <v>0</v>
      </c>
      <c r="AN113" s="539">
        <f t="shared" si="53"/>
        <v>0</v>
      </c>
      <c r="AR113" s="941"/>
    </row>
    <row r="114" spans="2:49" ht="13.15" hidden="1" customHeight="1" x14ac:dyDescent="0.2">
      <c r="B114" s="316"/>
      <c r="C114" s="381"/>
      <c r="D114" s="895"/>
      <c r="E114" s="895"/>
      <c r="F114" s="390"/>
      <c r="G114" s="896"/>
      <c r="H114" s="33"/>
      <c r="I114" s="897"/>
      <c r="J114" s="898"/>
      <c r="K114" s="334"/>
      <c r="L114" s="1140"/>
      <c r="M114" s="1140"/>
      <c r="N114" s="899" t="str">
        <f t="shared" si="46"/>
        <v/>
      </c>
      <c r="O114" s="900" t="str">
        <f t="shared" si="47"/>
        <v/>
      </c>
      <c r="P114" s="901" t="str">
        <f t="shared" si="48"/>
        <v/>
      </c>
      <c r="Q114" s="568" t="str">
        <f>IF(J114="","",(1659*J114-P114)*AA114)</f>
        <v/>
      </c>
      <c r="R114" s="902" t="str">
        <f t="shared" si="49"/>
        <v/>
      </c>
      <c r="S114" s="903">
        <f>IF(E114=0,0,SUM(Q114:R114))</f>
        <v>0</v>
      </c>
      <c r="T114" s="334"/>
      <c r="U114" s="386"/>
      <c r="X114" s="887" t="str">
        <f t="shared" si="35"/>
        <v/>
      </c>
      <c r="Y114" s="904">
        <f t="shared" si="36"/>
        <v>0.6</v>
      </c>
      <c r="Z114" s="905" t="e">
        <f t="shared" si="50"/>
        <v>#VALUE!</v>
      </c>
      <c r="AA114" s="905" t="e">
        <f t="shared" si="51"/>
        <v>#VALUE!</v>
      </c>
      <c r="AB114" s="905" t="e">
        <f t="shared" si="52"/>
        <v>#VALUE!</v>
      </c>
      <c r="AC114" s="906" t="e">
        <f t="shared" si="37"/>
        <v>#VALUE!</v>
      </c>
      <c r="AD114" s="907">
        <f t="shared" si="38"/>
        <v>0</v>
      </c>
      <c r="AE114" s="904">
        <f>IF(H114&gt;8,tab!C$194,tab!C$197)</f>
        <v>0.4</v>
      </c>
      <c r="AF114" s="907">
        <f t="shared" si="39"/>
        <v>0</v>
      </c>
      <c r="AG114" s="887">
        <f>IF(AF114=25,(X114*1.08*J114/2),IF(AF114=40,(Y114*1.08*J114),IF(AF114=0,0)))</f>
        <v>0</v>
      </c>
      <c r="AH114" s="908" t="b">
        <f t="shared" si="41"/>
        <v>0</v>
      </c>
      <c r="AI114" s="815">
        <f>YEAR($E$9)-YEAR(G114)-AH114</f>
        <v>119</v>
      </c>
      <c r="AJ114" s="867">
        <f>IF((G114=""),30,AI114)</f>
        <v>30</v>
      </c>
      <c r="AK114" s="540">
        <f t="shared" si="44"/>
        <v>30</v>
      </c>
      <c r="AL114" s="909">
        <f>(AK114*(SUM(J114:J114)))</f>
        <v>0</v>
      </c>
      <c r="AN114" s="539">
        <f t="shared" si="53"/>
        <v>0</v>
      </c>
      <c r="AR114" s="941"/>
    </row>
    <row r="115" spans="2:49" ht="13.15" hidden="1" customHeight="1" x14ac:dyDescent="0.2">
      <c r="B115" s="316"/>
      <c r="C115" s="381"/>
      <c r="D115" s="895"/>
      <c r="E115" s="895"/>
      <c r="F115" s="390"/>
      <c r="G115" s="896"/>
      <c r="H115" s="33"/>
      <c r="I115" s="897"/>
      <c r="J115" s="898"/>
      <c r="K115" s="334"/>
      <c r="L115" s="1140"/>
      <c r="M115" s="1140"/>
      <c r="N115" s="899" t="str">
        <f t="shared" si="46"/>
        <v/>
      </c>
      <c r="O115" s="900" t="str">
        <f t="shared" si="47"/>
        <v/>
      </c>
      <c r="P115" s="901" t="str">
        <f t="shared" si="48"/>
        <v/>
      </c>
      <c r="Q115" s="568" t="str">
        <f>IF(J115="","",(1659*J115-P115)*AA115)</f>
        <v/>
      </c>
      <c r="R115" s="902" t="str">
        <f t="shared" si="49"/>
        <v/>
      </c>
      <c r="S115" s="903">
        <f>IF(E115=0,0,SUM(Q115:R115))</f>
        <v>0</v>
      </c>
      <c r="T115" s="334"/>
      <c r="U115" s="386"/>
      <c r="X115" s="887" t="str">
        <f t="shared" si="35"/>
        <v/>
      </c>
      <c r="Y115" s="904">
        <f t="shared" si="36"/>
        <v>0.6</v>
      </c>
      <c r="Z115" s="905" t="e">
        <f t="shared" si="50"/>
        <v>#VALUE!</v>
      </c>
      <c r="AA115" s="905" t="e">
        <f t="shared" si="51"/>
        <v>#VALUE!</v>
      </c>
      <c r="AB115" s="905" t="e">
        <f t="shared" si="52"/>
        <v>#VALUE!</v>
      </c>
      <c r="AC115" s="906" t="e">
        <f t="shared" si="37"/>
        <v>#VALUE!</v>
      </c>
      <c r="AD115" s="907">
        <f t="shared" si="38"/>
        <v>0</v>
      </c>
      <c r="AE115" s="904">
        <f>IF(H115&gt;8,tab!C$194,tab!C$197)</f>
        <v>0.4</v>
      </c>
      <c r="AF115" s="907">
        <f t="shared" si="39"/>
        <v>0</v>
      </c>
      <c r="AG115" s="887">
        <f>IF(AF115=25,(X115*1.08*J115/2),IF(AF115=40,(Y115*1.08*J115),IF(AF115=0,0)))</f>
        <v>0</v>
      </c>
      <c r="AH115" s="908" t="b">
        <f t="shared" si="41"/>
        <v>0</v>
      </c>
      <c r="AI115" s="815">
        <f>YEAR($E$9)-YEAR(G115)-AH115</f>
        <v>119</v>
      </c>
      <c r="AJ115" s="867">
        <f>IF((G115=""),30,AI115)</f>
        <v>30</v>
      </c>
      <c r="AK115" s="540">
        <f t="shared" si="44"/>
        <v>30</v>
      </c>
      <c r="AL115" s="909">
        <f>(AK115*(SUM(J115:J115)))</f>
        <v>0</v>
      </c>
      <c r="AN115" s="539">
        <f t="shared" si="53"/>
        <v>0</v>
      </c>
      <c r="AR115" s="941"/>
    </row>
    <row r="116" spans="2:49" ht="13.15" hidden="1" customHeight="1" x14ac:dyDescent="0.2">
      <c r="B116" s="316"/>
      <c r="C116" s="381"/>
      <c r="D116" s="319"/>
      <c r="E116" s="342"/>
      <c r="F116" s="319"/>
      <c r="G116" s="910"/>
      <c r="H116" s="342"/>
      <c r="I116" s="911"/>
      <c r="J116" s="912">
        <f>SUM(J16:J115)</f>
        <v>1</v>
      </c>
      <c r="K116" s="319"/>
      <c r="L116" s="913">
        <f t="shared" ref="L116:S116" si="54">SUM(L16:L115)</f>
        <v>0</v>
      </c>
      <c r="M116" s="913">
        <f t="shared" si="54"/>
        <v>0</v>
      </c>
      <c r="N116" s="913">
        <f t="shared" si="54"/>
        <v>40</v>
      </c>
      <c r="O116" s="913">
        <f t="shared" si="54"/>
        <v>0</v>
      </c>
      <c r="P116" s="914">
        <f t="shared" si="54"/>
        <v>40</v>
      </c>
      <c r="Q116" s="571">
        <f t="shared" si="54"/>
        <v>66205.877275467166</v>
      </c>
      <c r="R116" s="915">
        <f t="shared" si="54"/>
        <v>1635.7227245328513</v>
      </c>
      <c r="S116" s="571">
        <f t="shared" si="54"/>
        <v>67841.60000000002</v>
      </c>
      <c r="T116" s="319"/>
      <c r="U116" s="386"/>
      <c r="AG116" s="575">
        <f>SUM(AG16:AG115)</f>
        <v>0</v>
      </c>
      <c r="AH116" s="563"/>
      <c r="AI116" s="563"/>
      <c r="AL116" s="909">
        <f>ROUND(SUM(AL16:AL115)/AN116,2)</f>
        <v>42</v>
      </c>
      <c r="AN116" s="539">
        <f>SUM(AN16:AN115)</f>
        <v>1</v>
      </c>
      <c r="AR116" s="941"/>
    </row>
    <row r="117" spans="2:49" ht="13.15" hidden="1" customHeight="1" x14ac:dyDescent="0.2">
      <c r="B117" s="316"/>
      <c r="C117" s="483"/>
      <c r="D117" s="916"/>
      <c r="E117" s="916"/>
      <c r="F117" s="916"/>
      <c r="G117" s="917"/>
      <c r="H117" s="373"/>
      <c r="I117" s="918"/>
      <c r="J117" s="919"/>
      <c r="K117" s="916"/>
      <c r="L117" s="918"/>
      <c r="M117" s="777"/>
      <c r="N117" s="777"/>
      <c r="O117" s="777"/>
      <c r="P117" s="920"/>
      <c r="Q117" s="553"/>
      <c r="R117" s="921"/>
      <c r="T117" s="916"/>
      <c r="U117" s="386"/>
      <c r="AR117" s="941"/>
    </row>
    <row r="118" spans="2:49" ht="13.15" hidden="1" customHeight="1" x14ac:dyDescent="0.2">
      <c r="B118" s="327"/>
      <c r="C118" s="352"/>
      <c r="D118" s="922"/>
      <c r="E118" s="922"/>
      <c r="F118" s="922"/>
      <c r="G118" s="923"/>
      <c r="H118" s="353"/>
      <c r="I118" s="924"/>
      <c r="J118" s="942"/>
      <c r="K118" s="922"/>
      <c r="L118" s="924"/>
      <c r="M118" s="943"/>
      <c r="N118" s="943"/>
      <c r="O118" s="943"/>
      <c r="P118" s="944"/>
      <c r="Q118" s="945"/>
      <c r="R118" s="353"/>
      <c r="S118" s="353"/>
      <c r="T118" s="922"/>
      <c r="U118" s="389"/>
    </row>
    <row r="119" spans="2:49" ht="13.15" hidden="1" customHeight="1" x14ac:dyDescent="0.2">
      <c r="H119" s="326"/>
      <c r="I119" s="863"/>
      <c r="K119" s="533"/>
      <c r="M119" s="947"/>
      <c r="N119" s="947"/>
      <c r="O119" s="947"/>
      <c r="P119" s="948"/>
      <c r="Q119" s="949"/>
      <c r="T119" s="533"/>
    </row>
    <row r="120" spans="2:49" ht="13.15" customHeight="1" x14ac:dyDescent="0.2">
      <c r="C120" s="317" t="s">
        <v>48</v>
      </c>
      <c r="E120" s="950" t="str">
        <f>tab!E2</f>
        <v>2020/21</v>
      </c>
      <c r="H120" s="326"/>
      <c r="I120" s="863"/>
      <c r="K120" s="533"/>
      <c r="M120" s="947"/>
      <c r="N120" s="947"/>
      <c r="O120" s="947"/>
      <c r="P120" s="948"/>
      <c r="Q120" s="949"/>
      <c r="T120" s="533"/>
    </row>
    <row r="121" spans="2:49" ht="13.15" customHeight="1" x14ac:dyDescent="0.2">
      <c r="C121" s="317" t="s">
        <v>125</v>
      </c>
      <c r="E121" s="950">
        <f>tab!F3</f>
        <v>44105</v>
      </c>
      <c r="H121" s="326"/>
      <c r="I121" s="863"/>
      <c r="K121" s="533"/>
      <c r="M121" s="947"/>
      <c r="N121" s="947"/>
      <c r="O121" s="947"/>
      <c r="P121" s="948"/>
      <c r="Q121" s="949"/>
      <c r="T121" s="533"/>
    </row>
    <row r="122" spans="2:49" ht="13.15" customHeight="1" x14ac:dyDescent="0.2">
      <c r="D122" s="343"/>
      <c r="E122" s="343"/>
      <c r="F122" s="343"/>
      <c r="G122" s="951"/>
      <c r="H122" s="952"/>
      <c r="I122" s="952"/>
      <c r="J122" s="953"/>
      <c r="K122" s="533"/>
      <c r="M122" s="949"/>
      <c r="N122" s="949"/>
      <c r="O122" s="949"/>
      <c r="P122" s="948"/>
      <c r="Q122" s="949"/>
      <c r="T122" s="533"/>
      <c r="AH122" s="563"/>
      <c r="AI122" s="563"/>
    </row>
    <row r="123" spans="2:49" ht="13.15" customHeight="1" x14ac:dyDescent="0.2">
      <c r="C123" s="928"/>
      <c r="D123" s="374"/>
      <c r="E123" s="562"/>
      <c r="F123" s="349"/>
      <c r="G123" s="929"/>
      <c r="H123" s="930"/>
      <c r="I123" s="930"/>
      <c r="J123" s="931"/>
      <c r="K123" s="347"/>
      <c r="L123" s="930"/>
      <c r="M123" s="349"/>
      <c r="N123" s="349"/>
      <c r="O123" s="349"/>
      <c r="P123" s="932"/>
      <c r="Q123" s="933"/>
      <c r="R123" s="954"/>
      <c r="T123" s="347"/>
      <c r="AM123" s="861"/>
      <c r="AN123" s="861"/>
      <c r="AO123" s="861"/>
      <c r="AP123" s="861"/>
      <c r="AQ123" s="862"/>
      <c r="AR123" s="863"/>
      <c r="AS123" s="864"/>
      <c r="AT123" s="865"/>
      <c r="AU123" s="866"/>
    </row>
    <row r="124" spans="2:49" ht="13.15" customHeight="1" x14ac:dyDescent="0.2">
      <c r="C124" s="935"/>
      <c r="D124" s="1346" t="s">
        <v>126</v>
      </c>
      <c r="E124" s="1347"/>
      <c r="F124" s="1347"/>
      <c r="G124" s="1347"/>
      <c r="H124" s="1347"/>
      <c r="I124" s="1347"/>
      <c r="J124" s="1347"/>
      <c r="K124" s="868"/>
      <c r="L124" s="579" t="s">
        <v>440</v>
      </c>
      <c r="M124" s="869"/>
      <c r="N124" s="869"/>
      <c r="O124" s="869"/>
      <c r="P124" s="870"/>
      <c r="Q124" s="579" t="s">
        <v>450</v>
      </c>
      <c r="R124" s="869"/>
      <c r="S124" s="869"/>
      <c r="T124" s="936"/>
      <c r="U124" s="938"/>
      <c r="V124" s="938"/>
      <c r="W124" s="938"/>
      <c r="X124" s="882"/>
      <c r="Y124" s="882"/>
      <c r="Z124" s="882"/>
      <c r="AA124" s="882"/>
      <c r="AB124" s="882"/>
      <c r="AC124" s="909"/>
      <c r="AD124" s="882"/>
      <c r="AE124" s="882"/>
      <c r="AF124" s="882"/>
      <c r="AG124" s="882"/>
      <c r="AH124" s="540"/>
      <c r="AI124" s="540"/>
      <c r="AL124" s="540"/>
      <c r="AT124" s="317"/>
      <c r="AU124" s="317"/>
      <c r="AV124" s="938"/>
      <c r="AW124" s="938"/>
    </row>
    <row r="125" spans="2:49" ht="13.15" customHeight="1" x14ac:dyDescent="0.2">
      <c r="C125" s="406"/>
      <c r="D125" s="871" t="s">
        <v>529</v>
      </c>
      <c r="E125" s="871" t="s">
        <v>88</v>
      </c>
      <c r="F125" s="872" t="s">
        <v>128</v>
      </c>
      <c r="G125" s="873" t="s">
        <v>129</v>
      </c>
      <c r="H125" s="872" t="s">
        <v>130</v>
      </c>
      <c r="I125" s="872" t="s">
        <v>131</v>
      </c>
      <c r="J125" s="874" t="s">
        <v>132</v>
      </c>
      <c r="K125" s="871"/>
      <c r="L125" s="775" t="s">
        <v>441</v>
      </c>
      <c r="M125" s="775" t="s">
        <v>444</v>
      </c>
      <c r="N125" s="775" t="s">
        <v>446</v>
      </c>
      <c r="O125" s="775" t="s">
        <v>443</v>
      </c>
      <c r="P125" s="875" t="s">
        <v>449</v>
      </c>
      <c r="Q125" s="775" t="s">
        <v>133</v>
      </c>
      <c r="R125" s="876" t="s">
        <v>453</v>
      </c>
      <c r="S125" s="877" t="s">
        <v>133</v>
      </c>
      <c r="T125" s="321"/>
      <c r="U125" s="940"/>
      <c r="V125" s="940"/>
      <c r="W125" s="940"/>
      <c r="X125" s="879" t="s">
        <v>139</v>
      </c>
      <c r="Y125" s="880" t="s">
        <v>454</v>
      </c>
      <c r="Z125" s="586" t="s">
        <v>455</v>
      </c>
      <c r="AA125" s="586" t="s">
        <v>455</v>
      </c>
      <c r="AB125" s="586" t="s">
        <v>456</v>
      </c>
      <c r="AC125" s="878" t="s">
        <v>457</v>
      </c>
      <c r="AD125" s="586" t="s">
        <v>458</v>
      </c>
      <c r="AE125" s="586" t="s">
        <v>459</v>
      </c>
      <c r="AF125" s="586" t="s">
        <v>134</v>
      </c>
      <c r="AG125" s="877" t="s">
        <v>135</v>
      </c>
      <c r="AH125" s="881" t="s">
        <v>143</v>
      </c>
      <c r="AI125" s="881" t="s">
        <v>144</v>
      </c>
      <c r="AJ125" s="881" t="s">
        <v>145</v>
      </c>
      <c r="AK125" s="586" t="s">
        <v>146</v>
      </c>
      <c r="AL125" s="879" t="s">
        <v>1</v>
      </c>
      <c r="AT125" s="317"/>
      <c r="AU125" s="317"/>
      <c r="AV125" s="938"/>
      <c r="AW125" s="940"/>
    </row>
    <row r="126" spans="2:49" ht="13.15" customHeight="1" x14ac:dyDescent="0.2">
      <c r="C126" s="381"/>
      <c r="D126" s="883"/>
      <c r="E126" s="871"/>
      <c r="F126" s="872" t="s">
        <v>136</v>
      </c>
      <c r="G126" s="873" t="s">
        <v>137</v>
      </c>
      <c r="H126" s="872"/>
      <c r="I126" s="872"/>
      <c r="J126" s="874" t="s">
        <v>138</v>
      </c>
      <c r="K126" s="871"/>
      <c r="L126" s="775" t="s">
        <v>442</v>
      </c>
      <c r="M126" s="775" t="s">
        <v>445</v>
      </c>
      <c r="N126" s="775" t="s">
        <v>447</v>
      </c>
      <c r="O126" s="775" t="s">
        <v>448</v>
      </c>
      <c r="P126" s="875" t="s">
        <v>141</v>
      </c>
      <c r="Q126" s="586" t="s">
        <v>451</v>
      </c>
      <c r="R126" s="876" t="s">
        <v>452</v>
      </c>
      <c r="S126" s="884" t="s">
        <v>141</v>
      </c>
      <c r="T126" s="321"/>
      <c r="X126" s="586" t="s">
        <v>460</v>
      </c>
      <c r="Y126" s="885">
        <f>tab!C$193</f>
        <v>0.6</v>
      </c>
      <c r="Z126" s="586" t="s">
        <v>461</v>
      </c>
      <c r="AA126" s="586" t="s">
        <v>462</v>
      </c>
      <c r="AB126" s="586" t="s">
        <v>463</v>
      </c>
      <c r="AC126" s="878" t="s">
        <v>464</v>
      </c>
      <c r="AD126" s="586" t="s">
        <v>464</v>
      </c>
      <c r="AE126" s="586" t="s">
        <v>465</v>
      </c>
      <c r="AF126" s="586"/>
      <c r="AG126" s="586" t="s">
        <v>140</v>
      </c>
      <c r="AH126" s="886" t="s">
        <v>147</v>
      </c>
      <c r="AI126" s="886" t="s">
        <v>147</v>
      </c>
      <c r="AJ126" s="881"/>
      <c r="AK126" s="586" t="s">
        <v>1</v>
      </c>
      <c r="AL126" s="879"/>
      <c r="AT126" s="317"/>
      <c r="AU126" s="317"/>
      <c r="AW126" s="894"/>
    </row>
    <row r="127" spans="2:49" ht="13.15" customHeight="1" x14ac:dyDescent="0.2">
      <c r="C127" s="381"/>
      <c r="D127" s="334"/>
      <c r="E127" s="334"/>
      <c r="F127" s="334"/>
      <c r="G127" s="888"/>
      <c r="H127" s="889"/>
      <c r="I127" s="889"/>
      <c r="J127" s="890"/>
      <c r="K127" s="334"/>
      <c r="L127" s="891"/>
      <c r="M127" s="776"/>
      <c r="N127" s="776"/>
      <c r="O127" s="776"/>
      <c r="P127" s="892"/>
      <c r="Q127" s="893"/>
      <c r="R127" s="776"/>
      <c r="S127" s="776"/>
      <c r="T127" s="334"/>
      <c r="X127" s="878"/>
      <c r="Y127" s="878"/>
      <c r="Z127" s="878"/>
      <c r="AA127" s="878"/>
      <c r="AB127" s="878"/>
      <c r="AC127" s="878"/>
      <c r="AD127" s="878"/>
      <c r="AE127" s="878"/>
      <c r="AF127" s="878"/>
      <c r="AG127" s="878"/>
      <c r="AL127" s="879"/>
      <c r="AT127" s="317"/>
      <c r="AU127" s="317"/>
      <c r="AW127" s="894"/>
    </row>
    <row r="128" spans="2:49" ht="13.15" customHeight="1" x14ac:dyDescent="0.2">
      <c r="C128" s="381"/>
      <c r="D128" s="895" t="str">
        <f>IF(op!D16=0,"",op!D16)</f>
        <v/>
      </c>
      <c r="E128" s="895" t="str">
        <f>IF(op!E16=0,"",op!E16)</f>
        <v>piet</v>
      </c>
      <c r="F128" s="390" t="str">
        <f>IF(op!F16="","",op!F16+1)</f>
        <v/>
      </c>
      <c r="G128" s="896">
        <f>IF(op!G16=0,"",op!G16)</f>
        <v>28140</v>
      </c>
      <c r="H128" s="390" t="str">
        <f>IF(op!H16="","",op!H16)</f>
        <v>L11</v>
      </c>
      <c r="I128" s="897">
        <f t="shared" ref="I128:I159" si="55">IF(E128="","",IF(I16=VLOOKUP(H128,Salaris2021,22,FALSE),I16,I16+1))</f>
        <v>10</v>
      </c>
      <c r="J128" s="898">
        <f>IF(op!J16="","",op!J16)</f>
        <v>1</v>
      </c>
      <c r="K128" s="334"/>
      <c r="L128" s="1140" t="str">
        <f>IF(op!L16="","",op!L16)</f>
        <v/>
      </c>
      <c r="M128" s="1140" t="str">
        <f>IF(op!M16="","",op!M16)</f>
        <v/>
      </c>
      <c r="N128" s="899">
        <f>IF(J128="","",IF(J128*40&gt;40,40,J128*40))</f>
        <v>40</v>
      </c>
      <c r="O128" s="900">
        <f>IF(H128="","",IF(I128&lt;4,IF(40*J128&gt;40,40,40*J128),0))</f>
        <v>0</v>
      </c>
      <c r="P128" s="901">
        <f>IF(J128="","",SUM(L128:O128))</f>
        <v>40</v>
      </c>
      <c r="Q128" s="568">
        <f t="shared" ref="Q128:Q159" si="56">IF(J128="","",(1659*J128-P128)*AA128)</f>
        <v>69701.902350813732</v>
      </c>
      <c r="R128" s="902">
        <f>IF(J128="","",(P128*AB128)+Z128*(AC128+AD128*(1-AE128)))</f>
        <v>1722.0976491862566</v>
      </c>
      <c r="S128" s="903">
        <f t="shared" ref="S128:S159" si="57">IF(E128=0,0,SUM(Q128:R128))</f>
        <v>71423.999999999985</v>
      </c>
      <c r="T128" s="334"/>
      <c r="X128" s="887">
        <f t="shared" ref="X128:X159" si="58">IF(H128="","",5/12*VLOOKUP(H128,Salaris2020,I128+1,FALSE)+7/12*VLOOKUP(H128,Salaris2021,I128+1,FALSE))</f>
        <v>3720</v>
      </c>
      <c r="Y128" s="904">
        <f t="shared" ref="Y128:Y159" si="59">$Y$14</f>
        <v>0.6</v>
      </c>
      <c r="Z128" s="905">
        <f>X128*12/1659</f>
        <v>26.907775768535263</v>
      </c>
      <c r="AA128" s="905">
        <f>X128*12*(1+Y128)/1659</f>
        <v>43.052441229656417</v>
      </c>
      <c r="AB128" s="905">
        <f>AA128-Z128</f>
        <v>16.144665461121154</v>
      </c>
      <c r="AC128" s="906">
        <f t="shared" ref="AC128:AC159" si="60">N128+O128</f>
        <v>40</v>
      </c>
      <c r="AD128" s="907">
        <f t="shared" ref="AD128:AD159" si="61">SUM(L128:M128)</f>
        <v>0</v>
      </c>
      <c r="AE128" s="904">
        <f>IF(H128&gt;8,tab!C$194,tab!C$197)</f>
        <v>0.5</v>
      </c>
      <c r="AF128" s="907">
        <f>IF(F128&lt;25,0,IF(F128=25,25,IF(F128&lt;40,0,IF(F128=40,40,IF(F128&gt;=40,0)))))</f>
        <v>0</v>
      </c>
      <c r="AG128" s="887">
        <f t="shared" ref="AG128:AG159" si="62">IF(AF128=25,(X128*1.08*J128/2),IF(AF128=40,(Y128*1.08*J128),IF(AF128=0,0)))</f>
        <v>0</v>
      </c>
      <c r="AH128" s="908" t="b">
        <f t="shared" ref="AH128:AH159" si="63">DATE(YEAR($E$121),MONTH(G128),DAY(G128))&gt;$E$121</f>
        <v>0</v>
      </c>
      <c r="AI128" s="815">
        <f t="shared" ref="AI128:AI159" si="64">YEAR($E$121)-YEAR(G128)-AH128</f>
        <v>43</v>
      </c>
      <c r="AJ128" s="540">
        <f t="shared" ref="AJ128:AJ159" si="65">IF((G128=""),30,AI128)</f>
        <v>43</v>
      </c>
      <c r="AK128" s="540">
        <f t="shared" ref="AK128:AK191" si="66">IF((AJ128)&gt;50,50,(AJ128))</f>
        <v>43</v>
      </c>
      <c r="AL128" s="909">
        <f t="shared" ref="AL128:AL159" si="67">(AK128*(SUM(J128:J128)))</f>
        <v>43</v>
      </c>
      <c r="AN128" s="539">
        <f t="shared" ref="AN128:AN191" si="68">IF(AND(AL128&gt;0.01,AL128&lt;50.01),1,0)</f>
        <v>1</v>
      </c>
      <c r="AR128" s="941"/>
    </row>
    <row r="129" spans="3:47" ht="13.15" customHeight="1" x14ac:dyDescent="0.2">
      <c r="C129" s="381"/>
      <c r="D129" s="895" t="str">
        <f>IF(op!D17=0,"",op!D17)</f>
        <v/>
      </c>
      <c r="E129" s="895" t="str">
        <f>IF(op!E17=0,"",op!E17)</f>
        <v/>
      </c>
      <c r="F129" s="390" t="str">
        <f>IF(op!F17="","",op!F17+1)</f>
        <v/>
      </c>
      <c r="G129" s="896" t="str">
        <f>IF(op!G17=0,"",op!G17)</f>
        <v/>
      </c>
      <c r="H129" s="390" t="str">
        <f>IF(op!H17="","",op!H17)</f>
        <v/>
      </c>
      <c r="I129" s="897" t="str">
        <f t="shared" si="55"/>
        <v/>
      </c>
      <c r="J129" s="898" t="str">
        <f>IF(op!J17="","",op!J17)</f>
        <v/>
      </c>
      <c r="K129" s="334"/>
      <c r="L129" s="1140" t="str">
        <f>IF(op!L17="","",op!L17)</f>
        <v/>
      </c>
      <c r="M129" s="1140" t="str">
        <f>IF(op!M17="","",op!M17)</f>
        <v/>
      </c>
      <c r="N129" s="899" t="str">
        <f t="shared" ref="N129:N192" si="69">IF(J129="","",IF(J129*40&gt;40,40,J129*40))</f>
        <v/>
      </c>
      <c r="O129" s="900" t="str">
        <f t="shared" ref="O129:O192" si="70">IF(H129="","",IF(I129&lt;4,IF(40*J129&gt;40,40,40*J129),0))</f>
        <v/>
      </c>
      <c r="P129" s="901" t="str">
        <f t="shared" ref="P129:P192" si="71">IF(J129="","",SUM(L129:O129))</f>
        <v/>
      </c>
      <c r="Q129" s="568" t="str">
        <f t="shared" si="56"/>
        <v/>
      </c>
      <c r="R129" s="902" t="str">
        <f t="shared" ref="R129:R192" si="72">IF(J129="","",(P129*AB129)+Z129*(AC129+AD129*(1-AE129)))</f>
        <v/>
      </c>
      <c r="S129" s="903">
        <f t="shared" si="57"/>
        <v>0</v>
      </c>
      <c r="T129" s="334"/>
      <c r="X129" s="887" t="str">
        <f t="shared" si="58"/>
        <v/>
      </c>
      <c r="Y129" s="904">
        <f t="shared" si="59"/>
        <v>0.6</v>
      </c>
      <c r="Z129" s="905" t="e">
        <f t="shared" ref="Z129:Z192" si="73">X129*12/1659</f>
        <v>#VALUE!</v>
      </c>
      <c r="AA129" s="905" t="e">
        <f t="shared" ref="AA129:AA192" si="74">X129*12*(1+Y129)/1659</f>
        <v>#VALUE!</v>
      </c>
      <c r="AB129" s="905" t="e">
        <f t="shared" ref="AB129:AB192" si="75">AA129-Z129</f>
        <v>#VALUE!</v>
      </c>
      <c r="AC129" s="906" t="e">
        <f t="shared" si="60"/>
        <v>#VALUE!</v>
      </c>
      <c r="AD129" s="907">
        <f t="shared" si="61"/>
        <v>0</v>
      </c>
      <c r="AE129" s="904">
        <f>IF(H129&gt;8,tab!C$194,tab!C$197)</f>
        <v>0.5</v>
      </c>
      <c r="AF129" s="907">
        <f t="shared" ref="AF129:AF159" si="76">IF(F129&lt;25,0,IF(F129=25,25,IF(F129&lt;40,0,IF(F129=40,40,IF(F129&gt;=40,0)))))</f>
        <v>0</v>
      </c>
      <c r="AG129" s="887">
        <f t="shared" si="62"/>
        <v>0</v>
      </c>
      <c r="AH129" s="908" t="e">
        <f t="shared" si="63"/>
        <v>#VALUE!</v>
      </c>
      <c r="AI129" s="815" t="e">
        <f t="shared" si="64"/>
        <v>#VALUE!</v>
      </c>
      <c r="AJ129" s="540">
        <f t="shared" si="65"/>
        <v>30</v>
      </c>
      <c r="AK129" s="540">
        <f t="shared" si="66"/>
        <v>30</v>
      </c>
      <c r="AL129" s="909">
        <f t="shared" si="67"/>
        <v>0</v>
      </c>
      <c r="AN129" s="539">
        <f t="shared" si="68"/>
        <v>0</v>
      </c>
      <c r="AR129" s="941"/>
      <c r="AT129" s="317"/>
      <c r="AU129" s="317"/>
    </row>
    <row r="130" spans="3:47" ht="13.15" customHeight="1" x14ac:dyDescent="0.2">
      <c r="C130" s="381"/>
      <c r="D130" s="895" t="str">
        <f>IF(op!D18=0,"",op!D18)</f>
        <v/>
      </c>
      <c r="E130" s="895" t="str">
        <f>IF(op!E18=0,"",op!E18)</f>
        <v/>
      </c>
      <c r="F130" s="390" t="str">
        <f>IF(op!F18="","",op!F18+1)</f>
        <v/>
      </c>
      <c r="G130" s="896" t="str">
        <f>IF(op!G18=0,"",op!G18)</f>
        <v/>
      </c>
      <c r="H130" s="390" t="str">
        <f>IF(op!H18="","",op!H18)</f>
        <v/>
      </c>
      <c r="I130" s="897" t="str">
        <f t="shared" si="55"/>
        <v/>
      </c>
      <c r="J130" s="898" t="str">
        <f>IF(op!J18="","",op!J18)</f>
        <v/>
      </c>
      <c r="K130" s="334"/>
      <c r="L130" s="1140" t="str">
        <f>IF(op!L18="","",op!L18)</f>
        <v/>
      </c>
      <c r="M130" s="1140" t="str">
        <f>IF(op!M18="","",op!M18)</f>
        <v/>
      </c>
      <c r="N130" s="899" t="str">
        <f t="shared" si="69"/>
        <v/>
      </c>
      <c r="O130" s="900" t="str">
        <f t="shared" si="70"/>
        <v/>
      </c>
      <c r="P130" s="901" t="str">
        <f t="shared" si="71"/>
        <v/>
      </c>
      <c r="Q130" s="568" t="str">
        <f t="shared" si="56"/>
        <v/>
      </c>
      <c r="R130" s="902" t="str">
        <f t="shared" si="72"/>
        <v/>
      </c>
      <c r="S130" s="903">
        <f t="shared" si="57"/>
        <v>0</v>
      </c>
      <c r="T130" s="334"/>
      <c r="X130" s="887" t="str">
        <f t="shared" si="58"/>
        <v/>
      </c>
      <c r="Y130" s="904">
        <f t="shared" si="59"/>
        <v>0.6</v>
      </c>
      <c r="Z130" s="905" t="e">
        <f t="shared" si="73"/>
        <v>#VALUE!</v>
      </c>
      <c r="AA130" s="905" t="e">
        <f t="shared" si="74"/>
        <v>#VALUE!</v>
      </c>
      <c r="AB130" s="905" t="e">
        <f t="shared" si="75"/>
        <v>#VALUE!</v>
      </c>
      <c r="AC130" s="906" t="e">
        <f t="shared" si="60"/>
        <v>#VALUE!</v>
      </c>
      <c r="AD130" s="907">
        <f t="shared" si="61"/>
        <v>0</v>
      </c>
      <c r="AE130" s="904">
        <f>IF(H130&gt;8,tab!C$194,tab!C$197)</f>
        <v>0.5</v>
      </c>
      <c r="AF130" s="907">
        <f t="shared" si="76"/>
        <v>0</v>
      </c>
      <c r="AG130" s="887">
        <f t="shared" si="62"/>
        <v>0</v>
      </c>
      <c r="AH130" s="908" t="e">
        <f t="shared" si="63"/>
        <v>#VALUE!</v>
      </c>
      <c r="AI130" s="815" t="e">
        <f t="shared" si="64"/>
        <v>#VALUE!</v>
      </c>
      <c r="AJ130" s="540">
        <f t="shared" si="65"/>
        <v>30</v>
      </c>
      <c r="AK130" s="540">
        <f t="shared" si="66"/>
        <v>30</v>
      </c>
      <c r="AL130" s="909">
        <f t="shared" si="67"/>
        <v>0</v>
      </c>
      <c r="AN130" s="539">
        <f t="shared" si="68"/>
        <v>0</v>
      </c>
      <c r="AR130" s="941"/>
      <c r="AT130" s="317"/>
      <c r="AU130" s="317"/>
    </row>
    <row r="131" spans="3:47" ht="13.15" customHeight="1" x14ac:dyDescent="0.2">
      <c r="C131" s="381"/>
      <c r="D131" s="895" t="str">
        <f>IF(op!D19=0,"",op!D19)</f>
        <v/>
      </c>
      <c r="E131" s="895" t="str">
        <f>IF(op!E19=0,"",op!E19)</f>
        <v/>
      </c>
      <c r="F131" s="390" t="str">
        <f>IF(op!F19="","",op!F19+1)</f>
        <v/>
      </c>
      <c r="G131" s="896" t="str">
        <f>IF(op!G19=0,"",op!G19)</f>
        <v/>
      </c>
      <c r="H131" s="390" t="str">
        <f>IF(op!H19="","",op!H19)</f>
        <v/>
      </c>
      <c r="I131" s="897" t="str">
        <f t="shared" si="55"/>
        <v/>
      </c>
      <c r="J131" s="898" t="str">
        <f>IF(op!J19="","",op!J19)</f>
        <v/>
      </c>
      <c r="K131" s="334"/>
      <c r="L131" s="1140" t="str">
        <f>IF(op!L19="","",op!L19)</f>
        <v/>
      </c>
      <c r="M131" s="1140" t="str">
        <f>IF(op!M19="","",op!M19)</f>
        <v/>
      </c>
      <c r="N131" s="899" t="str">
        <f t="shared" si="69"/>
        <v/>
      </c>
      <c r="O131" s="900" t="str">
        <f t="shared" si="70"/>
        <v/>
      </c>
      <c r="P131" s="901" t="str">
        <f t="shared" si="71"/>
        <v/>
      </c>
      <c r="Q131" s="568" t="str">
        <f t="shared" si="56"/>
        <v/>
      </c>
      <c r="R131" s="902" t="str">
        <f t="shared" si="72"/>
        <v/>
      </c>
      <c r="S131" s="903">
        <f t="shared" si="57"/>
        <v>0</v>
      </c>
      <c r="T131" s="334"/>
      <c r="X131" s="887" t="str">
        <f t="shared" si="58"/>
        <v/>
      </c>
      <c r="Y131" s="904">
        <f t="shared" si="59"/>
        <v>0.6</v>
      </c>
      <c r="Z131" s="905" t="e">
        <f t="shared" si="73"/>
        <v>#VALUE!</v>
      </c>
      <c r="AA131" s="905" t="e">
        <f t="shared" si="74"/>
        <v>#VALUE!</v>
      </c>
      <c r="AB131" s="905" t="e">
        <f t="shared" si="75"/>
        <v>#VALUE!</v>
      </c>
      <c r="AC131" s="906" t="e">
        <f t="shared" si="60"/>
        <v>#VALUE!</v>
      </c>
      <c r="AD131" s="907">
        <f t="shared" si="61"/>
        <v>0</v>
      </c>
      <c r="AE131" s="904">
        <f>IF(H131&gt;8,tab!C$194,tab!C$197)</f>
        <v>0.5</v>
      </c>
      <c r="AF131" s="907">
        <f t="shared" si="76"/>
        <v>0</v>
      </c>
      <c r="AG131" s="887">
        <f t="shared" si="62"/>
        <v>0</v>
      </c>
      <c r="AH131" s="908" t="e">
        <f t="shared" si="63"/>
        <v>#VALUE!</v>
      </c>
      <c r="AI131" s="815" t="e">
        <f t="shared" si="64"/>
        <v>#VALUE!</v>
      </c>
      <c r="AJ131" s="540">
        <f t="shared" si="65"/>
        <v>30</v>
      </c>
      <c r="AK131" s="540">
        <f t="shared" si="66"/>
        <v>30</v>
      </c>
      <c r="AL131" s="909">
        <f t="shared" si="67"/>
        <v>0</v>
      </c>
      <c r="AN131" s="539">
        <f t="shared" si="68"/>
        <v>0</v>
      </c>
      <c r="AR131" s="941"/>
      <c r="AT131" s="317"/>
      <c r="AU131" s="317"/>
    </row>
    <row r="132" spans="3:47" ht="13.15" customHeight="1" x14ac:dyDescent="0.2">
      <c r="C132" s="381"/>
      <c r="D132" s="895" t="str">
        <f>IF(op!D20=0,"",op!D20)</f>
        <v/>
      </c>
      <c r="E132" s="895" t="str">
        <f>IF(op!E20=0,"",op!E20)</f>
        <v/>
      </c>
      <c r="F132" s="390" t="str">
        <f>IF(op!F20="","",op!F20+1)</f>
        <v/>
      </c>
      <c r="G132" s="896" t="str">
        <f>IF(op!G20=0,"",op!G20)</f>
        <v/>
      </c>
      <c r="H132" s="390" t="str">
        <f>IF(op!H20="","",op!H20)</f>
        <v/>
      </c>
      <c r="I132" s="897" t="str">
        <f t="shared" si="55"/>
        <v/>
      </c>
      <c r="J132" s="898" t="str">
        <f>IF(op!J20="","",op!J20)</f>
        <v/>
      </c>
      <c r="K132" s="334"/>
      <c r="L132" s="1140" t="str">
        <f>IF(op!L20="","",op!L20)</f>
        <v/>
      </c>
      <c r="M132" s="1140" t="str">
        <f>IF(op!M20="","",op!M20)</f>
        <v/>
      </c>
      <c r="N132" s="899" t="str">
        <f t="shared" si="69"/>
        <v/>
      </c>
      <c r="O132" s="900" t="str">
        <f t="shared" si="70"/>
        <v/>
      </c>
      <c r="P132" s="901" t="str">
        <f t="shared" si="71"/>
        <v/>
      </c>
      <c r="Q132" s="568" t="str">
        <f t="shared" si="56"/>
        <v/>
      </c>
      <c r="R132" s="902" t="str">
        <f t="shared" si="72"/>
        <v/>
      </c>
      <c r="S132" s="903">
        <f t="shared" si="57"/>
        <v>0</v>
      </c>
      <c r="T132" s="334"/>
      <c r="X132" s="887" t="str">
        <f t="shared" si="58"/>
        <v/>
      </c>
      <c r="Y132" s="904">
        <f t="shared" si="59"/>
        <v>0.6</v>
      </c>
      <c r="Z132" s="905" t="e">
        <f t="shared" si="73"/>
        <v>#VALUE!</v>
      </c>
      <c r="AA132" s="905" t="e">
        <f t="shared" si="74"/>
        <v>#VALUE!</v>
      </c>
      <c r="AB132" s="905" t="e">
        <f t="shared" si="75"/>
        <v>#VALUE!</v>
      </c>
      <c r="AC132" s="906" t="e">
        <f t="shared" si="60"/>
        <v>#VALUE!</v>
      </c>
      <c r="AD132" s="907">
        <f t="shared" si="61"/>
        <v>0</v>
      </c>
      <c r="AE132" s="904">
        <f>IF(H132&gt;8,tab!C$194,tab!C$197)</f>
        <v>0.5</v>
      </c>
      <c r="AF132" s="907">
        <f t="shared" si="76"/>
        <v>0</v>
      </c>
      <c r="AG132" s="887">
        <f t="shared" si="62"/>
        <v>0</v>
      </c>
      <c r="AH132" s="908" t="e">
        <f t="shared" si="63"/>
        <v>#VALUE!</v>
      </c>
      <c r="AI132" s="815" t="e">
        <f t="shared" si="64"/>
        <v>#VALUE!</v>
      </c>
      <c r="AJ132" s="540">
        <f t="shared" si="65"/>
        <v>30</v>
      </c>
      <c r="AK132" s="540">
        <f t="shared" si="66"/>
        <v>30</v>
      </c>
      <c r="AL132" s="909">
        <f t="shared" si="67"/>
        <v>0</v>
      </c>
      <c r="AN132" s="539">
        <f t="shared" si="68"/>
        <v>0</v>
      </c>
      <c r="AR132" s="941"/>
      <c r="AT132" s="317"/>
      <c r="AU132" s="317"/>
    </row>
    <row r="133" spans="3:47" ht="13.15" customHeight="1" x14ac:dyDescent="0.2">
      <c r="C133" s="381"/>
      <c r="D133" s="895" t="str">
        <f>IF(op!D21=0,"",op!D21)</f>
        <v/>
      </c>
      <c r="E133" s="895" t="str">
        <f>IF(op!E21=0,"",op!E21)</f>
        <v/>
      </c>
      <c r="F133" s="390" t="str">
        <f>IF(op!F21="","",op!F21+1)</f>
        <v/>
      </c>
      <c r="G133" s="896" t="str">
        <f>IF(op!G21=0,"",op!G21)</f>
        <v/>
      </c>
      <c r="H133" s="390" t="str">
        <f>IF(op!H21="","",op!H21)</f>
        <v/>
      </c>
      <c r="I133" s="897" t="str">
        <f t="shared" si="55"/>
        <v/>
      </c>
      <c r="J133" s="898" t="str">
        <f>IF(op!J21="","",op!J21)</f>
        <v/>
      </c>
      <c r="K133" s="334"/>
      <c r="L133" s="1140" t="str">
        <f>IF(op!L21="","",op!L21)</f>
        <v/>
      </c>
      <c r="M133" s="1140" t="str">
        <f>IF(op!M21="","",op!M21)</f>
        <v/>
      </c>
      <c r="N133" s="899" t="str">
        <f t="shared" si="69"/>
        <v/>
      </c>
      <c r="O133" s="900" t="str">
        <f t="shared" si="70"/>
        <v/>
      </c>
      <c r="P133" s="901" t="str">
        <f t="shared" si="71"/>
        <v/>
      </c>
      <c r="Q133" s="568" t="str">
        <f t="shared" si="56"/>
        <v/>
      </c>
      <c r="R133" s="902" t="str">
        <f t="shared" si="72"/>
        <v/>
      </c>
      <c r="S133" s="903">
        <f t="shared" si="57"/>
        <v>0</v>
      </c>
      <c r="T133" s="334"/>
      <c r="X133" s="887" t="str">
        <f t="shared" si="58"/>
        <v/>
      </c>
      <c r="Y133" s="904">
        <f t="shared" si="59"/>
        <v>0.6</v>
      </c>
      <c r="Z133" s="905" t="e">
        <f t="shared" si="73"/>
        <v>#VALUE!</v>
      </c>
      <c r="AA133" s="905" t="e">
        <f t="shared" si="74"/>
        <v>#VALUE!</v>
      </c>
      <c r="AB133" s="905" t="e">
        <f t="shared" si="75"/>
        <v>#VALUE!</v>
      </c>
      <c r="AC133" s="906" t="e">
        <f t="shared" si="60"/>
        <v>#VALUE!</v>
      </c>
      <c r="AD133" s="907">
        <f t="shared" si="61"/>
        <v>0</v>
      </c>
      <c r="AE133" s="904">
        <f>IF(H133&gt;8,tab!C$194,tab!C$197)</f>
        <v>0.5</v>
      </c>
      <c r="AF133" s="907">
        <f t="shared" si="76"/>
        <v>0</v>
      </c>
      <c r="AG133" s="887">
        <f t="shared" si="62"/>
        <v>0</v>
      </c>
      <c r="AH133" s="908" t="e">
        <f t="shared" si="63"/>
        <v>#VALUE!</v>
      </c>
      <c r="AI133" s="815" t="e">
        <f t="shared" si="64"/>
        <v>#VALUE!</v>
      </c>
      <c r="AJ133" s="540">
        <f t="shared" si="65"/>
        <v>30</v>
      </c>
      <c r="AK133" s="540">
        <f t="shared" si="66"/>
        <v>30</v>
      </c>
      <c r="AL133" s="909">
        <f t="shared" si="67"/>
        <v>0</v>
      </c>
      <c r="AN133" s="539">
        <f t="shared" si="68"/>
        <v>0</v>
      </c>
      <c r="AR133" s="941"/>
      <c r="AT133" s="317"/>
      <c r="AU133" s="317"/>
    </row>
    <row r="134" spans="3:47" ht="13.15" customHeight="1" x14ac:dyDescent="0.2">
      <c r="C134" s="381"/>
      <c r="D134" s="895" t="str">
        <f>IF(op!D22=0,"",op!D22)</f>
        <v/>
      </c>
      <c r="E134" s="895" t="str">
        <f>IF(op!E22=0,"",op!E22)</f>
        <v/>
      </c>
      <c r="F134" s="390" t="str">
        <f>IF(op!F22="","",op!F22+1)</f>
        <v/>
      </c>
      <c r="G134" s="896" t="str">
        <f>IF(op!G22=0,"",op!G22)</f>
        <v/>
      </c>
      <c r="H134" s="390" t="str">
        <f>IF(op!H22="","",op!H22)</f>
        <v/>
      </c>
      <c r="I134" s="897" t="str">
        <f t="shared" si="55"/>
        <v/>
      </c>
      <c r="J134" s="898" t="str">
        <f>IF(op!J22="","",op!J22)</f>
        <v/>
      </c>
      <c r="K134" s="334"/>
      <c r="L134" s="1140" t="str">
        <f>IF(op!L22="","",op!L22)</f>
        <v/>
      </c>
      <c r="M134" s="1140" t="str">
        <f>IF(op!M22="","",op!M22)</f>
        <v/>
      </c>
      <c r="N134" s="899" t="str">
        <f t="shared" si="69"/>
        <v/>
      </c>
      <c r="O134" s="900" t="str">
        <f t="shared" si="70"/>
        <v/>
      </c>
      <c r="P134" s="901" t="str">
        <f t="shared" si="71"/>
        <v/>
      </c>
      <c r="Q134" s="568" t="str">
        <f t="shared" si="56"/>
        <v/>
      </c>
      <c r="R134" s="902" t="str">
        <f t="shared" si="72"/>
        <v/>
      </c>
      <c r="S134" s="903">
        <f t="shared" si="57"/>
        <v>0</v>
      </c>
      <c r="T134" s="334"/>
      <c r="X134" s="887" t="str">
        <f t="shared" si="58"/>
        <v/>
      </c>
      <c r="Y134" s="904">
        <f t="shared" si="59"/>
        <v>0.6</v>
      </c>
      <c r="Z134" s="905" t="e">
        <f t="shared" si="73"/>
        <v>#VALUE!</v>
      </c>
      <c r="AA134" s="905" t="e">
        <f t="shared" si="74"/>
        <v>#VALUE!</v>
      </c>
      <c r="AB134" s="905" t="e">
        <f t="shared" si="75"/>
        <v>#VALUE!</v>
      </c>
      <c r="AC134" s="906" t="e">
        <f t="shared" si="60"/>
        <v>#VALUE!</v>
      </c>
      <c r="AD134" s="907">
        <f t="shared" si="61"/>
        <v>0</v>
      </c>
      <c r="AE134" s="904">
        <f>IF(H134&gt;8,tab!C$194,tab!C$197)</f>
        <v>0.5</v>
      </c>
      <c r="AF134" s="907">
        <f t="shared" si="76"/>
        <v>0</v>
      </c>
      <c r="AG134" s="887">
        <f t="shared" si="62"/>
        <v>0</v>
      </c>
      <c r="AH134" s="908" t="e">
        <f t="shared" si="63"/>
        <v>#VALUE!</v>
      </c>
      <c r="AI134" s="815" t="e">
        <f t="shared" si="64"/>
        <v>#VALUE!</v>
      </c>
      <c r="AJ134" s="540">
        <f t="shared" si="65"/>
        <v>30</v>
      </c>
      <c r="AK134" s="540">
        <f t="shared" si="66"/>
        <v>30</v>
      </c>
      <c r="AL134" s="909">
        <f t="shared" si="67"/>
        <v>0</v>
      </c>
      <c r="AN134" s="539">
        <f t="shared" si="68"/>
        <v>0</v>
      </c>
      <c r="AR134" s="941"/>
      <c r="AT134" s="317"/>
      <c r="AU134" s="317"/>
    </row>
    <row r="135" spans="3:47" ht="13.15" customHeight="1" x14ac:dyDescent="0.2">
      <c r="C135" s="381"/>
      <c r="D135" s="895" t="str">
        <f>IF(op!D23=0,"",op!D23)</f>
        <v/>
      </c>
      <c r="E135" s="895" t="str">
        <f>IF(op!E23=0,"",op!E23)</f>
        <v/>
      </c>
      <c r="F135" s="390" t="str">
        <f>IF(op!F23="","",op!F23+1)</f>
        <v/>
      </c>
      <c r="G135" s="896" t="str">
        <f>IF(op!G23=0,"",op!G23)</f>
        <v/>
      </c>
      <c r="H135" s="390" t="str">
        <f>IF(op!H23="","",op!H23)</f>
        <v/>
      </c>
      <c r="I135" s="897" t="str">
        <f t="shared" si="55"/>
        <v/>
      </c>
      <c r="J135" s="898" t="str">
        <f>IF(op!J23="","",op!J23)</f>
        <v/>
      </c>
      <c r="K135" s="334"/>
      <c r="L135" s="1140" t="str">
        <f>IF(op!L23="","",op!L23)</f>
        <v/>
      </c>
      <c r="M135" s="1140" t="str">
        <f>IF(op!M23="","",op!M23)</f>
        <v/>
      </c>
      <c r="N135" s="899" t="str">
        <f t="shared" si="69"/>
        <v/>
      </c>
      <c r="O135" s="900" t="str">
        <f t="shared" si="70"/>
        <v/>
      </c>
      <c r="P135" s="901" t="str">
        <f t="shared" si="71"/>
        <v/>
      </c>
      <c r="Q135" s="568" t="str">
        <f t="shared" si="56"/>
        <v/>
      </c>
      <c r="R135" s="902" t="str">
        <f t="shared" si="72"/>
        <v/>
      </c>
      <c r="S135" s="903">
        <f t="shared" si="57"/>
        <v>0</v>
      </c>
      <c r="T135" s="334"/>
      <c r="X135" s="887" t="str">
        <f t="shared" si="58"/>
        <v/>
      </c>
      <c r="Y135" s="904">
        <f t="shared" si="59"/>
        <v>0.6</v>
      </c>
      <c r="Z135" s="905" t="e">
        <f t="shared" si="73"/>
        <v>#VALUE!</v>
      </c>
      <c r="AA135" s="905" t="e">
        <f t="shared" si="74"/>
        <v>#VALUE!</v>
      </c>
      <c r="AB135" s="905" t="e">
        <f t="shared" si="75"/>
        <v>#VALUE!</v>
      </c>
      <c r="AC135" s="906" t="e">
        <f t="shared" si="60"/>
        <v>#VALUE!</v>
      </c>
      <c r="AD135" s="907">
        <f t="shared" si="61"/>
        <v>0</v>
      </c>
      <c r="AE135" s="904">
        <f>IF(H135&gt;8,tab!C$194,tab!C$197)</f>
        <v>0.5</v>
      </c>
      <c r="AF135" s="907">
        <f t="shared" si="76"/>
        <v>0</v>
      </c>
      <c r="AG135" s="887">
        <f t="shared" si="62"/>
        <v>0</v>
      </c>
      <c r="AH135" s="908" t="e">
        <f t="shared" si="63"/>
        <v>#VALUE!</v>
      </c>
      <c r="AI135" s="815" t="e">
        <f t="shared" si="64"/>
        <v>#VALUE!</v>
      </c>
      <c r="AJ135" s="540">
        <f t="shared" si="65"/>
        <v>30</v>
      </c>
      <c r="AK135" s="540">
        <f t="shared" si="66"/>
        <v>30</v>
      </c>
      <c r="AL135" s="909">
        <f t="shared" si="67"/>
        <v>0</v>
      </c>
      <c r="AN135" s="539">
        <f t="shared" si="68"/>
        <v>0</v>
      </c>
      <c r="AR135" s="941"/>
      <c r="AT135" s="317"/>
      <c r="AU135" s="317"/>
    </row>
    <row r="136" spans="3:47" ht="13.15" customHeight="1" x14ac:dyDescent="0.2">
      <c r="C136" s="381"/>
      <c r="D136" s="895" t="str">
        <f>IF(op!D24=0,"",op!D24)</f>
        <v/>
      </c>
      <c r="E136" s="895" t="str">
        <f>IF(op!E24=0,"",op!E24)</f>
        <v/>
      </c>
      <c r="F136" s="390" t="str">
        <f>IF(op!F24="","",op!F24+1)</f>
        <v/>
      </c>
      <c r="G136" s="896" t="str">
        <f>IF(op!G24=0,"",op!G24)</f>
        <v/>
      </c>
      <c r="H136" s="390" t="str">
        <f>IF(op!H24="","",op!H24)</f>
        <v/>
      </c>
      <c r="I136" s="897" t="str">
        <f t="shared" si="55"/>
        <v/>
      </c>
      <c r="J136" s="898" t="str">
        <f>IF(op!J24="","",op!J24)</f>
        <v/>
      </c>
      <c r="K136" s="334"/>
      <c r="L136" s="1140" t="str">
        <f>IF(op!L24="","",op!L24)</f>
        <v/>
      </c>
      <c r="M136" s="1140" t="str">
        <f>IF(op!M24="","",op!M24)</f>
        <v/>
      </c>
      <c r="N136" s="899" t="str">
        <f t="shared" si="69"/>
        <v/>
      </c>
      <c r="O136" s="900" t="str">
        <f t="shared" si="70"/>
        <v/>
      </c>
      <c r="P136" s="901" t="str">
        <f t="shared" si="71"/>
        <v/>
      </c>
      <c r="Q136" s="568" t="str">
        <f t="shared" si="56"/>
        <v/>
      </c>
      <c r="R136" s="902" t="str">
        <f t="shared" si="72"/>
        <v/>
      </c>
      <c r="S136" s="903">
        <f t="shared" si="57"/>
        <v>0</v>
      </c>
      <c r="T136" s="334"/>
      <c r="X136" s="887" t="str">
        <f t="shared" si="58"/>
        <v/>
      </c>
      <c r="Y136" s="904">
        <f t="shared" si="59"/>
        <v>0.6</v>
      </c>
      <c r="Z136" s="905" t="e">
        <f t="shared" si="73"/>
        <v>#VALUE!</v>
      </c>
      <c r="AA136" s="905" t="e">
        <f t="shared" si="74"/>
        <v>#VALUE!</v>
      </c>
      <c r="AB136" s="905" t="e">
        <f t="shared" si="75"/>
        <v>#VALUE!</v>
      </c>
      <c r="AC136" s="906" t="e">
        <f t="shared" si="60"/>
        <v>#VALUE!</v>
      </c>
      <c r="AD136" s="907">
        <f t="shared" si="61"/>
        <v>0</v>
      </c>
      <c r="AE136" s="904">
        <f>IF(H136&gt;8,tab!C$194,tab!C$197)</f>
        <v>0.5</v>
      </c>
      <c r="AF136" s="907">
        <f t="shared" si="76"/>
        <v>0</v>
      </c>
      <c r="AG136" s="887">
        <f t="shared" si="62"/>
        <v>0</v>
      </c>
      <c r="AH136" s="908" t="e">
        <f t="shared" si="63"/>
        <v>#VALUE!</v>
      </c>
      <c r="AI136" s="815" t="e">
        <f t="shared" si="64"/>
        <v>#VALUE!</v>
      </c>
      <c r="AJ136" s="540">
        <f t="shared" si="65"/>
        <v>30</v>
      </c>
      <c r="AK136" s="540">
        <f t="shared" si="66"/>
        <v>30</v>
      </c>
      <c r="AL136" s="909">
        <f t="shared" si="67"/>
        <v>0</v>
      </c>
      <c r="AN136" s="539">
        <f t="shared" si="68"/>
        <v>0</v>
      </c>
      <c r="AR136" s="941"/>
      <c r="AT136" s="317"/>
      <c r="AU136" s="317"/>
    </row>
    <row r="137" spans="3:47" ht="13.15" customHeight="1" x14ac:dyDescent="0.2">
      <c r="C137" s="381"/>
      <c r="D137" s="895" t="str">
        <f>IF(op!D25=0,"",op!D25)</f>
        <v/>
      </c>
      <c r="E137" s="895" t="str">
        <f>IF(op!E25=0,"",op!E25)</f>
        <v/>
      </c>
      <c r="F137" s="390" t="str">
        <f>IF(op!F25="","",op!F25+1)</f>
        <v/>
      </c>
      <c r="G137" s="896" t="str">
        <f>IF(op!G25=0,"",op!G25)</f>
        <v/>
      </c>
      <c r="H137" s="390" t="str">
        <f>IF(op!H25="","",op!H25)</f>
        <v/>
      </c>
      <c r="I137" s="897" t="str">
        <f t="shared" si="55"/>
        <v/>
      </c>
      <c r="J137" s="898" t="str">
        <f>IF(op!J25="","",op!J25)</f>
        <v/>
      </c>
      <c r="K137" s="334"/>
      <c r="L137" s="1140" t="str">
        <f>IF(op!L25="","",op!L25)</f>
        <v/>
      </c>
      <c r="M137" s="1140" t="str">
        <f>IF(op!M25="","",op!M25)</f>
        <v/>
      </c>
      <c r="N137" s="899" t="str">
        <f t="shared" si="69"/>
        <v/>
      </c>
      <c r="O137" s="900" t="str">
        <f t="shared" si="70"/>
        <v/>
      </c>
      <c r="P137" s="901" t="str">
        <f t="shared" si="71"/>
        <v/>
      </c>
      <c r="Q137" s="568" t="str">
        <f t="shared" si="56"/>
        <v/>
      </c>
      <c r="R137" s="902" t="str">
        <f t="shared" si="72"/>
        <v/>
      </c>
      <c r="S137" s="903">
        <f t="shared" si="57"/>
        <v>0</v>
      </c>
      <c r="T137" s="334"/>
      <c r="X137" s="887" t="str">
        <f t="shared" si="58"/>
        <v/>
      </c>
      <c r="Y137" s="904">
        <f t="shared" si="59"/>
        <v>0.6</v>
      </c>
      <c r="Z137" s="905" t="e">
        <f t="shared" si="73"/>
        <v>#VALUE!</v>
      </c>
      <c r="AA137" s="905" t="e">
        <f t="shared" si="74"/>
        <v>#VALUE!</v>
      </c>
      <c r="AB137" s="905" t="e">
        <f t="shared" si="75"/>
        <v>#VALUE!</v>
      </c>
      <c r="AC137" s="906" t="e">
        <f t="shared" si="60"/>
        <v>#VALUE!</v>
      </c>
      <c r="AD137" s="907">
        <f t="shared" si="61"/>
        <v>0</v>
      </c>
      <c r="AE137" s="904">
        <f>IF(H137&gt;8,tab!C$194,tab!C$197)</f>
        <v>0.5</v>
      </c>
      <c r="AF137" s="907">
        <f t="shared" si="76"/>
        <v>0</v>
      </c>
      <c r="AG137" s="887">
        <f t="shared" si="62"/>
        <v>0</v>
      </c>
      <c r="AH137" s="908" t="e">
        <f t="shared" si="63"/>
        <v>#VALUE!</v>
      </c>
      <c r="AI137" s="815" t="e">
        <f t="shared" si="64"/>
        <v>#VALUE!</v>
      </c>
      <c r="AJ137" s="540">
        <f t="shared" si="65"/>
        <v>30</v>
      </c>
      <c r="AK137" s="540">
        <f t="shared" si="66"/>
        <v>30</v>
      </c>
      <c r="AL137" s="909">
        <f t="shared" si="67"/>
        <v>0</v>
      </c>
      <c r="AN137" s="539">
        <f t="shared" si="68"/>
        <v>0</v>
      </c>
      <c r="AR137" s="941"/>
      <c r="AT137" s="317"/>
      <c r="AU137" s="317"/>
    </row>
    <row r="138" spans="3:47" ht="13.15" customHeight="1" x14ac:dyDescent="0.2">
      <c r="C138" s="381"/>
      <c r="D138" s="895" t="str">
        <f>IF(op!D26=0,"",op!D26)</f>
        <v/>
      </c>
      <c r="E138" s="895" t="str">
        <f>IF(op!E26=0,"",op!E26)</f>
        <v/>
      </c>
      <c r="F138" s="390" t="str">
        <f>IF(op!F26="","",op!F26+1)</f>
        <v/>
      </c>
      <c r="G138" s="896" t="str">
        <f>IF(op!G26=0,"",op!G26)</f>
        <v/>
      </c>
      <c r="H138" s="390" t="str">
        <f>IF(op!H26="","",op!H26)</f>
        <v/>
      </c>
      <c r="I138" s="897" t="str">
        <f t="shared" si="55"/>
        <v/>
      </c>
      <c r="J138" s="898" t="str">
        <f>IF(op!J26="","",op!J26)</f>
        <v/>
      </c>
      <c r="K138" s="334"/>
      <c r="L138" s="1140" t="str">
        <f>IF(op!L26="","",op!L26)</f>
        <v/>
      </c>
      <c r="M138" s="1140" t="str">
        <f>IF(op!M26="","",op!M26)</f>
        <v/>
      </c>
      <c r="N138" s="899" t="str">
        <f t="shared" si="69"/>
        <v/>
      </c>
      <c r="O138" s="900" t="str">
        <f t="shared" si="70"/>
        <v/>
      </c>
      <c r="P138" s="901" t="str">
        <f t="shared" si="71"/>
        <v/>
      </c>
      <c r="Q138" s="568" t="str">
        <f t="shared" si="56"/>
        <v/>
      </c>
      <c r="R138" s="902" t="str">
        <f t="shared" si="72"/>
        <v/>
      </c>
      <c r="S138" s="903">
        <f t="shared" si="57"/>
        <v>0</v>
      </c>
      <c r="T138" s="334"/>
      <c r="X138" s="887" t="str">
        <f t="shared" si="58"/>
        <v/>
      </c>
      <c r="Y138" s="904">
        <f t="shared" si="59"/>
        <v>0.6</v>
      </c>
      <c r="Z138" s="905" t="e">
        <f t="shared" si="73"/>
        <v>#VALUE!</v>
      </c>
      <c r="AA138" s="905" t="e">
        <f t="shared" si="74"/>
        <v>#VALUE!</v>
      </c>
      <c r="AB138" s="905" t="e">
        <f t="shared" si="75"/>
        <v>#VALUE!</v>
      </c>
      <c r="AC138" s="906" t="e">
        <f t="shared" si="60"/>
        <v>#VALUE!</v>
      </c>
      <c r="AD138" s="907">
        <f t="shared" si="61"/>
        <v>0</v>
      </c>
      <c r="AE138" s="904">
        <f>IF(H138&gt;8,tab!C$194,tab!C$197)</f>
        <v>0.5</v>
      </c>
      <c r="AF138" s="907">
        <f t="shared" si="76"/>
        <v>0</v>
      </c>
      <c r="AG138" s="887">
        <f t="shared" si="62"/>
        <v>0</v>
      </c>
      <c r="AH138" s="908" t="e">
        <f t="shared" si="63"/>
        <v>#VALUE!</v>
      </c>
      <c r="AI138" s="815" t="e">
        <f t="shared" si="64"/>
        <v>#VALUE!</v>
      </c>
      <c r="AJ138" s="540">
        <f t="shared" si="65"/>
        <v>30</v>
      </c>
      <c r="AK138" s="540">
        <f t="shared" si="66"/>
        <v>30</v>
      </c>
      <c r="AL138" s="909">
        <f t="shared" si="67"/>
        <v>0</v>
      </c>
      <c r="AN138" s="539">
        <f t="shared" si="68"/>
        <v>0</v>
      </c>
      <c r="AR138" s="941"/>
      <c r="AT138" s="317"/>
      <c r="AU138" s="317"/>
    </row>
    <row r="139" spans="3:47" ht="13.15" customHeight="1" x14ac:dyDescent="0.2">
      <c r="C139" s="381"/>
      <c r="D139" s="895" t="str">
        <f>IF(op!D27=0,"",op!D27)</f>
        <v/>
      </c>
      <c r="E139" s="895" t="str">
        <f>IF(op!E27=0,"",op!E27)</f>
        <v/>
      </c>
      <c r="F139" s="390" t="str">
        <f>IF(op!F27="","",op!F27+1)</f>
        <v/>
      </c>
      <c r="G139" s="896" t="str">
        <f>IF(op!G27=0,"",op!G27)</f>
        <v/>
      </c>
      <c r="H139" s="390" t="str">
        <f>IF(op!H27="","",op!H27)</f>
        <v/>
      </c>
      <c r="I139" s="897" t="str">
        <f t="shared" si="55"/>
        <v/>
      </c>
      <c r="J139" s="898" t="str">
        <f>IF(op!J27="","",op!J27)</f>
        <v/>
      </c>
      <c r="K139" s="334"/>
      <c r="L139" s="1140" t="str">
        <f>IF(op!L27="","",op!L27)</f>
        <v/>
      </c>
      <c r="M139" s="1140" t="str">
        <f>IF(op!M27="","",op!M27)</f>
        <v/>
      </c>
      <c r="N139" s="899" t="str">
        <f t="shared" si="69"/>
        <v/>
      </c>
      <c r="O139" s="900" t="str">
        <f t="shared" si="70"/>
        <v/>
      </c>
      <c r="P139" s="901" t="str">
        <f t="shared" si="71"/>
        <v/>
      </c>
      <c r="Q139" s="568" t="str">
        <f t="shared" si="56"/>
        <v/>
      </c>
      <c r="R139" s="902" t="str">
        <f t="shared" si="72"/>
        <v/>
      </c>
      <c r="S139" s="903">
        <f t="shared" si="57"/>
        <v>0</v>
      </c>
      <c r="T139" s="334"/>
      <c r="X139" s="887" t="str">
        <f t="shared" si="58"/>
        <v/>
      </c>
      <c r="Y139" s="904">
        <f t="shared" si="59"/>
        <v>0.6</v>
      </c>
      <c r="Z139" s="905" t="e">
        <f t="shared" si="73"/>
        <v>#VALUE!</v>
      </c>
      <c r="AA139" s="905" t="e">
        <f t="shared" si="74"/>
        <v>#VALUE!</v>
      </c>
      <c r="AB139" s="905" t="e">
        <f t="shared" si="75"/>
        <v>#VALUE!</v>
      </c>
      <c r="AC139" s="906" t="e">
        <f t="shared" si="60"/>
        <v>#VALUE!</v>
      </c>
      <c r="AD139" s="907">
        <f t="shared" si="61"/>
        <v>0</v>
      </c>
      <c r="AE139" s="904">
        <f>IF(H139&gt;8,tab!C$194,tab!C$197)</f>
        <v>0.5</v>
      </c>
      <c r="AF139" s="907">
        <f t="shared" si="76"/>
        <v>0</v>
      </c>
      <c r="AG139" s="887">
        <f t="shared" si="62"/>
        <v>0</v>
      </c>
      <c r="AH139" s="908" t="e">
        <f t="shared" si="63"/>
        <v>#VALUE!</v>
      </c>
      <c r="AI139" s="815" t="e">
        <f t="shared" si="64"/>
        <v>#VALUE!</v>
      </c>
      <c r="AJ139" s="540">
        <f t="shared" si="65"/>
        <v>30</v>
      </c>
      <c r="AK139" s="540">
        <f t="shared" si="66"/>
        <v>30</v>
      </c>
      <c r="AL139" s="909">
        <f t="shared" si="67"/>
        <v>0</v>
      </c>
      <c r="AN139" s="539">
        <f t="shared" si="68"/>
        <v>0</v>
      </c>
      <c r="AR139" s="941"/>
      <c r="AT139" s="317"/>
      <c r="AU139" s="317"/>
    </row>
    <row r="140" spans="3:47" ht="13.15" customHeight="1" x14ac:dyDescent="0.2">
      <c r="C140" s="381"/>
      <c r="D140" s="895" t="str">
        <f>IF(op!D28=0,"",op!D28)</f>
        <v/>
      </c>
      <c r="E140" s="895" t="str">
        <f>IF(op!E28=0,"",op!E28)</f>
        <v/>
      </c>
      <c r="F140" s="390" t="str">
        <f>IF(op!F28="","",op!F28+1)</f>
        <v/>
      </c>
      <c r="G140" s="896" t="str">
        <f>IF(op!G28=0,"",op!G28)</f>
        <v/>
      </c>
      <c r="H140" s="390" t="str">
        <f>IF(op!H28="","",op!H28)</f>
        <v/>
      </c>
      <c r="I140" s="897" t="str">
        <f t="shared" si="55"/>
        <v/>
      </c>
      <c r="J140" s="898" t="str">
        <f>IF(op!J28="","",op!J28)</f>
        <v/>
      </c>
      <c r="K140" s="334"/>
      <c r="L140" s="1140" t="str">
        <f>IF(op!L28="","",op!L28)</f>
        <v/>
      </c>
      <c r="M140" s="1140" t="str">
        <f>IF(op!M28="","",op!M28)</f>
        <v/>
      </c>
      <c r="N140" s="899" t="str">
        <f t="shared" si="69"/>
        <v/>
      </c>
      <c r="O140" s="900" t="str">
        <f t="shared" si="70"/>
        <v/>
      </c>
      <c r="P140" s="901" t="str">
        <f t="shared" si="71"/>
        <v/>
      </c>
      <c r="Q140" s="568" t="str">
        <f t="shared" si="56"/>
        <v/>
      </c>
      <c r="R140" s="902" t="str">
        <f t="shared" si="72"/>
        <v/>
      </c>
      <c r="S140" s="903">
        <f t="shared" si="57"/>
        <v>0</v>
      </c>
      <c r="T140" s="334"/>
      <c r="X140" s="887" t="str">
        <f t="shared" si="58"/>
        <v/>
      </c>
      <c r="Y140" s="904">
        <f t="shared" si="59"/>
        <v>0.6</v>
      </c>
      <c r="Z140" s="905" t="e">
        <f t="shared" si="73"/>
        <v>#VALUE!</v>
      </c>
      <c r="AA140" s="905" t="e">
        <f t="shared" si="74"/>
        <v>#VALUE!</v>
      </c>
      <c r="AB140" s="905" t="e">
        <f t="shared" si="75"/>
        <v>#VALUE!</v>
      </c>
      <c r="AC140" s="906" t="e">
        <f t="shared" si="60"/>
        <v>#VALUE!</v>
      </c>
      <c r="AD140" s="907">
        <f t="shared" si="61"/>
        <v>0</v>
      </c>
      <c r="AE140" s="904">
        <f>IF(H140&gt;8,tab!C$194,tab!C$197)</f>
        <v>0.5</v>
      </c>
      <c r="AF140" s="907">
        <f t="shared" si="76"/>
        <v>0</v>
      </c>
      <c r="AG140" s="887">
        <f t="shared" si="62"/>
        <v>0</v>
      </c>
      <c r="AH140" s="908" t="e">
        <f t="shared" si="63"/>
        <v>#VALUE!</v>
      </c>
      <c r="AI140" s="815" t="e">
        <f t="shared" si="64"/>
        <v>#VALUE!</v>
      </c>
      <c r="AJ140" s="540">
        <f t="shared" si="65"/>
        <v>30</v>
      </c>
      <c r="AK140" s="540">
        <f t="shared" si="66"/>
        <v>30</v>
      </c>
      <c r="AL140" s="909">
        <f t="shared" si="67"/>
        <v>0</v>
      </c>
      <c r="AN140" s="539">
        <f t="shared" si="68"/>
        <v>0</v>
      </c>
      <c r="AR140" s="941"/>
      <c r="AT140" s="317"/>
      <c r="AU140" s="317"/>
    </row>
    <row r="141" spans="3:47" ht="13.15" customHeight="1" x14ac:dyDescent="0.2">
      <c r="C141" s="381"/>
      <c r="D141" s="895" t="str">
        <f>IF(op!D29=0,"",op!D29)</f>
        <v/>
      </c>
      <c r="E141" s="895" t="str">
        <f>IF(op!E29=0,"",op!E29)</f>
        <v/>
      </c>
      <c r="F141" s="390" t="str">
        <f>IF(op!F29="","",op!F29+1)</f>
        <v/>
      </c>
      <c r="G141" s="896" t="str">
        <f>IF(op!G29=0,"",op!G29)</f>
        <v/>
      </c>
      <c r="H141" s="390" t="str">
        <f>IF(op!H29="","",op!H29)</f>
        <v/>
      </c>
      <c r="I141" s="897" t="str">
        <f t="shared" si="55"/>
        <v/>
      </c>
      <c r="J141" s="898" t="str">
        <f>IF(op!J29="","",op!J29)</f>
        <v/>
      </c>
      <c r="K141" s="334"/>
      <c r="L141" s="1140" t="str">
        <f>IF(op!L29="","",op!L29)</f>
        <v/>
      </c>
      <c r="M141" s="1140" t="str">
        <f>IF(op!M29="","",op!M29)</f>
        <v/>
      </c>
      <c r="N141" s="899" t="str">
        <f t="shared" si="69"/>
        <v/>
      </c>
      <c r="O141" s="900" t="str">
        <f t="shared" si="70"/>
        <v/>
      </c>
      <c r="P141" s="901" t="str">
        <f t="shared" si="71"/>
        <v/>
      </c>
      <c r="Q141" s="568" t="str">
        <f t="shared" si="56"/>
        <v/>
      </c>
      <c r="R141" s="902" t="str">
        <f t="shared" si="72"/>
        <v/>
      </c>
      <c r="S141" s="903">
        <f t="shared" si="57"/>
        <v>0</v>
      </c>
      <c r="T141" s="334"/>
      <c r="X141" s="887" t="str">
        <f t="shared" si="58"/>
        <v/>
      </c>
      <c r="Y141" s="904">
        <f t="shared" si="59"/>
        <v>0.6</v>
      </c>
      <c r="Z141" s="905" t="e">
        <f t="shared" si="73"/>
        <v>#VALUE!</v>
      </c>
      <c r="AA141" s="905" t="e">
        <f t="shared" si="74"/>
        <v>#VALUE!</v>
      </c>
      <c r="AB141" s="905" t="e">
        <f t="shared" si="75"/>
        <v>#VALUE!</v>
      </c>
      <c r="AC141" s="906" t="e">
        <f t="shared" si="60"/>
        <v>#VALUE!</v>
      </c>
      <c r="AD141" s="907">
        <f t="shared" si="61"/>
        <v>0</v>
      </c>
      <c r="AE141" s="904">
        <f>IF(H141&gt;8,tab!C$194,tab!C$197)</f>
        <v>0.5</v>
      </c>
      <c r="AF141" s="907">
        <f t="shared" si="76"/>
        <v>0</v>
      </c>
      <c r="AG141" s="887">
        <f t="shared" si="62"/>
        <v>0</v>
      </c>
      <c r="AH141" s="908" t="e">
        <f t="shared" si="63"/>
        <v>#VALUE!</v>
      </c>
      <c r="AI141" s="815" t="e">
        <f t="shared" si="64"/>
        <v>#VALUE!</v>
      </c>
      <c r="AJ141" s="540">
        <f t="shared" si="65"/>
        <v>30</v>
      </c>
      <c r="AK141" s="540">
        <f t="shared" si="66"/>
        <v>30</v>
      </c>
      <c r="AL141" s="909">
        <f t="shared" si="67"/>
        <v>0</v>
      </c>
      <c r="AN141" s="539">
        <f t="shared" si="68"/>
        <v>0</v>
      </c>
      <c r="AR141" s="941"/>
      <c r="AT141" s="317"/>
      <c r="AU141" s="317"/>
    </row>
    <row r="142" spans="3:47" ht="13.15" customHeight="1" x14ac:dyDescent="0.2">
      <c r="C142" s="381"/>
      <c r="D142" s="895" t="str">
        <f>IF(op!D30=0,"",op!D30)</f>
        <v/>
      </c>
      <c r="E142" s="895" t="str">
        <f>IF(op!E30=0,"",op!E30)</f>
        <v/>
      </c>
      <c r="F142" s="390" t="str">
        <f>IF(op!F30="","",op!F30+1)</f>
        <v/>
      </c>
      <c r="G142" s="896" t="str">
        <f>IF(op!G30=0,"",op!G30)</f>
        <v/>
      </c>
      <c r="H142" s="390" t="str">
        <f>IF(op!H30="","",op!H30)</f>
        <v/>
      </c>
      <c r="I142" s="897" t="str">
        <f t="shared" si="55"/>
        <v/>
      </c>
      <c r="J142" s="898" t="str">
        <f>IF(op!J30="","",op!J30)</f>
        <v/>
      </c>
      <c r="K142" s="334"/>
      <c r="L142" s="1140" t="str">
        <f>IF(op!L30="","",op!L30)</f>
        <v/>
      </c>
      <c r="M142" s="1140" t="str">
        <f>IF(op!M30="","",op!M30)</f>
        <v/>
      </c>
      <c r="N142" s="899" t="str">
        <f t="shared" si="69"/>
        <v/>
      </c>
      <c r="O142" s="900" t="str">
        <f t="shared" si="70"/>
        <v/>
      </c>
      <c r="P142" s="901" t="str">
        <f t="shared" si="71"/>
        <v/>
      </c>
      <c r="Q142" s="568" t="str">
        <f t="shared" si="56"/>
        <v/>
      </c>
      <c r="R142" s="902" t="str">
        <f t="shared" si="72"/>
        <v/>
      </c>
      <c r="S142" s="903">
        <f t="shared" si="57"/>
        <v>0</v>
      </c>
      <c r="T142" s="334"/>
      <c r="X142" s="887" t="str">
        <f t="shared" si="58"/>
        <v/>
      </c>
      <c r="Y142" s="904">
        <f t="shared" si="59"/>
        <v>0.6</v>
      </c>
      <c r="Z142" s="905" t="e">
        <f t="shared" si="73"/>
        <v>#VALUE!</v>
      </c>
      <c r="AA142" s="905" t="e">
        <f t="shared" si="74"/>
        <v>#VALUE!</v>
      </c>
      <c r="AB142" s="905" t="e">
        <f t="shared" si="75"/>
        <v>#VALUE!</v>
      </c>
      <c r="AC142" s="906" t="e">
        <f t="shared" si="60"/>
        <v>#VALUE!</v>
      </c>
      <c r="AD142" s="907">
        <f t="shared" si="61"/>
        <v>0</v>
      </c>
      <c r="AE142" s="904">
        <f>IF(H142&gt;8,tab!C$194,tab!C$197)</f>
        <v>0.5</v>
      </c>
      <c r="AF142" s="907">
        <f t="shared" si="76"/>
        <v>0</v>
      </c>
      <c r="AG142" s="887">
        <f t="shared" si="62"/>
        <v>0</v>
      </c>
      <c r="AH142" s="908" t="e">
        <f t="shared" si="63"/>
        <v>#VALUE!</v>
      </c>
      <c r="AI142" s="815" t="e">
        <f t="shared" si="64"/>
        <v>#VALUE!</v>
      </c>
      <c r="AJ142" s="540">
        <f t="shared" si="65"/>
        <v>30</v>
      </c>
      <c r="AK142" s="540">
        <f t="shared" si="66"/>
        <v>30</v>
      </c>
      <c r="AL142" s="909">
        <f t="shared" si="67"/>
        <v>0</v>
      </c>
      <c r="AN142" s="539">
        <f t="shared" si="68"/>
        <v>0</v>
      </c>
      <c r="AR142" s="941"/>
      <c r="AT142" s="317"/>
      <c r="AU142" s="317"/>
    </row>
    <row r="143" spans="3:47" ht="13.15" customHeight="1" x14ac:dyDescent="0.2">
      <c r="C143" s="381"/>
      <c r="D143" s="895" t="str">
        <f>IF(op!D31=0,"",op!D31)</f>
        <v/>
      </c>
      <c r="E143" s="895" t="str">
        <f>IF(op!E31=0,"",op!E31)</f>
        <v/>
      </c>
      <c r="F143" s="390" t="str">
        <f>IF(op!F31="","",op!F31+1)</f>
        <v/>
      </c>
      <c r="G143" s="896" t="str">
        <f>IF(op!G31=0,"",op!G31)</f>
        <v/>
      </c>
      <c r="H143" s="390" t="str">
        <f>IF(op!H31="","",op!H31)</f>
        <v/>
      </c>
      <c r="I143" s="897" t="str">
        <f t="shared" si="55"/>
        <v/>
      </c>
      <c r="J143" s="898" t="str">
        <f>IF(op!J31="","",op!J31)</f>
        <v/>
      </c>
      <c r="K143" s="334"/>
      <c r="L143" s="1140" t="str">
        <f>IF(op!L31="","",op!L31)</f>
        <v/>
      </c>
      <c r="M143" s="1140" t="str">
        <f>IF(op!M31="","",op!M31)</f>
        <v/>
      </c>
      <c r="N143" s="899" t="str">
        <f t="shared" si="69"/>
        <v/>
      </c>
      <c r="O143" s="900" t="str">
        <f t="shared" si="70"/>
        <v/>
      </c>
      <c r="P143" s="901" t="str">
        <f t="shared" si="71"/>
        <v/>
      </c>
      <c r="Q143" s="568" t="str">
        <f t="shared" si="56"/>
        <v/>
      </c>
      <c r="R143" s="902" t="str">
        <f t="shared" si="72"/>
        <v/>
      </c>
      <c r="S143" s="903">
        <f t="shared" si="57"/>
        <v>0</v>
      </c>
      <c r="T143" s="334"/>
      <c r="X143" s="887" t="str">
        <f t="shared" si="58"/>
        <v/>
      </c>
      <c r="Y143" s="904">
        <f t="shared" si="59"/>
        <v>0.6</v>
      </c>
      <c r="Z143" s="905" t="e">
        <f t="shared" si="73"/>
        <v>#VALUE!</v>
      </c>
      <c r="AA143" s="905" t="e">
        <f t="shared" si="74"/>
        <v>#VALUE!</v>
      </c>
      <c r="AB143" s="905" t="e">
        <f t="shared" si="75"/>
        <v>#VALUE!</v>
      </c>
      <c r="AC143" s="906" t="e">
        <f t="shared" si="60"/>
        <v>#VALUE!</v>
      </c>
      <c r="AD143" s="907">
        <f t="shared" si="61"/>
        <v>0</v>
      </c>
      <c r="AE143" s="904">
        <f>IF(H143&gt;8,tab!C$194,tab!C$197)</f>
        <v>0.5</v>
      </c>
      <c r="AF143" s="907">
        <f t="shared" si="76"/>
        <v>0</v>
      </c>
      <c r="AG143" s="887">
        <f t="shared" si="62"/>
        <v>0</v>
      </c>
      <c r="AH143" s="908" t="e">
        <f t="shared" si="63"/>
        <v>#VALUE!</v>
      </c>
      <c r="AI143" s="815" t="e">
        <f t="shared" si="64"/>
        <v>#VALUE!</v>
      </c>
      <c r="AJ143" s="540">
        <f t="shared" si="65"/>
        <v>30</v>
      </c>
      <c r="AK143" s="540">
        <f t="shared" si="66"/>
        <v>30</v>
      </c>
      <c r="AL143" s="909">
        <f t="shared" si="67"/>
        <v>0</v>
      </c>
      <c r="AN143" s="539">
        <f t="shared" si="68"/>
        <v>0</v>
      </c>
      <c r="AR143" s="941"/>
      <c r="AT143" s="317"/>
      <c r="AU143" s="317"/>
    </row>
    <row r="144" spans="3:47" ht="13.15" customHeight="1" x14ac:dyDescent="0.2">
      <c r="C144" s="381"/>
      <c r="D144" s="895" t="str">
        <f>IF(op!D32=0,"",op!D32)</f>
        <v/>
      </c>
      <c r="E144" s="895" t="str">
        <f>IF(op!E32=0,"",op!E32)</f>
        <v/>
      </c>
      <c r="F144" s="390" t="str">
        <f>IF(op!F32="","",op!F32+1)</f>
        <v/>
      </c>
      <c r="G144" s="896" t="str">
        <f>IF(op!G32=0,"",op!G32)</f>
        <v/>
      </c>
      <c r="H144" s="390" t="str">
        <f>IF(op!H32="","",op!H32)</f>
        <v/>
      </c>
      <c r="I144" s="897" t="str">
        <f t="shared" si="55"/>
        <v/>
      </c>
      <c r="J144" s="898" t="str">
        <f>IF(op!J32="","",op!J32)</f>
        <v/>
      </c>
      <c r="K144" s="334"/>
      <c r="L144" s="1140" t="str">
        <f>IF(op!L32="","",op!L32)</f>
        <v/>
      </c>
      <c r="M144" s="1140" t="str">
        <f>IF(op!M32="","",op!M32)</f>
        <v/>
      </c>
      <c r="N144" s="899" t="str">
        <f t="shared" si="69"/>
        <v/>
      </c>
      <c r="O144" s="900" t="str">
        <f t="shared" si="70"/>
        <v/>
      </c>
      <c r="P144" s="901" t="str">
        <f t="shared" si="71"/>
        <v/>
      </c>
      <c r="Q144" s="568" t="str">
        <f t="shared" si="56"/>
        <v/>
      </c>
      <c r="R144" s="902" t="str">
        <f t="shared" si="72"/>
        <v/>
      </c>
      <c r="S144" s="903">
        <f t="shared" si="57"/>
        <v>0</v>
      </c>
      <c r="T144" s="334"/>
      <c r="X144" s="887" t="str">
        <f t="shared" si="58"/>
        <v/>
      </c>
      <c r="Y144" s="904">
        <f t="shared" si="59"/>
        <v>0.6</v>
      </c>
      <c r="Z144" s="905" t="e">
        <f t="shared" si="73"/>
        <v>#VALUE!</v>
      </c>
      <c r="AA144" s="905" t="e">
        <f t="shared" si="74"/>
        <v>#VALUE!</v>
      </c>
      <c r="AB144" s="905" t="e">
        <f t="shared" si="75"/>
        <v>#VALUE!</v>
      </c>
      <c r="AC144" s="906" t="e">
        <f t="shared" si="60"/>
        <v>#VALUE!</v>
      </c>
      <c r="AD144" s="907">
        <f t="shared" si="61"/>
        <v>0</v>
      </c>
      <c r="AE144" s="904">
        <f>IF(H144&gt;8,tab!C$194,tab!C$197)</f>
        <v>0.5</v>
      </c>
      <c r="AF144" s="907">
        <f t="shared" si="76"/>
        <v>0</v>
      </c>
      <c r="AG144" s="887">
        <f t="shared" si="62"/>
        <v>0</v>
      </c>
      <c r="AH144" s="908" t="e">
        <f t="shared" si="63"/>
        <v>#VALUE!</v>
      </c>
      <c r="AI144" s="815" t="e">
        <f t="shared" si="64"/>
        <v>#VALUE!</v>
      </c>
      <c r="AJ144" s="540">
        <f t="shared" si="65"/>
        <v>30</v>
      </c>
      <c r="AK144" s="540">
        <f t="shared" si="66"/>
        <v>30</v>
      </c>
      <c r="AL144" s="909">
        <f t="shared" si="67"/>
        <v>0</v>
      </c>
      <c r="AN144" s="539">
        <f t="shared" si="68"/>
        <v>0</v>
      </c>
      <c r="AR144" s="941"/>
      <c r="AT144" s="317"/>
      <c r="AU144" s="317"/>
    </row>
    <row r="145" spans="3:47" ht="13.15" customHeight="1" x14ac:dyDescent="0.2">
      <c r="C145" s="381"/>
      <c r="D145" s="895" t="str">
        <f>IF(op!D33=0,"",op!D33)</f>
        <v/>
      </c>
      <c r="E145" s="895" t="str">
        <f>IF(op!E33=0,"",op!E33)</f>
        <v/>
      </c>
      <c r="F145" s="390" t="str">
        <f>IF(op!F33="","",op!F33+1)</f>
        <v/>
      </c>
      <c r="G145" s="896" t="str">
        <f>IF(op!G33=0,"",op!G33)</f>
        <v/>
      </c>
      <c r="H145" s="390" t="str">
        <f>IF(op!H33="","",op!H33)</f>
        <v/>
      </c>
      <c r="I145" s="897" t="str">
        <f t="shared" si="55"/>
        <v/>
      </c>
      <c r="J145" s="898" t="str">
        <f>IF(op!J33="","",op!J33)</f>
        <v/>
      </c>
      <c r="K145" s="334"/>
      <c r="L145" s="1140" t="str">
        <f>IF(op!L33="","",op!L33)</f>
        <v/>
      </c>
      <c r="M145" s="1140" t="str">
        <f>IF(op!M33="","",op!M33)</f>
        <v/>
      </c>
      <c r="N145" s="899" t="str">
        <f t="shared" si="69"/>
        <v/>
      </c>
      <c r="O145" s="900" t="str">
        <f t="shared" si="70"/>
        <v/>
      </c>
      <c r="P145" s="901" t="str">
        <f t="shared" si="71"/>
        <v/>
      </c>
      <c r="Q145" s="568" t="str">
        <f t="shared" si="56"/>
        <v/>
      </c>
      <c r="R145" s="902" t="str">
        <f t="shared" si="72"/>
        <v/>
      </c>
      <c r="S145" s="903">
        <f t="shared" si="57"/>
        <v>0</v>
      </c>
      <c r="T145" s="334"/>
      <c r="X145" s="887" t="str">
        <f t="shared" si="58"/>
        <v/>
      </c>
      <c r="Y145" s="904">
        <f t="shared" si="59"/>
        <v>0.6</v>
      </c>
      <c r="Z145" s="905" t="e">
        <f t="shared" si="73"/>
        <v>#VALUE!</v>
      </c>
      <c r="AA145" s="905" t="e">
        <f t="shared" si="74"/>
        <v>#VALUE!</v>
      </c>
      <c r="AB145" s="905" t="e">
        <f t="shared" si="75"/>
        <v>#VALUE!</v>
      </c>
      <c r="AC145" s="906" t="e">
        <f t="shared" si="60"/>
        <v>#VALUE!</v>
      </c>
      <c r="AD145" s="907">
        <f t="shared" si="61"/>
        <v>0</v>
      </c>
      <c r="AE145" s="904">
        <f>IF(H145&gt;8,tab!C$194,tab!C$197)</f>
        <v>0.5</v>
      </c>
      <c r="AF145" s="907">
        <f t="shared" si="76"/>
        <v>0</v>
      </c>
      <c r="AG145" s="887">
        <f t="shared" si="62"/>
        <v>0</v>
      </c>
      <c r="AH145" s="908" t="e">
        <f t="shared" si="63"/>
        <v>#VALUE!</v>
      </c>
      <c r="AI145" s="815" t="e">
        <f t="shared" si="64"/>
        <v>#VALUE!</v>
      </c>
      <c r="AJ145" s="540">
        <f t="shared" si="65"/>
        <v>30</v>
      </c>
      <c r="AK145" s="540">
        <f t="shared" si="66"/>
        <v>30</v>
      </c>
      <c r="AL145" s="909">
        <f t="shared" si="67"/>
        <v>0</v>
      </c>
      <c r="AN145" s="539">
        <f t="shared" si="68"/>
        <v>0</v>
      </c>
      <c r="AR145" s="941"/>
      <c r="AT145" s="317"/>
      <c r="AU145" s="317"/>
    </row>
    <row r="146" spans="3:47" ht="13.15" customHeight="1" x14ac:dyDescent="0.2">
      <c r="C146" s="381"/>
      <c r="D146" s="895" t="str">
        <f>IF(op!D34=0,"",op!D34)</f>
        <v/>
      </c>
      <c r="E146" s="895" t="str">
        <f>IF(op!E34=0,"",op!E34)</f>
        <v/>
      </c>
      <c r="F146" s="390" t="str">
        <f>IF(op!F34="","",op!F34+1)</f>
        <v/>
      </c>
      <c r="G146" s="896" t="str">
        <f>IF(op!G34=0,"",op!G34)</f>
        <v/>
      </c>
      <c r="H146" s="390" t="str">
        <f>IF(op!H34="","",op!H34)</f>
        <v/>
      </c>
      <c r="I146" s="897" t="str">
        <f t="shared" si="55"/>
        <v/>
      </c>
      <c r="J146" s="898" t="str">
        <f>IF(op!J34="","",op!J34)</f>
        <v/>
      </c>
      <c r="K146" s="334"/>
      <c r="L146" s="1140" t="str">
        <f>IF(op!L34="","",op!L34)</f>
        <v/>
      </c>
      <c r="M146" s="1140" t="str">
        <f>IF(op!M34="","",op!M34)</f>
        <v/>
      </c>
      <c r="N146" s="899" t="str">
        <f t="shared" si="69"/>
        <v/>
      </c>
      <c r="O146" s="900" t="str">
        <f t="shared" si="70"/>
        <v/>
      </c>
      <c r="P146" s="901" t="str">
        <f t="shared" si="71"/>
        <v/>
      </c>
      <c r="Q146" s="568" t="str">
        <f t="shared" si="56"/>
        <v/>
      </c>
      <c r="R146" s="902" t="str">
        <f t="shared" si="72"/>
        <v/>
      </c>
      <c r="S146" s="903">
        <f t="shared" si="57"/>
        <v>0</v>
      </c>
      <c r="T146" s="334"/>
      <c r="X146" s="887" t="str">
        <f t="shared" si="58"/>
        <v/>
      </c>
      <c r="Y146" s="904">
        <f t="shared" si="59"/>
        <v>0.6</v>
      </c>
      <c r="Z146" s="905" t="e">
        <f t="shared" si="73"/>
        <v>#VALUE!</v>
      </c>
      <c r="AA146" s="905" t="e">
        <f t="shared" si="74"/>
        <v>#VALUE!</v>
      </c>
      <c r="AB146" s="905" t="e">
        <f t="shared" si="75"/>
        <v>#VALUE!</v>
      </c>
      <c r="AC146" s="906" t="e">
        <f t="shared" si="60"/>
        <v>#VALUE!</v>
      </c>
      <c r="AD146" s="907">
        <f t="shared" si="61"/>
        <v>0</v>
      </c>
      <c r="AE146" s="904">
        <f>IF(H146&gt;8,tab!C$194,tab!C$197)</f>
        <v>0.5</v>
      </c>
      <c r="AF146" s="907">
        <f t="shared" si="76"/>
        <v>0</v>
      </c>
      <c r="AG146" s="887">
        <f t="shared" si="62"/>
        <v>0</v>
      </c>
      <c r="AH146" s="908" t="e">
        <f t="shared" si="63"/>
        <v>#VALUE!</v>
      </c>
      <c r="AI146" s="815" t="e">
        <f t="shared" si="64"/>
        <v>#VALUE!</v>
      </c>
      <c r="AJ146" s="540">
        <f t="shared" si="65"/>
        <v>30</v>
      </c>
      <c r="AK146" s="540">
        <f t="shared" si="66"/>
        <v>30</v>
      </c>
      <c r="AL146" s="909">
        <f t="shared" si="67"/>
        <v>0</v>
      </c>
      <c r="AN146" s="539">
        <f t="shared" si="68"/>
        <v>0</v>
      </c>
      <c r="AR146" s="941"/>
      <c r="AT146" s="317"/>
      <c r="AU146" s="317"/>
    </row>
    <row r="147" spans="3:47" ht="13.15" customHeight="1" x14ac:dyDescent="0.2">
      <c r="C147" s="381"/>
      <c r="D147" s="895" t="str">
        <f>IF(op!D35=0,"",op!D35)</f>
        <v/>
      </c>
      <c r="E147" s="895" t="str">
        <f>IF(op!E35=0,"",op!E35)</f>
        <v/>
      </c>
      <c r="F147" s="390" t="str">
        <f>IF(op!F35="","",op!F35+1)</f>
        <v/>
      </c>
      <c r="G147" s="896" t="str">
        <f>IF(op!G35=0,"",op!G35)</f>
        <v/>
      </c>
      <c r="H147" s="390" t="str">
        <f>IF(op!H35="","",op!H35)</f>
        <v/>
      </c>
      <c r="I147" s="897" t="str">
        <f t="shared" si="55"/>
        <v/>
      </c>
      <c r="J147" s="898" t="str">
        <f>IF(op!J35="","",op!J35)</f>
        <v/>
      </c>
      <c r="K147" s="334"/>
      <c r="L147" s="1140" t="str">
        <f>IF(op!L35="","",op!L35)</f>
        <v/>
      </c>
      <c r="M147" s="1140" t="str">
        <f>IF(op!M35="","",op!M35)</f>
        <v/>
      </c>
      <c r="N147" s="899" t="str">
        <f t="shared" si="69"/>
        <v/>
      </c>
      <c r="O147" s="900" t="str">
        <f t="shared" si="70"/>
        <v/>
      </c>
      <c r="P147" s="901" t="str">
        <f t="shared" si="71"/>
        <v/>
      </c>
      <c r="Q147" s="568" t="str">
        <f t="shared" si="56"/>
        <v/>
      </c>
      <c r="R147" s="902" t="str">
        <f t="shared" si="72"/>
        <v/>
      </c>
      <c r="S147" s="903">
        <f t="shared" si="57"/>
        <v>0</v>
      </c>
      <c r="T147" s="334"/>
      <c r="X147" s="887" t="str">
        <f t="shared" si="58"/>
        <v/>
      </c>
      <c r="Y147" s="904">
        <f t="shared" si="59"/>
        <v>0.6</v>
      </c>
      <c r="Z147" s="905" t="e">
        <f t="shared" si="73"/>
        <v>#VALUE!</v>
      </c>
      <c r="AA147" s="905" t="e">
        <f t="shared" si="74"/>
        <v>#VALUE!</v>
      </c>
      <c r="AB147" s="905" t="e">
        <f t="shared" si="75"/>
        <v>#VALUE!</v>
      </c>
      <c r="AC147" s="906" t="e">
        <f t="shared" si="60"/>
        <v>#VALUE!</v>
      </c>
      <c r="AD147" s="907">
        <f t="shared" si="61"/>
        <v>0</v>
      </c>
      <c r="AE147" s="904">
        <f>IF(H147&gt;8,tab!C$194,tab!C$197)</f>
        <v>0.5</v>
      </c>
      <c r="AF147" s="907">
        <f t="shared" si="76"/>
        <v>0</v>
      </c>
      <c r="AG147" s="887">
        <f t="shared" si="62"/>
        <v>0</v>
      </c>
      <c r="AH147" s="908" t="e">
        <f t="shared" si="63"/>
        <v>#VALUE!</v>
      </c>
      <c r="AI147" s="815" t="e">
        <f t="shared" si="64"/>
        <v>#VALUE!</v>
      </c>
      <c r="AJ147" s="540">
        <f t="shared" si="65"/>
        <v>30</v>
      </c>
      <c r="AK147" s="540">
        <f t="shared" si="66"/>
        <v>30</v>
      </c>
      <c r="AL147" s="909">
        <f t="shared" si="67"/>
        <v>0</v>
      </c>
      <c r="AN147" s="539">
        <f t="shared" si="68"/>
        <v>0</v>
      </c>
      <c r="AR147" s="941"/>
      <c r="AT147" s="317"/>
      <c r="AU147" s="317"/>
    </row>
    <row r="148" spans="3:47" ht="13.15" customHeight="1" x14ac:dyDescent="0.2">
      <c r="C148" s="381"/>
      <c r="D148" s="895" t="str">
        <f>IF(op!D36=0,"",op!D36)</f>
        <v/>
      </c>
      <c r="E148" s="895" t="str">
        <f>IF(op!E36=0,"",op!E36)</f>
        <v/>
      </c>
      <c r="F148" s="390" t="str">
        <f>IF(op!F36="","",op!F36+1)</f>
        <v/>
      </c>
      <c r="G148" s="896" t="str">
        <f>IF(op!G36=0,"",op!G36)</f>
        <v/>
      </c>
      <c r="H148" s="390" t="str">
        <f>IF(op!H36="","",op!H36)</f>
        <v/>
      </c>
      <c r="I148" s="897" t="str">
        <f t="shared" si="55"/>
        <v/>
      </c>
      <c r="J148" s="898" t="str">
        <f>IF(op!J36="","",op!J36)</f>
        <v/>
      </c>
      <c r="K148" s="334"/>
      <c r="L148" s="1140" t="str">
        <f>IF(op!L36="","",op!L36)</f>
        <v/>
      </c>
      <c r="M148" s="1140" t="str">
        <f>IF(op!M36="","",op!M36)</f>
        <v/>
      </c>
      <c r="N148" s="899" t="str">
        <f t="shared" si="69"/>
        <v/>
      </c>
      <c r="O148" s="900" t="str">
        <f t="shared" si="70"/>
        <v/>
      </c>
      <c r="P148" s="901" t="str">
        <f t="shared" si="71"/>
        <v/>
      </c>
      <c r="Q148" s="568" t="str">
        <f t="shared" si="56"/>
        <v/>
      </c>
      <c r="R148" s="902" t="str">
        <f t="shared" si="72"/>
        <v/>
      </c>
      <c r="S148" s="903">
        <f t="shared" si="57"/>
        <v>0</v>
      </c>
      <c r="T148" s="334"/>
      <c r="X148" s="887" t="str">
        <f t="shared" si="58"/>
        <v/>
      </c>
      <c r="Y148" s="904">
        <f t="shared" si="59"/>
        <v>0.6</v>
      </c>
      <c r="Z148" s="905" t="e">
        <f t="shared" si="73"/>
        <v>#VALUE!</v>
      </c>
      <c r="AA148" s="905" t="e">
        <f t="shared" si="74"/>
        <v>#VALUE!</v>
      </c>
      <c r="AB148" s="905" t="e">
        <f t="shared" si="75"/>
        <v>#VALUE!</v>
      </c>
      <c r="AC148" s="906" t="e">
        <f t="shared" si="60"/>
        <v>#VALUE!</v>
      </c>
      <c r="AD148" s="907">
        <f t="shared" si="61"/>
        <v>0</v>
      </c>
      <c r="AE148" s="904">
        <f>IF(H148&gt;8,tab!C$194,tab!C$197)</f>
        <v>0.5</v>
      </c>
      <c r="AF148" s="907">
        <f t="shared" si="76"/>
        <v>0</v>
      </c>
      <c r="AG148" s="887">
        <f t="shared" si="62"/>
        <v>0</v>
      </c>
      <c r="AH148" s="908" t="e">
        <f t="shared" si="63"/>
        <v>#VALUE!</v>
      </c>
      <c r="AI148" s="815" t="e">
        <f t="shared" si="64"/>
        <v>#VALUE!</v>
      </c>
      <c r="AJ148" s="540">
        <f t="shared" si="65"/>
        <v>30</v>
      </c>
      <c r="AK148" s="540">
        <f t="shared" si="66"/>
        <v>30</v>
      </c>
      <c r="AL148" s="909">
        <f t="shared" si="67"/>
        <v>0</v>
      </c>
      <c r="AN148" s="539">
        <f t="shared" si="68"/>
        <v>0</v>
      </c>
      <c r="AR148" s="941"/>
      <c r="AT148" s="317"/>
      <c r="AU148" s="317"/>
    </row>
    <row r="149" spans="3:47" ht="13.15" customHeight="1" x14ac:dyDescent="0.2">
      <c r="C149" s="381"/>
      <c r="D149" s="895" t="str">
        <f>IF(op!D37=0,"",op!D37)</f>
        <v/>
      </c>
      <c r="E149" s="895" t="str">
        <f>IF(op!E37=0,"",op!E37)</f>
        <v/>
      </c>
      <c r="F149" s="390" t="str">
        <f>IF(op!F37="","",op!F37+1)</f>
        <v/>
      </c>
      <c r="G149" s="896" t="str">
        <f>IF(op!G37=0,"",op!G37)</f>
        <v/>
      </c>
      <c r="H149" s="390" t="str">
        <f>IF(op!H37="","",op!H37)</f>
        <v/>
      </c>
      <c r="I149" s="897" t="str">
        <f t="shared" si="55"/>
        <v/>
      </c>
      <c r="J149" s="898" t="str">
        <f>IF(op!J37="","",op!J37)</f>
        <v/>
      </c>
      <c r="K149" s="334"/>
      <c r="L149" s="1140" t="str">
        <f>IF(op!L37="","",op!L37)</f>
        <v/>
      </c>
      <c r="M149" s="1140" t="str">
        <f>IF(op!M37="","",op!M37)</f>
        <v/>
      </c>
      <c r="N149" s="899" t="str">
        <f t="shared" si="69"/>
        <v/>
      </c>
      <c r="O149" s="900" t="str">
        <f t="shared" si="70"/>
        <v/>
      </c>
      <c r="P149" s="901" t="str">
        <f t="shared" si="71"/>
        <v/>
      </c>
      <c r="Q149" s="568" t="str">
        <f t="shared" si="56"/>
        <v/>
      </c>
      <c r="R149" s="902" t="str">
        <f t="shared" si="72"/>
        <v/>
      </c>
      <c r="S149" s="903">
        <f t="shared" si="57"/>
        <v>0</v>
      </c>
      <c r="T149" s="334"/>
      <c r="X149" s="887" t="str">
        <f t="shared" si="58"/>
        <v/>
      </c>
      <c r="Y149" s="904">
        <f t="shared" si="59"/>
        <v>0.6</v>
      </c>
      <c r="Z149" s="905" t="e">
        <f t="shared" si="73"/>
        <v>#VALUE!</v>
      </c>
      <c r="AA149" s="905" t="e">
        <f t="shared" si="74"/>
        <v>#VALUE!</v>
      </c>
      <c r="AB149" s="905" t="e">
        <f t="shared" si="75"/>
        <v>#VALUE!</v>
      </c>
      <c r="AC149" s="906" t="e">
        <f t="shared" si="60"/>
        <v>#VALUE!</v>
      </c>
      <c r="AD149" s="907">
        <f t="shared" si="61"/>
        <v>0</v>
      </c>
      <c r="AE149" s="904">
        <f>IF(H149&gt;8,tab!C$194,tab!C$197)</f>
        <v>0.5</v>
      </c>
      <c r="AF149" s="907">
        <f t="shared" si="76"/>
        <v>0</v>
      </c>
      <c r="AG149" s="887">
        <f t="shared" si="62"/>
        <v>0</v>
      </c>
      <c r="AH149" s="908" t="e">
        <f t="shared" si="63"/>
        <v>#VALUE!</v>
      </c>
      <c r="AI149" s="815" t="e">
        <f t="shared" si="64"/>
        <v>#VALUE!</v>
      </c>
      <c r="AJ149" s="540">
        <f t="shared" si="65"/>
        <v>30</v>
      </c>
      <c r="AK149" s="540">
        <f t="shared" si="66"/>
        <v>30</v>
      </c>
      <c r="AL149" s="909">
        <f t="shared" si="67"/>
        <v>0</v>
      </c>
      <c r="AN149" s="539">
        <f t="shared" si="68"/>
        <v>0</v>
      </c>
      <c r="AR149" s="941"/>
      <c r="AT149" s="317"/>
      <c r="AU149" s="317"/>
    </row>
    <row r="150" spans="3:47" ht="13.15" customHeight="1" x14ac:dyDescent="0.2">
      <c r="C150" s="381"/>
      <c r="D150" s="895" t="str">
        <f>IF(op!D38=0,"",op!D38)</f>
        <v/>
      </c>
      <c r="E150" s="895" t="str">
        <f>IF(op!E38=0,"",op!E38)</f>
        <v/>
      </c>
      <c r="F150" s="390" t="str">
        <f>IF(op!F38="","",op!F38+1)</f>
        <v/>
      </c>
      <c r="G150" s="896" t="str">
        <f>IF(op!G38=0,"",op!G38)</f>
        <v/>
      </c>
      <c r="H150" s="390" t="str">
        <f>IF(op!H38="","",op!H38)</f>
        <v/>
      </c>
      <c r="I150" s="897" t="str">
        <f t="shared" si="55"/>
        <v/>
      </c>
      <c r="J150" s="898" t="str">
        <f>IF(op!J38="","",op!J38)</f>
        <v/>
      </c>
      <c r="K150" s="334"/>
      <c r="L150" s="1140" t="str">
        <f>IF(op!L38="","",op!L38)</f>
        <v/>
      </c>
      <c r="M150" s="1140" t="str">
        <f>IF(op!M38="","",op!M38)</f>
        <v/>
      </c>
      <c r="N150" s="899" t="str">
        <f t="shared" si="69"/>
        <v/>
      </c>
      <c r="O150" s="900" t="str">
        <f t="shared" si="70"/>
        <v/>
      </c>
      <c r="P150" s="901" t="str">
        <f t="shared" si="71"/>
        <v/>
      </c>
      <c r="Q150" s="568" t="str">
        <f t="shared" si="56"/>
        <v/>
      </c>
      <c r="R150" s="902" t="str">
        <f t="shared" si="72"/>
        <v/>
      </c>
      <c r="S150" s="903">
        <f t="shared" si="57"/>
        <v>0</v>
      </c>
      <c r="T150" s="334"/>
      <c r="X150" s="887" t="str">
        <f t="shared" si="58"/>
        <v/>
      </c>
      <c r="Y150" s="904">
        <f t="shared" si="59"/>
        <v>0.6</v>
      </c>
      <c r="Z150" s="905" t="e">
        <f t="shared" si="73"/>
        <v>#VALUE!</v>
      </c>
      <c r="AA150" s="905" t="e">
        <f t="shared" si="74"/>
        <v>#VALUE!</v>
      </c>
      <c r="AB150" s="905" t="e">
        <f t="shared" si="75"/>
        <v>#VALUE!</v>
      </c>
      <c r="AC150" s="906" t="e">
        <f t="shared" si="60"/>
        <v>#VALUE!</v>
      </c>
      <c r="AD150" s="907">
        <f t="shared" si="61"/>
        <v>0</v>
      </c>
      <c r="AE150" s="904">
        <f>IF(H150&gt;8,tab!C$194,tab!C$197)</f>
        <v>0.5</v>
      </c>
      <c r="AF150" s="907">
        <f t="shared" si="76"/>
        <v>0</v>
      </c>
      <c r="AG150" s="887">
        <f t="shared" si="62"/>
        <v>0</v>
      </c>
      <c r="AH150" s="908" t="e">
        <f t="shared" si="63"/>
        <v>#VALUE!</v>
      </c>
      <c r="AI150" s="815" t="e">
        <f t="shared" si="64"/>
        <v>#VALUE!</v>
      </c>
      <c r="AJ150" s="540">
        <f t="shared" si="65"/>
        <v>30</v>
      </c>
      <c r="AK150" s="540">
        <f t="shared" si="66"/>
        <v>30</v>
      </c>
      <c r="AL150" s="909">
        <f t="shared" si="67"/>
        <v>0</v>
      </c>
      <c r="AN150" s="539">
        <f t="shared" si="68"/>
        <v>0</v>
      </c>
      <c r="AR150" s="941"/>
      <c r="AT150" s="317"/>
      <c r="AU150" s="317"/>
    </row>
    <row r="151" spans="3:47" ht="13.15" customHeight="1" x14ac:dyDescent="0.2">
      <c r="C151" s="381"/>
      <c r="D151" s="895" t="str">
        <f>IF(op!D39=0,"",op!D39)</f>
        <v/>
      </c>
      <c r="E151" s="895" t="str">
        <f>IF(op!E39=0,"",op!E39)</f>
        <v/>
      </c>
      <c r="F151" s="390" t="str">
        <f>IF(op!F39="","",op!F39+1)</f>
        <v/>
      </c>
      <c r="G151" s="896" t="str">
        <f>IF(op!G39=0,"",op!G39)</f>
        <v/>
      </c>
      <c r="H151" s="390" t="str">
        <f>IF(op!H39="","",op!H39)</f>
        <v/>
      </c>
      <c r="I151" s="897" t="str">
        <f t="shared" si="55"/>
        <v/>
      </c>
      <c r="J151" s="898" t="str">
        <f>IF(op!J39="","",op!J39)</f>
        <v/>
      </c>
      <c r="K151" s="334"/>
      <c r="L151" s="1140" t="str">
        <f>IF(op!L39="","",op!L39)</f>
        <v/>
      </c>
      <c r="M151" s="1140" t="str">
        <f>IF(op!M39="","",op!M39)</f>
        <v/>
      </c>
      <c r="N151" s="899" t="str">
        <f t="shared" si="69"/>
        <v/>
      </c>
      <c r="O151" s="900" t="str">
        <f t="shared" si="70"/>
        <v/>
      </c>
      <c r="P151" s="901" t="str">
        <f t="shared" si="71"/>
        <v/>
      </c>
      <c r="Q151" s="568" t="str">
        <f t="shared" si="56"/>
        <v/>
      </c>
      <c r="R151" s="902" t="str">
        <f t="shared" si="72"/>
        <v/>
      </c>
      <c r="S151" s="903">
        <f t="shared" si="57"/>
        <v>0</v>
      </c>
      <c r="T151" s="334"/>
      <c r="X151" s="887" t="str">
        <f t="shared" si="58"/>
        <v/>
      </c>
      <c r="Y151" s="904">
        <f t="shared" si="59"/>
        <v>0.6</v>
      </c>
      <c r="Z151" s="905" t="e">
        <f t="shared" si="73"/>
        <v>#VALUE!</v>
      </c>
      <c r="AA151" s="905" t="e">
        <f t="shared" si="74"/>
        <v>#VALUE!</v>
      </c>
      <c r="AB151" s="905" t="e">
        <f t="shared" si="75"/>
        <v>#VALUE!</v>
      </c>
      <c r="AC151" s="906" t="e">
        <f t="shared" si="60"/>
        <v>#VALUE!</v>
      </c>
      <c r="AD151" s="907">
        <f t="shared" si="61"/>
        <v>0</v>
      </c>
      <c r="AE151" s="904">
        <f>IF(H151&gt;8,tab!C$194,tab!C$197)</f>
        <v>0.5</v>
      </c>
      <c r="AF151" s="907">
        <f t="shared" si="76"/>
        <v>0</v>
      </c>
      <c r="AG151" s="887">
        <f t="shared" si="62"/>
        <v>0</v>
      </c>
      <c r="AH151" s="908" t="e">
        <f t="shared" si="63"/>
        <v>#VALUE!</v>
      </c>
      <c r="AI151" s="815" t="e">
        <f t="shared" si="64"/>
        <v>#VALUE!</v>
      </c>
      <c r="AJ151" s="540">
        <f t="shared" si="65"/>
        <v>30</v>
      </c>
      <c r="AK151" s="540">
        <f t="shared" si="66"/>
        <v>30</v>
      </c>
      <c r="AL151" s="909">
        <f t="shared" si="67"/>
        <v>0</v>
      </c>
      <c r="AN151" s="539">
        <f t="shared" si="68"/>
        <v>0</v>
      </c>
      <c r="AR151" s="941"/>
      <c r="AT151" s="317"/>
      <c r="AU151" s="317"/>
    </row>
    <row r="152" spans="3:47" ht="13.15" customHeight="1" x14ac:dyDescent="0.2">
      <c r="C152" s="381"/>
      <c r="D152" s="895" t="str">
        <f>IF(op!D40=0,"",op!D40)</f>
        <v/>
      </c>
      <c r="E152" s="895" t="str">
        <f>IF(op!E40=0,"",op!E40)</f>
        <v/>
      </c>
      <c r="F152" s="390" t="str">
        <f>IF(op!F40="","",op!F40+1)</f>
        <v/>
      </c>
      <c r="G152" s="896" t="str">
        <f>IF(op!G40=0,"",op!G40)</f>
        <v/>
      </c>
      <c r="H152" s="390" t="str">
        <f>IF(op!H40="","",op!H40)</f>
        <v/>
      </c>
      <c r="I152" s="897" t="str">
        <f t="shared" si="55"/>
        <v/>
      </c>
      <c r="J152" s="898" t="str">
        <f>IF(op!J40="","",op!J40)</f>
        <v/>
      </c>
      <c r="K152" s="334"/>
      <c r="L152" s="1140" t="str">
        <f>IF(op!L40="","",op!L40)</f>
        <v/>
      </c>
      <c r="M152" s="1140" t="str">
        <f>IF(op!M40="","",op!M40)</f>
        <v/>
      </c>
      <c r="N152" s="899" t="str">
        <f t="shared" si="69"/>
        <v/>
      </c>
      <c r="O152" s="900" t="str">
        <f t="shared" si="70"/>
        <v/>
      </c>
      <c r="P152" s="901" t="str">
        <f t="shared" si="71"/>
        <v/>
      </c>
      <c r="Q152" s="568" t="str">
        <f t="shared" si="56"/>
        <v/>
      </c>
      <c r="R152" s="902" t="str">
        <f t="shared" si="72"/>
        <v/>
      </c>
      <c r="S152" s="903">
        <f t="shared" si="57"/>
        <v>0</v>
      </c>
      <c r="T152" s="334"/>
      <c r="X152" s="887" t="str">
        <f t="shared" si="58"/>
        <v/>
      </c>
      <c r="Y152" s="904">
        <f t="shared" si="59"/>
        <v>0.6</v>
      </c>
      <c r="Z152" s="905" t="e">
        <f t="shared" si="73"/>
        <v>#VALUE!</v>
      </c>
      <c r="AA152" s="905" t="e">
        <f t="shared" si="74"/>
        <v>#VALUE!</v>
      </c>
      <c r="AB152" s="905" t="e">
        <f t="shared" si="75"/>
        <v>#VALUE!</v>
      </c>
      <c r="AC152" s="906" t="e">
        <f t="shared" si="60"/>
        <v>#VALUE!</v>
      </c>
      <c r="AD152" s="907">
        <f t="shared" si="61"/>
        <v>0</v>
      </c>
      <c r="AE152" s="904">
        <f>IF(H152&gt;8,tab!C$194,tab!C$197)</f>
        <v>0.5</v>
      </c>
      <c r="AF152" s="907">
        <f t="shared" si="76"/>
        <v>0</v>
      </c>
      <c r="AG152" s="887">
        <f t="shared" si="62"/>
        <v>0</v>
      </c>
      <c r="AH152" s="908" t="e">
        <f t="shared" si="63"/>
        <v>#VALUE!</v>
      </c>
      <c r="AI152" s="815" t="e">
        <f t="shared" si="64"/>
        <v>#VALUE!</v>
      </c>
      <c r="AJ152" s="540">
        <f t="shared" si="65"/>
        <v>30</v>
      </c>
      <c r="AK152" s="540">
        <f t="shared" si="66"/>
        <v>30</v>
      </c>
      <c r="AL152" s="909">
        <f t="shared" si="67"/>
        <v>0</v>
      </c>
      <c r="AN152" s="539">
        <f t="shared" si="68"/>
        <v>0</v>
      </c>
      <c r="AR152" s="941"/>
      <c r="AT152" s="317"/>
      <c r="AU152" s="317"/>
    </row>
    <row r="153" spans="3:47" ht="13.15" customHeight="1" x14ac:dyDescent="0.2">
      <c r="C153" s="381"/>
      <c r="D153" s="895" t="str">
        <f>IF(op!D41=0,"",op!D41)</f>
        <v/>
      </c>
      <c r="E153" s="895" t="str">
        <f>IF(op!E41=0,"",op!E41)</f>
        <v/>
      </c>
      <c r="F153" s="390" t="str">
        <f>IF(op!F41="","",op!F41+1)</f>
        <v/>
      </c>
      <c r="G153" s="896" t="str">
        <f>IF(op!G41=0,"",op!G41)</f>
        <v/>
      </c>
      <c r="H153" s="390" t="str">
        <f>IF(op!H41="","",op!H41)</f>
        <v/>
      </c>
      <c r="I153" s="897" t="str">
        <f t="shared" si="55"/>
        <v/>
      </c>
      <c r="J153" s="898" t="str">
        <f>IF(op!J41="","",op!J41)</f>
        <v/>
      </c>
      <c r="K153" s="334"/>
      <c r="L153" s="1140" t="str">
        <f>IF(op!L41="","",op!L41)</f>
        <v/>
      </c>
      <c r="M153" s="1140" t="str">
        <f>IF(op!M41="","",op!M41)</f>
        <v/>
      </c>
      <c r="N153" s="899" t="str">
        <f t="shared" si="69"/>
        <v/>
      </c>
      <c r="O153" s="900" t="str">
        <f t="shared" si="70"/>
        <v/>
      </c>
      <c r="P153" s="901" t="str">
        <f t="shared" si="71"/>
        <v/>
      </c>
      <c r="Q153" s="568" t="str">
        <f t="shared" si="56"/>
        <v/>
      </c>
      <c r="R153" s="902" t="str">
        <f t="shared" si="72"/>
        <v/>
      </c>
      <c r="S153" s="903">
        <f t="shared" si="57"/>
        <v>0</v>
      </c>
      <c r="T153" s="334"/>
      <c r="X153" s="887" t="str">
        <f t="shared" si="58"/>
        <v/>
      </c>
      <c r="Y153" s="904">
        <f t="shared" si="59"/>
        <v>0.6</v>
      </c>
      <c r="Z153" s="905" t="e">
        <f t="shared" si="73"/>
        <v>#VALUE!</v>
      </c>
      <c r="AA153" s="905" t="e">
        <f t="shared" si="74"/>
        <v>#VALUE!</v>
      </c>
      <c r="AB153" s="905" t="e">
        <f t="shared" si="75"/>
        <v>#VALUE!</v>
      </c>
      <c r="AC153" s="906" t="e">
        <f t="shared" si="60"/>
        <v>#VALUE!</v>
      </c>
      <c r="AD153" s="907">
        <f t="shared" si="61"/>
        <v>0</v>
      </c>
      <c r="AE153" s="904">
        <f>IF(H153&gt;8,tab!C$194,tab!C$197)</f>
        <v>0.5</v>
      </c>
      <c r="AF153" s="907">
        <f t="shared" si="76"/>
        <v>0</v>
      </c>
      <c r="AG153" s="887">
        <f t="shared" si="62"/>
        <v>0</v>
      </c>
      <c r="AH153" s="908" t="e">
        <f t="shared" si="63"/>
        <v>#VALUE!</v>
      </c>
      <c r="AI153" s="815" t="e">
        <f t="shared" si="64"/>
        <v>#VALUE!</v>
      </c>
      <c r="AJ153" s="540">
        <f t="shared" si="65"/>
        <v>30</v>
      </c>
      <c r="AK153" s="540">
        <f t="shared" si="66"/>
        <v>30</v>
      </c>
      <c r="AL153" s="909">
        <f t="shared" si="67"/>
        <v>0</v>
      </c>
      <c r="AN153" s="539">
        <f t="shared" si="68"/>
        <v>0</v>
      </c>
      <c r="AR153" s="941"/>
      <c r="AT153" s="317"/>
      <c r="AU153" s="317"/>
    </row>
    <row r="154" spans="3:47" ht="13.15" customHeight="1" x14ac:dyDescent="0.2">
      <c r="C154" s="381"/>
      <c r="D154" s="895" t="str">
        <f>IF(op!D42=0,"",op!D42)</f>
        <v/>
      </c>
      <c r="E154" s="895" t="str">
        <f>IF(op!E42=0,"",op!E42)</f>
        <v/>
      </c>
      <c r="F154" s="390" t="str">
        <f>IF(op!F42="","",op!F42+1)</f>
        <v/>
      </c>
      <c r="G154" s="896" t="str">
        <f>IF(op!G42=0,"",op!G42)</f>
        <v/>
      </c>
      <c r="H154" s="390" t="str">
        <f>IF(op!H42="","",op!H42)</f>
        <v/>
      </c>
      <c r="I154" s="897" t="str">
        <f t="shared" si="55"/>
        <v/>
      </c>
      <c r="J154" s="898" t="str">
        <f>IF(op!J42="","",op!J42)</f>
        <v/>
      </c>
      <c r="K154" s="334"/>
      <c r="L154" s="1140" t="str">
        <f>IF(op!L42="","",op!L42)</f>
        <v/>
      </c>
      <c r="M154" s="1140" t="str">
        <f>IF(op!M42="","",op!M42)</f>
        <v/>
      </c>
      <c r="N154" s="899" t="str">
        <f t="shared" si="69"/>
        <v/>
      </c>
      <c r="O154" s="900" t="str">
        <f t="shared" si="70"/>
        <v/>
      </c>
      <c r="P154" s="901" t="str">
        <f t="shared" si="71"/>
        <v/>
      </c>
      <c r="Q154" s="568" t="str">
        <f t="shared" si="56"/>
        <v/>
      </c>
      <c r="R154" s="902" t="str">
        <f t="shared" si="72"/>
        <v/>
      </c>
      <c r="S154" s="903">
        <f t="shared" si="57"/>
        <v>0</v>
      </c>
      <c r="T154" s="334"/>
      <c r="X154" s="887" t="str">
        <f t="shared" si="58"/>
        <v/>
      </c>
      <c r="Y154" s="904">
        <f t="shared" si="59"/>
        <v>0.6</v>
      </c>
      <c r="Z154" s="905" t="e">
        <f t="shared" si="73"/>
        <v>#VALUE!</v>
      </c>
      <c r="AA154" s="905" t="e">
        <f t="shared" si="74"/>
        <v>#VALUE!</v>
      </c>
      <c r="AB154" s="905" t="e">
        <f t="shared" si="75"/>
        <v>#VALUE!</v>
      </c>
      <c r="AC154" s="906" t="e">
        <f t="shared" si="60"/>
        <v>#VALUE!</v>
      </c>
      <c r="AD154" s="907">
        <f t="shared" si="61"/>
        <v>0</v>
      </c>
      <c r="AE154" s="904">
        <f>IF(H154&gt;8,tab!C$194,tab!C$197)</f>
        <v>0.5</v>
      </c>
      <c r="AF154" s="907">
        <f t="shared" si="76"/>
        <v>0</v>
      </c>
      <c r="AG154" s="887">
        <f t="shared" si="62"/>
        <v>0</v>
      </c>
      <c r="AH154" s="908" t="e">
        <f t="shared" si="63"/>
        <v>#VALUE!</v>
      </c>
      <c r="AI154" s="815" t="e">
        <f t="shared" si="64"/>
        <v>#VALUE!</v>
      </c>
      <c r="AJ154" s="540">
        <f t="shared" si="65"/>
        <v>30</v>
      </c>
      <c r="AK154" s="540">
        <f t="shared" si="66"/>
        <v>30</v>
      </c>
      <c r="AL154" s="909">
        <f t="shared" si="67"/>
        <v>0</v>
      </c>
      <c r="AN154" s="539">
        <f t="shared" si="68"/>
        <v>0</v>
      </c>
      <c r="AR154" s="941"/>
      <c r="AT154" s="317"/>
      <c r="AU154" s="317"/>
    </row>
    <row r="155" spans="3:47" ht="13.15" customHeight="1" x14ac:dyDescent="0.2">
      <c r="C155" s="381"/>
      <c r="D155" s="895" t="str">
        <f>IF(op!D43=0,"",op!D43)</f>
        <v/>
      </c>
      <c r="E155" s="895" t="str">
        <f>IF(op!E43=0,"",op!E43)</f>
        <v/>
      </c>
      <c r="F155" s="390" t="str">
        <f>IF(op!F43="","",op!F43+1)</f>
        <v/>
      </c>
      <c r="G155" s="896" t="str">
        <f>IF(op!G43=0,"",op!G43)</f>
        <v/>
      </c>
      <c r="H155" s="390" t="str">
        <f>IF(op!H43="","",op!H43)</f>
        <v/>
      </c>
      <c r="I155" s="897" t="str">
        <f t="shared" si="55"/>
        <v/>
      </c>
      <c r="J155" s="898" t="str">
        <f>IF(op!J43="","",op!J43)</f>
        <v/>
      </c>
      <c r="K155" s="334"/>
      <c r="L155" s="1140" t="str">
        <f>IF(op!L43="","",op!L43)</f>
        <v/>
      </c>
      <c r="M155" s="1140" t="str">
        <f>IF(op!M43="","",op!M43)</f>
        <v/>
      </c>
      <c r="N155" s="899" t="str">
        <f t="shared" si="69"/>
        <v/>
      </c>
      <c r="O155" s="900" t="str">
        <f t="shared" si="70"/>
        <v/>
      </c>
      <c r="P155" s="901" t="str">
        <f t="shared" si="71"/>
        <v/>
      </c>
      <c r="Q155" s="568" t="str">
        <f t="shared" si="56"/>
        <v/>
      </c>
      <c r="R155" s="902" t="str">
        <f t="shared" si="72"/>
        <v/>
      </c>
      <c r="S155" s="903">
        <f t="shared" si="57"/>
        <v>0</v>
      </c>
      <c r="T155" s="334"/>
      <c r="X155" s="887" t="str">
        <f t="shared" si="58"/>
        <v/>
      </c>
      <c r="Y155" s="904">
        <f t="shared" si="59"/>
        <v>0.6</v>
      </c>
      <c r="Z155" s="905" t="e">
        <f t="shared" si="73"/>
        <v>#VALUE!</v>
      </c>
      <c r="AA155" s="905" t="e">
        <f t="shared" si="74"/>
        <v>#VALUE!</v>
      </c>
      <c r="AB155" s="905" t="e">
        <f t="shared" si="75"/>
        <v>#VALUE!</v>
      </c>
      <c r="AC155" s="906" t="e">
        <f t="shared" si="60"/>
        <v>#VALUE!</v>
      </c>
      <c r="AD155" s="907">
        <f t="shared" si="61"/>
        <v>0</v>
      </c>
      <c r="AE155" s="904">
        <f>IF(H155&gt;8,tab!C$194,tab!C$197)</f>
        <v>0.5</v>
      </c>
      <c r="AF155" s="907">
        <f t="shared" si="76"/>
        <v>0</v>
      </c>
      <c r="AG155" s="887">
        <f t="shared" si="62"/>
        <v>0</v>
      </c>
      <c r="AH155" s="908" t="e">
        <f t="shared" si="63"/>
        <v>#VALUE!</v>
      </c>
      <c r="AI155" s="815" t="e">
        <f t="shared" si="64"/>
        <v>#VALUE!</v>
      </c>
      <c r="AJ155" s="540">
        <f t="shared" si="65"/>
        <v>30</v>
      </c>
      <c r="AK155" s="540">
        <f t="shared" si="66"/>
        <v>30</v>
      </c>
      <c r="AL155" s="909">
        <f t="shared" si="67"/>
        <v>0</v>
      </c>
      <c r="AN155" s="539">
        <f t="shared" si="68"/>
        <v>0</v>
      </c>
      <c r="AR155" s="941"/>
      <c r="AT155" s="317"/>
      <c r="AU155" s="317"/>
    </row>
    <row r="156" spans="3:47" ht="13.15" customHeight="1" x14ac:dyDescent="0.2">
      <c r="C156" s="381"/>
      <c r="D156" s="895" t="str">
        <f>IF(op!D44=0,"",op!D44)</f>
        <v/>
      </c>
      <c r="E156" s="895" t="str">
        <f>IF(op!E44=0,"",op!E44)</f>
        <v/>
      </c>
      <c r="F156" s="390" t="str">
        <f>IF(op!F44="","",op!F44+1)</f>
        <v/>
      </c>
      <c r="G156" s="896" t="str">
        <f>IF(op!G44=0,"",op!G44)</f>
        <v/>
      </c>
      <c r="H156" s="390" t="str">
        <f>IF(op!H44="","",op!H44)</f>
        <v/>
      </c>
      <c r="I156" s="897" t="str">
        <f t="shared" si="55"/>
        <v/>
      </c>
      <c r="J156" s="898" t="str">
        <f>IF(op!J44="","",op!J44)</f>
        <v/>
      </c>
      <c r="K156" s="334"/>
      <c r="L156" s="1140" t="str">
        <f>IF(op!L44="","",op!L44)</f>
        <v/>
      </c>
      <c r="M156" s="1140" t="str">
        <f>IF(op!M44="","",op!M44)</f>
        <v/>
      </c>
      <c r="N156" s="899" t="str">
        <f t="shared" si="69"/>
        <v/>
      </c>
      <c r="O156" s="900" t="str">
        <f t="shared" si="70"/>
        <v/>
      </c>
      <c r="P156" s="901" t="str">
        <f t="shared" si="71"/>
        <v/>
      </c>
      <c r="Q156" s="568" t="str">
        <f t="shared" si="56"/>
        <v/>
      </c>
      <c r="R156" s="902" t="str">
        <f t="shared" si="72"/>
        <v/>
      </c>
      <c r="S156" s="903">
        <f t="shared" si="57"/>
        <v>0</v>
      </c>
      <c r="T156" s="334"/>
      <c r="X156" s="887" t="str">
        <f t="shared" si="58"/>
        <v/>
      </c>
      <c r="Y156" s="904">
        <f t="shared" si="59"/>
        <v>0.6</v>
      </c>
      <c r="Z156" s="905" t="e">
        <f t="shared" si="73"/>
        <v>#VALUE!</v>
      </c>
      <c r="AA156" s="905" t="e">
        <f t="shared" si="74"/>
        <v>#VALUE!</v>
      </c>
      <c r="AB156" s="905" t="e">
        <f t="shared" si="75"/>
        <v>#VALUE!</v>
      </c>
      <c r="AC156" s="906" t="e">
        <f t="shared" si="60"/>
        <v>#VALUE!</v>
      </c>
      <c r="AD156" s="907">
        <f t="shared" si="61"/>
        <v>0</v>
      </c>
      <c r="AE156" s="904">
        <f>IF(H156&gt;8,tab!C$194,tab!C$197)</f>
        <v>0.5</v>
      </c>
      <c r="AF156" s="907">
        <f t="shared" si="76"/>
        <v>0</v>
      </c>
      <c r="AG156" s="887">
        <f t="shared" si="62"/>
        <v>0</v>
      </c>
      <c r="AH156" s="908" t="e">
        <f t="shared" si="63"/>
        <v>#VALUE!</v>
      </c>
      <c r="AI156" s="815" t="e">
        <f t="shared" si="64"/>
        <v>#VALUE!</v>
      </c>
      <c r="AJ156" s="540">
        <f t="shared" si="65"/>
        <v>30</v>
      </c>
      <c r="AK156" s="540">
        <f t="shared" si="66"/>
        <v>30</v>
      </c>
      <c r="AL156" s="909">
        <f t="shared" si="67"/>
        <v>0</v>
      </c>
      <c r="AN156" s="539">
        <f t="shared" si="68"/>
        <v>0</v>
      </c>
      <c r="AR156" s="941"/>
      <c r="AT156" s="317"/>
      <c r="AU156" s="317"/>
    </row>
    <row r="157" spans="3:47" ht="13.15" customHeight="1" x14ac:dyDescent="0.2">
      <c r="C157" s="381"/>
      <c r="D157" s="895" t="str">
        <f>IF(op!D45=0,"",op!D45)</f>
        <v/>
      </c>
      <c r="E157" s="895" t="str">
        <f>IF(op!E45=0,"",op!E45)</f>
        <v/>
      </c>
      <c r="F157" s="390" t="str">
        <f>IF(op!F45="","",op!F45+1)</f>
        <v/>
      </c>
      <c r="G157" s="896" t="str">
        <f>IF(op!G45=0,"",op!G45)</f>
        <v/>
      </c>
      <c r="H157" s="390" t="str">
        <f>IF(op!H45="","",op!H45)</f>
        <v/>
      </c>
      <c r="I157" s="897" t="str">
        <f t="shared" si="55"/>
        <v/>
      </c>
      <c r="J157" s="898" t="str">
        <f>IF(op!J45="","",op!J45)</f>
        <v/>
      </c>
      <c r="K157" s="334"/>
      <c r="L157" s="1140" t="str">
        <f>IF(op!L45="","",op!L45)</f>
        <v/>
      </c>
      <c r="M157" s="1140" t="str">
        <f>IF(op!M45="","",op!M45)</f>
        <v/>
      </c>
      <c r="N157" s="899" t="str">
        <f t="shared" si="69"/>
        <v/>
      </c>
      <c r="O157" s="900" t="str">
        <f t="shared" si="70"/>
        <v/>
      </c>
      <c r="P157" s="901" t="str">
        <f t="shared" si="71"/>
        <v/>
      </c>
      <c r="Q157" s="568" t="str">
        <f t="shared" si="56"/>
        <v/>
      </c>
      <c r="R157" s="902" t="str">
        <f t="shared" si="72"/>
        <v/>
      </c>
      <c r="S157" s="903">
        <f t="shared" si="57"/>
        <v>0</v>
      </c>
      <c r="T157" s="334"/>
      <c r="X157" s="887" t="str">
        <f t="shared" si="58"/>
        <v/>
      </c>
      <c r="Y157" s="904">
        <f t="shared" si="59"/>
        <v>0.6</v>
      </c>
      <c r="Z157" s="905" t="e">
        <f t="shared" si="73"/>
        <v>#VALUE!</v>
      </c>
      <c r="AA157" s="905" t="e">
        <f t="shared" si="74"/>
        <v>#VALUE!</v>
      </c>
      <c r="AB157" s="905" t="e">
        <f t="shared" si="75"/>
        <v>#VALUE!</v>
      </c>
      <c r="AC157" s="906" t="e">
        <f t="shared" si="60"/>
        <v>#VALUE!</v>
      </c>
      <c r="AD157" s="907">
        <f t="shared" si="61"/>
        <v>0</v>
      </c>
      <c r="AE157" s="904">
        <f>IF(H157&gt;8,tab!C$194,tab!C$197)</f>
        <v>0.5</v>
      </c>
      <c r="AF157" s="907">
        <f t="shared" si="76"/>
        <v>0</v>
      </c>
      <c r="AG157" s="887">
        <f t="shared" si="62"/>
        <v>0</v>
      </c>
      <c r="AH157" s="908" t="e">
        <f t="shared" si="63"/>
        <v>#VALUE!</v>
      </c>
      <c r="AI157" s="815" t="e">
        <f t="shared" si="64"/>
        <v>#VALUE!</v>
      </c>
      <c r="AJ157" s="540">
        <f t="shared" si="65"/>
        <v>30</v>
      </c>
      <c r="AK157" s="540">
        <f t="shared" si="66"/>
        <v>30</v>
      </c>
      <c r="AL157" s="909">
        <f t="shared" si="67"/>
        <v>0</v>
      </c>
      <c r="AN157" s="539">
        <f t="shared" si="68"/>
        <v>0</v>
      </c>
      <c r="AR157" s="941"/>
      <c r="AT157" s="317"/>
      <c r="AU157" s="317"/>
    </row>
    <row r="158" spans="3:47" ht="13.15" customHeight="1" x14ac:dyDescent="0.2">
      <c r="C158" s="381"/>
      <c r="D158" s="895" t="str">
        <f>IF(op!D46=0,"",op!D46)</f>
        <v/>
      </c>
      <c r="E158" s="895" t="str">
        <f>IF(op!E46=0,"",op!E46)</f>
        <v/>
      </c>
      <c r="F158" s="390" t="str">
        <f>IF(op!F46="","",op!F46+1)</f>
        <v/>
      </c>
      <c r="G158" s="896" t="str">
        <f>IF(op!G46=0,"",op!G46)</f>
        <v/>
      </c>
      <c r="H158" s="390" t="str">
        <f>IF(op!H46="","",op!H46)</f>
        <v/>
      </c>
      <c r="I158" s="897" t="str">
        <f t="shared" si="55"/>
        <v/>
      </c>
      <c r="J158" s="898" t="str">
        <f>IF(op!J46="","",op!J46)</f>
        <v/>
      </c>
      <c r="K158" s="334"/>
      <c r="L158" s="1140" t="str">
        <f>IF(op!L46="","",op!L46)</f>
        <v/>
      </c>
      <c r="M158" s="1140" t="str">
        <f>IF(op!M46="","",op!M46)</f>
        <v/>
      </c>
      <c r="N158" s="899" t="str">
        <f t="shared" si="69"/>
        <v/>
      </c>
      <c r="O158" s="900" t="str">
        <f t="shared" si="70"/>
        <v/>
      </c>
      <c r="P158" s="901" t="str">
        <f t="shared" si="71"/>
        <v/>
      </c>
      <c r="Q158" s="568" t="str">
        <f t="shared" si="56"/>
        <v/>
      </c>
      <c r="R158" s="902" t="str">
        <f t="shared" si="72"/>
        <v/>
      </c>
      <c r="S158" s="903">
        <f t="shared" si="57"/>
        <v>0</v>
      </c>
      <c r="T158" s="334"/>
      <c r="X158" s="887" t="str">
        <f t="shared" si="58"/>
        <v/>
      </c>
      <c r="Y158" s="904">
        <f t="shared" si="59"/>
        <v>0.6</v>
      </c>
      <c r="Z158" s="905" t="e">
        <f t="shared" si="73"/>
        <v>#VALUE!</v>
      </c>
      <c r="AA158" s="905" t="e">
        <f t="shared" si="74"/>
        <v>#VALUE!</v>
      </c>
      <c r="AB158" s="905" t="e">
        <f t="shared" si="75"/>
        <v>#VALUE!</v>
      </c>
      <c r="AC158" s="906" t="e">
        <f t="shared" si="60"/>
        <v>#VALUE!</v>
      </c>
      <c r="AD158" s="907">
        <f t="shared" si="61"/>
        <v>0</v>
      </c>
      <c r="AE158" s="904">
        <f>IF(H158&gt;8,tab!C$194,tab!C$197)</f>
        <v>0.5</v>
      </c>
      <c r="AF158" s="907">
        <f t="shared" si="76"/>
        <v>0</v>
      </c>
      <c r="AG158" s="887">
        <f t="shared" si="62"/>
        <v>0</v>
      </c>
      <c r="AH158" s="908" t="e">
        <f t="shared" si="63"/>
        <v>#VALUE!</v>
      </c>
      <c r="AI158" s="815" t="e">
        <f t="shared" si="64"/>
        <v>#VALUE!</v>
      </c>
      <c r="AJ158" s="540">
        <f t="shared" si="65"/>
        <v>30</v>
      </c>
      <c r="AK158" s="540">
        <f t="shared" si="66"/>
        <v>30</v>
      </c>
      <c r="AL158" s="909">
        <f t="shared" si="67"/>
        <v>0</v>
      </c>
      <c r="AN158" s="539">
        <f t="shared" si="68"/>
        <v>0</v>
      </c>
      <c r="AR158" s="941"/>
      <c r="AT158" s="317"/>
      <c r="AU158" s="317"/>
    </row>
    <row r="159" spans="3:47" ht="13.15" customHeight="1" x14ac:dyDescent="0.2">
      <c r="C159" s="381"/>
      <c r="D159" s="895" t="str">
        <f>IF(op!D47=0,"",op!D47)</f>
        <v/>
      </c>
      <c r="E159" s="895" t="str">
        <f>IF(op!E47=0,"",op!E47)</f>
        <v/>
      </c>
      <c r="F159" s="390" t="str">
        <f>IF(op!F47="","",op!F47+1)</f>
        <v/>
      </c>
      <c r="G159" s="896" t="str">
        <f>IF(op!G47=0,"",op!G47)</f>
        <v/>
      </c>
      <c r="H159" s="390" t="str">
        <f>IF(op!H47="","",op!H47)</f>
        <v/>
      </c>
      <c r="I159" s="897" t="str">
        <f t="shared" si="55"/>
        <v/>
      </c>
      <c r="J159" s="898" t="str">
        <f>IF(op!J47="","",op!J47)</f>
        <v/>
      </c>
      <c r="K159" s="334"/>
      <c r="L159" s="1140" t="str">
        <f>IF(op!L47="","",op!L47)</f>
        <v/>
      </c>
      <c r="M159" s="1140" t="str">
        <f>IF(op!M47="","",op!M47)</f>
        <v/>
      </c>
      <c r="N159" s="899" t="str">
        <f t="shared" si="69"/>
        <v/>
      </c>
      <c r="O159" s="900" t="str">
        <f t="shared" si="70"/>
        <v/>
      </c>
      <c r="P159" s="901" t="str">
        <f t="shared" si="71"/>
        <v/>
      </c>
      <c r="Q159" s="568" t="str">
        <f t="shared" si="56"/>
        <v/>
      </c>
      <c r="R159" s="902" t="str">
        <f t="shared" si="72"/>
        <v/>
      </c>
      <c r="S159" s="903">
        <f t="shared" si="57"/>
        <v>0</v>
      </c>
      <c r="T159" s="334"/>
      <c r="X159" s="887" t="str">
        <f t="shared" si="58"/>
        <v/>
      </c>
      <c r="Y159" s="904">
        <f t="shared" si="59"/>
        <v>0.6</v>
      </c>
      <c r="Z159" s="905" t="e">
        <f t="shared" si="73"/>
        <v>#VALUE!</v>
      </c>
      <c r="AA159" s="905" t="e">
        <f t="shared" si="74"/>
        <v>#VALUE!</v>
      </c>
      <c r="AB159" s="905" t="e">
        <f t="shared" si="75"/>
        <v>#VALUE!</v>
      </c>
      <c r="AC159" s="906" t="e">
        <f t="shared" si="60"/>
        <v>#VALUE!</v>
      </c>
      <c r="AD159" s="907">
        <f t="shared" si="61"/>
        <v>0</v>
      </c>
      <c r="AE159" s="904">
        <f>IF(H159&gt;8,tab!C$194,tab!C$197)</f>
        <v>0.5</v>
      </c>
      <c r="AF159" s="907">
        <f t="shared" si="76"/>
        <v>0</v>
      </c>
      <c r="AG159" s="887">
        <f t="shared" si="62"/>
        <v>0</v>
      </c>
      <c r="AH159" s="908" t="e">
        <f t="shared" si="63"/>
        <v>#VALUE!</v>
      </c>
      <c r="AI159" s="815" t="e">
        <f t="shared" si="64"/>
        <v>#VALUE!</v>
      </c>
      <c r="AJ159" s="540">
        <f t="shared" si="65"/>
        <v>30</v>
      </c>
      <c r="AK159" s="540">
        <f t="shared" si="66"/>
        <v>30</v>
      </c>
      <c r="AL159" s="909">
        <f t="shared" si="67"/>
        <v>0</v>
      </c>
      <c r="AN159" s="539">
        <f t="shared" si="68"/>
        <v>0</v>
      </c>
      <c r="AR159" s="941"/>
      <c r="AT159" s="317"/>
      <c r="AU159" s="317"/>
    </row>
    <row r="160" spans="3:47" ht="13.15" customHeight="1" x14ac:dyDescent="0.2">
      <c r="C160" s="381"/>
      <c r="D160" s="895" t="str">
        <f>IF(op!D48=0,"",op!D48)</f>
        <v/>
      </c>
      <c r="E160" s="895" t="str">
        <f>IF(op!E48=0,"",op!E48)</f>
        <v/>
      </c>
      <c r="F160" s="390" t="str">
        <f>IF(op!F48="","",op!F48+1)</f>
        <v/>
      </c>
      <c r="G160" s="896" t="str">
        <f>IF(op!G48=0,"",op!G48)</f>
        <v/>
      </c>
      <c r="H160" s="390" t="str">
        <f>IF(op!H48="","",op!H48)</f>
        <v/>
      </c>
      <c r="I160" s="897" t="str">
        <f t="shared" ref="I160:I191" si="77">IF(E160="","",IF(I48=VLOOKUP(H160,Salaris2021,22,FALSE),I48,I48+1))</f>
        <v/>
      </c>
      <c r="J160" s="898" t="str">
        <f>IF(op!J48="","",op!J48)</f>
        <v/>
      </c>
      <c r="K160" s="334"/>
      <c r="L160" s="1140" t="str">
        <f>IF(op!L48="","",op!L48)</f>
        <v/>
      </c>
      <c r="M160" s="1140" t="str">
        <f>IF(op!M48="","",op!M48)</f>
        <v/>
      </c>
      <c r="N160" s="899" t="str">
        <f t="shared" si="69"/>
        <v/>
      </c>
      <c r="O160" s="900" t="str">
        <f t="shared" si="70"/>
        <v/>
      </c>
      <c r="P160" s="901" t="str">
        <f t="shared" si="71"/>
        <v/>
      </c>
      <c r="Q160" s="568" t="str">
        <f t="shared" ref="Q160:Q191" si="78">IF(J160="","",(1659*J160-P160)*AA160)</f>
        <v/>
      </c>
      <c r="R160" s="902" t="str">
        <f t="shared" si="72"/>
        <v/>
      </c>
      <c r="S160" s="903">
        <f t="shared" ref="S160:S191" si="79">IF(E160=0,0,SUM(Q160:R160))</f>
        <v>0</v>
      </c>
      <c r="T160" s="334"/>
      <c r="X160" s="887" t="str">
        <f t="shared" ref="X160:X191" si="80">IF(H160="","",5/12*VLOOKUP(H160,Salaris2020,I160+1,FALSE)+7/12*VLOOKUP(H160,Salaris2021,I160+1,FALSE))</f>
        <v/>
      </c>
      <c r="Y160" s="904">
        <f t="shared" ref="Y160:Y191" si="81">$Y$14</f>
        <v>0.6</v>
      </c>
      <c r="Z160" s="905" t="e">
        <f t="shared" si="73"/>
        <v>#VALUE!</v>
      </c>
      <c r="AA160" s="905" t="e">
        <f t="shared" si="74"/>
        <v>#VALUE!</v>
      </c>
      <c r="AB160" s="905" t="e">
        <f t="shared" si="75"/>
        <v>#VALUE!</v>
      </c>
      <c r="AC160" s="906" t="e">
        <f t="shared" ref="AC160:AC191" si="82">N160+O160</f>
        <v>#VALUE!</v>
      </c>
      <c r="AD160" s="907">
        <f t="shared" ref="AD160:AD191" si="83">SUM(L160:M160)</f>
        <v>0</v>
      </c>
      <c r="AE160" s="904">
        <f>IF(H160&gt;8,tab!C$194,tab!C$197)</f>
        <v>0.5</v>
      </c>
      <c r="AF160" s="907">
        <f t="shared" ref="AF160:AF191" si="84">IF(F160&lt;25,0,IF(F160=25,25,IF(F160&lt;40,0,IF(F160=40,40,IF(F160&gt;=40,0)))))</f>
        <v>0</v>
      </c>
      <c r="AG160" s="887">
        <f t="shared" ref="AG160:AG191" si="85">IF(AF160=25,(X160*1.08*J160/2),IF(AF160=40,(Y160*1.08*J160),IF(AF160=0,0)))</f>
        <v>0</v>
      </c>
      <c r="AH160" s="908" t="e">
        <f t="shared" ref="AH160:AH191" si="86">DATE(YEAR($E$121),MONTH(G160),DAY(G160))&gt;$E$121</f>
        <v>#VALUE!</v>
      </c>
      <c r="AI160" s="815" t="e">
        <f t="shared" ref="AI160:AI191" si="87">YEAR($E$121)-YEAR(G160)-AH160</f>
        <v>#VALUE!</v>
      </c>
      <c r="AJ160" s="540">
        <f t="shared" ref="AJ160:AJ191" si="88">IF((G160=""),30,AI160)</f>
        <v>30</v>
      </c>
      <c r="AK160" s="540">
        <f t="shared" si="66"/>
        <v>30</v>
      </c>
      <c r="AL160" s="909">
        <f t="shared" ref="AL160:AL191" si="89">(AK160*(SUM(J160:J160)))</f>
        <v>0</v>
      </c>
      <c r="AN160" s="539">
        <f t="shared" si="68"/>
        <v>0</v>
      </c>
      <c r="AR160" s="941"/>
      <c r="AT160" s="317"/>
      <c r="AU160" s="317"/>
    </row>
    <row r="161" spans="3:47" ht="13.15" customHeight="1" x14ac:dyDescent="0.2">
      <c r="C161" s="381"/>
      <c r="D161" s="895" t="str">
        <f>IF(op!D49=0,"",op!D49)</f>
        <v/>
      </c>
      <c r="E161" s="895" t="str">
        <f>IF(op!E49=0,"",op!E49)</f>
        <v/>
      </c>
      <c r="F161" s="390" t="str">
        <f>IF(op!F49="","",op!F49+1)</f>
        <v/>
      </c>
      <c r="G161" s="896" t="str">
        <f>IF(op!G49=0,"",op!G49)</f>
        <v/>
      </c>
      <c r="H161" s="390" t="str">
        <f>IF(op!H49="","",op!H49)</f>
        <v/>
      </c>
      <c r="I161" s="897" t="str">
        <f t="shared" si="77"/>
        <v/>
      </c>
      <c r="J161" s="898" t="str">
        <f>IF(op!J49="","",op!J49)</f>
        <v/>
      </c>
      <c r="K161" s="334"/>
      <c r="L161" s="1140" t="str">
        <f>IF(op!L49="","",op!L49)</f>
        <v/>
      </c>
      <c r="M161" s="1140" t="str">
        <f>IF(op!M49="","",op!M49)</f>
        <v/>
      </c>
      <c r="N161" s="899" t="str">
        <f t="shared" si="69"/>
        <v/>
      </c>
      <c r="O161" s="900" t="str">
        <f t="shared" si="70"/>
        <v/>
      </c>
      <c r="P161" s="901" t="str">
        <f t="shared" si="71"/>
        <v/>
      </c>
      <c r="Q161" s="568" t="str">
        <f t="shared" si="78"/>
        <v/>
      </c>
      <c r="R161" s="902" t="str">
        <f t="shared" si="72"/>
        <v/>
      </c>
      <c r="S161" s="903">
        <f t="shared" si="79"/>
        <v>0</v>
      </c>
      <c r="T161" s="334"/>
      <c r="X161" s="887" t="str">
        <f t="shared" si="80"/>
        <v/>
      </c>
      <c r="Y161" s="904">
        <f t="shared" si="81"/>
        <v>0.6</v>
      </c>
      <c r="Z161" s="905" t="e">
        <f t="shared" si="73"/>
        <v>#VALUE!</v>
      </c>
      <c r="AA161" s="905" t="e">
        <f t="shared" si="74"/>
        <v>#VALUE!</v>
      </c>
      <c r="AB161" s="905" t="e">
        <f t="shared" si="75"/>
        <v>#VALUE!</v>
      </c>
      <c r="AC161" s="906" t="e">
        <f t="shared" si="82"/>
        <v>#VALUE!</v>
      </c>
      <c r="AD161" s="907">
        <f t="shared" si="83"/>
        <v>0</v>
      </c>
      <c r="AE161" s="904">
        <f>IF(H161&gt;8,tab!C$194,tab!C$197)</f>
        <v>0.5</v>
      </c>
      <c r="AF161" s="907">
        <f t="shared" si="84"/>
        <v>0</v>
      </c>
      <c r="AG161" s="887">
        <f t="shared" si="85"/>
        <v>0</v>
      </c>
      <c r="AH161" s="908" t="e">
        <f t="shared" si="86"/>
        <v>#VALUE!</v>
      </c>
      <c r="AI161" s="815" t="e">
        <f t="shared" si="87"/>
        <v>#VALUE!</v>
      </c>
      <c r="AJ161" s="540">
        <f t="shared" si="88"/>
        <v>30</v>
      </c>
      <c r="AK161" s="540">
        <f t="shared" si="66"/>
        <v>30</v>
      </c>
      <c r="AL161" s="909">
        <f t="shared" si="89"/>
        <v>0</v>
      </c>
      <c r="AN161" s="539">
        <f t="shared" si="68"/>
        <v>0</v>
      </c>
      <c r="AR161" s="941"/>
      <c r="AT161" s="317"/>
      <c r="AU161" s="317"/>
    </row>
    <row r="162" spans="3:47" ht="13.15" customHeight="1" x14ac:dyDescent="0.2">
      <c r="C162" s="381"/>
      <c r="D162" s="895" t="str">
        <f>IF(op!D50=0,"",op!D50)</f>
        <v/>
      </c>
      <c r="E162" s="895" t="str">
        <f>IF(op!E50=0,"",op!E50)</f>
        <v/>
      </c>
      <c r="F162" s="390" t="str">
        <f>IF(op!F50="","",op!F50+1)</f>
        <v/>
      </c>
      <c r="G162" s="896" t="str">
        <f>IF(op!G50=0,"",op!G50)</f>
        <v/>
      </c>
      <c r="H162" s="390" t="str">
        <f>IF(op!H50="","",op!H50)</f>
        <v/>
      </c>
      <c r="I162" s="897" t="str">
        <f t="shared" si="77"/>
        <v/>
      </c>
      <c r="J162" s="898" t="str">
        <f>IF(op!J50="","",op!J50)</f>
        <v/>
      </c>
      <c r="K162" s="334"/>
      <c r="L162" s="1140" t="str">
        <f>IF(op!L50="","",op!L50)</f>
        <v/>
      </c>
      <c r="M162" s="1140" t="str">
        <f>IF(op!M50="","",op!M50)</f>
        <v/>
      </c>
      <c r="N162" s="899" t="str">
        <f t="shared" si="69"/>
        <v/>
      </c>
      <c r="O162" s="900" t="str">
        <f t="shared" si="70"/>
        <v/>
      </c>
      <c r="P162" s="901" t="str">
        <f t="shared" si="71"/>
        <v/>
      </c>
      <c r="Q162" s="568" t="str">
        <f t="shared" si="78"/>
        <v/>
      </c>
      <c r="R162" s="902" t="str">
        <f t="shared" si="72"/>
        <v/>
      </c>
      <c r="S162" s="903">
        <f t="shared" si="79"/>
        <v>0</v>
      </c>
      <c r="T162" s="334"/>
      <c r="X162" s="887" t="str">
        <f t="shared" si="80"/>
        <v/>
      </c>
      <c r="Y162" s="904">
        <f t="shared" si="81"/>
        <v>0.6</v>
      </c>
      <c r="Z162" s="905" t="e">
        <f t="shared" si="73"/>
        <v>#VALUE!</v>
      </c>
      <c r="AA162" s="905" t="e">
        <f t="shared" si="74"/>
        <v>#VALUE!</v>
      </c>
      <c r="AB162" s="905" t="e">
        <f t="shared" si="75"/>
        <v>#VALUE!</v>
      </c>
      <c r="AC162" s="906" t="e">
        <f t="shared" si="82"/>
        <v>#VALUE!</v>
      </c>
      <c r="AD162" s="907">
        <f t="shared" si="83"/>
        <v>0</v>
      </c>
      <c r="AE162" s="904">
        <f>IF(H162&gt;8,tab!C$194,tab!C$197)</f>
        <v>0.5</v>
      </c>
      <c r="AF162" s="907">
        <f t="shared" si="84"/>
        <v>0</v>
      </c>
      <c r="AG162" s="887">
        <f t="shared" si="85"/>
        <v>0</v>
      </c>
      <c r="AH162" s="908" t="e">
        <f t="shared" si="86"/>
        <v>#VALUE!</v>
      </c>
      <c r="AI162" s="815" t="e">
        <f t="shared" si="87"/>
        <v>#VALUE!</v>
      </c>
      <c r="AJ162" s="540">
        <f t="shared" si="88"/>
        <v>30</v>
      </c>
      <c r="AK162" s="540">
        <f t="shared" si="66"/>
        <v>30</v>
      </c>
      <c r="AL162" s="909">
        <f t="shared" si="89"/>
        <v>0</v>
      </c>
      <c r="AN162" s="539">
        <f t="shared" si="68"/>
        <v>0</v>
      </c>
      <c r="AR162" s="941"/>
      <c r="AT162" s="317"/>
      <c r="AU162" s="317"/>
    </row>
    <row r="163" spans="3:47" ht="13.15" customHeight="1" x14ac:dyDescent="0.2">
      <c r="C163" s="381"/>
      <c r="D163" s="895" t="str">
        <f>IF(op!D51=0,"",op!D51)</f>
        <v/>
      </c>
      <c r="E163" s="895" t="str">
        <f>IF(op!E51=0,"",op!E51)</f>
        <v/>
      </c>
      <c r="F163" s="390" t="str">
        <f>IF(op!F51="","",op!F51+1)</f>
        <v/>
      </c>
      <c r="G163" s="896" t="str">
        <f>IF(op!G51=0,"",op!G51)</f>
        <v/>
      </c>
      <c r="H163" s="390" t="str">
        <f>IF(op!H51="","",op!H51)</f>
        <v/>
      </c>
      <c r="I163" s="897" t="str">
        <f t="shared" si="77"/>
        <v/>
      </c>
      <c r="J163" s="898" t="str">
        <f>IF(op!J51="","",op!J51)</f>
        <v/>
      </c>
      <c r="K163" s="334"/>
      <c r="L163" s="1140" t="str">
        <f>IF(op!L51="","",op!L51)</f>
        <v/>
      </c>
      <c r="M163" s="1140" t="str">
        <f>IF(op!M51="","",op!M51)</f>
        <v/>
      </c>
      <c r="N163" s="899" t="str">
        <f t="shared" si="69"/>
        <v/>
      </c>
      <c r="O163" s="900" t="str">
        <f t="shared" si="70"/>
        <v/>
      </c>
      <c r="P163" s="901" t="str">
        <f t="shared" si="71"/>
        <v/>
      </c>
      <c r="Q163" s="568" t="str">
        <f t="shared" si="78"/>
        <v/>
      </c>
      <c r="R163" s="902" t="str">
        <f t="shared" si="72"/>
        <v/>
      </c>
      <c r="S163" s="903">
        <f t="shared" si="79"/>
        <v>0</v>
      </c>
      <c r="T163" s="334"/>
      <c r="X163" s="887" t="str">
        <f t="shared" si="80"/>
        <v/>
      </c>
      <c r="Y163" s="904">
        <f t="shared" si="81"/>
        <v>0.6</v>
      </c>
      <c r="Z163" s="905" t="e">
        <f t="shared" si="73"/>
        <v>#VALUE!</v>
      </c>
      <c r="AA163" s="905" t="e">
        <f t="shared" si="74"/>
        <v>#VALUE!</v>
      </c>
      <c r="AB163" s="905" t="e">
        <f t="shared" si="75"/>
        <v>#VALUE!</v>
      </c>
      <c r="AC163" s="906" t="e">
        <f t="shared" si="82"/>
        <v>#VALUE!</v>
      </c>
      <c r="AD163" s="907">
        <f t="shared" si="83"/>
        <v>0</v>
      </c>
      <c r="AE163" s="904">
        <f>IF(H163&gt;8,tab!C$194,tab!C$197)</f>
        <v>0.5</v>
      </c>
      <c r="AF163" s="907">
        <f t="shared" si="84"/>
        <v>0</v>
      </c>
      <c r="AG163" s="887">
        <f t="shared" si="85"/>
        <v>0</v>
      </c>
      <c r="AH163" s="908" t="e">
        <f t="shared" si="86"/>
        <v>#VALUE!</v>
      </c>
      <c r="AI163" s="815" t="e">
        <f t="shared" si="87"/>
        <v>#VALUE!</v>
      </c>
      <c r="AJ163" s="540">
        <f t="shared" si="88"/>
        <v>30</v>
      </c>
      <c r="AK163" s="540">
        <f t="shared" si="66"/>
        <v>30</v>
      </c>
      <c r="AL163" s="909">
        <f t="shared" si="89"/>
        <v>0</v>
      </c>
      <c r="AN163" s="539">
        <f t="shared" si="68"/>
        <v>0</v>
      </c>
      <c r="AR163" s="941"/>
      <c r="AT163" s="317"/>
      <c r="AU163" s="317"/>
    </row>
    <row r="164" spans="3:47" ht="13.15" customHeight="1" x14ac:dyDescent="0.2">
      <c r="C164" s="381"/>
      <c r="D164" s="895" t="str">
        <f>IF(op!D52=0,"",op!D52)</f>
        <v/>
      </c>
      <c r="E164" s="895" t="str">
        <f>IF(op!E52=0,"",op!E52)</f>
        <v/>
      </c>
      <c r="F164" s="390" t="str">
        <f>IF(op!F52="","",op!F52+1)</f>
        <v/>
      </c>
      <c r="G164" s="896" t="str">
        <f>IF(op!G52=0,"",op!G52)</f>
        <v/>
      </c>
      <c r="H164" s="390" t="str">
        <f>IF(op!H52="","",op!H52)</f>
        <v/>
      </c>
      <c r="I164" s="897" t="str">
        <f t="shared" si="77"/>
        <v/>
      </c>
      <c r="J164" s="898" t="str">
        <f>IF(op!J52="","",op!J52)</f>
        <v/>
      </c>
      <c r="K164" s="334"/>
      <c r="L164" s="1140" t="str">
        <f>IF(op!L52="","",op!L52)</f>
        <v/>
      </c>
      <c r="M164" s="1140" t="str">
        <f>IF(op!M52="","",op!M52)</f>
        <v/>
      </c>
      <c r="N164" s="899" t="str">
        <f t="shared" si="69"/>
        <v/>
      </c>
      <c r="O164" s="900" t="str">
        <f t="shared" si="70"/>
        <v/>
      </c>
      <c r="P164" s="901" t="str">
        <f t="shared" si="71"/>
        <v/>
      </c>
      <c r="Q164" s="568" t="str">
        <f t="shared" si="78"/>
        <v/>
      </c>
      <c r="R164" s="902" t="str">
        <f t="shared" si="72"/>
        <v/>
      </c>
      <c r="S164" s="903">
        <f t="shared" si="79"/>
        <v>0</v>
      </c>
      <c r="T164" s="334"/>
      <c r="X164" s="887" t="str">
        <f t="shared" si="80"/>
        <v/>
      </c>
      <c r="Y164" s="904">
        <f t="shared" si="81"/>
        <v>0.6</v>
      </c>
      <c r="Z164" s="905" t="e">
        <f t="shared" si="73"/>
        <v>#VALUE!</v>
      </c>
      <c r="AA164" s="905" t="e">
        <f t="shared" si="74"/>
        <v>#VALUE!</v>
      </c>
      <c r="AB164" s="905" t="e">
        <f t="shared" si="75"/>
        <v>#VALUE!</v>
      </c>
      <c r="AC164" s="906" t="e">
        <f t="shared" si="82"/>
        <v>#VALUE!</v>
      </c>
      <c r="AD164" s="907">
        <f t="shared" si="83"/>
        <v>0</v>
      </c>
      <c r="AE164" s="904">
        <f>IF(H164&gt;8,tab!C$194,tab!C$197)</f>
        <v>0.5</v>
      </c>
      <c r="AF164" s="907">
        <f t="shared" si="84"/>
        <v>0</v>
      </c>
      <c r="AG164" s="887">
        <f t="shared" si="85"/>
        <v>0</v>
      </c>
      <c r="AH164" s="908" t="e">
        <f t="shared" si="86"/>
        <v>#VALUE!</v>
      </c>
      <c r="AI164" s="815" t="e">
        <f t="shared" si="87"/>
        <v>#VALUE!</v>
      </c>
      <c r="AJ164" s="540">
        <f t="shared" si="88"/>
        <v>30</v>
      </c>
      <c r="AK164" s="540">
        <f t="shared" si="66"/>
        <v>30</v>
      </c>
      <c r="AL164" s="909">
        <f t="shared" si="89"/>
        <v>0</v>
      </c>
      <c r="AN164" s="539">
        <f t="shared" si="68"/>
        <v>0</v>
      </c>
      <c r="AR164" s="941"/>
      <c r="AT164" s="317"/>
      <c r="AU164" s="317"/>
    </row>
    <row r="165" spans="3:47" ht="13.15" customHeight="1" x14ac:dyDescent="0.2">
      <c r="C165" s="381"/>
      <c r="D165" s="895" t="str">
        <f>IF(op!D53=0,"",op!D53)</f>
        <v/>
      </c>
      <c r="E165" s="895" t="str">
        <f>IF(op!E53=0,"",op!E53)</f>
        <v/>
      </c>
      <c r="F165" s="390" t="str">
        <f>IF(op!F53="","",op!F53+1)</f>
        <v/>
      </c>
      <c r="G165" s="896" t="str">
        <f>IF(op!G53=0,"",op!G53)</f>
        <v/>
      </c>
      <c r="H165" s="390" t="str">
        <f>IF(op!H53="","",op!H53)</f>
        <v/>
      </c>
      <c r="I165" s="897" t="str">
        <f t="shared" si="77"/>
        <v/>
      </c>
      <c r="J165" s="898" t="str">
        <f>IF(op!J53="","",op!J53)</f>
        <v/>
      </c>
      <c r="K165" s="334"/>
      <c r="L165" s="1140" t="str">
        <f>IF(op!L53="","",op!L53)</f>
        <v/>
      </c>
      <c r="M165" s="1140" t="str">
        <f>IF(op!M53="","",op!M53)</f>
        <v/>
      </c>
      <c r="N165" s="899" t="str">
        <f t="shared" si="69"/>
        <v/>
      </c>
      <c r="O165" s="900" t="str">
        <f t="shared" si="70"/>
        <v/>
      </c>
      <c r="P165" s="901" t="str">
        <f t="shared" si="71"/>
        <v/>
      </c>
      <c r="Q165" s="568" t="str">
        <f t="shared" si="78"/>
        <v/>
      </c>
      <c r="R165" s="902" t="str">
        <f t="shared" si="72"/>
        <v/>
      </c>
      <c r="S165" s="903">
        <f t="shared" si="79"/>
        <v>0</v>
      </c>
      <c r="T165" s="334"/>
      <c r="X165" s="887" t="str">
        <f t="shared" si="80"/>
        <v/>
      </c>
      <c r="Y165" s="904">
        <f t="shared" si="81"/>
        <v>0.6</v>
      </c>
      <c r="Z165" s="905" t="e">
        <f t="shared" si="73"/>
        <v>#VALUE!</v>
      </c>
      <c r="AA165" s="905" t="e">
        <f t="shared" si="74"/>
        <v>#VALUE!</v>
      </c>
      <c r="AB165" s="905" t="e">
        <f t="shared" si="75"/>
        <v>#VALUE!</v>
      </c>
      <c r="AC165" s="906" t="e">
        <f t="shared" si="82"/>
        <v>#VALUE!</v>
      </c>
      <c r="AD165" s="907">
        <f t="shared" si="83"/>
        <v>0</v>
      </c>
      <c r="AE165" s="904">
        <f>IF(H165&gt;8,tab!C$194,tab!C$197)</f>
        <v>0.5</v>
      </c>
      <c r="AF165" s="907">
        <f t="shared" si="84"/>
        <v>0</v>
      </c>
      <c r="AG165" s="887">
        <f t="shared" si="85"/>
        <v>0</v>
      </c>
      <c r="AH165" s="908" t="e">
        <f t="shared" si="86"/>
        <v>#VALUE!</v>
      </c>
      <c r="AI165" s="815" t="e">
        <f t="shared" si="87"/>
        <v>#VALUE!</v>
      </c>
      <c r="AJ165" s="540">
        <f t="shared" si="88"/>
        <v>30</v>
      </c>
      <c r="AK165" s="540">
        <f t="shared" si="66"/>
        <v>30</v>
      </c>
      <c r="AL165" s="909">
        <f t="shared" si="89"/>
        <v>0</v>
      </c>
      <c r="AN165" s="539">
        <f t="shared" si="68"/>
        <v>0</v>
      </c>
      <c r="AR165" s="941"/>
      <c r="AT165" s="317"/>
      <c r="AU165" s="317"/>
    </row>
    <row r="166" spans="3:47" ht="13.15" customHeight="1" x14ac:dyDescent="0.2">
      <c r="C166" s="381"/>
      <c r="D166" s="895" t="str">
        <f>IF(op!D54=0,"",op!D54)</f>
        <v/>
      </c>
      <c r="E166" s="895" t="str">
        <f>IF(op!E54=0,"",op!E54)</f>
        <v/>
      </c>
      <c r="F166" s="390" t="str">
        <f>IF(op!F54="","",op!F54+1)</f>
        <v/>
      </c>
      <c r="G166" s="896" t="str">
        <f>IF(op!G54=0,"",op!G54)</f>
        <v/>
      </c>
      <c r="H166" s="390" t="str">
        <f>IF(op!H54="","",op!H54)</f>
        <v/>
      </c>
      <c r="I166" s="897" t="str">
        <f t="shared" si="77"/>
        <v/>
      </c>
      <c r="J166" s="898" t="str">
        <f>IF(op!J54="","",op!J54)</f>
        <v/>
      </c>
      <c r="K166" s="334"/>
      <c r="L166" s="1140" t="str">
        <f>IF(op!L54="","",op!L54)</f>
        <v/>
      </c>
      <c r="M166" s="1140" t="str">
        <f>IF(op!M54="","",op!M54)</f>
        <v/>
      </c>
      <c r="N166" s="899" t="str">
        <f t="shared" si="69"/>
        <v/>
      </c>
      <c r="O166" s="900" t="str">
        <f t="shared" si="70"/>
        <v/>
      </c>
      <c r="P166" s="901" t="str">
        <f t="shared" si="71"/>
        <v/>
      </c>
      <c r="Q166" s="568" t="str">
        <f t="shared" si="78"/>
        <v/>
      </c>
      <c r="R166" s="902" t="str">
        <f t="shared" si="72"/>
        <v/>
      </c>
      <c r="S166" s="903">
        <f t="shared" si="79"/>
        <v>0</v>
      </c>
      <c r="T166" s="334"/>
      <c r="X166" s="887" t="str">
        <f t="shared" si="80"/>
        <v/>
      </c>
      <c r="Y166" s="904">
        <f t="shared" si="81"/>
        <v>0.6</v>
      </c>
      <c r="Z166" s="905" t="e">
        <f t="shared" si="73"/>
        <v>#VALUE!</v>
      </c>
      <c r="AA166" s="905" t="e">
        <f t="shared" si="74"/>
        <v>#VALUE!</v>
      </c>
      <c r="AB166" s="905" t="e">
        <f t="shared" si="75"/>
        <v>#VALUE!</v>
      </c>
      <c r="AC166" s="906" t="e">
        <f t="shared" si="82"/>
        <v>#VALUE!</v>
      </c>
      <c r="AD166" s="907">
        <f t="shared" si="83"/>
        <v>0</v>
      </c>
      <c r="AE166" s="904">
        <f>IF(H166&gt;8,tab!C$194,tab!C$197)</f>
        <v>0.5</v>
      </c>
      <c r="AF166" s="907">
        <f t="shared" si="84"/>
        <v>0</v>
      </c>
      <c r="AG166" s="887">
        <f t="shared" si="85"/>
        <v>0</v>
      </c>
      <c r="AH166" s="908" t="e">
        <f t="shared" si="86"/>
        <v>#VALUE!</v>
      </c>
      <c r="AI166" s="815" t="e">
        <f t="shared" si="87"/>
        <v>#VALUE!</v>
      </c>
      <c r="AJ166" s="540">
        <f t="shared" si="88"/>
        <v>30</v>
      </c>
      <c r="AK166" s="540">
        <f t="shared" si="66"/>
        <v>30</v>
      </c>
      <c r="AL166" s="909">
        <f t="shared" si="89"/>
        <v>0</v>
      </c>
      <c r="AN166" s="539">
        <f t="shared" si="68"/>
        <v>0</v>
      </c>
      <c r="AR166" s="941"/>
      <c r="AT166" s="317"/>
      <c r="AU166" s="317"/>
    </row>
    <row r="167" spans="3:47" ht="13.15" customHeight="1" x14ac:dyDescent="0.2">
      <c r="C167" s="381"/>
      <c r="D167" s="895" t="str">
        <f>IF(op!D55=0,"",op!D55)</f>
        <v/>
      </c>
      <c r="E167" s="895" t="str">
        <f>IF(op!E55=0,"",op!E55)</f>
        <v/>
      </c>
      <c r="F167" s="390" t="str">
        <f>IF(op!F55="","",op!F55+1)</f>
        <v/>
      </c>
      <c r="G167" s="896" t="str">
        <f>IF(op!G55=0,"",op!G55)</f>
        <v/>
      </c>
      <c r="H167" s="390" t="str">
        <f>IF(op!H55="","",op!H55)</f>
        <v/>
      </c>
      <c r="I167" s="897" t="str">
        <f t="shared" si="77"/>
        <v/>
      </c>
      <c r="J167" s="898" t="str">
        <f>IF(op!J55="","",op!J55)</f>
        <v/>
      </c>
      <c r="K167" s="334"/>
      <c r="L167" s="1140" t="str">
        <f>IF(op!L55="","",op!L55)</f>
        <v/>
      </c>
      <c r="M167" s="1140" t="str">
        <f>IF(op!M55="","",op!M55)</f>
        <v/>
      </c>
      <c r="N167" s="899" t="str">
        <f t="shared" si="69"/>
        <v/>
      </c>
      <c r="O167" s="900" t="str">
        <f t="shared" si="70"/>
        <v/>
      </c>
      <c r="P167" s="901" t="str">
        <f t="shared" si="71"/>
        <v/>
      </c>
      <c r="Q167" s="568" t="str">
        <f t="shared" si="78"/>
        <v/>
      </c>
      <c r="R167" s="902" t="str">
        <f t="shared" si="72"/>
        <v/>
      </c>
      <c r="S167" s="903">
        <f t="shared" si="79"/>
        <v>0</v>
      </c>
      <c r="T167" s="334"/>
      <c r="X167" s="887" t="str">
        <f t="shared" si="80"/>
        <v/>
      </c>
      <c r="Y167" s="904">
        <f t="shared" si="81"/>
        <v>0.6</v>
      </c>
      <c r="Z167" s="905" t="e">
        <f t="shared" si="73"/>
        <v>#VALUE!</v>
      </c>
      <c r="AA167" s="905" t="e">
        <f t="shared" si="74"/>
        <v>#VALUE!</v>
      </c>
      <c r="AB167" s="905" t="e">
        <f t="shared" si="75"/>
        <v>#VALUE!</v>
      </c>
      <c r="AC167" s="906" t="e">
        <f t="shared" si="82"/>
        <v>#VALUE!</v>
      </c>
      <c r="AD167" s="907">
        <f t="shared" si="83"/>
        <v>0</v>
      </c>
      <c r="AE167" s="904">
        <f>IF(H167&gt;8,tab!C$194,tab!C$197)</f>
        <v>0.5</v>
      </c>
      <c r="AF167" s="907">
        <f t="shared" si="84"/>
        <v>0</v>
      </c>
      <c r="AG167" s="887">
        <f t="shared" si="85"/>
        <v>0</v>
      </c>
      <c r="AH167" s="908" t="e">
        <f t="shared" si="86"/>
        <v>#VALUE!</v>
      </c>
      <c r="AI167" s="815" t="e">
        <f t="shared" si="87"/>
        <v>#VALUE!</v>
      </c>
      <c r="AJ167" s="540">
        <f t="shared" si="88"/>
        <v>30</v>
      </c>
      <c r="AK167" s="540">
        <f t="shared" si="66"/>
        <v>30</v>
      </c>
      <c r="AL167" s="909">
        <f t="shared" si="89"/>
        <v>0</v>
      </c>
      <c r="AN167" s="539">
        <f t="shared" si="68"/>
        <v>0</v>
      </c>
      <c r="AR167" s="941"/>
      <c r="AT167" s="317"/>
      <c r="AU167" s="317"/>
    </row>
    <row r="168" spans="3:47" ht="13.15" customHeight="1" x14ac:dyDescent="0.2">
      <c r="C168" s="381"/>
      <c r="D168" s="895" t="str">
        <f>IF(op!D56=0,"",op!D56)</f>
        <v/>
      </c>
      <c r="E168" s="895" t="str">
        <f>IF(op!E56=0,"",op!E56)</f>
        <v/>
      </c>
      <c r="F168" s="390" t="str">
        <f>IF(op!F56="","",op!F56+1)</f>
        <v/>
      </c>
      <c r="G168" s="896" t="str">
        <f>IF(op!G56=0,"",op!G56)</f>
        <v/>
      </c>
      <c r="H168" s="390" t="str">
        <f>IF(op!H56="","",op!H56)</f>
        <v/>
      </c>
      <c r="I168" s="897" t="str">
        <f t="shared" si="77"/>
        <v/>
      </c>
      <c r="J168" s="898" t="str">
        <f>IF(op!J56="","",op!J56)</f>
        <v/>
      </c>
      <c r="K168" s="334"/>
      <c r="L168" s="1140" t="str">
        <f>IF(op!L56="","",op!L56)</f>
        <v/>
      </c>
      <c r="M168" s="1140" t="str">
        <f>IF(op!M56="","",op!M56)</f>
        <v/>
      </c>
      <c r="N168" s="899" t="str">
        <f t="shared" si="69"/>
        <v/>
      </c>
      <c r="O168" s="900" t="str">
        <f t="shared" si="70"/>
        <v/>
      </c>
      <c r="P168" s="901" t="str">
        <f t="shared" si="71"/>
        <v/>
      </c>
      <c r="Q168" s="568" t="str">
        <f t="shared" si="78"/>
        <v/>
      </c>
      <c r="R168" s="902" t="str">
        <f t="shared" si="72"/>
        <v/>
      </c>
      <c r="S168" s="903">
        <f t="shared" si="79"/>
        <v>0</v>
      </c>
      <c r="T168" s="334"/>
      <c r="X168" s="887" t="str">
        <f t="shared" si="80"/>
        <v/>
      </c>
      <c r="Y168" s="904">
        <f t="shared" si="81"/>
        <v>0.6</v>
      </c>
      <c r="Z168" s="905" t="e">
        <f t="shared" si="73"/>
        <v>#VALUE!</v>
      </c>
      <c r="AA168" s="905" t="e">
        <f t="shared" si="74"/>
        <v>#VALUE!</v>
      </c>
      <c r="AB168" s="905" t="e">
        <f t="shared" si="75"/>
        <v>#VALUE!</v>
      </c>
      <c r="AC168" s="906" t="e">
        <f t="shared" si="82"/>
        <v>#VALUE!</v>
      </c>
      <c r="AD168" s="907">
        <f t="shared" si="83"/>
        <v>0</v>
      </c>
      <c r="AE168" s="904">
        <f>IF(H168&gt;8,tab!C$194,tab!C$197)</f>
        <v>0.5</v>
      </c>
      <c r="AF168" s="907">
        <f t="shared" si="84"/>
        <v>0</v>
      </c>
      <c r="AG168" s="887">
        <f t="shared" si="85"/>
        <v>0</v>
      </c>
      <c r="AH168" s="908" t="e">
        <f t="shared" si="86"/>
        <v>#VALUE!</v>
      </c>
      <c r="AI168" s="815" t="e">
        <f t="shared" si="87"/>
        <v>#VALUE!</v>
      </c>
      <c r="AJ168" s="540">
        <f t="shared" si="88"/>
        <v>30</v>
      </c>
      <c r="AK168" s="540">
        <f t="shared" si="66"/>
        <v>30</v>
      </c>
      <c r="AL168" s="909">
        <f t="shared" si="89"/>
        <v>0</v>
      </c>
      <c r="AN168" s="539">
        <f t="shared" si="68"/>
        <v>0</v>
      </c>
      <c r="AR168" s="941"/>
      <c r="AT168" s="317"/>
      <c r="AU168" s="317"/>
    </row>
    <row r="169" spans="3:47" ht="13.15" customHeight="1" x14ac:dyDescent="0.2">
      <c r="C169" s="381"/>
      <c r="D169" s="895" t="str">
        <f>IF(op!D57=0,"",op!D57)</f>
        <v/>
      </c>
      <c r="E169" s="895" t="str">
        <f>IF(op!E57=0,"",op!E57)</f>
        <v/>
      </c>
      <c r="F169" s="390" t="str">
        <f>IF(op!F57="","",op!F57+1)</f>
        <v/>
      </c>
      <c r="G169" s="896" t="str">
        <f>IF(op!G57=0,"",op!G57)</f>
        <v/>
      </c>
      <c r="H169" s="390" t="str">
        <f>IF(op!H57="","",op!H57)</f>
        <v/>
      </c>
      <c r="I169" s="897" t="str">
        <f t="shared" si="77"/>
        <v/>
      </c>
      <c r="J169" s="898" t="str">
        <f>IF(op!J57="","",op!J57)</f>
        <v/>
      </c>
      <c r="K169" s="334"/>
      <c r="L169" s="1140" t="str">
        <f>IF(op!L57="","",op!L57)</f>
        <v/>
      </c>
      <c r="M169" s="1140" t="str">
        <f>IF(op!M57="","",op!M57)</f>
        <v/>
      </c>
      <c r="N169" s="899" t="str">
        <f t="shared" si="69"/>
        <v/>
      </c>
      <c r="O169" s="900" t="str">
        <f t="shared" si="70"/>
        <v/>
      </c>
      <c r="P169" s="901" t="str">
        <f t="shared" si="71"/>
        <v/>
      </c>
      <c r="Q169" s="568" t="str">
        <f t="shared" si="78"/>
        <v/>
      </c>
      <c r="R169" s="902" t="str">
        <f t="shared" si="72"/>
        <v/>
      </c>
      <c r="S169" s="903">
        <f t="shared" si="79"/>
        <v>0</v>
      </c>
      <c r="T169" s="334"/>
      <c r="X169" s="887" t="str">
        <f t="shared" si="80"/>
        <v/>
      </c>
      <c r="Y169" s="904">
        <f t="shared" si="81"/>
        <v>0.6</v>
      </c>
      <c r="Z169" s="905" t="e">
        <f t="shared" si="73"/>
        <v>#VALUE!</v>
      </c>
      <c r="AA169" s="905" t="e">
        <f t="shared" si="74"/>
        <v>#VALUE!</v>
      </c>
      <c r="AB169" s="905" t="e">
        <f t="shared" si="75"/>
        <v>#VALUE!</v>
      </c>
      <c r="AC169" s="906" t="e">
        <f t="shared" si="82"/>
        <v>#VALUE!</v>
      </c>
      <c r="AD169" s="907">
        <f t="shared" si="83"/>
        <v>0</v>
      </c>
      <c r="AE169" s="904">
        <f>IF(H169&gt;8,tab!C$194,tab!C$197)</f>
        <v>0.5</v>
      </c>
      <c r="AF169" s="907">
        <f t="shared" si="84"/>
        <v>0</v>
      </c>
      <c r="AG169" s="887">
        <f t="shared" si="85"/>
        <v>0</v>
      </c>
      <c r="AH169" s="908" t="e">
        <f t="shared" si="86"/>
        <v>#VALUE!</v>
      </c>
      <c r="AI169" s="815" t="e">
        <f t="shared" si="87"/>
        <v>#VALUE!</v>
      </c>
      <c r="AJ169" s="540">
        <f t="shared" si="88"/>
        <v>30</v>
      </c>
      <c r="AK169" s="540">
        <f t="shared" si="66"/>
        <v>30</v>
      </c>
      <c r="AL169" s="909">
        <f t="shared" si="89"/>
        <v>0</v>
      </c>
      <c r="AN169" s="539">
        <f t="shared" si="68"/>
        <v>0</v>
      </c>
      <c r="AR169" s="941"/>
      <c r="AT169" s="317"/>
      <c r="AU169" s="317"/>
    </row>
    <row r="170" spans="3:47" ht="13.15" customHeight="1" x14ac:dyDescent="0.2">
      <c r="C170" s="381"/>
      <c r="D170" s="895" t="str">
        <f>IF(op!D58=0,"",op!D58)</f>
        <v/>
      </c>
      <c r="E170" s="895" t="str">
        <f>IF(op!E58=0,"",op!E58)</f>
        <v/>
      </c>
      <c r="F170" s="390" t="str">
        <f>IF(op!F58="","",op!F58+1)</f>
        <v/>
      </c>
      <c r="G170" s="896" t="str">
        <f>IF(op!G58=0,"",op!G58)</f>
        <v/>
      </c>
      <c r="H170" s="390" t="str">
        <f>IF(op!H58="","",op!H58)</f>
        <v/>
      </c>
      <c r="I170" s="897" t="str">
        <f t="shared" si="77"/>
        <v/>
      </c>
      <c r="J170" s="898" t="str">
        <f>IF(op!J58="","",op!J58)</f>
        <v/>
      </c>
      <c r="K170" s="334"/>
      <c r="L170" s="1140" t="str">
        <f>IF(op!L58="","",op!L58)</f>
        <v/>
      </c>
      <c r="M170" s="1140" t="str">
        <f>IF(op!M58="","",op!M58)</f>
        <v/>
      </c>
      <c r="N170" s="899" t="str">
        <f t="shared" si="69"/>
        <v/>
      </c>
      <c r="O170" s="900" t="str">
        <f t="shared" si="70"/>
        <v/>
      </c>
      <c r="P170" s="901" t="str">
        <f t="shared" si="71"/>
        <v/>
      </c>
      <c r="Q170" s="568" t="str">
        <f t="shared" si="78"/>
        <v/>
      </c>
      <c r="R170" s="902" t="str">
        <f t="shared" si="72"/>
        <v/>
      </c>
      <c r="S170" s="903">
        <f t="shared" si="79"/>
        <v>0</v>
      </c>
      <c r="T170" s="334"/>
      <c r="X170" s="887" t="str">
        <f t="shared" si="80"/>
        <v/>
      </c>
      <c r="Y170" s="904">
        <f t="shared" si="81"/>
        <v>0.6</v>
      </c>
      <c r="Z170" s="905" t="e">
        <f t="shared" si="73"/>
        <v>#VALUE!</v>
      </c>
      <c r="AA170" s="905" t="e">
        <f t="shared" si="74"/>
        <v>#VALUE!</v>
      </c>
      <c r="AB170" s="905" t="e">
        <f t="shared" si="75"/>
        <v>#VALUE!</v>
      </c>
      <c r="AC170" s="906" t="e">
        <f t="shared" si="82"/>
        <v>#VALUE!</v>
      </c>
      <c r="AD170" s="907">
        <f t="shared" si="83"/>
        <v>0</v>
      </c>
      <c r="AE170" s="904">
        <f>IF(H170&gt;8,tab!C$194,tab!C$197)</f>
        <v>0.5</v>
      </c>
      <c r="AF170" s="907">
        <f t="shared" si="84"/>
        <v>0</v>
      </c>
      <c r="AG170" s="887">
        <f t="shared" si="85"/>
        <v>0</v>
      </c>
      <c r="AH170" s="908" t="e">
        <f t="shared" si="86"/>
        <v>#VALUE!</v>
      </c>
      <c r="AI170" s="815" t="e">
        <f t="shared" si="87"/>
        <v>#VALUE!</v>
      </c>
      <c r="AJ170" s="540">
        <f t="shared" si="88"/>
        <v>30</v>
      </c>
      <c r="AK170" s="540">
        <f t="shared" si="66"/>
        <v>30</v>
      </c>
      <c r="AL170" s="909">
        <f t="shared" si="89"/>
        <v>0</v>
      </c>
      <c r="AN170" s="539">
        <f t="shared" si="68"/>
        <v>0</v>
      </c>
      <c r="AR170" s="941"/>
      <c r="AT170" s="317"/>
      <c r="AU170" s="317"/>
    </row>
    <row r="171" spans="3:47" ht="13.15" customHeight="1" x14ac:dyDescent="0.2">
      <c r="C171" s="381"/>
      <c r="D171" s="895" t="str">
        <f>IF(op!D59=0,"",op!D59)</f>
        <v/>
      </c>
      <c r="E171" s="895" t="str">
        <f>IF(op!E59=0,"",op!E59)</f>
        <v/>
      </c>
      <c r="F171" s="390" t="str">
        <f>IF(op!F59="","",op!F59+1)</f>
        <v/>
      </c>
      <c r="G171" s="896" t="str">
        <f>IF(op!G59=0,"",op!G59)</f>
        <v/>
      </c>
      <c r="H171" s="390" t="str">
        <f>IF(op!H59="","",op!H59)</f>
        <v/>
      </c>
      <c r="I171" s="897" t="str">
        <f t="shared" si="77"/>
        <v/>
      </c>
      <c r="J171" s="898" t="str">
        <f>IF(op!J59="","",op!J59)</f>
        <v/>
      </c>
      <c r="K171" s="334"/>
      <c r="L171" s="1140" t="str">
        <f>IF(op!L59="","",op!L59)</f>
        <v/>
      </c>
      <c r="M171" s="1140" t="str">
        <f>IF(op!M59="","",op!M59)</f>
        <v/>
      </c>
      <c r="N171" s="899" t="str">
        <f t="shared" si="69"/>
        <v/>
      </c>
      <c r="O171" s="900" t="str">
        <f t="shared" si="70"/>
        <v/>
      </c>
      <c r="P171" s="901" t="str">
        <f t="shared" si="71"/>
        <v/>
      </c>
      <c r="Q171" s="568" t="str">
        <f t="shared" si="78"/>
        <v/>
      </c>
      <c r="R171" s="902" t="str">
        <f t="shared" si="72"/>
        <v/>
      </c>
      <c r="S171" s="903">
        <f t="shared" si="79"/>
        <v>0</v>
      </c>
      <c r="T171" s="334"/>
      <c r="X171" s="887" t="str">
        <f t="shared" si="80"/>
        <v/>
      </c>
      <c r="Y171" s="904">
        <f t="shared" si="81"/>
        <v>0.6</v>
      </c>
      <c r="Z171" s="905" t="e">
        <f t="shared" si="73"/>
        <v>#VALUE!</v>
      </c>
      <c r="AA171" s="905" t="e">
        <f t="shared" si="74"/>
        <v>#VALUE!</v>
      </c>
      <c r="AB171" s="905" t="e">
        <f t="shared" si="75"/>
        <v>#VALUE!</v>
      </c>
      <c r="AC171" s="906" t="e">
        <f t="shared" si="82"/>
        <v>#VALUE!</v>
      </c>
      <c r="AD171" s="907">
        <f t="shared" si="83"/>
        <v>0</v>
      </c>
      <c r="AE171" s="904">
        <f>IF(H171&gt;8,tab!C$194,tab!C$197)</f>
        <v>0.5</v>
      </c>
      <c r="AF171" s="907">
        <f t="shared" si="84"/>
        <v>0</v>
      </c>
      <c r="AG171" s="887">
        <f t="shared" si="85"/>
        <v>0</v>
      </c>
      <c r="AH171" s="908" t="e">
        <f t="shared" si="86"/>
        <v>#VALUE!</v>
      </c>
      <c r="AI171" s="815" t="e">
        <f t="shared" si="87"/>
        <v>#VALUE!</v>
      </c>
      <c r="AJ171" s="540">
        <f t="shared" si="88"/>
        <v>30</v>
      </c>
      <c r="AK171" s="540">
        <f t="shared" si="66"/>
        <v>30</v>
      </c>
      <c r="AL171" s="909">
        <f t="shared" si="89"/>
        <v>0</v>
      </c>
      <c r="AN171" s="539">
        <f t="shared" si="68"/>
        <v>0</v>
      </c>
      <c r="AR171" s="941"/>
      <c r="AT171" s="317"/>
      <c r="AU171" s="317"/>
    </row>
    <row r="172" spans="3:47" ht="13.15" customHeight="1" x14ac:dyDescent="0.2">
      <c r="C172" s="381"/>
      <c r="D172" s="895" t="str">
        <f>IF(op!D60=0,"",op!D60)</f>
        <v/>
      </c>
      <c r="E172" s="895" t="str">
        <f>IF(op!E60=0,"",op!E60)</f>
        <v/>
      </c>
      <c r="F172" s="390" t="str">
        <f>IF(op!F60="","",op!F60+1)</f>
        <v/>
      </c>
      <c r="G172" s="896" t="str">
        <f>IF(op!G60=0,"",op!G60)</f>
        <v/>
      </c>
      <c r="H172" s="390" t="str">
        <f>IF(op!H60="","",op!H60)</f>
        <v/>
      </c>
      <c r="I172" s="897" t="str">
        <f t="shared" si="77"/>
        <v/>
      </c>
      <c r="J172" s="898" t="str">
        <f>IF(op!J60="","",op!J60)</f>
        <v/>
      </c>
      <c r="K172" s="334"/>
      <c r="L172" s="1140" t="str">
        <f>IF(op!L60="","",op!L60)</f>
        <v/>
      </c>
      <c r="M172" s="1140" t="str">
        <f>IF(op!M60="","",op!M60)</f>
        <v/>
      </c>
      <c r="N172" s="899" t="str">
        <f t="shared" si="69"/>
        <v/>
      </c>
      <c r="O172" s="900" t="str">
        <f t="shared" si="70"/>
        <v/>
      </c>
      <c r="P172" s="901" t="str">
        <f t="shared" si="71"/>
        <v/>
      </c>
      <c r="Q172" s="568" t="str">
        <f t="shared" si="78"/>
        <v/>
      </c>
      <c r="R172" s="902" t="str">
        <f t="shared" si="72"/>
        <v/>
      </c>
      <c r="S172" s="903">
        <f t="shared" si="79"/>
        <v>0</v>
      </c>
      <c r="T172" s="334"/>
      <c r="X172" s="887" t="str">
        <f t="shared" si="80"/>
        <v/>
      </c>
      <c r="Y172" s="904">
        <f t="shared" si="81"/>
        <v>0.6</v>
      </c>
      <c r="Z172" s="905" t="e">
        <f t="shared" si="73"/>
        <v>#VALUE!</v>
      </c>
      <c r="AA172" s="905" t="e">
        <f t="shared" si="74"/>
        <v>#VALUE!</v>
      </c>
      <c r="AB172" s="905" t="e">
        <f t="shared" si="75"/>
        <v>#VALUE!</v>
      </c>
      <c r="AC172" s="906" t="e">
        <f t="shared" si="82"/>
        <v>#VALUE!</v>
      </c>
      <c r="AD172" s="907">
        <f t="shared" si="83"/>
        <v>0</v>
      </c>
      <c r="AE172" s="904">
        <f>IF(H172&gt;8,tab!C$194,tab!C$197)</f>
        <v>0.5</v>
      </c>
      <c r="AF172" s="907">
        <f t="shared" si="84"/>
        <v>0</v>
      </c>
      <c r="AG172" s="887">
        <f t="shared" si="85"/>
        <v>0</v>
      </c>
      <c r="AH172" s="908" t="e">
        <f t="shared" si="86"/>
        <v>#VALUE!</v>
      </c>
      <c r="AI172" s="815" t="e">
        <f t="shared" si="87"/>
        <v>#VALUE!</v>
      </c>
      <c r="AJ172" s="540">
        <f t="shared" si="88"/>
        <v>30</v>
      </c>
      <c r="AK172" s="540">
        <f t="shared" si="66"/>
        <v>30</v>
      </c>
      <c r="AL172" s="909">
        <f t="shared" si="89"/>
        <v>0</v>
      </c>
      <c r="AN172" s="539">
        <f t="shared" si="68"/>
        <v>0</v>
      </c>
      <c r="AR172" s="941"/>
      <c r="AT172" s="317"/>
      <c r="AU172" s="317"/>
    </row>
    <row r="173" spans="3:47" ht="13.15" customHeight="1" x14ac:dyDescent="0.2">
      <c r="C173" s="381"/>
      <c r="D173" s="895" t="str">
        <f>IF(op!D61=0,"",op!D61)</f>
        <v/>
      </c>
      <c r="E173" s="895" t="str">
        <f>IF(op!E61=0,"",op!E61)</f>
        <v/>
      </c>
      <c r="F173" s="390" t="str">
        <f>IF(op!F61="","",op!F61+1)</f>
        <v/>
      </c>
      <c r="G173" s="896" t="str">
        <f>IF(op!G61=0,"",op!G61)</f>
        <v/>
      </c>
      <c r="H173" s="390" t="str">
        <f>IF(op!H61="","",op!H61)</f>
        <v/>
      </c>
      <c r="I173" s="897" t="str">
        <f t="shared" si="77"/>
        <v/>
      </c>
      <c r="J173" s="898" t="str">
        <f>IF(op!J61="","",op!J61)</f>
        <v/>
      </c>
      <c r="K173" s="334"/>
      <c r="L173" s="1140" t="str">
        <f>IF(op!L61="","",op!L61)</f>
        <v/>
      </c>
      <c r="M173" s="1140" t="str">
        <f>IF(op!M61="","",op!M61)</f>
        <v/>
      </c>
      <c r="N173" s="899" t="str">
        <f t="shared" si="69"/>
        <v/>
      </c>
      <c r="O173" s="900" t="str">
        <f t="shared" si="70"/>
        <v/>
      </c>
      <c r="P173" s="901" t="str">
        <f t="shared" si="71"/>
        <v/>
      </c>
      <c r="Q173" s="568" t="str">
        <f t="shared" si="78"/>
        <v/>
      </c>
      <c r="R173" s="902" t="str">
        <f t="shared" si="72"/>
        <v/>
      </c>
      <c r="S173" s="903">
        <f t="shared" si="79"/>
        <v>0</v>
      </c>
      <c r="T173" s="334"/>
      <c r="X173" s="887" t="str">
        <f t="shared" si="80"/>
        <v/>
      </c>
      <c r="Y173" s="904">
        <f t="shared" si="81"/>
        <v>0.6</v>
      </c>
      <c r="Z173" s="905" t="e">
        <f t="shared" si="73"/>
        <v>#VALUE!</v>
      </c>
      <c r="AA173" s="905" t="e">
        <f t="shared" si="74"/>
        <v>#VALUE!</v>
      </c>
      <c r="AB173" s="905" t="e">
        <f t="shared" si="75"/>
        <v>#VALUE!</v>
      </c>
      <c r="AC173" s="906" t="e">
        <f t="shared" si="82"/>
        <v>#VALUE!</v>
      </c>
      <c r="AD173" s="907">
        <f t="shared" si="83"/>
        <v>0</v>
      </c>
      <c r="AE173" s="904">
        <f>IF(H173&gt;8,tab!C$194,tab!C$197)</f>
        <v>0.5</v>
      </c>
      <c r="AF173" s="907">
        <f t="shared" si="84"/>
        <v>0</v>
      </c>
      <c r="AG173" s="887">
        <f t="shared" si="85"/>
        <v>0</v>
      </c>
      <c r="AH173" s="908" t="e">
        <f t="shared" si="86"/>
        <v>#VALUE!</v>
      </c>
      <c r="AI173" s="815" t="e">
        <f t="shared" si="87"/>
        <v>#VALUE!</v>
      </c>
      <c r="AJ173" s="540">
        <f t="shared" si="88"/>
        <v>30</v>
      </c>
      <c r="AK173" s="540">
        <f t="shared" si="66"/>
        <v>30</v>
      </c>
      <c r="AL173" s="909">
        <f t="shared" si="89"/>
        <v>0</v>
      </c>
      <c r="AN173" s="539">
        <f t="shared" si="68"/>
        <v>0</v>
      </c>
      <c r="AR173" s="941"/>
      <c r="AT173" s="317"/>
      <c r="AU173" s="317"/>
    </row>
    <row r="174" spans="3:47" ht="13.15" customHeight="1" x14ac:dyDescent="0.2">
      <c r="C174" s="381"/>
      <c r="D174" s="895" t="str">
        <f>IF(op!D62=0,"",op!D62)</f>
        <v/>
      </c>
      <c r="E174" s="895" t="str">
        <f>IF(op!E62=0,"",op!E62)</f>
        <v/>
      </c>
      <c r="F174" s="390" t="str">
        <f>IF(op!F62="","",op!F62+1)</f>
        <v/>
      </c>
      <c r="G174" s="896" t="str">
        <f>IF(op!G62=0,"",op!G62)</f>
        <v/>
      </c>
      <c r="H174" s="390" t="str">
        <f>IF(op!H62="","",op!H62)</f>
        <v/>
      </c>
      <c r="I174" s="897" t="str">
        <f t="shared" si="77"/>
        <v/>
      </c>
      <c r="J174" s="898" t="str">
        <f>IF(op!J62="","",op!J62)</f>
        <v/>
      </c>
      <c r="K174" s="334"/>
      <c r="L174" s="1140" t="str">
        <f>IF(op!L62="","",op!L62)</f>
        <v/>
      </c>
      <c r="M174" s="1140" t="str">
        <f>IF(op!M62="","",op!M62)</f>
        <v/>
      </c>
      <c r="N174" s="899" t="str">
        <f t="shared" si="69"/>
        <v/>
      </c>
      <c r="O174" s="900" t="str">
        <f t="shared" si="70"/>
        <v/>
      </c>
      <c r="P174" s="901" t="str">
        <f t="shared" si="71"/>
        <v/>
      </c>
      <c r="Q174" s="568" t="str">
        <f t="shared" si="78"/>
        <v/>
      </c>
      <c r="R174" s="902" t="str">
        <f t="shared" si="72"/>
        <v/>
      </c>
      <c r="S174" s="903">
        <f t="shared" si="79"/>
        <v>0</v>
      </c>
      <c r="T174" s="334"/>
      <c r="X174" s="887" t="str">
        <f t="shared" si="80"/>
        <v/>
      </c>
      <c r="Y174" s="904">
        <f t="shared" si="81"/>
        <v>0.6</v>
      </c>
      <c r="Z174" s="905" t="e">
        <f t="shared" si="73"/>
        <v>#VALUE!</v>
      </c>
      <c r="AA174" s="905" t="e">
        <f t="shared" si="74"/>
        <v>#VALUE!</v>
      </c>
      <c r="AB174" s="905" t="e">
        <f t="shared" si="75"/>
        <v>#VALUE!</v>
      </c>
      <c r="AC174" s="906" t="e">
        <f t="shared" si="82"/>
        <v>#VALUE!</v>
      </c>
      <c r="AD174" s="907">
        <f t="shared" si="83"/>
        <v>0</v>
      </c>
      <c r="AE174" s="904">
        <f>IF(H174&gt;8,tab!C$194,tab!C$197)</f>
        <v>0.5</v>
      </c>
      <c r="AF174" s="907">
        <f t="shared" si="84"/>
        <v>0</v>
      </c>
      <c r="AG174" s="887">
        <f t="shared" si="85"/>
        <v>0</v>
      </c>
      <c r="AH174" s="908" t="e">
        <f t="shared" si="86"/>
        <v>#VALUE!</v>
      </c>
      <c r="AI174" s="815" t="e">
        <f t="shared" si="87"/>
        <v>#VALUE!</v>
      </c>
      <c r="AJ174" s="540">
        <f t="shared" si="88"/>
        <v>30</v>
      </c>
      <c r="AK174" s="540">
        <f t="shared" si="66"/>
        <v>30</v>
      </c>
      <c r="AL174" s="909">
        <f t="shared" si="89"/>
        <v>0</v>
      </c>
      <c r="AN174" s="539">
        <f t="shared" si="68"/>
        <v>0</v>
      </c>
      <c r="AR174" s="941"/>
      <c r="AT174" s="317"/>
      <c r="AU174" s="317"/>
    </row>
    <row r="175" spans="3:47" ht="13.15" customHeight="1" x14ac:dyDescent="0.2">
      <c r="C175" s="381"/>
      <c r="D175" s="895" t="str">
        <f>IF(op!D63=0,"",op!D63)</f>
        <v/>
      </c>
      <c r="E175" s="895" t="str">
        <f>IF(op!E63=0,"",op!E63)</f>
        <v/>
      </c>
      <c r="F175" s="390" t="str">
        <f>IF(op!F63="","",op!F63+1)</f>
        <v/>
      </c>
      <c r="G175" s="896" t="str">
        <f>IF(op!G63=0,"",op!G63)</f>
        <v/>
      </c>
      <c r="H175" s="390" t="str">
        <f>IF(op!H63="","",op!H63)</f>
        <v/>
      </c>
      <c r="I175" s="897" t="str">
        <f t="shared" si="77"/>
        <v/>
      </c>
      <c r="J175" s="898" t="str">
        <f>IF(op!J63="","",op!J63)</f>
        <v/>
      </c>
      <c r="K175" s="334"/>
      <c r="L175" s="1140" t="str">
        <f>IF(op!L63="","",op!L63)</f>
        <v/>
      </c>
      <c r="M175" s="1140" t="str">
        <f>IF(op!M63="","",op!M63)</f>
        <v/>
      </c>
      <c r="N175" s="899" t="str">
        <f t="shared" si="69"/>
        <v/>
      </c>
      <c r="O175" s="900" t="str">
        <f t="shared" si="70"/>
        <v/>
      </c>
      <c r="P175" s="901" t="str">
        <f t="shared" si="71"/>
        <v/>
      </c>
      <c r="Q175" s="568" t="str">
        <f t="shared" si="78"/>
        <v/>
      </c>
      <c r="R175" s="902" t="str">
        <f t="shared" si="72"/>
        <v/>
      </c>
      <c r="S175" s="903">
        <f t="shared" si="79"/>
        <v>0</v>
      </c>
      <c r="T175" s="334"/>
      <c r="X175" s="887" t="str">
        <f t="shared" si="80"/>
        <v/>
      </c>
      <c r="Y175" s="904">
        <f t="shared" si="81"/>
        <v>0.6</v>
      </c>
      <c r="Z175" s="905" t="e">
        <f t="shared" si="73"/>
        <v>#VALUE!</v>
      </c>
      <c r="AA175" s="905" t="e">
        <f t="shared" si="74"/>
        <v>#VALUE!</v>
      </c>
      <c r="AB175" s="905" t="e">
        <f t="shared" si="75"/>
        <v>#VALUE!</v>
      </c>
      <c r="AC175" s="906" t="e">
        <f t="shared" si="82"/>
        <v>#VALUE!</v>
      </c>
      <c r="AD175" s="907">
        <f t="shared" si="83"/>
        <v>0</v>
      </c>
      <c r="AE175" s="904">
        <f>IF(H175&gt;8,tab!C$194,tab!C$197)</f>
        <v>0.5</v>
      </c>
      <c r="AF175" s="907">
        <f t="shared" si="84"/>
        <v>0</v>
      </c>
      <c r="AG175" s="887">
        <f t="shared" si="85"/>
        <v>0</v>
      </c>
      <c r="AH175" s="908" t="e">
        <f t="shared" si="86"/>
        <v>#VALUE!</v>
      </c>
      <c r="AI175" s="815" t="e">
        <f t="shared" si="87"/>
        <v>#VALUE!</v>
      </c>
      <c r="AJ175" s="540">
        <f t="shared" si="88"/>
        <v>30</v>
      </c>
      <c r="AK175" s="540">
        <f t="shared" si="66"/>
        <v>30</v>
      </c>
      <c r="AL175" s="909">
        <f t="shared" si="89"/>
        <v>0</v>
      </c>
      <c r="AN175" s="539">
        <f t="shared" si="68"/>
        <v>0</v>
      </c>
      <c r="AR175" s="941"/>
      <c r="AT175" s="317"/>
      <c r="AU175" s="317"/>
    </row>
    <row r="176" spans="3:47" ht="13.15" customHeight="1" x14ac:dyDescent="0.2">
      <c r="C176" s="381"/>
      <c r="D176" s="895" t="str">
        <f>IF(op!D64=0,"",op!D64)</f>
        <v/>
      </c>
      <c r="E176" s="895" t="str">
        <f>IF(op!E64=0,"",op!E64)</f>
        <v/>
      </c>
      <c r="F176" s="390" t="str">
        <f>IF(op!F64="","",op!F64+1)</f>
        <v/>
      </c>
      <c r="G176" s="896" t="str">
        <f>IF(op!G64=0,"",op!G64)</f>
        <v/>
      </c>
      <c r="H176" s="390" t="str">
        <f>IF(op!H64="","",op!H64)</f>
        <v/>
      </c>
      <c r="I176" s="897" t="str">
        <f t="shared" si="77"/>
        <v/>
      </c>
      <c r="J176" s="898" t="str">
        <f>IF(op!J64="","",op!J64)</f>
        <v/>
      </c>
      <c r="K176" s="334"/>
      <c r="L176" s="1140" t="str">
        <f>IF(op!L64="","",op!L64)</f>
        <v/>
      </c>
      <c r="M176" s="1140" t="str">
        <f>IF(op!M64="","",op!M64)</f>
        <v/>
      </c>
      <c r="N176" s="899" t="str">
        <f t="shared" si="69"/>
        <v/>
      </c>
      <c r="O176" s="900" t="str">
        <f t="shared" si="70"/>
        <v/>
      </c>
      <c r="P176" s="901" t="str">
        <f t="shared" si="71"/>
        <v/>
      </c>
      <c r="Q176" s="568" t="str">
        <f t="shared" si="78"/>
        <v/>
      </c>
      <c r="R176" s="902" t="str">
        <f t="shared" si="72"/>
        <v/>
      </c>
      <c r="S176" s="903">
        <f t="shared" si="79"/>
        <v>0</v>
      </c>
      <c r="T176" s="334"/>
      <c r="X176" s="887" t="str">
        <f t="shared" si="80"/>
        <v/>
      </c>
      <c r="Y176" s="904">
        <f t="shared" si="81"/>
        <v>0.6</v>
      </c>
      <c r="Z176" s="905" t="e">
        <f t="shared" si="73"/>
        <v>#VALUE!</v>
      </c>
      <c r="AA176" s="905" t="e">
        <f t="shared" si="74"/>
        <v>#VALUE!</v>
      </c>
      <c r="AB176" s="905" t="e">
        <f t="shared" si="75"/>
        <v>#VALUE!</v>
      </c>
      <c r="AC176" s="906" t="e">
        <f t="shared" si="82"/>
        <v>#VALUE!</v>
      </c>
      <c r="AD176" s="907">
        <f t="shared" si="83"/>
        <v>0</v>
      </c>
      <c r="AE176" s="904">
        <f>IF(H176&gt;8,tab!C$194,tab!C$197)</f>
        <v>0.5</v>
      </c>
      <c r="AF176" s="907">
        <f t="shared" si="84"/>
        <v>0</v>
      </c>
      <c r="AG176" s="887">
        <f t="shared" si="85"/>
        <v>0</v>
      </c>
      <c r="AH176" s="908" t="e">
        <f t="shared" si="86"/>
        <v>#VALUE!</v>
      </c>
      <c r="AI176" s="815" t="e">
        <f t="shared" si="87"/>
        <v>#VALUE!</v>
      </c>
      <c r="AJ176" s="540">
        <f t="shared" si="88"/>
        <v>30</v>
      </c>
      <c r="AK176" s="540">
        <f t="shared" si="66"/>
        <v>30</v>
      </c>
      <c r="AL176" s="909">
        <f t="shared" si="89"/>
        <v>0</v>
      </c>
      <c r="AN176" s="539">
        <f t="shared" si="68"/>
        <v>0</v>
      </c>
      <c r="AR176" s="941"/>
      <c r="AT176" s="317"/>
      <c r="AU176" s="317"/>
    </row>
    <row r="177" spans="3:47" ht="13.15" customHeight="1" x14ac:dyDescent="0.2">
      <c r="C177" s="381"/>
      <c r="D177" s="895" t="str">
        <f>IF(op!D65=0,"",op!D65)</f>
        <v/>
      </c>
      <c r="E177" s="895" t="str">
        <f>IF(op!E65=0,"",op!E65)</f>
        <v/>
      </c>
      <c r="F177" s="390" t="str">
        <f>IF(op!F65="","",op!F65+1)</f>
        <v/>
      </c>
      <c r="G177" s="896" t="str">
        <f>IF(op!G65=0,"",op!G65)</f>
        <v/>
      </c>
      <c r="H177" s="390" t="str">
        <f>IF(op!H65="","",op!H65)</f>
        <v/>
      </c>
      <c r="I177" s="897" t="str">
        <f t="shared" si="77"/>
        <v/>
      </c>
      <c r="J177" s="898" t="str">
        <f>IF(op!J65="","",op!J65)</f>
        <v/>
      </c>
      <c r="K177" s="334"/>
      <c r="L177" s="1140" t="str">
        <f>IF(op!L65="","",op!L65)</f>
        <v/>
      </c>
      <c r="M177" s="1140" t="str">
        <f>IF(op!M65="","",op!M65)</f>
        <v/>
      </c>
      <c r="N177" s="899" t="str">
        <f t="shared" si="69"/>
        <v/>
      </c>
      <c r="O177" s="900" t="str">
        <f t="shared" si="70"/>
        <v/>
      </c>
      <c r="P177" s="901" t="str">
        <f t="shared" si="71"/>
        <v/>
      </c>
      <c r="Q177" s="568" t="str">
        <f t="shared" si="78"/>
        <v/>
      </c>
      <c r="R177" s="902" t="str">
        <f t="shared" si="72"/>
        <v/>
      </c>
      <c r="S177" s="903">
        <f t="shared" si="79"/>
        <v>0</v>
      </c>
      <c r="T177" s="334"/>
      <c r="X177" s="887" t="str">
        <f t="shared" si="80"/>
        <v/>
      </c>
      <c r="Y177" s="904">
        <f t="shared" si="81"/>
        <v>0.6</v>
      </c>
      <c r="Z177" s="905" t="e">
        <f t="shared" si="73"/>
        <v>#VALUE!</v>
      </c>
      <c r="AA177" s="905" t="e">
        <f t="shared" si="74"/>
        <v>#VALUE!</v>
      </c>
      <c r="AB177" s="905" t="e">
        <f t="shared" si="75"/>
        <v>#VALUE!</v>
      </c>
      <c r="AC177" s="906" t="e">
        <f t="shared" si="82"/>
        <v>#VALUE!</v>
      </c>
      <c r="AD177" s="907">
        <f t="shared" si="83"/>
        <v>0</v>
      </c>
      <c r="AE177" s="904">
        <f>IF(H177&gt;8,tab!C$194,tab!C$197)</f>
        <v>0.5</v>
      </c>
      <c r="AF177" s="907">
        <f t="shared" si="84"/>
        <v>0</v>
      </c>
      <c r="AG177" s="887">
        <f t="shared" si="85"/>
        <v>0</v>
      </c>
      <c r="AH177" s="908" t="e">
        <f t="shared" si="86"/>
        <v>#VALUE!</v>
      </c>
      <c r="AI177" s="815" t="e">
        <f t="shared" si="87"/>
        <v>#VALUE!</v>
      </c>
      <c r="AJ177" s="540">
        <f t="shared" si="88"/>
        <v>30</v>
      </c>
      <c r="AK177" s="540">
        <f t="shared" si="66"/>
        <v>30</v>
      </c>
      <c r="AL177" s="909">
        <f t="shared" si="89"/>
        <v>0</v>
      </c>
      <c r="AN177" s="539">
        <f t="shared" si="68"/>
        <v>0</v>
      </c>
      <c r="AR177" s="941"/>
      <c r="AT177" s="317"/>
      <c r="AU177" s="317"/>
    </row>
    <row r="178" spans="3:47" ht="13.15" customHeight="1" x14ac:dyDescent="0.2">
      <c r="C178" s="381"/>
      <c r="D178" s="895" t="str">
        <f>IF(op!D66=0,"",op!D66)</f>
        <v/>
      </c>
      <c r="E178" s="895" t="str">
        <f>IF(op!E66=0,"",op!E66)</f>
        <v/>
      </c>
      <c r="F178" s="390" t="str">
        <f>IF(op!F66="","",op!F66+1)</f>
        <v/>
      </c>
      <c r="G178" s="896" t="str">
        <f>IF(op!G66=0,"",op!G66)</f>
        <v/>
      </c>
      <c r="H178" s="390" t="str">
        <f>IF(op!H66="","",op!H66)</f>
        <v/>
      </c>
      <c r="I178" s="897" t="str">
        <f t="shared" si="77"/>
        <v/>
      </c>
      <c r="J178" s="898" t="str">
        <f>IF(op!J66="","",op!J66)</f>
        <v/>
      </c>
      <c r="K178" s="334"/>
      <c r="L178" s="1140" t="str">
        <f>IF(op!L66="","",op!L66)</f>
        <v/>
      </c>
      <c r="M178" s="1140" t="str">
        <f>IF(op!M66="","",op!M66)</f>
        <v/>
      </c>
      <c r="N178" s="899" t="str">
        <f t="shared" si="69"/>
        <v/>
      </c>
      <c r="O178" s="900" t="str">
        <f t="shared" si="70"/>
        <v/>
      </c>
      <c r="P178" s="901" t="str">
        <f t="shared" si="71"/>
        <v/>
      </c>
      <c r="Q178" s="568" t="str">
        <f t="shared" si="78"/>
        <v/>
      </c>
      <c r="R178" s="902" t="str">
        <f t="shared" si="72"/>
        <v/>
      </c>
      <c r="S178" s="903">
        <f t="shared" si="79"/>
        <v>0</v>
      </c>
      <c r="T178" s="334"/>
      <c r="X178" s="887" t="str">
        <f t="shared" si="80"/>
        <v/>
      </c>
      <c r="Y178" s="904">
        <f t="shared" si="81"/>
        <v>0.6</v>
      </c>
      <c r="Z178" s="905" t="e">
        <f t="shared" si="73"/>
        <v>#VALUE!</v>
      </c>
      <c r="AA178" s="905" t="e">
        <f t="shared" si="74"/>
        <v>#VALUE!</v>
      </c>
      <c r="AB178" s="905" t="e">
        <f t="shared" si="75"/>
        <v>#VALUE!</v>
      </c>
      <c r="AC178" s="906" t="e">
        <f t="shared" si="82"/>
        <v>#VALUE!</v>
      </c>
      <c r="AD178" s="907">
        <f t="shared" si="83"/>
        <v>0</v>
      </c>
      <c r="AE178" s="904">
        <f>IF(H178&gt;8,tab!C$194,tab!C$197)</f>
        <v>0.5</v>
      </c>
      <c r="AF178" s="907">
        <f t="shared" si="84"/>
        <v>0</v>
      </c>
      <c r="AG178" s="887">
        <f t="shared" si="85"/>
        <v>0</v>
      </c>
      <c r="AH178" s="908" t="e">
        <f t="shared" si="86"/>
        <v>#VALUE!</v>
      </c>
      <c r="AI178" s="815" t="e">
        <f t="shared" si="87"/>
        <v>#VALUE!</v>
      </c>
      <c r="AJ178" s="540">
        <f t="shared" si="88"/>
        <v>30</v>
      </c>
      <c r="AK178" s="540">
        <f t="shared" si="66"/>
        <v>30</v>
      </c>
      <c r="AL178" s="909">
        <f t="shared" si="89"/>
        <v>0</v>
      </c>
      <c r="AN178" s="539">
        <f t="shared" si="68"/>
        <v>0</v>
      </c>
      <c r="AR178" s="941"/>
      <c r="AT178" s="317"/>
      <c r="AU178" s="317"/>
    </row>
    <row r="179" spans="3:47" ht="13.15" customHeight="1" x14ac:dyDescent="0.2">
      <c r="C179" s="381"/>
      <c r="D179" s="895" t="str">
        <f>IF(op!D67=0,"",op!D67)</f>
        <v/>
      </c>
      <c r="E179" s="895" t="str">
        <f>IF(op!E67=0,"",op!E67)</f>
        <v/>
      </c>
      <c r="F179" s="390" t="str">
        <f>IF(op!F67="","",op!F67+1)</f>
        <v/>
      </c>
      <c r="G179" s="896" t="str">
        <f>IF(op!G67=0,"",op!G67)</f>
        <v/>
      </c>
      <c r="H179" s="390" t="str">
        <f>IF(op!H67="","",op!H67)</f>
        <v/>
      </c>
      <c r="I179" s="897" t="str">
        <f t="shared" si="77"/>
        <v/>
      </c>
      <c r="J179" s="898" t="str">
        <f>IF(op!J67="","",op!J67)</f>
        <v/>
      </c>
      <c r="K179" s="334"/>
      <c r="L179" s="1140" t="str">
        <f>IF(op!L67="","",op!L67)</f>
        <v/>
      </c>
      <c r="M179" s="1140" t="str">
        <f>IF(op!M67="","",op!M67)</f>
        <v/>
      </c>
      <c r="N179" s="899" t="str">
        <f t="shared" si="69"/>
        <v/>
      </c>
      <c r="O179" s="900" t="str">
        <f t="shared" si="70"/>
        <v/>
      </c>
      <c r="P179" s="901" t="str">
        <f t="shared" si="71"/>
        <v/>
      </c>
      <c r="Q179" s="568" t="str">
        <f t="shared" si="78"/>
        <v/>
      </c>
      <c r="R179" s="902" t="str">
        <f t="shared" si="72"/>
        <v/>
      </c>
      <c r="S179" s="903">
        <f t="shared" si="79"/>
        <v>0</v>
      </c>
      <c r="T179" s="334"/>
      <c r="X179" s="887" t="str">
        <f t="shared" si="80"/>
        <v/>
      </c>
      <c r="Y179" s="904">
        <f t="shared" si="81"/>
        <v>0.6</v>
      </c>
      <c r="Z179" s="905" t="e">
        <f t="shared" si="73"/>
        <v>#VALUE!</v>
      </c>
      <c r="AA179" s="905" t="e">
        <f t="shared" si="74"/>
        <v>#VALUE!</v>
      </c>
      <c r="AB179" s="905" t="e">
        <f t="shared" si="75"/>
        <v>#VALUE!</v>
      </c>
      <c r="AC179" s="906" t="e">
        <f t="shared" si="82"/>
        <v>#VALUE!</v>
      </c>
      <c r="AD179" s="907">
        <f t="shared" si="83"/>
        <v>0</v>
      </c>
      <c r="AE179" s="904">
        <f>IF(H179&gt;8,tab!C$194,tab!C$197)</f>
        <v>0.5</v>
      </c>
      <c r="AF179" s="907">
        <f t="shared" si="84"/>
        <v>0</v>
      </c>
      <c r="AG179" s="887">
        <f t="shared" si="85"/>
        <v>0</v>
      </c>
      <c r="AH179" s="908" t="e">
        <f t="shared" si="86"/>
        <v>#VALUE!</v>
      </c>
      <c r="AI179" s="815" t="e">
        <f t="shared" si="87"/>
        <v>#VALUE!</v>
      </c>
      <c r="AJ179" s="540">
        <f t="shared" si="88"/>
        <v>30</v>
      </c>
      <c r="AK179" s="540">
        <f t="shared" si="66"/>
        <v>30</v>
      </c>
      <c r="AL179" s="909">
        <f t="shared" si="89"/>
        <v>0</v>
      </c>
      <c r="AN179" s="539">
        <f t="shared" si="68"/>
        <v>0</v>
      </c>
      <c r="AR179" s="941"/>
      <c r="AT179" s="317"/>
      <c r="AU179" s="317"/>
    </row>
    <row r="180" spans="3:47" ht="13.15" customHeight="1" x14ac:dyDescent="0.2">
      <c r="C180" s="381"/>
      <c r="D180" s="895" t="str">
        <f>IF(op!D68=0,"",op!D68)</f>
        <v/>
      </c>
      <c r="E180" s="895" t="str">
        <f>IF(op!E68=0,"",op!E68)</f>
        <v/>
      </c>
      <c r="F180" s="390" t="str">
        <f>IF(op!F68="","",op!F68+1)</f>
        <v/>
      </c>
      <c r="G180" s="896" t="str">
        <f>IF(op!G68=0,"",op!G68)</f>
        <v/>
      </c>
      <c r="H180" s="390" t="str">
        <f>IF(op!H68="","",op!H68)</f>
        <v/>
      </c>
      <c r="I180" s="897" t="str">
        <f t="shared" si="77"/>
        <v/>
      </c>
      <c r="J180" s="898" t="str">
        <f>IF(op!J68="","",op!J68)</f>
        <v/>
      </c>
      <c r="K180" s="334"/>
      <c r="L180" s="1140" t="str">
        <f>IF(op!L68="","",op!L68)</f>
        <v/>
      </c>
      <c r="M180" s="1140" t="str">
        <f>IF(op!M68="","",op!M68)</f>
        <v/>
      </c>
      <c r="N180" s="899" t="str">
        <f t="shared" si="69"/>
        <v/>
      </c>
      <c r="O180" s="900" t="str">
        <f t="shared" si="70"/>
        <v/>
      </c>
      <c r="P180" s="901" t="str">
        <f t="shared" si="71"/>
        <v/>
      </c>
      <c r="Q180" s="568" t="str">
        <f t="shared" si="78"/>
        <v/>
      </c>
      <c r="R180" s="902" t="str">
        <f t="shared" si="72"/>
        <v/>
      </c>
      <c r="S180" s="903">
        <f t="shared" si="79"/>
        <v>0</v>
      </c>
      <c r="T180" s="334"/>
      <c r="X180" s="887" t="str">
        <f t="shared" si="80"/>
        <v/>
      </c>
      <c r="Y180" s="904">
        <f t="shared" si="81"/>
        <v>0.6</v>
      </c>
      <c r="Z180" s="905" t="e">
        <f t="shared" si="73"/>
        <v>#VALUE!</v>
      </c>
      <c r="AA180" s="905" t="e">
        <f t="shared" si="74"/>
        <v>#VALUE!</v>
      </c>
      <c r="AB180" s="905" t="e">
        <f t="shared" si="75"/>
        <v>#VALUE!</v>
      </c>
      <c r="AC180" s="906" t="e">
        <f t="shared" si="82"/>
        <v>#VALUE!</v>
      </c>
      <c r="AD180" s="907">
        <f t="shared" si="83"/>
        <v>0</v>
      </c>
      <c r="AE180" s="904">
        <f>IF(H180&gt;8,tab!C$194,tab!C$197)</f>
        <v>0.5</v>
      </c>
      <c r="AF180" s="907">
        <f t="shared" si="84"/>
        <v>0</v>
      </c>
      <c r="AG180" s="887">
        <f t="shared" si="85"/>
        <v>0</v>
      </c>
      <c r="AH180" s="908" t="e">
        <f t="shared" si="86"/>
        <v>#VALUE!</v>
      </c>
      <c r="AI180" s="815" t="e">
        <f t="shared" si="87"/>
        <v>#VALUE!</v>
      </c>
      <c r="AJ180" s="540">
        <f t="shared" si="88"/>
        <v>30</v>
      </c>
      <c r="AK180" s="540">
        <f t="shared" si="66"/>
        <v>30</v>
      </c>
      <c r="AL180" s="909">
        <f t="shared" si="89"/>
        <v>0</v>
      </c>
      <c r="AN180" s="539">
        <f t="shared" si="68"/>
        <v>0</v>
      </c>
      <c r="AR180" s="941"/>
      <c r="AT180" s="317"/>
      <c r="AU180" s="317"/>
    </row>
    <row r="181" spans="3:47" ht="13.15" customHeight="1" x14ac:dyDescent="0.2">
      <c r="C181" s="381"/>
      <c r="D181" s="895" t="str">
        <f>IF(op!D69=0,"",op!D69)</f>
        <v/>
      </c>
      <c r="E181" s="895" t="str">
        <f>IF(op!E69=0,"",op!E69)</f>
        <v/>
      </c>
      <c r="F181" s="390" t="str">
        <f>IF(op!F69="","",op!F69+1)</f>
        <v/>
      </c>
      <c r="G181" s="896" t="str">
        <f>IF(op!G69=0,"",op!G69)</f>
        <v/>
      </c>
      <c r="H181" s="390" t="str">
        <f>IF(op!H69="","",op!H69)</f>
        <v/>
      </c>
      <c r="I181" s="897" t="str">
        <f t="shared" si="77"/>
        <v/>
      </c>
      <c r="J181" s="898" t="str">
        <f>IF(op!J69="","",op!J69)</f>
        <v/>
      </c>
      <c r="K181" s="334"/>
      <c r="L181" s="1140" t="str">
        <f>IF(op!L69="","",op!L69)</f>
        <v/>
      </c>
      <c r="M181" s="1140" t="str">
        <f>IF(op!M69="","",op!M69)</f>
        <v/>
      </c>
      <c r="N181" s="899" t="str">
        <f t="shared" si="69"/>
        <v/>
      </c>
      <c r="O181" s="900" t="str">
        <f t="shared" si="70"/>
        <v/>
      </c>
      <c r="P181" s="901" t="str">
        <f t="shared" si="71"/>
        <v/>
      </c>
      <c r="Q181" s="568" t="str">
        <f t="shared" si="78"/>
        <v/>
      </c>
      <c r="R181" s="902" t="str">
        <f t="shared" si="72"/>
        <v/>
      </c>
      <c r="S181" s="903">
        <f t="shared" si="79"/>
        <v>0</v>
      </c>
      <c r="T181" s="334"/>
      <c r="X181" s="887" t="str">
        <f t="shared" si="80"/>
        <v/>
      </c>
      <c r="Y181" s="904">
        <f t="shared" si="81"/>
        <v>0.6</v>
      </c>
      <c r="Z181" s="905" t="e">
        <f t="shared" si="73"/>
        <v>#VALUE!</v>
      </c>
      <c r="AA181" s="905" t="e">
        <f t="shared" si="74"/>
        <v>#VALUE!</v>
      </c>
      <c r="AB181" s="905" t="e">
        <f t="shared" si="75"/>
        <v>#VALUE!</v>
      </c>
      <c r="AC181" s="906" t="e">
        <f t="shared" si="82"/>
        <v>#VALUE!</v>
      </c>
      <c r="AD181" s="907">
        <f t="shared" si="83"/>
        <v>0</v>
      </c>
      <c r="AE181" s="904">
        <f>IF(H181&gt;8,tab!C$194,tab!C$197)</f>
        <v>0.5</v>
      </c>
      <c r="AF181" s="907">
        <f t="shared" si="84"/>
        <v>0</v>
      </c>
      <c r="AG181" s="887">
        <f t="shared" si="85"/>
        <v>0</v>
      </c>
      <c r="AH181" s="908" t="e">
        <f t="shared" si="86"/>
        <v>#VALUE!</v>
      </c>
      <c r="AI181" s="815" t="e">
        <f t="shared" si="87"/>
        <v>#VALUE!</v>
      </c>
      <c r="AJ181" s="540">
        <f t="shared" si="88"/>
        <v>30</v>
      </c>
      <c r="AK181" s="540">
        <f t="shared" si="66"/>
        <v>30</v>
      </c>
      <c r="AL181" s="909">
        <f t="shared" si="89"/>
        <v>0</v>
      </c>
      <c r="AN181" s="539">
        <f t="shared" si="68"/>
        <v>0</v>
      </c>
      <c r="AR181" s="941"/>
      <c r="AT181" s="317"/>
      <c r="AU181" s="317"/>
    </row>
    <row r="182" spans="3:47" ht="13.15" customHeight="1" x14ac:dyDescent="0.2">
      <c r="C182" s="381"/>
      <c r="D182" s="895" t="str">
        <f>IF(op!D70=0,"",op!D70)</f>
        <v/>
      </c>
      <c r="E182" s="895" t="str">
        <f>IF(op!E70=0,"",op!E70)</f>
        <v/>
      </c>
      <c r="F182" s="390" t="str">
        <f>IF(op!F70="","",op!F70+1)</f>
        <v/>
      </c>
      <c r="G182" s="896" t="str">
        <f>IF(op!G70=0,"",op!G70)</f>
        <v/>
      </c>
      <c r="H182" s="390" t="str">
        <f>IF(op!H70="","",op!H70)</f>
        <v/>
      </c>
      <c r="I182" s="897" t="str">
        <f t="shared" si="77"/>
        <v/>
      </c>
      <c r="J182" s="898" t="str">
        <f>IF(op!J70="","",op!J70)</f>
        <v/>
      </c>
      <c r="K182" s="334"/>
      <c r="L182" s="1140" t="str">
        <f>IF(op!L70="","",op!L70)</f>
        <v/>
      </c>
      <c r="M182" s="1140" t="str">
        <f>IF(op!M70="","",op!M70)</f>
        <v/>
      </c>
      <c r="N182" s="899" t="str">
        <f t="shared" si="69"/>
        <v/>
      </c>
      <c r="O182" s="900" t="str">
        <f t="shared" si="70"/>
        <v/>
      </c>
      <c r="P182" s="901" t="str">
        <f t="shared" si="71"/>
        <v/>
      </c>
      <c r="Q182" s="568" t="str">
        <f t="shared" si="78"/>
        <v/>
      </c>
      <c r="R182" s="902" t="str">
        <f t="shared" si="72"/>
        <v/>
      </c>
      <c r="S182" s="903">
        <f t="shared" si="79"/>
        <v>0</v>
      </c>
      <c r="T182" s="334"/>
      <c r="X182" s="887" t="str">
        <f t="shared" si="80"/>
        <v/>
      </c>
      <c r="Y182" s="904">
        <f t="shared" si="81"/>
        <v>0.6</v>
      </c>
      <c r="Z182" s="905" t="e">
        <f t="shared" si="73"/>
        <v>#VALUE!</v>
      </c>
      <c r="AA182" s="905" t="e">
        <f t="shared" si="74"/>
        <v>#VALUE!</v>
      </c>
      <c r="AB182" s="905" t="e">
        <f t="shared" si="75"/>
        <v>#VALUE!</v>
      </c>
      <c r="AC182" s="906" t="e">
        <f t="shared" si="82"/>
        <v>#VALUE!</v>
      </c>
      <c r="AD182" s="907">
        <f t="shared" si="83"/>
        <v>0</v>
      </c>
      <c r="AE182" s="904">
        <f>IF(H182&gt;8,tab!C$194,tab!C$197)</f>
        <v>0.5</v>
      </c>
      <c r="AF182" s="907">
        <f t="shared" si="84"/>
        <v>0</v>
      </c>
      <c r="AG182" s="887">
        <f t="shared" si="85"/>
        <v>0</v>
      </c>
      <c r="AH182" s="908" t="e">
        <f t="shared" si="86"/>
        <v>#VALUE!</v>
      </c>
      <c r="AI182" s="815" t="e">
        <f t="shared" si="87"/>
        <v>#VALUE!</v>
      </c>
      <c r="AJ182" s="540">
        <f t="shared" si="88"/>
        <v>30</v>
      </c>
      <c r="AK182" s="540">
        <f t="shared" si="66"/>
        <v>30</v>
      </c>
      <c r="AL182" s="909">
        <f t="shared" si="89"/>
        <v>0</v>
      </c>
      <c r="AN182" s="539">
        <f t="shared" si="68"/>
        <v>0</v>
      </c>
      <c r="AR182" s="941"/>
      <c r="AT182" s="317"/>
      <c r="AU182" s="317"/>
    </row>
    <row r="183" spans="3:47" ht="13.15" customHeight="1" x14ac:dyDescent="0.2">
      <c r="C183" s="381"/>
      <c r="D183" s="895" t="str">
        <f>IF(op!D71=0,"",op!D71)</f>
        <v/>
      </c>
      <c r="E183" s="895" t="str">
        <f>IF(op!E71=0,"",op!E71)</f>
        <v/>
      </c>
      <c r="F183" s="390" t="str">
        <f>IF(op!F71="","",op!F71+1)</f>
        <v/>
      </c>
      <c r="G183" s="896" t="str">
        <f>IF(op!G71=0,"",op!G71)</f>
        <v/>
      </c>
      <c r="H183" s="390" t="str">
        <f>IF(op!H71="","",op!H71)</f>
        <v/>
      </c>
      <c r="I183" s="897" t="str">
        <f t="shared" si="77"/>
        <v/>
      </c>
      <c r="J183" s="898" t="str">
        <f>IF(op!J71="","",op!J71)</f>
        <v/>
      </c>
      <c r="K183" s="334"/>
      <c r="L183" s="1140" t="str">
        <f>IF(op!L71="","",op!L71)</f>
        <v/>
      </c>
      <c r="M183" s="1140" t="str">
        <f>IF(op!M71="","",op!M71)</f>
        <v/>
      </c>
      <c r="N183" s="899" t="str">
        <f t="shared" si="69"/>
        <v/>
      </c>
      <c r="O183" s="900" t="str">
        <f t="shared" si="70"/>
        <v/>
      </c>
      <c r="P183" s="901" t="str">
        <f t="shared" si="71"/>
        <v/>
      </c>
      <c r="Q183" s="568" t="str">
        <f t="shared" si="78"/>
        <v/>
      </c>
      <c r="R183" s="902" t="str">
        <f t="shared" si="72"/>
        <v/>
      </c>
      <c r="S183" s="903">
        <f t="shared" si="79"/>
        <v>0</v>
      </c>
      <c r="T183" s="334"/>
      <c r="X183" s="887" t="str">
        <f t="shared" si="80"/>
        <v/>
      </c>
      <c r="Y183" s="904">
        <f t="shared" si="81"/>
        <v>0.6</v>
      </c>
      <c r="Z183" s="905" t="e">
        <f t="shared" si="73"/>
        <v>#VALUE!</v>
      </c>
      <c r="AA183" s="905" t="e">
        <f t="shared" si="74"/>
        <v>#VALUE!</v>
      </c>
      <c r="AB183" s="905" t="e">
        <f t="shared" si="75"/>
        <v>#VALUE!</v>
      </c>
      <c r="AC183" s="906" t="e">
        <f t="shared" si="82"/>
        <v>#VALUE!</v>
      </c>
      <c r="AD183" s="907">
        <f t="shared" si="83"/>
        <v>0</v>
      </c>
      <c r="AE183" s="904">
        <f>IF(H183&gt;8,tab!C$194,tab!C$197)</f>
        <v>0.5</v>
      </c>
      <c r="AF183" s="907">
        <f t="shared" si="84"/>
        <v>0</v>
      </c>
      <c r="AG183" s="887">
        <f t="shared" si="85"/>
        <v>0</v>
      </c>
      <c r="AH183" s="908" t="e">
        <f t="shared" si="86"/>
        <v>#VALUE!</v>
      </c>
      <c r="AI183" s="815" t="e">
        <f t="shared" si="87"/>
        <v>#VALUE!</v>
      </c>
      <c r="AJ183" s="540">
        <f t="shared" si="88"/>
        <v>30</v>
      </c>
      <c r="AK183" s="540">
        <f t="shared" si="66"/>
        <v>30</v>
      </c>
      <c r="AL183" s="909">
        <f t="shared" si="89"/>
        <v>0</v>
      </c>
      <c r="AN183" s="539">
        <f t="shared" si="68"/>
        <v>0</v>
      </c>
      <c r="AR183" s="941"/>
      <c r="AT183" s="317"/>
      <c r="AU183" s="317"/>
    </row>
    <row r="184" spans="3:47" ht="13.15" customHeight="1" x14ac:dyDescent="0.2">
      <c r="C184" s="381"/>
      <c r="D184" s="895" t="str">
        <f>IF(op!D72=0,"",op!D72)</f>
        <v/>
      </c>
      <c r="E184" s="895" t="str">
        <f>IF(op!E72=0,"",op!E72)</f>
        <v/>
      </c>
      <c r="F184" s="390" t="str">
        <f>IF(op!F72="","",op!F72+1)</f>
        <v/>
      </c>
      <c r="G184" s="896" t="str">
        <f>IF(op!G72=0,"",op!G72)</f>
        <v/>
      </c>
      <c r="H184" s="390" t="str">
        <f>IF(op!H72="","",op!H72)</f>
        <v/>
      </c>
      <c r="I184" s="897" t="str">
        <f t="shared" si="77"/>
        <v/>
      </c>
      <c r="J184" s="898" t="str">
        <f>IF(op!J72="","",op!J72)</f>
        <v/>
      </c>
      <c r="K184" s="334"/>
      <c r="L184" s="1140" t="str">
        <f>IF(op!L72="","",op!L72)</f>
        <v/>
      </c>
      <c r="M184" s="1140" t="str">
        <f>IF(op!M72="","",op!M72)</f>
        <v/>
      </c>
      <c r="N184" s="899" t="str">
        <f t="shared" si="69"/>
        <v/>
      </c>
      <c r="O184" s="900" t="str">
        <f t="shared" si="70"/>
        <v/>
      </c>
      <c r="P184" s="901" t="str">
        <f t="shared" si="71"/>
        <v/>
      </c>
      <c r="Q184" s="568" t="str">
        <f t="shared" si="78"/>
        <v/>
      </c>
      <c r="R184" s="902" t="str">
        <f t="shared" si="72"/>
        <v/>
      </c>
      <c r="S184" s="903">
        <f t="shared" si="79"/>
        <v>0</v>
      </c>
      <c r="T184" s="334"/>
      <c r="X184" s="887" t="str">
        <f t="shared" si="80"/>
        <v/>
      </c>
      <c r="Y184" s="904">
        <f t="shared" si="81"/>
        <v>0.6</v>
      </c>
      <c r="Z184" s="905" t="e">
        <f t="shared" si="73"/>
        <v>#VALUE!</v>
      </c>
      <c r="AA184" s="905" t="e">
        <f t="shared" si="74"/>
        <v>#VALUE!</v>
      </c>
      <c r="AB184" s="905" t="e">
        <f t="shared" si="75"/>
        <v>#VALUE!</v>
      </c>
      <c r="AC184" s="906" t="e">
        <f t="shared" si="82"/>
        <v>#VALUE!</v>
      </c>
      <c r="AD184" s="907">
        <f t="shared" si="83"/>
        <v>0</v>
      </c>
      <c r="AE184" s="904">
        <f>IF(H184&gt;8,tab!C$194,tab!C$197)</f>
        <v>0.5</v>
      </c>
      <c r="AF184" s="907">
        <f t="shared" si="84"/>
        <v>0</v>
      </c>
      <c r="AG184" s="887">
        <f t="shared" si="85"/>
        <v>0</v>
      </c>
      <c r="AH184" s="908" t="e">
        <f t="shared" si="86"/>
        <v>#VALUE!</v>
      </c>
      <c r="AI184" s="815" t="e">
        <f t="shared" si="87"/>
        <v>#VALUE!</v>
      </c>
      <c r="AJ184" s="540">
        <f t="shared" si="88"/>
        <v>30</v>
      </c>
      <c r="AK184" s="540">
        <f t="shared" si="66"/>
        <v>30</v>
      </c>
      <c r="AL184" s="909">
        <f t="shared" si="89"/>
        <v>0</v>
      </c>
      <c r="AN184" s="539">
        <f t="shared" si="68"/>
        <v>0</v>
      </c>
      <c r="AR184" s="941"/>
      <c r="AT184" s="317"/>
      <c r="AU184" s="317"/>
    </row>
    <row r="185" spans="3:47" ht="13.15" customHeight="1" x14ac:dyDescent="0.2">
      <c r="C185" s="381"/>
      <c r="D185" s="895" t="str">
        <f>IF(op!D73=0,"",op!D73)</f>
        <v/>
      </c>
      <c r="E185" s="895" t="str">
        <f>IF(op!E73=0,"",op!E73)</f>
        <v/>
      </c>
      <c r="F185" s="390" t="str">
        <f>IF(op!F73="","",op!F73+1)</f>
        <v/>
      </c>
      <c r="G185" s="896" t="str">
        <f>IF(op!G73=0,"",op!G73)</f>
        <v/>
      </c>
      <c r="H185" s="390" t="str">
        <f>IF(op!H73="","",op!H73)</f>
        <v/>
      </c>
      <c r="I185" s="897" t="str">
        <f t="shared" si="77"/>
        <v/>
      </c>
      <c r="J185" s="898" t="str">
        <f>IF(op!J73="","",op!J73)</f>
        <v/>
      </c>
      <c r="K185" s="334"/>
      <c r="L185" s="1140" t="str">
        <f>IF(op!L73="","",op!L73)</f>
        <v/>
      </c>
      <c r="M185" s="1140" t="str">
        <f>IF(op!M73="","",op!M73)</f>
        <v/>
      </c>
      <c r="N185" s="899" t="str">
        <f t="shared" si="69"/>
        <v/>
      </c>
      <c r="O185" s="900" t="str">
        <f t="shared" si="70"/>
        <v/>
      </c>
      <c r="P185" s="901" t="str">
        <f t="shared" si="71"/>
        <v/>
      </c>
      <c r="Q185" s="568" t="str">
        <f t="shared" si="78"/>
        <v/>
      </c>
      <c r="R185" s="902" t="str">
        <f t="shared" si="72"/>
        <v/>
      </c>
      <c r="S185" s="903">
        <f t="shared" si="79"/>
        <v>0</v>
      </c>
      <c r="T185" s="334"/>
      <c r="X185" s="887" t="str">
        <f t="shared" si="80"/>
        <v/>
      </c>
      <c r="Y185" s="904">
        <f t="shared" si="81"/>
        <v>0.6</v>
      </c>
      <c r="Z185" s="905" t="e">
        <f t="shared" si="73"/>
        <v>#VALUE!</v>
      </c>
      <c r="AA185" s="905" t="e">
        <f t="shared" si="74"/>
        <v>#VALUE!</v>
      </c>
      <c r="AB185" s="905" t="e">
        <f t="shared" si="75"/>
        <v>#VALUE!</v>
      </c>
      <c r="AC185" s="906" t="e">
        <f t="shared" si="82"/>
        <v>#VALUE!</v>
      </c>
      <c r="AD185" s="907">
        <f t="shared" si="83"/>
        <v>0</v>
      </c>
      <c r="AE185" s="904">
        <f>IF(H185&gt;8,tab!C$194,tab!C$197)</f>
        <v>0.5</v>
      </c>
      <c r="AF185" s="907">
        <f t="shared" si="84"/>
        <v>0</v>
      </c>
      <c r="AG185" s="887">
        <f t="shared" si="85"/>
        <v>0</v>
      </c>
      <c r="AH185" s="908" t="e">
        <f t="shared" si="86"/>
        <v>#VALUE!</v>
      </c>
      <c r="AI185" s="815" t="e">
        <f t="shared" si="87"/>
        <v>#VALUE!</v>
      </c>
      <c r="AJ185" s="540">
        <f t="shared" si="88"/>
        <v>30</v>
      </c>
      <c r="AK185" s="540">
        <f t="shared" si="66"/>
        <v>30</v>
      </c>
      <c r="AL185" s="909">
        <f t="shared" si="89"/>
        <v>0</v>
      </c>
      <c r="AN185" s="539">
        <f t="shared" si="68"/>
        <v>0</v>
      </c>
      <c r="AR185" s="941"/>
      <c r="AT185" s="317"/>
      <c r="AU185" s="317"/>
    </row>
    <row r="186" spans="3:47" ht="13.15" customHeight="1" x14ac:dyDescent="0.2">
      <c r="C186" s="381"/>
      <c r="D186" s="895" t="str">
        <f>IF(op!D74=0,"",op!D74)</f>
        <v/>
      </c>
      <c r="E186" s="895" t="str">
        <f>IF(op!E74=0,"",op!E74)</f>
        <v/>
      </c>
      <c r="F186" s="390" t="str">
        <f>IF(op!F74="","",op!F74+1)</f>
        <v/>
      </c>
      <c r="G186" s="896" t="str">
        <f>IF(op!G74=0,"",op!G74)</f>
        <v/>
      </c>
      <c r="H186" s="390" t="str">
        <f>IF(op!H74="","",op!H74)</f>
        <v/>
      </c>
      <c r="I186" s="897" t="str">
        <f t="shared" si="77"/>
        <v/>
      </c>
      <c r="J186" s="898" t="str">
        <f>IF(op!J74="","",op!J74)</f>
        <v/>
      </c>
      <c r="K186" s="334"/>
      <c r="L186" s="1140" t="str">
        <f>IF(op!L74="","",op!L74)</f>
        <v/>
      </c>
      <c r="M186" s="1140" t="str">
        <f>IF(op!M74="","",op!M74)</f>
        <v/>
      </c>
      <c r="N186" s="899" t="str">
        <f t="shared" si="69"/>
        <v/>
      </c>
      <c r="O186" s="900" t="str">
        <f t="shared" si="70"/>
        <v/>
      </c>
      <c r="P186" s="901" t="str">
        <f t="shared" si="71"/>
        <v/>
      </c>
      <c r="Q186" s="568" t="str">
        <f t="shared" si="78"/>
        <v/>
      </c>
      <c r="R186" s="902" t="str">
        <f t="shared" si="72"/>
        <v/>
      </c>
      <c r="S186" s="903">
        <f t="shared" si="79"/>
        <v>0</v>
      </c>
      <c r="T186" s="334"/>
      <c r="X186" s="887" t="str">
        <f t="shared" si="80"/>
        <v/>
      </c>
      <c r="Y186" s="904">
        <f t="shared" si="81"/>
        <v>0.6</v>
      </c>
      <c r="Z186" s="905" t="e">
        <f t="shared" si="73"/>
        <v>#VALUE!</v>
      </c>
      <c r="AA186" s="905" t="e">
        <f t="shared" si="74"/>
        <v>#VALUE!</v>
      </c>
      <c r="AB186" s="905" t="e">
        <f t="shared" si="75"/>
        <v>#VALUE!</v>
      </c>
      <c r="AC186" s="906" t="e">
        <f t="shared" si="82"/>
        <v>#VALUE!</v>
      </c>
      <c r="AD186" s="907">
        <f t="shared" si="83"/>
        <v>0</v>
      </c>
      <c r="AE186" s="904">
        <f>IF(H186&gt;8,tab!C$194,tab!C$197)</f>
        <v>0.5</v>
      </c>
      <c r="AF186" s="907">
        <f t="shared" si="84"/>
        <v>0</v>
      </c>
      <c r="AG186" s="887">
        <f t="shared" si="85"/>
        <v>0</v>
      </c>
      <c r="AH186" s="908" t="e">
        <f t="shared" si="86"/>
        <v>#VALUE!</v>
      </c>
      <c r="AI186" s="815" t="e">
        <f t="shared" si="87"/>
        <v>#VALUE!</v>
      </c>
      <c r="AJ186" s="540">
        <f t="shared" si="88"/>
        <v>30</v>
      </c>
      <c r="AK186" s="540">
        <f t="shared" si="66"/>
        <v>30</v>
      </c>
      <c r="AL186" s="909">
        <f t="shared" si="89"/>
        <v>0</v>
      </c>
      <c r="AN186" s="539">
        <f t="shared" si="68"/>
        <v>0</v>
      </c>
      <c r="AR186" s="941"/>
      <c r="AT186" s="317"/>
      <c r="AU186" s="317"/>
    </row>
    <row r="187" spans="3:47" ht="13.15" customHeight="1" x14ac:dyDescent="0.2">
      <c r="C187" s="381"/>
      <c r="D187" s="895" t="str">
        <f>IF(op!D75=0,"",op!D75)</f>
        <v/>
      </c>
      <c r="E187" s="895" t="str">
        <f>IF(op!E75=0,"",op!E75)</f>
        <v/>
      </c>
      <c r="F187" s="390" t="str">
        <f>IF(op!F75="","",op!F75+1)</f>
        <v/>
      </c>
      <c r="G187" s="896" t="str">
        <f>IF(op!G75=0,"",op!G75)</f>
        <v/>
      </c>
      <c r="H187" s="390" t="str">
        <f>IF(op!H75="","",op!H75)</f>
        <v/>
      </c>
      <c r="I187" s="897" t="str">
        <f t="shared" si="77"/>
        <v/>
      </c>
      <c r="J187" s="898" t="str">
        <f>IF(op!J75="","",op!J75)</f>
        <v/>
      </c>
      <c r="K187" s="334"/>
      <c r="L187" s="1140" t="str">
        <f>IF(op!L75="","",op!L75)</f>
        <v/>
      </c>
      <c r="M187" s="1140" t="str">
        <f>IF(op!M75="","",op!M75)</f>
        <v/>
      </c>
      <c r="N187" s="899" t="str">
        <f t="shared" si="69"/>
        <v/>
      </c>
      <c r="O187" s="900" t="str">
        <f t="shared" si="70"/>
        <v/>
      </c>
      <c r="P187" s="901" t="str">
        <f t="shared" si="71"/>
        <v/>
      </c>
      <c r="Q187" s="568" t="str">
        <f t="shared" si="78"/>
        <v/>
      </c>
      <c r="R187" s="902" t="str">
        <f t="shared" si="72"/>
        <v/>
      </c>
      <c r="S187" s="903">
        <f t="shared" si="79"/>
        <v>0</v>
      </c>
      <c r="T187" s="334"/>
      <c r="X187" s="887" t="str">
        <f t="shared" si="80"/>
        <v/>
      </c>
      <c r="Y187" s="904">
        <f t="shared" si="81"/>
        <v>0.6</v>
      </c>
      <c r="Z187" s="905" t="e">
        <f t="shared" si="73"/>
        <v>#VALUE!</v>
      </c>
      <c r="AA187" s="905" t="e">
        <f t="shared" si="74"/>
        <v>#VALUE!</v>
      </c>
      <c r="AB187" s="905" t="e">
        <f t="shared" si="75"/>
        <v>#VALUE!</v>
      </c>
      <c r="AC187" s="906" t="e">
        <f t="shared" si="82"/>
        <v>#VALUE!</v>
      </c>
      <c r="AD187" s="907">
        <f t="shared" si="83"/>
        <v>0</v>
      </c>
      <c r="AE187" s="904">
        <f>IF(H187&gt;8,tab!C$194,tab!C$197)</f>
        <v>0.5</v>
      </c>
      <c r="AF187" s="907">
        <f t="shared" si="84"/>
        <v>0</v>
      </c>
      <c r="AG187" s="887">
        <f t="shared" si="85"/>
        <v>0</v>
      </c>
      <c r="AH187" s="908" t="e">
        <f t="shared" si="86"/>
        <v>#VALUE!</v>
      </c>
      <c r="AI187" s="815" t="e">
        <f t="shared" si="87"/>
        <v>#VALUE!</v>
      </c>
      <c r="AJ187" s="540">
        <f t="shared" si="88"/>
        <v>30</v>
      </c>
      <c r="AK187" s="540">
        <f t="shared" si="66"/>
        <v>30</v>
      </c>
      <c r="AL187" s="909">
        <f t="shared" si="89"/>
        <v>0</v>
      </c>
      <c r="AN187" s="539">
        <f t="shared" si="68"/>
        <v>0</v>
      </c>
      <c r="AR187" s="941"/>
      <c r="AT187" s="317"/>
      <c r="AU187" s="317"/>
    </row>
    <row r="188" spans="3:47" ht="13.15" customHeight="1" x14ac:dyDescent="0.2">
      <c r="C188" s="381"/>
      <c r="D188" s="895" t="str">
        <f>IF(op!D76=0,"",op!D76)</f>
        <v/>
      </c>
      <c r="E188" s="895" t="str">
        <f>IF(op!E76=0,"",op!E76)</f>
        <v/>
      </c>
      <c r="F188" s="390" t="str">
        <f>IF(op!F76="","",op!F76+1)</f>
        <v/>
      </c>
      <c r="G188" s="896" t="str">
        <f>IF(op!G76=0,"",op!G76)</f>
        <v/>
      </c>
      <c r="H188" s="390" t="str">
        <f>IF(op!H76="","",op!H76)</f>
        <v/>
      </c>
      <c r="I188" s="897" t="str">
        <f t="shared" si="77"/>
        <v/>
      </c>
      <c r="J188" s="898" t="str">
        <f>IF(op!J76="","",op!J76)</f>
        <v/>
      </c>
      <c r="K188" s="334"/>
      <c r="L188" s="1140" t="str">
        <f>IF(op!L76="","",op!L76)</f>
        <v/>
      </c>
      <c r="M188" s="1140" t="str">
        <f>IF(op!M76="","",op!M76)</f>
        <v/>
      </c>
      <c r="N188" s="899" t="str">
        <f t="shared" si="69"/>
        <v/>
      </c>
      <c r="O188" s="900" t="str">
        <f t="shared" si="70"/>
        <v/>
      </c>
      <c r="P188" s="901" t="str">
        <f t="shared" si="71"/>
        <v/>
      </c>
      <c r="Q188" s="568" t="str">
        <f t="shared" si="78"/>
        <v/>
      </c>
      <c r="R188" s="902" t="str">
        <f t="shared" si="72"/>
        <v/>
      </c>
      <c r="S188" s="903">
        <f t="shared" si="79"/>
        <v>0</v>
      </c>
      <c r="T188" s="334"/>
      <c r="X188" s="887" t="str">
        <f t="shared" si="80"/>
        <v/>
      </c>
      <c r="Y188" s="904">
        <f t="shared" si="81"/>
        <v>0.6</v>
      </c>
      <c r="Z188" s="905" t="e">
        <f t="shared" si="73"/>
        <v>#VALUE!</v>
      </c>
      <c r="AA188" s="905" t="e">
        <f t="shared" si="74"/>
        <v>#VALUE!</v>
      </c>
      <c r="AB188" s="905" t="e">
        <f t="shared" si="75"/>
        <v>#VALUE!</v>
      </c>
      <c r="AC188" s="906" t="e">
        <f t="shared" si="82"/>
        <v>#VALUE!</v>
      </c>
      <c r="AD188" s="907">
        <f t="shared" si="83"/>
        <v>0</v>
      </c>
      <c r="AE188" s="904">
        <f>IF(H188&gt;8,tab!C$194,tab!C$197)</f>
        <v>0.5</v>
      </c>
      <c r="AF188" s="907">
        <f t="shared" si="84"/>
        <v>0</v>
      </c>
      <c r="AG188" s="887">
        <f t="shared" si="85"/>
        <v>0</v>
      </c>
      <c r="AH188" s="908" t="e">
        <f t="shared" si="86"/>
        <v>#VALUE!</v>
      </c>
      <c r="AI188" s="815" t="e">
        <f t="shared" si="87"/>
        <v>#VALUE!</v>
      </c>
      <c r="AJ188" s="540">
        <f t="shared" si="88"/>
        <v>30</v>
      </c>
      <c r="AK188" s="540">
        <f t="shared" si="66"/>
        <v>30</v>
      </c>
      <c r="AL188" s="909">
        <f t="shared" si="89"/>
        <v>0</v>
      </c>
      <c r="AN188" s="539">
        <f t="shared" si="68"/>
        <v>0</v>
      </c>
      <c r="AR188" s="941"/>
      <c r="AT188" s="317"/>
      <c r="AU188" s="317"/>
    </row>
    <row r="189" spans="3:47" ht="13.15" customHeight="1" x14ac:dyDescent="0.2">
      <c r="C189" s="381"/>
      <c r="D189" s="895" t="str">
        <f>IF(op!D77=0,"",op!D77)</f>
        <v/>
      </c>
      <c r="E189" s="895" t="str">
        <f>IF(op!E77=0,"",op!E77)</f>
        <v/>
      </c>
      <c r="F189" s="390" t="str">
        <f>IF(op!F77="","",op!F77+1)</f>
        <v/>
      </c>
      <c r="G189" s="896" t="str">
        <f>IF(op!G77=0,"",op!G77)</f>
        <v/>
      </c>
      <c r="H189" s="390" t="str">
        <f>IF(op!H77="","",op!H77)</f>
        <v/>
      </c>
      <c r="I189" s="897" t="str">
        <f t="shared" si="77"/>
        <v/>
      </c>
      <c r="J189" s="898" t="str">
        <f>IF(op!J77="","",op!J77)</f>
        <v/>
      </c>
      <c r="K189" s="334"/>
      <c r="L189" s="1140" t="str">
        <f>IF(op!L77="","",op!L77)</f>
        <v/>
      </c>
      <c r="M189" s="1140" t="str">
        <f>IF(op!M77="","",op!M77)</f>
        <v/>
      </c>
      <c r="N189" s="899" t="str">
        <f t="shared" si="69"/>
        <v/>
      </c>
      <c r="O189" s="900" t="str">
        <f t="shared" si="70"/>
        <v/>
      </c>
      <c r="P189" s="901" t="str">
        <f t="shared" si="71"/>
        <v/>
      </c>
      <c r="Q189" s="568" t="str">
        <f t="shared" si="78"/>
        <v/>
      </c>
      <c r="R189" s="902" t="str">
        <f t="shared" si="72"/>
        <v/>
      </c>
      <c r="S189" s="903">
        <f t="shared" si="79"/>
        <v>0</v>
      </c>
      <c r="T189" s="334"/>
      <c r="X189" s="887" t="str">
        <f t="shared" si="80"/>
        <v/>
      </c>
      <c r="Y189" s="904">
        <f t="shared" si="81"/>
        <v>0.6</v>
      </c>
      <c r="Z189" s="905" t="e">
        <f t="shared" si="73"/>
        <v>#VALUE!</v>
      </c>
      <c r="AA189" s="905" t="e">
        <f t="shared" si="74"/>
        <v>#VALUE!</v>
      </c>
      <c r="AB189" s="905" t="e">
        <f t="shared" si="75"/>
        <v>#VALUE!</v>
      </c>
      <c r="AC189" s="906" t="e">
        <f t="shared" si="82"/>
        <v>#VALUE!</v>
      </c>
      <c r="AD189" s="907">
        <f t="shared" si="83"/>
        <v>0</v>
      </c>
      <c r="AE189" s="904">
        <f>IF(H189&gt;8,tab!C$194,tab!C$197)</f>
        <v>0.5</v>
      </c>
      <c r="AF189" s="907">
        <f t="shared" si="84"/>
        <v>0</v>
      </c>
      <c r="AG189" s="887">
        <f t="shared" si="85"/>
        <v>0</v>
      </c>
      <c r="AH189" s="908" t="e">
        <f t="shared" si="86"/>
        <v>#VALUE!</v>
      </c>
      <c r="AI189" s="815" t="e">
        <f t="shared" si="87"/>
        <v>#VALUE!</v>
      </c>
      <c r="AJ189" s="540">
        <f t="shared" si="88"/>
        <v>30</v>
      </c>
      <c r="AK189" s="540">
        <f t="shared" si="66"/>
        <v>30</v>
      </c>
      <c r="AL189" s="909">
        <f t="shared" si="89"/>
        <v>0</v>
      </c>
      <c r="AN189" s="539">
        <f t="shared" si="68"/>
        <v>0</v>
      </c>
      <c r="AR189" s="941"/>
      <c r="AT189" s="317"/>
      <c r="AU189" s="317"/>
    </row>
    <row r="190" spans="3:47" ht="13.15" customHeight="1" x14ac:dyDescent="0.2">
      <c r="C190" s="381"/>
      <c r="D190" s="895" t="str">
        <f>IF(op!D78=0,"",op!D78)</f>
        <v/>
      </c>
      <c r="E190" s="895" t="str">
        <f>IF(op!E78=0,"",op!E78)</f>
        <v/>
      </c>
      <c r="F190" s="390" t="str">
        <f>IF(op!F78="","",op!F78+1)</f>
        <v/>
      </c>
      <c r="G190" s="896" t="str">
        <f>IF(op!G78=0,"",op!G78)</f>
        <v/>
      </c>
      <c r="H190" s="390" t="str">
        <f>IF(op!H78="","",op!H78)</f>
        <v/>
      </c>
      <c r="I190" s="897" t="str">
        <f t="shared" si="77"/>
        <v/>
      </c>
      <c r="J190" s="898" t="str">
        <f>IF(op!J78="","",op!J78)</f>
        <v/>
      </c>
      <c r="K190" s="334"/>
      <c r="L190" s="1140" t="str">
        <f>IF(op!L78="","",op!L78)</f>
        <v/>
      </c>
      <c r="M190" s="1140" t="str">
        <f>IF(op!M78="","",op!M78)</f>
        <v/>
      </c>
      <c r="N190" s="899" t="str">
        <f t="shared" si="69"/>
        <v/>
      </c>
      <c r="O190" s="900" t="str">
        <f t="shared" si="70"/>
        <v/>
      </c>
      <c r="P190" s="901" t="str">
        <f t="shared" si="71"/>
        <v/>
      </c>
      <c r="Q190" s="568" t="str">
        <f t="shared" si="78"/>
        <v/>
      </c>
      <c r="R190" s="902" t="str">
        <f t="shared" si="72"/>
        <v/>
      </c>
      <c r="S190" s="903">
        <f t="shared" si="79"/>
        <v>0</v>
      </c>
      <c r="T190" s="334"/>
      <c r="X190" s="887" t="str">
        <f t="shared" si="80"/>
        <v/>
      </c>
      <c r="Y190" s="904">
        <f t="shared" si="81"/>
        <v>0.6</v>
      </c>
      <c r="Z190" s="905" t="e">
        <f t="shared" si="73"/>
        <v>#VALUE!</v>
      </c>
      <c r="AA190" s="905" t="e">
        <f t="shared" si="74"/>
        <v>#VALUE!</v>
      </c>
      <c r="AB190" s="905" t="e">
        <f t="shared" si="75"/>
        <v>#VALUE!</v>
      </c>
      <c r="AC190" s="906" t="e">
        <f t="shared" si="82"/>
        <v>#VALUE!</v>
      </c>
      <c r="AD190" s="907">
        <f t="shared" si="83"/>
        <v>0</v>
      </c>
      <c r="AE190" s="904">
        <f>IF(H190&gt;8,tab!C$194,tab!C$197)</f>
        <v>0.5</v>
      </c>
      <c r="AF190" s="907">
        <f t="shared" si="84"/>
        <v>0</v>
      </c>
      <c r="AG190" s="887">
        <f t="shared" si="85"/>
        <v>0</v>
      </c>
      <c r="AH190" s="908" t="e">
        <f t="shared" si="86"/>
        <v>#VALUE!</v>
      </c>
      <c r="AI190" s="815" t="e">
        <f t="shared" si="87"/>
        <v>#VALUE!</v>
      </c>
      <c r="AJ190" s="540">
        <f t="shared" si="88"/>
        <v>30</v>
      </c>
      <c r="AK190" s="540">
        <f t="shared" si="66"/>
        <v>30</v>
      </c>
      <c r="AL190" s="909">
        <f t="shared" si="89"/>
        <v>0</v>
      </c>
      <c r="AN190" s="539">
        <f t="shared" si="68"/>
        <v>0</v>
      </c>
      <c r="AR190" s="941"/>
      <c r="AT190" s="317"/>
      <c r="AU190" s="317"/>
    </row>
    <row r="191" spans="3:47" ht="13.15" customHeight="1" x14ac:dyDescent="0.2">
      <c r="C191" s="381"/>
      <c r="D191" s="895" t="str">
        <f>IF(op!D79=0,"",op!D79)</f>
        <v/>
      </c>
      <c r="E191" s="895" t="str">
        <f>IF(op!E79=0,"",op!E79)</f>
        <v/>
      </c>
      <c r="F191" s="390" t="str">
        <f>IF(op!F79="","",op!F79+1)</f>
        <v/>
      </c>
      <c r="G191" s="896" t="str">
        <f>IF(op!G79=0,"",op!G79)</f>
        <v/>
      </c>
      <c r="H191" s="390" t="str">
        <f>IF(op!H79="","",op!H79)</f>
        <v/>
      </c>
      <c r="I191" s="897" t="str">
        <f t="shared" si="77"/>
        <v/>
      </c>
      <c r="J191" s="898" t="str">
        <f>IF(op!J79="","",op!J79)</f>
        <v/>
      </c>
      <c r="K191" s="334"/>
      <c r="L191" s="1140" t="str">
        <f>IF(op!L79="","",op!L79)</f>
        <v/>
      </c>
      <c r="M191" s="1140" t="str">
        <f>IF(op!M79="","",op!M79)</f>
        <v/>
      </c>
      <c r="N191" s="899" t="str">
        <f t="shared" si="69"/>
        <v/>
      </c>
      <c r="O191" s="900" t="str">
        <f t="shared" si="70"/>
        <v/>
      </c>
      <c r="P191" s="901" t="str">
        <f t="shared" si="71"/>
        <v/>
      </c>
      <c r="Q191" s="568" t="str">
        <f t="shared" si="78"/>
        <v/>
      </c>
      <c r="R191" s="902" t="str">
        <f t="shared" si="72"/>
        <v/>
      </c>
      <c r="S191" s="903">
        <f t="shared" si="79"/>
        <v>0</v>
      </c>
      <c r="T191" s="334"/>
      <c r="X191" s="887" t="str">
        <f t="shared" si="80"/>
        <v/>
      </c>
      <c r="Y191" s="904">
        <f t="shared" si="81"/>
        <v>0.6</v>
      </c>
      <c r="Z191" s="905" t="e">
        <f t="shared" si="73"/>
        <v>#VALUE!</v>
      </c>
      <c r="AA191" s="905" t="e">
        <f t="shared" si="74"/>
        <v>#VALUE!</v>
      </c>
      <c r="AB191" s="905" t="e">
        <f t="shared" si="75"/>
        <v>#VALUE!</v>
      </c>
      <c r="AC191" s="906" t="e">
        <f t="shared" si="82"/>
        <v>#VALUE!</v>
      </c>
      <c r="AD191" s="907">
        <f t="shared" si="83"/>
        <v>0</v>
      </c>
      <c r="AE191" s="904">
        <f>IF(H191&gt;8,tab!C$194,tab!C$197)</f>
        <v>0.5</v>
      </c>
      <c r="AF191" s="907">
        <f t="shared" si="84"/>
        <v>0</v>
      </c>
      <c r="AG191" s="887">
        <f t="shared" si="85"/>
        <v>0</v>
      </c>
      <c r="AH191" s="908" t="e">
        <f t="shared" si="86"/>
        <v>#VALUE!</v>
      </c>
      <c r="AI191" s="815" t="e">
        <f t="shared" si="87"/>
        <v>#VALUE!</v>
      </c>
      <c r="AJ191" s="540">
        <f t="shared" si="88"/>
        <v>30</v>
      </c>
      <c r="AK191" s="540">
        <f t="shared" si="66"/>
        <v>30</v>
      </c>
      <c r="AL191" s="909">
        <f t="shared" si="89"/>
        <v>0</v>
      </c>
      <c r="AN191" s="539">
        <f t="shared" si="68"/>
        <v>0</v>
      </c>
      <c r="AR191" s="941"/>
      <c r="AT191" s="317"/>
      <c r="AU191" s="317"/>
    </row>
    <row r="192" spans="3:47" ht="13.15" customHeight="1" x14ac:dyDescent="0.2">
      <c r="C192" s="381"/>
      <c r="D192" s="895" t="str">
        <f>IF(op!D80=0,"",op!D80)</f>
        <v/>
      </c>
      <c r="E192" s="895" t="str">
        <f>IF(op!E80=0,"",op!E80)</f>
        <v/>
      </c>
      <c r="F192" s="390" t="str">
        <f>IF(op!F80="","",op!F80+1)</f>
        <v/>
      </c>
      <c r="G192" s="896" t="str">
        <f>IF(op!G80=0,"",op!G80)</f>
        <v/>
      </c>
      <c r="H192" s="390" t="str">
        <f>IF(op!H80="","",op!H80)</f>
        <v/>
      </c>
      <c r="I192" s="897" t="str">
        <f t="shared" ref="I192:I223" si="90">IF(E192="","",IF(I80=VLOOKUP(H192,Salaris2021,22,FALSE),I80,I80+1))</f>
        <v/>
      </c>
      <c r="J192" s="898" t="str">
        <f>IF(op!J80="","",op!J80)</f>
        <v/>
      </c>
      <c r="K192" s="334"/>
      <c r="L192" s="1140" t="str">
        <f>IF(op!L80="","",op!L80)</f>
        <v/>
      </c>
      <c r="M192" s="1140" t="str">
        <f>IF(op!M80="","",op!M80)</f>
        <v/>
      </c>
      <c r="N192" s="899" t="str">
        <f t="shared" si="69"/>
        <v/>
      </c>
      <c r="O192" s="900" t="str">
        <f t="shared" si="70"/>
        <v/>
      </c>
      <c r="P192" s="901" t="str">
        <f t="shared" si="71"/>
        <v/>
      </c>
      <c r="Q192" s="568" t="str">
        <f t="shared" ref="Q192:Q223" si="91">IF(J192="","",(1659*J192-P192)*AA192)</f>
        <v/>
      </c>
      <c r="R192" s="902" t="str">
        <f t="shared" si="72"/>
        <v/>
      </c>
      <c r="S192" s="903">
        <f t="shared" ref="S192:S223" si="92">IF(E192=0,0,SUM(Q192:R192))</f>
        <v>0</v>
      </c>
      <c r="T192" s="334"/>
      <c r="X192" s="887" t="str">
        <f t="shared" ref="X192:X227" si="93">IF(H192="","",5/12*VLOOKUP(H192,Salaris2020,I192+1,FALSE)+7/12*VLOOKUP(H192,Salaris2021,I192+1,FALSE))</f>
        <v/>
      </c>
      <c r="Y192" s="904">
        <f t="shared" ref="Y192:Y227" si="94">$Y$14</f>
        <v>0.6</v>
      </c>
      <c r="Z192" s="905" t="e">
        <f t="shared" si="73"/>
        <v>#VALUE!</v>
      </c>
      <c r="AA192" s="905" t="e">
        <f t="shared" si="74"/>
        <v>#VALUE!</v>
      </c>
      <c r="AB192" s="905" t="e">
        <f t="shared" si="75"/>
        <v>#VALUE!</v>
      </c>
      <c r="AC192" s="906" t="e">
        <f t="shared" ref="AC192:AC227" si="95">N192+O192</f>
        <v>#VALUE!</v>
      </c>
      <c r="AD192" s="907">
        <f t="shared" ref="AD192:AD227" si="96">SUM(L192:M192)</f>
        <v>0</v>
      </c>
      <c r="AE192" s="904">
        <f>IF(H192&gt;8,tab!C$194,tab!C$197)</f>
        <v>0.5</v>
      </c>
      <c r="AF192" s="907">
        <f t="shared" ref="AF192:AF227" si="97">IF(F192&lt;25,0,IF(F192=25,25,IF(F192&lt;40,0,IF(F192=40,40,IF(F192&gt;=40,0)))))</f>
        <v>0</v>
      </c>
      <c r="AG192" s="887">
        <f t="shared" ref="AG192:AG223" si="98">IF(AF192=25,(X192*1.08*J192/2),IF(AF192=40,(Y192*1.08*J192),IF(AF192=0,0)))</f>
        <v>0</v>
      </c>
      <c r="AH192" s="908" t="e">
        <f t="shared" ref="AH192:AH227" si="99">DATE(YEAR($E$121),MONTH(G192),DAY(G192))&gt;$E$121</f>
        <v>#VALUE!</v>
      </c>
      <c r="AI192" s="815" t="e">
        <f t="shared" ref="AI192:AI223" si="100">YEAR($E$121)-YEAR(G192)-AH192</f>
        <v>#VALUE!</v>
      </c>
      <c r="AJ192" s="540">
        <f t="shared" ref="AJ192:AJ223" si="101">IF((G192=""),30,AI192)</f>
        <v>30</v>
      </c>
      <c r="AK192" s="540">
        <f t="shared" ref="AK192:AK227" si="102">IF((AJ192)&gt;50,50,(AJ192))</f>
        <v>30</v>
      </c>
      <c r="AL192" s="909">
        <f t="shared" ref="AL192:AL223" si="103">(AK192*(SUM(J192:J192)))</f>
        <v>0</v>
      </c>
      <c r="AN192" s="539">
        <f t="shared" ref="AN192:AN227" si="104">IF(AND(AL192&gt;0.01,AL192&lt;50.01),1,0)</f>
        <v>0</v>
      </c>
      <c r="AR192" s="941"/>
      <c r="AT192" s="317"/>
      <c r="AU192" s="317"/>
    </row>
    <row r="193" spans="3:47" ht="13.15" customHeight="1" x14ac:dyDescent="0.2">
      <c r="C193" s="381"/>
      <c r="D193" s="895" t="str">
        <f>IF(op!D81=0,"",op!D81)</f>
        <v/>
      </c>
      <c r="E193" s="895" t="str">
        <f>IF(op!E81=0,"",op!E81)</f>
        <v/>
      </c>
      <c r="F193" s="390" t="str">
        <f>IF(op!F81="","",op!F81+1)</f>
        <v/>
      </c>
      <c r="G193" s="896" t="str">
        <f>IF(op!G81=0,"",op!G81)</f>
        <v/>
      </c>
      <c r="H193" s="390" t="str">
        <f>IF(op!H81="","",op!H81)</f>
        <v/>
      </c>
      <c r="I193" s="897" t="str">
        <f t="shared" si="90"/>
        <v/>
      </c>
      <c r="J193" s="898" t="str">
        <f>IF(op!J81="","",op!J81)</f>
        <v/>
      </c>
      <c r="K193" s="334"/>
      <c r="L193" s="1140" t="str">
        <f>IF(op!L81="","",op!L81)</f>
        <v/>
      </c>
      <c r="M193" s="1140" t="str">
        <f>IF(op!M81="","",op!M81)</f>
        <v/>
      </c>
      <c r="N193" s="899" t="str">
        <f t="shared" ref="N193:N227" si="105">IF(J193="","",IF(J193*40&gt;40,40,J193*40))</f>
        <v/>
      </c>
      <c r="O193" s="900" t="str">
        <f t="shared" ref="O193:O227" si="106">IF(H193="","",IF(I193&lt;4,IF(40*J193&gt;40,40,40*J193),0))</f>
        <v/>
      </c>
      <c r="P193" s="901" t="str">
        <f t="shared" ref="P193:P227" si="107">IF(J193="","",SUM(L193:O193))</f>
        <v/>
      </c>
      <c r="Q193" s="568" t="str">
        <f t="shared" si="91"/>
        <v/>
      </c>
      <c r="R193" s="902" t="str">
        <f t="shared" ref="R193:R227" si="108">IF(J193="","",(P193*AB193)+Z193*(AC193+AD193*(1-AE193)))</f>
        <v/>
      </c>
      <c r="S193" s="903">
        <f t="shared" si="92"/>
        <v>0</v>
      </c>
      <c r="T193" s="334"/>
      <c r="X193" s="887" t="str">
        <f t="shared" si="93"/>
        <v/>
      </c>
      <c r="Y193" s="904">
        <f t="shared" si="94"/>
        <v>0.6</v>
      </c>
      <c r="Z193" s="905" t="e">
        <f t="shared" ref="Z193:Z227" si="109">X193*12/1659</f>
        <v>#VALUE!</v>
      </c>
      <c r="AA193" s="905" t="e">
        <f t="shared" ref="AA193:AA227" si="110">X193*12*(1+Y193)/1659</f>
        <v>#VALUE!</v>
      </c>
      <c r="AB193" s="905" t="e">
        <f t="shared" ref="AB193:AB227" si="111">AA193-Z193</f>
        <v>#VALUE!</v>
      </c>
      <c r="AC193" s="906" t="e">
        <f t="shared" si="95"/>
        <v>#VALUE!</v>
      </c>
      <c r="AD193" s="907">
        <f t="shared" si="96"/>
        <v>0</v>
      </c>
      <c r="AE193" s="904">
        <f>IF(H193&gt;8,tab!C$194,tab!C$197)</f>
        <v>0.5</v>
      </c>
      <c r="AF193" s="907">
        <f t="shared" si="97"/>
        <v>0</v>
      </c>
      <c r="AG193" s="887">
        <f t="shared" si="98"/>
        <v>0</v>
      </c>
      <c r="AH193" s="908" t="e">
        <f t="shared" si="99"/>
        <v>#VALUE!</v>
      </c>
      <c r="AI193" s="815" t="e">
        <f t="shared" si="100"/>
        <v>#VALUE!</v>
      </c>
      <c r="AJ193" s="540">
        <f t="shared" si="101"/>
        <v>30</v>
      </c>
      <c r="AK193" s="540">
        <f t="shared" si="102"/>
        <v>30</v>
      </c>
      <c r="AL193" s="909">
        <f t="shared" si="103"/>
        <v>0</v>
      </c>
      <c r="AN193" s="539">
        <f t="shared" si="104"/>
        <v>0</v>
      </c>
      <c r="AR193" s="941"/>
      <c r="AT193" s="317"/>
      <c r="AU193" s="317"/>
    </row>
    <row r="194" spans="3:47" ht="13.15" customHeight="1" x14ac:dyDescent="0.2">
      <c r="C194" s="381"/>
      <c r="D194" s="895" t="str">
        <f>IF(op!D82=0,"",op!D82)</f>
        <v/>
      </c>
      <c r="E194" s="895" t="str">
        <f>IF(op!E82=0,"",op!E82)</f>
        <v/>
      </c>
      <c r="F194" s="390" t="str">
        <f>IF(op!F82="","",op!F82+1)</f>
        <v/>
      </c>
      <c r="G194" s="896" t="str">
        <f>IF(op!G82=0,"",op!G82)</f>
        <v/>
      </c>
      <c r="H194" s="390" t="str">
        <f>IF(op!H82="","",op!H82)</f>
        <v/>
      </c>
      <c r="I194" s="897" t="str">
        <f t="shared" si="90"/>
        <v/>
      </c>
      <c r="J194" s="898" t="str">
        <f>IF(op!J82="","",op!J82)</f>
        <v/>
      </c>
      <c r="K194" s="334"/>
      <c r="L194" s="1140" t="str">
        <f>IF(op!L82="","",op!L82)</f>
        <v/>
      </c>
      <c r="M194" s="1140" t="str">
        <f>IF(op!M82="","",op!M82)</f>
        <v/>
      </c>
      <c r="N194" s="899" t="str">
        <f t="shared" si="105"/>
        <v/>
      </c>
      <c r="O194" s="900" t="str">
        <f t="shared" si="106"/>
        <v/>
      </c>
      <c r="P194" s="901" t="str">
        <f t="shared" si="107"/>
        <v/>
      </c>
      <c r="Q194" s="568" t="str">
        <f t="shared" si="91"/>
        <v/>
      </c>
      <c r="R194" s="902" t="str">
        <f t="shared" si="108"/>
        <v/>
      </c>
      <c r="S194" s="903">
        <f t="shared" si="92"/>
        <v>0</v>
      </c>
      <c r="T194" s="334"/>
      <c r="X194" s="887" t="str">
        <f t="shared" si="93"/>
        <v/>
      </c>
      <c r="Y194" s="904">
        <f t="shared" si="94"/>
        <v>0.6</v>
      </c>
      <c r="Z194" s="905" t="e">
        <f t="shared" si="109"/>
        <v>#VALUE!</v>
      </c>
      <c r="AA194" s="905" t="e">
        <f t="shared" si="110"/>
        <v>#VALUE!</v>
      </c>
      <c r="AB194" s="905" t="e">
        <f t="shared" si="111"/>
        <v>#VALUE!</v>
      </c>
      <c r="AC194" s="906" t="e">
        <f t="shared" si="95"/>
        <v>#VALUE!</v>
      </c>
      <c r="AD194" s="907">
        <f t="shared" si="96"/>
        <v>0</v>
      </c>
      <c r="AE194" s="904">
        <f>IF(H194&gt;8,tab!C$194,tab!C$197)</f>
        <v>0.5</v>
      </c>
      <c r="AF194" s="907">
        <f t="shared" si="97"/>
        <v>0</v>
      </c>
      <c r="AG194" s="887">
        <f t="shared" si="98"/>
        <v>0</v>
      </c>
      <c r="AH194" s="908" t="e">
        <f t="shared" si="99"/>
        <v>#VALUE!</v>
      </c>
      <c r="AI194" s="815" t="e">
        <f t="shared" si="100"/>
        <v>#VALUE!</v>
      </c>
      <c r="AJ194" s="540">
        <f t="shared" si="101"/>
        <v>30</v>
      </c>
      <c r="AK194" s="540">
        <f t="shared" si="102"/>
        <v>30</v>
      </c>
      <c r="AL194" s="909">
        <f t="shared" si="103"/>
        <v>0</v>
      </c>
      <c r="AN194" s="539">
        <f t="shared" si="104"/>
        <v>0</v>
      </c>
      <c r="AR194" s="941"/>
      <c r="AT194" s="317"/>
      <c r="AU194" s="317"/>
    </row>
    <row r="195" spans="3:47" ht="13.15" customHeight="1" x14ac:dyDescent="0.2">
      <c r="C195" s="381"/>
      <c r="D195" s="895" t="str">
        <f>IF(op!D83=0,"",op!D83)</f>
        <v/>
      </c>
      <c r="E195" s="895" t="str">
        <f>IF(op!E83=0,"",op!E83)</f>
        <v/>
      </c>
      <c r="F195" s="390" t="str">
        <f>IF(op!F83="","",op!F83+1)</f>
        <v/>
      </c>
      <c r="G195" s="896" t="str">
        <f>IF(op!G83=0,"",op!G83)</f>
        <v/>
      </c>
      <c r="H195" s="390" t="str">
        <f>IF(op!H83="","",op!H83)</f>
        <v/>
      </c>
      <c r="I195" s="897" t="str">
        <f t="shared" si="90"/>
        <v/>
      </c>
      <c r="J195" s="898" t="str">
        <f>IF(op!J83="","",op!J83)</f>
        <v/>
      </c>
      <c r="K195" s="334"/>
      <c r="L195" s="1140" t="str">
        <f>IF(op!L83="","",op!L83)</f>
        <v/>
      </c>
      <c r="M195" s="1140" t="str">
        <f>IF(op!M83="","",op!M83)</f>
        <v/>
      </c>
      <c r="N195" s="899" t="str">
        <f t="shared" si="105"/>
        <v/>
      </c>
      <c r="O195" s="900" t="str">
        <f t="shared" si="106"/>
        <v/>
      </c>
      <c r="P195" s="901" t="str">
        <f t="shared" si="107"/>
        <v/>
      </c>
      <c r="Q195" s="568" t="str">
        <f t="shared" si="91"/>
        <v/>
      </c>
      <c r="R195" s="902" t="str">
        <f t="shared" si="108"/>
        <v/>
      </c>
      <c r="S195" s="903">
        <f t="shared" si="92"/>
        <v>0</v>
      </c>
      <c r="T195" s="334"/>
      <c r="X195" s="887" t="str">
        <f t="shared" si="93"/>
        <v/>
      </c>
      <c r="Y195" s="904">
        <f t="shared" si="94"/>
        <v>0.6</v>
      </c>
      <c r="Z195" s="905" t="e">
        <f t="shared" si="109"/>
        <v>#VALUE!</v>
      </c>
      <c r="AA195" s="905" t="e">
        <f t="shared" si="110"/>
        <v>#VALUE!</v>
      </c>
      <c r="AB195" s="905" t="e">
        <f t="shared" si="111"/>
        <v>#VALUE!</v>
      </c>
      <c r="AC195" s="906" t="e">
        <f t="shared" si="95"/>
        <v>#VALUE!</v>
      </c>
      <c r="AD195" s="907">
        <f t="shared" si="96"/>
        <v>0</v>
      </c>
      <c r="AE195" s="904">
        <f>IF(H195&gt;8,tab!C$194,tab!C$197)</f>
        <v>0.5</v>
      </c>
      <c r="AF195" s="907">
        <f t="shared" si="97"/>
        <v>0</v>
      </c>
      <c r="AG195" s="887">
        <f t="shared" si="98"/>
        <v>0</v>
      </c>
      <c r="AH195" s="908" t="e">
        <f t="shared" si="99"/>
        <v>#VALUE!</v>
      </c>
      <c r="AI195" s="815" t="e">
        <f t="shared" si="100"/>
        <v>#VALUE!</v>
      </c>
      <c r="AJ195" s="540">
        <f t="shared" si="101"/>
        <v>30</v>
      </c>
      <c r="AK195" s="540">
        <f t="shared" si="102"/>
        <v>30</v>
      </c>
      <c r="AL195" s="909">
        <f t="shared" si="103"/>
        <v>0</v>
      </c>
      <c r="AN195" s="539">
        <f t="shared" si="104"/>
        <v>0</v>
      </c>
      <c r="AR195" s="941"/>
      <c r="AT195" s="317"/>
      <c r="AU195" s="317"/>
    </row>
    <row r="196" spans="3:47" ht="13.15" customHeight="1" x14ac:dyDescent="0.2">
      <c r="C196" s="381"/>
      <c r="D196" s="895" t="str">
        <f>IF(op!D84=0,"",op!D84)</f>
        <v/>
      </c>
      <c r="E196" s="895" t="str">
        <f>IF(op!E84=0,"",op!E84)</f>
        <v/>
      </c>
      <c r="F196" s="390" t="str">
        <f>IF(op!F84="","",op!F84+1)</f>
        <v/>
      </c>
      <c r="G196" s="896" t="str">
        <f>IF(op!G84=0,"",op!G84)</f>
        <v/>
      </c>
      <c r="H196" s="390" t="str">
        <f>IF(op!H84="","",op!H84)</f>
        <v/>
      </c>
      <c r="I196" s="897" t="str">
        <f t="shared" si="90"/>
        <v/>
      </c>
      <c r="J196" s="898" t="str">
        <f>IF(op!J84="","",op!J84)</f>
        <v/>
      </c>
      <c r="K196" s="334"/>
      <c r="L196" s="1140" t="str">
        <f>IF(op!L84="","",op!L84)</f>
        <v/>
      </c>
      <c r="M196" s="1140" t="str">
        <f>IF(op!M84="","",op!M84)</f>
        <v/>
      </c>
      <c r="N196" s="899" t="str">
        <f t="shared" si="105"/>
        <v/>
      </c>
      <c r="O196" s="900" t="str">
        <f t="shared" si="106"/>
        <v/>
      </c>
      <c r="P196" s="901" t="str">
        <f t="shared" si="107"/>
        <v/>
      </c>
      <c r="Q196" s="568" t="str">
        <f t="shared" si="91"/>
        <v/>
      </c>
      <c r="R196" s="902" t="str">
        <f t="shared" si="108"/>
        <v/>
      </c>
      <c r="S196" s="903">
        <f t="shared" si="92"/>
        <v>0</v>
      </c>
      <c r="T196" s="334"/>
      <c r="X196" s="887" t="str">
        <f t="shared" si="93"/>
        <v/>
      </c>
      <c r="Y196" s="904">
        <f t="shared" si="94"/>
        <v>0.6</v>
      </c>
      <c r="Z196" s="905" t="e">
        <f t="shared" si="109"/>
        <v>#VALUE!</v>
      </c>
      <c r="AA196" s="905" t="e">
        <f t="shared" si="110"/>
        <v>#VALUE!</v>
      </c>
      <c r="AB196" s="905" t="e">
        <f t="shared" si="111"/>
        <v>#VALUE!</v>
      </c>
      <c r="AC196" s="906" t="e">
        <f t="shared" si="95"/>
        <v>#VALUE!</v>
      </c>
      <c r="AD196" s="907">
        <f t="shared" si="96"/>
        <v>0</v>
      </c>
      <c r="AE196" s="904">
        <f>IF(H196&gt;8,tab!C$194,tab!C$197)</f>
        <v>0.5</v>
      </c>
      <c r="AF196" s="907">
        <f t="shared" si="97"/>
        <v>0</v>
      </c>
      <c r="AG196" s="887">
        <f t="shared" si="98"/>
        <v>0</v>
      </c>
      <c r="AH196" s="908" t="e">
        <f t="shared" si="99"/>
        <v>#VALUE!</v>
      </c>
      <c r="AI196" s="815" t="e">
        <f t="shared" si="100"/>
        <v>#VALUE!</v>
      </c>
      <c r="AJ196" s="540">
        <f t="shared" si="101"/>
        <v>30</v>
      </c>
      <c r="AK196" s="540">
        <f t="shared" si="102"/>
        <v>30</v>
      </c>
      <c r="AL196" s="909">
        <f t="shared" si="103"/>
        <v>0</v>
      </c>
      <c r="AN196" s="539">
        <f t="shared" si="104"/>
        <v>0</v>
      </c>
      <c r="AR196" s="941"/>
      <c r="AT196" s="317"/>
      <c r="AU196" s="317"/>
    </row>
    <row r="197" spans="3:47" ht="13.15" customHeight="1" x14ac:dyDescent="0.2">
      <c r="C197" s="381"/>
      <c r="D197" s="895" t="str">
        <f>IF(op!D85=0,"",op!D85)</f>
        <v/>
      </c>
      <c r="E197" s="895" t="str">
        <f>IF(op!E85=0,"",op!E85)</f>
        <v/>
      </c>
      <c r="F197" s="390" t="str">
        <f>IF(op!F85="","",op!F85+1)</f>
        <v/>
      </c>
      <c r="G197" s="896" t="str">
        <f>IF(op!G85=0,"",op!G85)</f>
        <v/>
      </c>
      <c r="H197" s="390" t="str">
        <f>IF(op!H85="","",op!H85)</f>
        <v/>
      </c>
      <c r="I197" s="897" t="str">
        <f t="shared" si="90"/>
        <v/>
      </c>
      <c r="J197" s="898" t="str">
        <f>IF(op!J85="","",op!J85)</f>
        <v/>
      </c>
      <c r="K197" s="334"/>
      <c r="L197" s="1140" t="str">
        <f>IF(op!L85="","",op!L85)</f>
        <v/>
      </c>
      <c r="M197" s="1140" t="str">
        <f>IF(op!M85="","",op!M85)</f>
        <v/>
      </c>
      <c r="N197" s="899" t="str">
        <f t="shared" si="105"/>
        <v/>
      </c>
      <c r="O197" s="900" t="str">
        <f t="shared" si="106"/>
        <v/>
      </c>
      <c r="P197" s="901" t="str">
        <f t="shared" si="107"/>
        <v/>
      </c>
      <c r="Q197" s="568" t="str">
        <f t="shared" si="91"/>
        <v/>
      </c>
      <c r="R197" s="902" t="str">
        <f t="shared" si="108"/>
        <v/>
      </c>
      <c r="S197" s="903">
        <f t="shared" si="92"/>
        <v>0</v>
      </c>
      <c r="T197" s="334"/>
      <c r="X197" s="887" t="str">
        <f t="shared" si="93"/>
        <v/>
      </c>
      <c r="Y197" s="904">
        <f t="shared" si="94"/>
        <v>0.6</v>
      </c>
      <c r="Z197" s="905" t="e">
        <f t="shared" si="109"/>
        <v>#VALUE!</v>
      </c>
      <c r="AA197" s="905" t="e">
        <f t="shared" si="110"/>
        <v>#VALUE!</v>
      </c>
      <c r="AB197" s="905" t="e">
        <f t="shared" si="111"/>
        <v>#VALUE!</v>
      </c>
      <c r="AC197" s="906" t="e">
        <f t="shared" si="95"/>
        <v>#VALUE!</v>
      </c>
      <c r="AD197" s="907">
        <f t="shared" si="96"/>
        <v>0</v>
      </c>
      <c r="AE197" s="904">
        <f>IF(H197&gt;8,tab!C$194,tab!C$197)</f>
        <v>0.5</v>
      </c>
      <c r="AF197" s="907">
        <f t="shared" si="97"/>
        <v>0</v>
      </c>
      <c r="AG197" s="887">
        <f t="shared" si="98"/>
        <v>0</v>
      </c>
      <c r="AH197" s="908" t="e">
        <f t="shared" si="99"/>
        <v>#VALUE!</v>
      </c>
      <c r="AI197" s="815" t="e">
        <f t="shared" si="100"/>
        <v>#VALUE!</v>
      </c>
      <c r="AJ197" s="540">
        <f t="shared" si="101"/>
        <v>30</v>
      </c>
      <c r="AK197" s="540">
        <f t="shared" si="102"/>
        <v>30</v>
      </c>
      <c r="AL197" s="909">
        <f t="shared" si="103"/>
        <v>0</v>
      </c>
      <c r="AN197" s="539">
        <f t="shared" si="104"/>
        <v>0</v>
      </c>
      <c r="AR197" s="941"/>
      <c r="AT197" s="317"/>
      <c r="AU197" s="317"/>
    </row>
    <row r="198" spans="3:47" ht="13.15" customHeight="1" x14ac:dyDescent="0.2">
      <c r="C198" s="381"/>
      <c r="D198" s="895" t="str">
        <f>IF(op!D86=0,"",op!D86)</f>
        <v/>
      </c>
      <c r="E198" s="895" t="str">
        <f>IF(op!E86=0,"",op!E86)</f>
        <v/>
      </c>
      <c r="F198" s="390" t="str">
        <f>IF(op!F86="","",op!F86+1)</f>
        <v/>
      </c>
      <c r="G198" s="896" t="str">
        <f>IF(op!G86=0,"",op!G86)</f>
        <v/>
      </c>
      <c r="H198" s="390" t="str">
        <f>IF(op!H86="","",op!H86)</f>
        <v/>
      </c>
      <c r="I198" s="897" t="str">
        <f t="shared" si="90"/>
        <v/>
      </c>
      <c r="J198" s="898" t="str">
        <f>IF(op!J86="","",op!J86)</f>
        <v/>
      </c>
      <c r="K198" s="334"/>
      <c r="L198" s="1140" t="str">
        <f>IF(op!L86="","",op!L86)</f>
        <v/>
      </c>
      <c r="M198" s="1140" t="str">
        <f>IF(op!M86="","",op!M86)</f>
        <v/>
      </c>
      <c r="N198" s="899" t="str">
        <f t="shared" si="105"/>
        <v/>
      </c>
      <c r="O198" s="900" t="str">
        <f t="shared" si="106"/>
        <v/>
      </c>
      <c r="P198" s="901" t="str">
        <f t="shared" si="107"/>
        <v/>
      </c>
      <c r="Q198" s="568" t="str">
        <f t="shared" si="91"/>
        <v/>
      </c>
      <c r="R198" s="902" t="str">
        <f t="shared" si="108"/>
        <v/>
      </c>
      <c r="S198" s="903">
        <f t="shared" si="92"/>
        <v>0</v>
      </c>
      <c r="T198" s="334"/>
      <c r="X198" s="887" t="str">
        <f t="shared" si="93"/>
        <v/>
      </c>
      <c r="Y198" s="904">
        <f t="shared" si="94"/>
        <v>0.6</v>
      </c>
      <c r="Z198" s="905" t="e">
        <f t="shared" si="109"/>
        <v>#VALUE!</v>
      </c>
      <c r="AA198" s="905" t="e">
        <f t="shared" si="110"/>
        <v>#VALUE!</v>
      </c>
      <c r="AB198" s="905" t="e">
        <f t="shared" si="111"/>
        <v>#VALUE!</v>
      </c>
      <c r="AC198" s="906" t="e">
        <f t="shared" si="95"/>
        <v>#VALUE!</v>
      </c>
      <c r="AD198" s="907">
        <f t="shared" si="96"/>
        <v>0</v>
      </c>
      <c r="AE198" s="904">
        <f>IF(H198&gt;8,tab!C$194,tab!C$197)</f>
        <v>0.5</v>
      </c>
      <c r="AF198" s="907">
        <f t="shared" si="97"/>
        <v>0</v>
      </c>
      <c r="AG198" s="887">
        <f t="shared" si="98"/>
        <v>0</v>
      </c>
      <c r="AH198" s="908" t="e">
        <f t="shared" si="99"/>
        <v>#VALUE!</v>
      </c>
      <c r="AI198" s="815" t="e">
        <f t="shared" si="100"/>
        <v>#VALUE!</v>
      </c>
      <c r="AJ198" s="540">
        <f t="shared" si="101"/>
        <v>30</v>
      </c>
      <c r="AK198" s="540">
        <f t="shared" si="102"/>
        <v>30</v>
      </c>
      <c r="AL198" s="909">
        <f t="shared" si="103"/>
        <v>0</v>
      </c>
      <c r="AN198" s="539">
        <f t="shared" si="104"/>
        <v>0</v>
      </c>
      <c r="AR198" s="941"/>
      <c r="AT198" s="317"/>
      <c r="AU198" s="317"/>
    </row>
    <row r="199" spans="3:47" ht="13.15" customHeight="1" x14ac:dyDescent="0.2">
      <c r="C199" s="381"/>
      <c r="D199" s="895" t="str">
        <f>IF(op!D87=0,"",op!D87)</f>
        <v/>
      </c>
      <c r="E199" s="895" t="str">
        <f>IF(op!E87=0,"",op!E87)</f>
        <v/>
      </c>
      <c r="F199" s="390" t="str">
        <f>IF(op!F87="","",op!F87+1)</f>
        <v/>
      </c>
      <c r="G199" s="896" t="str">
        <f>IF(op!G87=0,"",op!G87)</f>
        <v/>
      </c>
      <c r="H199" s="390" t="str">
        <f>IF(op!H87="","",op!H87)</f>
        <v/>
      </c>
      <c r="I199" s="897" t="str">
        <f t="shared" si="90"/>
        <v/>
      </c>
      <c r="J199" s="898" t="str">
        <f>IF(op!J87="","",op!J87)</f>
        <v/>
      </c>
      <c r="K199" s="334"/>
      <c r="L199" s="1140" t="str">
        <f>IF(op!L87="","",op!L87)</f>
        <v/>
      </c>
      <c r="M199" s="1140" t="str">
        <f>IF(op!M87="","",op!M87)</f>
        <v/>
      </c>
      <c r="N199" s="899" t="str">
        <f t="shared" si="105"/>
        <v/>
      </c>
      <c r="O199" s="900" t="str">
        <f t="shared" si="106"/>
        <v/>
      </c>
      <c r="P199" s="901" t="str">
        <f t="shared" si="107"/>
        <v/>
      </c>
      <c r="Q199" s="568" t="str">
        <f t="shared" si="91"/>
        <v/>
      </c>
      <c r="R199" s="902" t="str">
        <f t="shared" si="108"/>
        <v/>
      </c>
      <c r="S199" s="903">
        <f t="shared" si="92"/>
        <v>0</v>
      </c>
      <c r="T199" s="334"/>
      <c r="X199" s="887" t="str">
        <f t="shared" si="93"/>
        <v/>
      </c>
      <c r="Y199" s="904">
        <f t="shared" si="94"/>
        <v>0.6</v>
      </c>
      <c r="Z199" s="905" t="e">
        <f t="shared" si="109"/>
        <v>#VALUE!</v>
      </c>
      <c r="AA199" s="905" t="e">
        <f t="shared" si="110"/>
        <v>#VALUE!</v>
      </c>
      <c r="AB199" s="905" t="e">
        <f t="shared" si="111"/>
        <v>#VALUE!</v>
      </c>
      <c r="AC199" s="906" t="e">
        <f t="shared" si="95"/>
        <v>#VALUE!</v>
      </c>
      <c r="AD199" s="907">
        <f t="shared" si="96"/>
        <v>0</v>
      </c>
      <c r="AE199" s="904">
        <f>IF(H199&gt;8,tab!C$194,tab!C$197)</f>
        <v>0.5</v>
      </c>
      <c r="AF199" s="907">
        <f t="shared" si="97"/>
        <v>0</v>
      </c>
      <c r="AG199" s="887">
        <f t="shared" si="98"/>
        <v>0</v>
      </c>
      <c r="AH199" s="908" t="e">
        <f t="shared" si="99"/>
        <v>#VALUE!</v>
      </c>
      <c r="AI199" s="815" t="e">
        <f t="shared" si="100"/>
        <v>#VALUE!</v>
      </c>
      <c r="AJ199" s="540">
        <f t="shared" si="101"/>
        <v>30</v>
      </c>
      <c r="AK199" s="540">
        <f t="shared" si="102"/>
        <v>30</v>
      </c>
      <c r="AL199" s="909">
        <f t="shared" si="103"/>
        <v>0</v>
      </c>
      <c r="AN199" s="539">
        <f t="shared" si="104"/>
        <v>0</v>
      </c>
      <c r="AR199" s="941"/>
      <c r="AT199" s="317"/>
      <c r="AU199" s="317"/>
    </row>
    <row r="200" spans="3:47" ht="13.15" customHeight="1" x14ac:dyDescent="0.2">
      <c r="C200" s="381"/>
      <c r="D200" s="895" t="str">
        <f>IF(op!D88=0,"",op!D88)</f>
        <v/>
      </c>
      <c r="E200" s="895" t="str">
        <f>IF(op!E88=0,"",op!E88)</f>
        <v/>
      </c>
      <c r="F200" s="390" t="str">
        <f>IF(op!F88="","",op!F88+1)</f>
        <v/>
      </c>
      <c r="G200" s="896" t="str">
        <f>IF(op!G88=0,"",op!G88)</f>
        <v/>
      </c>
      <c r="H200" s="390" t="str">
        <f>IF(op!H88="","",op!H88)</f>
        <v/>
      </c>
      <c r="I200" s="897" t="str">
        <f t="shared" si="90"/>
        <v/>
      </c>
      <c r="J200" s="898" t="str">
        <f>IF(op!J88="","",op!J88)</f>
        <v/>
      </c>
      <c r="K200" s="334"/>
      <c r="L200" s="1140" t="str">
        <f>IF(op!L88="","",op!L88)</f>
        <v/>
      </c>
      <c r="M200" s="1140" t="str">
        <f>IF(op!M88="","",op!M88)</f>
        <v/>
      </c>
      <c r="N200" s="899" t="str">
        <f t="shared" si="105"/>
        <v/>
      </c>
      <c r="O200" s="900" t="str">
        <f t="shared" si="106"/>
        <v/>
      </c>
      <c r="P200" s="901" t="str">
        <f t="shared" si="107"/>
        <v/>
      </c>
      <c r="Q200" s="568" t="str">
        <f t="shared" si="91"/>
        <v/>
      </c>
      <c r="R200" s="902" t="str">
        <f t="shared" si="108"/>
        <v/>
      </c>
      <c r="S200" s="903">
        <f t="shared" si="92"/>
        <v>0</v>
      </c>
      <c r="T200" s="334"/>
      <c r="X200" s="887" t="str">
        <f t="shared" si="93"/>
        <v/>
      </c>
      <c r="Y200" s="904">
        <f t="shared" si="94"/>
        <v>0.6</v>
      </c>
      <c r="Z200" s="905" t="e">
        <f t="shared" si="109"/>
        <v>#VALUE!</v>
      </c>
      <c r="AA200" s="905" t="e">
        <f t="shared" si="110"/>
        <v>#VALUE!</v>
      </c>
      <c r="AB200" s="905" t="e">
        <f t="shared" si="111"/>
        <v>#VALUE!</v>
      </c>
      <c r="AC200" s="906" t="e">
        <f t="shared" si="95"/>
        <v>#VALUE!</v>
      </c>
      <c r="AD200" s="907">
        <f t="shared" si="96"/>
        <v>0</v>
      </c>
      <c r="AE200" s="904">
        <f>IF(H200&gt;8,tab!C$194,tab!C$197)</f>
        <v>0.5</v>
      </c>
      <c r="AF200" s="907">
        <f t="shared" si="97"/>
        <v>0</v>
      </c>
      <c r="AG200" s="887">
        <f t="shared" si="98"/>
        <v>0</v>
      </c>
      <c r="AH200" s="908" t="e">
        <f t="shared" si="99"/>
        <v>#VALUE!</v>
      </c>
      <c r="AI200" s="815" t="e">
        <f t="shared" si="100"/>
        <v>#VALUE!</v>
      </c>
      <c r="AJ200" s="540">
        <f t="shared" si="101"/>
        <v>30</v>
      </c>
      <c r="AK200" s="540">
        <f t="shared" si="102"/>
        <v>30</v>
      </c>
      <c r="AL200" s="909">
        <f t="shared" si="103"/>
        <v>0</v>
      </c>
      <c r="AN200" s="539">
        <f t="shared" si="104"/>
        <v>0</v>
      </c>
      <c r="AR200" s="941"/>
      <c r="AT200" s="317"/>
      <c r="AU200" s="317"/>
    </row>
    <row r="201" spans="3:47" ht="13.15" customHeight="1" x14ac:dyDescent="0.2">
      <c r="C201" s="381"/>
      <c r="D201" s="895" t="str">
        <f>IF(op!D89=0,"",op!D89)</f>
        <v/>
      </c>
      <c r="E201" s="895" t="str">
        <f>IF(op!E89=0,"",op!E89)</f>
        <v/>
      </c>
      <c r="F201" s="390" t="str">
        <f>IF(op!F89="","",op!F89+1)</f>
        <v/>
      </c>
      <c r="G201" s="896" t="str">
        <f>IF(op!G89=0,"",op!G89)</f>
        <v/>
      </c>
      <c r="H201" s="390" t="str">
        <f>IF(op!H89="","",op!H89)</f>
        <v/>
      </c>
      <c r="I201" s="897" t="str">
        <f t="shared" si="90"/>
        <v/>
      </c>
      <c r="J201" s="898" t="str">
        <f>IF(op!J89="","",op!J89)</f>
        <v/>
      </c>
      <c r="K201" s="334"/>
      <c r="L201" s="1140" t="str">
        <f>IF(op!L89="","",op!L89)</f>
        <v/>
      </c>
      <c r="M201" s="1140" t="str">
        <f>IF(op!M89="","",op!M89)</f>
        <v/>
      </c>
      <c r="N201" s="899" t="str">
        <f t="shared" si="105"/>
        <v/>
      </c>
      <c r="O201" s="900" t="str">
        <f t="shared" si="106"/>
        <v/>
      </c>
      <c r="P201" s="901" t="str">
        <f t="shared" si="107"/>
        <v/>
      </c>
      <c r="Q201" s="568" t="str">
        <f t="shared" si="91"/>
        <v/>
      </c>
      <c r="R201" s="902" t="str">
        <f t="shared" si="108"/>
        <v/>
      </c>
      <c r="S201" s="903">
        <f t="shared" si="92"/>
        <v>0</v>
      </c>
      <c r="T201" s="334"/>
      <c r="X201" s="887" t="str">
        <f t="shared" si="93"/>
        <v/>
      </c>
      <c r="Y201" s="904">
        <f t="shared" si="94"/>
        <v>0.6</v>
      </c>
      <c r="Z201" s="905" t="e">
        <f t="shared" si="109"/>
        <v>#VALUE!</v>
      </c>
      <c r="AA201" s="905" t="e">
        <f t="shared" si="110"/>
        <v>#VALUE!</v>
      </c>
      <c r="AB201" s="905" t="e">
        <f t="shared" si="111"/>
        <v>#VALUE!</v>
      </c>
      <c r="AC201" s="906" t="e">
        <f t="shared" si="95"/>
        <v>#VALUE!</v>
      </c>
      <c r="AD201" s="907">
        <f t="shared" si="96"/>
        <v>0</v>
      </c>
      <c r="AE201" s="904">
        <f>IF(H201&gt;8,tab!C$194,tab!C$197)</f>
        <v>0.5</v>
      </c>
      <c r="AF201" s="907">
        <f t="shared" si="97"/>
        <v>0</v>
      </c>
      <c r="AG201" s="887">
        <f t="shared" si="98"/>
        <v>0</v>
      </c>
      <c r="AH201" s="908" t="e">
        <f t="shared" si="99"/>
        <v>#VALUE!</v>
      </c>
      <c r="AI201" s="815" t="e">
        <f t="shared" si="100"/>
        <v>#VALUE!</v>
      </c>
      <c r="AJ201" s="540">
        <f t="shared" si="101"/>
        <v>30</v>
      </c>
      <c r="AK201" s="540">
        <f t="shared" si="102"/>
        <v>30</v>
      </c>
      <c r="AL201" s="909">
        <f t="shared" si="103"/>
        <v>0</v>
      </c>
      <c r="AN201" s="539">
        <f t="shared" si="104"/>
        <v>0</v>
      </c>
      <c r="AR201" s="941"/>
      <c r="AT201" s="317"/>
      <c r="AU201" s="317"/>
    </row>
    <row r="202" spans="3:47" ht="13.15" customHeight="1" x14ac:dyDescent="0.2">
      <c r="C202" s="381"/>
      <c r="D202" s="895" t="str">
        <f>IF(op!D90=0,"",op!D90)</f>
        <v/>
      </c>
      <c r="E202" s="895" t="str">
        <f>IF(op!E90=0,"",op!E90)</f>
        <v/>
      </c>
      <c r="F202" s="390" t="str">
        <f>IF(op!F90="","",op!F90+1)</f>
        <v/>
      </c>
      <c r="G202" s="896" t="str">
        <f>IF(op!G90=0,"",op!G90)</f>
        <v/>
      </c>
      <c r="H202" s="390" t="str">
        <f>IF(op!H90="","",op!H90)</f>
        <v/>
      </c>
      <c r="I202" s="897" t="str">
        <f t="shared" si="90"/>
        <v/>
      </c>
      <c r="J202" s="898" t="str">
        <f>IF(op!J90="","",op!J90)</f>
        <v/>
      </c>
      <c r="K202" s="334"/>
      <c r="L202" s="1140" t="str">
        <f>IF(op!L90="","",op!L90)</f>
        <v/>
      </c>
      <c r="M202" s="1140" t="str">
        <f>IF(op!M90="","",op!M90)</f>
        <v/>
      </c>
      <c r="N202" s="899" t="str">
        <f t="shared" si="105"/>
        <v/>
      </c>
      <c r="O202" s="900" t="str">
        <f t="shared" si="106"/>
        <v/>
      </c>
      <c r="P202" s="901" t="str">
        <f t="shared" si="107"/>
        <v/>
      </c>
      <c r="Q202" s="568" t="str">
        <f t="shared" si="91"/>
        <v/>
      </c>
      <c r="R202" s="902" t="str">
        <f t="shared" si="108"/>
        <v/>
      </c>
      <c r="S202" s="903">
        <f t="shared" si="92"/>
        <v>0</v>
      </c>
      <c r="T202" s="334"/>
      <c r="X202" s="887" t="str">
        <f t="shared" si="93"/>
        <v/>
      </c>
      <c r="Y202" s="904">
        <f t="shared" si="94"/>
        <v>0.6</v>
      </c>
      <c r="Z202" s="905" t="e">
        <f t="shared" si="109"/>
        <v>#VALUE!</v>
      </c>
      <c r="AA202" s="905" t="e">
        <f t="shared" si="110"/>
        <v>#VALUE!</v>
      </c>
      <c r="AB202" s="905" t="e">
        <f t="shared" si="111"/>
        <v>#VALUE!</v>
      </c>
      <c r="AC202" s="906" t="e">
        <f t="shared" si="95"/>
        <v>#VALUE!</v>
      </c>
      <c r="AD202" s="907">
        <f t="shared" si="96"/>
        <v>0</v>
      </c>
      <c r="AE202" s="904">
        <f>IF(H202&gt;8,tab!C$194,tab!C$197)</f>
        <v>0.5</v>
      </c>
      <c r="AF202" s="907">
        <f t="shared" si="97"/>
        <v>0</v>
      </c>
      <c r="AG202" s="887">
        <f t="shared" si="98"/>
        <v>0</v>
      </c>
      <c r="AH202" s="908" t="e">
        <f t="shared" si="99"/>
        <v>#VALUE!</v>
      </c>
      <c r="AI202" s="815" t="e">
        <f t="shared" si="100"/>
        <v>#VALUE!</v>
      </c>
      <c r="AJ202" s="540">
        <f t="shared" si="101"/>
        <v>30</v>
      </c>
      <c r="AK202" s="540">
        <f t="shared" si="102"/>
        <v>30</v>
      </c>
      <c r="AL202" s="909">
        <f t="shared" si="103"/>
        <v>0</v>
      </c>
      <c r="AN202" s="539">
        <f t="shared" si="104"/>
        <v>0</v>
      </c>
      <c r="AR202" s="941"/>
      <c r="AT202" s="317"/>
      <c r="AU202" s="317"/>
    </row>
    <row r="203" spans="3:47" ht="13.15" customHeight="1" x14ac:dyDescent="0.2">
      <c r="C203" s="381"/>
      <c r="D203" s="895" t="str">
        <f>IF(op!D91=0,"",op!D91)</f>
        <v/>
      </c>
      <c r="E203" s="895" t="str">
        <f>IF(op!E91=0,"",op!E91)</f>
        <v/>
      </c>
      <c r="F203" s="390" t="str">
        <f>IF(op!F91="","",op!F91+1)</f>
        <v/>
      </c>
      <c r="G203" s="896" t="str">
        <f>IF(op!G91=0,"",op!G91)</f>
        <v/>
      </c>
      <c r="H203" s="390" t="str">
        <f>IF(op!H91="","",op!H91)</f>
        <v/>
      </c>
      <c r="I203" s="897" t="str">
        <f t="shared" si="90"/>
        <v/>
      </c>
      <c r="J203" s="898" t="str">
        <f>IF(op!J91="","",op!J91)</f>
        <v/>
      </c>
      <c r="K203" s="334"/>
      <c r="L203" s="1140" t="str">
        <f>IF(op!L91="","",op!L91)</f>
        <v/>
      </c>
      <c r="M203" s="1140" t="str">
        <f>IF(op!M91="","",op!M91)</f>
        <v/>
      </c>
      <c r="N203" s="899" t="str">
        <f t="shared" si="105"/>
        <v/>
      </c>
      <c r="O203" s="900" t="str">
        <f t="shared" si="106"/>
        <v/>
      </c>
      <c r="P203" s="901" t="str">
        <f t="shared" si="107"/>
        <v/>
      </c>
      <c r="Q203" s="568" t="str">
        <f t="shared" si="91"/>
        <v/>
      </c>
      <c r="R203" s="902" t="str">
        <f t="shared" si="108"/>
        <v/>
      </c>
      <c r="S203" s="903">
        <f t="shared" si="92"/>
        <v>0</v>
      </c>
      <c r="T203" s="334"/>
      <c r="X203" s="887" t="str">
        <f t="shared" si="93"/>
        <v/>
      </c>
      <c r="Y203" s="904">
        <f t="shared" si="94"/>
        <v>0.6</v>
      </c>
      <c r="Z203" s="905" t="e">
        <f t="shared" si="109"/>
        <v>#VALUE!</v>
      </c>
      <c r="AA203" s="905" t="e">
        <f t="shared" si="110"/>
        <v>#VALUE!</v>
      </c>
      <c r="AB203" s="905" t="e">
        <f t="shared" si="111"/>
        <v>#VALUE!</v>
      </c>
      <c r="AC203" s="906" t="e">
        <f t="shared" si="95"/>
        <v>#VALUE!</v>
      </c>
      <c r="AD203" s="907">
        <f t="shared" si="96"/>
        <v>0</v>
      </c>
      <c r="AE203" s="904">
        <f>IF(H203&gt;8,tab!C$194,tab!C$197)</f>
        <v>0.5</v>
      </c>
      <c r="AF203" s="907">
        <f t="shared" si="97"/>
        <v>0</v>
      </c>
      <c r="AG203" s="887">
        <f t="shared" si="98"/>
        <v>0</v>
      </c>
      <c r="AH203" s="908" t="e">
        <f t="shared" si="99"/>
        <v>#VALUE!</v>
      </c>
      <c r="AI203" s="815" t="e">
        <f t="shared" si="100"/>
        <v>#VALUE!</v>
      </c>
      <c r="AJ203" s="540">
        <f t="shared" si="101"/>
        <v>30</v>
      </c>
      <c r="AK203" s="540">
        <f t="shared" si="102"/>
        <v>30</v>
      </c>
      <c r="AL203" s="909">
        <f t="shared" si="103"/>
        <v>0</v>
      </c>
      <c r="AN203" s="539">
        <f t="shared" si="104"/>
        <v>0</v>
      </c>
      <c r="AR203" s="941"/>
      <c r="AT203" s="317"/>
      <c r="AU203" s="317"/>
    </row>
    <row r="204" spans="3:47" ht="13.15" customHeight="1" x14ac:dyDescent="0.2">
      <c r="C204" s="381"/>
      <c r="D204" s="895" t="str">
        <f>IF(op!D92=0,"",op!D92)</f>
        <v/>
      </c>
      <c r="E204" s="895" t="str">
        <f>IF(op!E92=0,"",op!E92)</f>
        <v/>
      </c>
      <c r="F204" s="390" t="str">
        <f>IF(op!F92="","",op!F92+1)</f>
        <v/>
      </c>
      <c r="G204" s="896" t="str">
        <f>IF(op!G92=0,"",op!G92)</f>
        <v/>
      </c>
      <c r="H204" s="390" t="str">
        <f>IF(op!H92="","",op!H92)</f>
        <v/>
      </c>
      <c r="I204" s="897" t="str">
        <f t="shared" si="90"/>
        <v/>
      </c>
      <c r="J204" s="898" t="str">
        <f>IF(op!J92="","",op!J92)</f>
        <v/>
      </c>
      <c r="K204" s="334"/>
      <c r="L204" s="1140" t="str">
        <f>IF(op!L92="","",op!L92)</f>
        <v/>
      </c>
      <c r="M204" s="1140" t="str">
        <f>IF(op!M92="","",op!M92)</f>
        <v/>
      </c>
      <c r="N204" s="899" t="str">
        <f t="shared" si="105"/>
        <v/>
      </c>
      <c r="O204" s="900" t="str">
        <f t="shared" si="106"/>
        <v/>
      </c>
      <c r="P204" s="901" t="str">
        <f t="shared" si="107"/>
        <v/>
      </c>
      <c r="Q204" s="568" t="str">
        <f t="shared" si="91"/>
        <v/>
      </c>
      <c r="R204" s="902" t="str">
        <f t="shared" si="108"/>
        <v/>
      </c>
      <c r="S204" s="903">
        <f t="shared" si="92"/>
        <v>0</v>
      </c>
      <c r="T204" s="334"/>
      <c r="X204" s="887" t="str">
        <f t="shared" si="93"/>
        <v/>
      </c>
      <c r="Y204" s="904">
        <f t="shared" si="94"/>
        <v>0.6</v>
      </c>
      <c r="Z204" s="905" t="e">
        <f t="shared" si="109"/>
        <v>#VALUE!</v>
      </c>
      <c r="AA204" s="905" t="e">
        <f t="shared" si="110"/>
        <v>#VALUE!</v>
      </c>
      <c r="AB204" s="905" t="e">
        <f t="shared" si="111"/>
        <v>#VALUE!</v>
      </c>
      <c r="AC204" s="906" t="e">
        <f t="shared" si="95"/>
        <v>#VALUE!</v>
      </c>
      <c r="AD204" s="907">
        <f t="shared" si="96"/>
        <v>0</v>
      </c>
      <c r="AE204" s="904">
        <f>IF(H204&gt;8,tab!C$194,tab!C$197)</f>
        <v>0.5</v>
      </c>
      <c r="AF204" s="907">
        <f t="shared" si="97"/>
        <v>0</v>
      </c>
      <c r="AG204" s="887">
        <f t="shared" si="98"/>
        <v>0</v>
      </c>
      <c r="AH204" s="908" t="e">
        <f t="shared" si="99"/>
        <v>#VALUE!</v>
      </c>
      <c r="AI204" s="815" t="e">
        <f t="shared" si="100"/>
        <v>#VALUE!</v>
      </c>
      <c r="AJ204" s="540">
        <f t="shared" si="101"/>
        <v>30</v>
      </c>
      <c r="AK204" s="540">
        <f t="shared" si="102"/>
        <v>30</v>
      </c>
      <c r="AL204" s="909">
        <f t="shared" si="103"/>
        <v>0</v>
      </c>
      <c r="AN204" s="539">
        <f t="shared" si="104"/>
        <v>0</v>
      </c>
      <c r="AR204" s="941"/>
      <c r="AT204" s="317"/>
      <c r="AU204" s="317"/>
    </row>
    <row r="205" spans="3:47" ht="13.15" customHeight="1" x14ac:dyDescent="0.2">
      <c r="C205" s="381"/>
      <c r="D205" s="895" t="str">
        <f>IF(op!D93=0,"",op!D93)</f>
        <v/>
      </c>
      <c r="E205" s="895" t="str">
        <f>IF(op!E93=0,"",op!E93)</f>
        <v/>
      </c>
      <c r="F205" s="390" t="str">
        <f>IF(op!F93="","",op!F93+1)</f>
        <v/>
      </c>
      <c r="G205" s="896" t="str">
        <f>IF(op!G93=0,"",op!G93)</f>
        <v/>
      </c>
      <c r="H205" s="390" t="str">
        <f>IF(op!H93="","",op!H93)</f>
        <v/>
      </c>
      <c r="I205" s="897" t="str">
        <f t="shared" si="90"/>
        <v/>
      </c>
      <c r="J205" s="898" t="str">
        <f>IF(op!J93="","",op!J93)</f>
        <v/>
      </c>
      <c r="K205" s="334"/>
      <c r="L205" s="1140" t="str">
        <f>IF(op!L93="","",op!L93)</f>
        <v/>
      </c>
      <c r="M205" s="1140" t="str">
        <f>IF(op!M93="","",op!M93)</f>
        <v/>
      </c>
      <c r="N205" s="899" t="str">
        <f t="shared" si="105"/>
        <v/>
      </c>
      <c r="O205" s="900" t="str">
        <f t="shared" si="106"/>
        <v/>
      </c>
      <c r="P205" s="901" t="str">
        <f t="shared" si="107"/>
        <v/>
      </c>
      <c r="Q205" s="568" t="str">
        <f t="shared" si="91"/>
        <v/>
      </c>
      <c r="R205" s="902" t="str">
        <f t="shared" si="108"/>
        <v/>
      </c>
      <c r="S205" s="903">
        <f t="shared" si="92"/>
        <v>0</v>
      </c>
      <c r="T205" s="334"/>
      <c r="X205" s="887" t="str">
        <f t="shared" si="93"/>
        <v/>
      </c>
      <c r="Y205" s="904">
        <f t="shared" si="94"/>
        <v>0.6</v>
      </c>
      <c r="Z205" s="905" t="e">
        <f t="shared" si="109"/>
        <v>#VALUE!</v>
      </c>
      <c r="AA205" s="905" t="e">
        <f t="shared" si="110"/>
        <v>#VALUE!</v>
      </c>
      <c r="AB205" s="905" t="e">
        <f t="shared" si="111"/>
        <v>#VALUE!</v>
      </c>
      <c r="AC205" s="906" t="e">
        <f t="shared" si="95"/>
        <v>#VALUE!</v>
      </c>
      <c r="AD205" s="907">
        <f t="shared" si="96"/>
        <v>0</v>
      </c>
      <c r="AE205" s="904">
        <f>IF(H205&gt;8,tab!C$194,tab!C$197)</f>
        <v>0.5</v>
      </c>
      <c r="AF205" s="907">
        <f t="shared" si="97"/>
        <v>0</v>
      </c>
      <c r="AG205" s="887">
        <f t="shared" si="98"/>
        <v>0</v>
      </c>
      <c r="AH205" s="908" t="e">
        <f t="shared" si="99"/>
        <v>#VALUE!</v>
      </c>
      <c r="AI205" s="815" t="e">
        <f t="shared" si="100"/>
        <v>#VALUE!</v>
      </c>
      <c r="AJ205" s="540">
        <f t="shared" si="101"/>
        <v>30</v>
      </c>
      <c r="AK205" s="540">
        <f t="shared" si="102"/>
        <v>30</v>
      </c>
      <c r="AL205" s="909">
        <f t="shared" si="103"/>
        <v>0</v>
      </c>
      <c r="AN205" s="539">
        <f t="shared" si="104"/>
        <v>0</v>
      </c>
      <c r="AR205" s="941"/>
      <c r="AT205" s="317"/>
      <c r="AU205" s="317"/>
    </row>
    <row r="206" spans="3:47" ht="13.15" customHeight="1" x14ac:dyDescent="0.2">
      <c r="C206" s="381"/>
      <c r="D206" s="895" t="str">
        <f>IF(op!D94=0,"",op!D94)</f>
        <v/>
      </c>
      <c r="E206" s="895" t="str">
        <f>IF(op!E94=0,"",op!E94)</f>
        <v/>
      </c>
      <c r="F206" s="390" t="str">
        <f>IF(op!F94="","",op!F94+1)</f>
        <v/>
      </c>
      <c r="G206" s="896" t="str">
        <f>IF(op!G94=0,"",op!G94)</f>
        <v/>
      </c>
      <c r="H206" s="390" t="str">
        <f>IF(op!H94="","",op!H94)</f>
        <v/>
      </c>
      <c r="I206" s="897" t="str">
        <f t="shared" si="90"/>
        <v/>
      </c>
      <c r="J206" s="898" t="str">
        <f>IF(op!J94="","",op!J94)</f>
        <v/>
      </c>
      <c r="K206" s="334"/>
      <c r="L206" s="1140" t="str">
        <f>IF(op!L94="","",op!L94)</f>
        <v/>
      </c>
      <c r="M206" s="1140" t="str">
        <f>IF(op!M94="","",op!M94)</f>
        <v/>
      </c>
      <c r="N206" s="899" t="str">
        <f t="shared" si="105"/>
        <v/>
      </c>
      <c r="O206" s="900" t="str">
        <f t="shared" si="106"/>
        <v/>
      </c>
      <c r="P206" s="901" t="str">
        <f t="shared" si="107"/>
        <v/>
      </c>
      <c r="Q206" s="568" t="str">
        <f t="shared" si="91"/>
        <v/>
      </c>
      <c r="R206" s="902" t="str">
        <f t="shared" si="108"/>
        <v/>
      </c>
      <c r="S206" s="903">
        <f t="shared" si="92"/>
        <v>0</v>
      </c>
      <c r="T206" s="334"/>
      <c r="X206" s="887" t="str">
        <f t="shared" si="93"/>
        <v/>
      </c>
      <c r="Y206" s="904">
        <f t="shared" si="94"/>
        <v>0.6</v>
      </c>
      <c r="Z206" s="905" t="e">
        <f t="shared" si="109"/>
        <v>#VALUE!</v>
      </c>
      <c r="AA206" s="905" t="e">
        <f t="shared" si="110"/>
        <v>#VALUE!</v>
      </c>
      <c r="AB206" s="905" t="e">
        <f t="shared" si="111"/>
        <v>#VALUE!</v>
      </c>
      <c r="AC206" s="906" t="e">
        <f t="shared" si="95"/>
        <v>#VALUE!</v>
      </c>
      <c r="AD206" s="907">
        <f t="shared" si="96"/>
        <v>0</v>
      </c>
      <c r="AE206" s="904">
        <f>IF(H206&gt;8,tab!C$194,tab!C$197)</f>
        <v>0.5</v>
      </c>
      <c r="AF206" s="907">
        <f t="shared" si="97"/>
        <v>0</v>
      </c>
      <c r="AG206" s="887">
        <f t="shared" si="98"/>
        <v>0</v>
      </c>
      <c r="AH206" s="908" t="e">
        <f t="shared" si="99"/>
        <v>#VALUE!</v>
      </c>
      <c r="AI206" s="815" t="e">
        <f t="shared" si="100"/>
        <v>#VALUE!</v>
      </c>
      <c r="AJ206" s="540">
        <f t="shared" si="101"/>
        <v>30</v>
      </c>
      <c r="AK206" s="540">
        <f t="shared" si="102"/>
        <v>30</v>
      </c>
      <c r="AL206" s="909">
        <f t="shared" si="103"/>
        <v>0</v>
      </c>
      <c r="AN206" s="539">
        <f t="shared" si="104"/>
        <v>0</v>
      </c>
      <c r="AR206" s="941"/>
      <c r="AT206" s="317"/>
      <c r="AU206" s="317"/>
    </row>
    <row r="207" spans="3:47" ht="13.15" customHeight="1" x14ac:dyDescent="0.2">
      <c r="C207" s="381"/>
      <c r="D207" s="895" t="str">
        <f>IF(op!D95=0,"",op!D95)</f>
        <v/>
      </c>
      <c r="E207" s="895" t="str">
        <f>IF(op!E95=0,"",op!E95)</f>
        <v/>
      </c>
      <c r="F207" s="390" t="str">
        <f>IF(op!F95="","",op!F95+1)</f>
        <v/>
      </c>
      <c r="G207" s="896" t="str">
        <f>IF(op!G95=0,"",op!G95)</f>
        <v/>
      </c>
      <c r="H207" s="390" t="str">
        <f>IF(op!H95="","",op!H95)</f>
        <v/>
      </c>
      <c r="I207" s="897" t="str">
        <f t="shared" si="90"/>
        <v/>
      </c>
      <c r="J207" s="898" t="str">
        <f>IF(op!J95="","",op!J95)</f>
        <v/>
      </c>
      <c r="K207" s="334"/>
      <c r="L207" s="1140" t="str">
        <f>IF(op!L95="","",op!L95)</f>
        <v/>
      </c>
      <c r="M207" s="1140" t="str">
        <f>IF(op!M95="","",op!M95)</f>
        <v/>
      </c>
      <c r="N207" s="899" t="str">
        <f t="shared" si="105"/>
        <v/>
      </c>
      <c r="O207" s="900" t="str">
        <f t="shared" si="106"/>
        <v/>
      </c>
      <c r="P207" s="901" t="str">
        <f t="shared" si="107"/>
        <v/>
      </c>
      <c r="Q207" s="568" t="str">
        <f t="shared" si="91"/>
        <v/>
      </c>
      <c r="R207" s="902" t="str">
        <f t="shared" si="108"/>
        <v/>
      </c>
      <c r="S207" s="903">
        <f t="shared" si="92"/>
        <v>0</v>
      </c>
      <c r="T207" s="334"/>
      <c r="X207" s="887" t="str">
        <f t="shared" si="93"/>
        <v/>
      </c>
      <c r="Y207" s="904">
        <f t="shared" si="94"/>
        <v>0.6</v>
      </c>
      <c r="Z207" s="905" t="e">
        <f t="shared" si="109"/>
        <v>#VALUE!</v>
      </c>
      <c r="AA207" s="905" t="e">
        <f t="shared" si="110"/>
        <v>#VALUE!</v>
      </c>
      <c r="AB207" s="905" t="e">
        <f t="shared" si="111"/>
        <v>#VALUE!</v>
      </c>
      <c r="AC207" s="906" t="e">
        <f t="shared" si="95"/>
        <v>#VALUE!</v>
      </c>
      <c r="AD207" s="907">
        <f t="shared" si="96"/>
        <v>0</v>
      </c>
      <c r="AE207" s="904">
        <f>IF(H207&gt;8,tab!C$194,tab!C$197)</f>
        <v>0.5</v>
      </c>
      <c r="AF207" s="907">
        <f t="shared" si="97"/>
        <v>0</v>
      </c>
      <c r="AG207" s="887">
        <f t="shared" si="98"/>
        <v>0</v>
      </c>
      <c r="AH207" s="908" t="e">
        <f t="shared" si="99"/>
        <v>#VALUE!</v>
      </c>
      <c r="AI207" s="815" t="e">
        <f t="shared" si="100"/>
        <v>#VALUE!</v>
      </c>
      <c r="AJ207" s="540">
        <f t="shared" si="101"/>
        <v>30</v>
      </c>
      <c r="AK207" s="540">
        <f t="shared" si="102"/>
        <v>30</v>
      </c>
      <c r="AL207" s="909">
        <f t="shared" si="103"/>
        <v>0</v>
      </c>
      <c r="AN207" s="539">
        <f t="shared" si="104"/>
        <v>0</v>
      </c>
      <c r="AR207" s="941"/>
      <c r="AT207" s="317"/>
      <c r="AU207" s="317"/>
    </row>
    <row r="208" spans="3:47" ht="13.15" customHeight="1" x14ac:dyDescent="0.2">
      <c r="C208" s="381"/>
      <c r="D208" s="895" t="str">
        <f>IF(op!D96=0,"",op!D96)</f>
        <v/>
      </c>
      <c r="E208" s="895" t="str">
        <f>IF(op!E96=0,"",op!E96)</f>
        <v/>
      </c>
      <c r="F208" s="390" t="str">
        <f>IF(op!F96="","",op!F96+1)</f>
        <v/>
      </c>
      <c r="G208" s="896" t="str">
        <f>IF(op!G96=0,"",op!G96)</f>
        <v/>
      </c>
      <c r="H208" s="390" t="str">
        <f>IF(op!H96="","",op!H96)</f>
        <v/>
      </c>
      <c r="I208" s="897" t="str">
        <f t="shared" si="90"/>
        <v/>
      </c>
      <c r="J208" s="898" t="str">
        <f>IF(op!J96="","",op!J96)</f>
        <v/>
      </c>
      <c r="K208" s="334"/>
      <c r="L208" s="1140" t="str">
        <f>IF(op!L96="","",op!L96)</f>
        <v/>
      </c>
      <c r="M208" s="1140" t="str">
        <f>IF(op!M96="","",op!M96)</f>
        <v/>
      </c>
      <c r="N208" s="899" t="str">
        <f t="shared" si="105"/>
        <v/>
      </c>
      <c r="O208" s="900" t="str">
        <f t="shared" si="106"/>
        <v/>
      </c>
      <c r="P208" s="901" t="str">
        <f t="shared" si="107"/>
        <v/>
      </c>
      <c r="Q208" s="568" t="str">
        <f t="shared" si="91"/>
        <v/>
      </c>
      <c r="R208" s="902" t="str">
        <f t="shared" si="108"/>
        <v/>
      </c>
      <c r="S208" s="903">
        <f t="shared" si="92"/>
        <v>0</v>
      </c>
      <c r="T208" s="334"/>
      <c r="X208" s="887" t="str">
        <f t="shared" si="93"/>
        <v/>
      </c>
      <c r="Y208" s="904">
        <f t="shared" si="94"/>
        <v>0.6</v>
      </c>
      <c r="Z208" s="905" t="e">
        <f t="shared" si="109"/>
        <v>#VALUE!</v>
      </c>
      <c r="AA208" s="905" t="e">
        <f t="shared" si="110"/>
        <v>#VALUE!</v>
      </c>
      <c r="AB208" s="905" t="e">
        <f t="shared" si="111"/>
        <v>#VALUE!</v>
      </c>
      <c r="AC208" s="906" t="e">
        <f t="shared" si="95"/>
        <v>#VALUE!</v>
      </c>
      <c r="AD208" s="907">
        <f t="shared" si="96"/>
        <v>0</v>
      </c>
      <c r="AE208" s="904">
        <f>IF(H208&gt;8,tab!C$194,tab!C$197)</f>
        <v>0.5</v>
      </c>
      <c r="AF208" s="907">
        <f t="shared" si="97"/>
        <v>0</v>
      </c>
      <c r="AG208" s="887">
        <f t="shared" si="98"/>
        <v>0</v>
      </c>
      <c r="AH208" s="908" t="e">
        <f t="shared" si="99"/>
        <v>#VALUE!</v>
      </c>
      <c r="AI208" s="815" t="e">
        <f t="shared" si="100"/>
        <v>#VALUE!</v>
      </c>
      <c r="AJ208" s="540">
        <f t="shared" si="101"/>
        <v>30</v>
      </c>
      <c r="AK208" s="540">
        <f t="shared" si="102"/>
        <v>30</v>
      </c>
      <c r="AL208" s="909">
        <f t="shared" si="103"/>
        <v>0</v>
      </c>
      <c r="AN208" s="539">
        <f t="shared" si="104"/>
        <v>0</v>
      </c>
      <c r="AR208" s="941"/>
      <c r="AT208" s="317"/>
      <c r="AU208" s="317"/>
    </row>
    <row r="209" spans="3:47" ht="13.15" customHeight="1" x14ac:dyDescent="0.2">
      <c r="C209" s="381"/>
      <c r="D209" s="895" t="str">
        <f>IF(op!D97=0,"",op!D97)</f>
        <v/>
      </c>
      <c r="E209" s="895" t="str">
        <f>IF(op!E97=0,"",op!E97)</f>
        <v/>
      </c>
      <c r="F209" s="390" t="str">
        <f>IF(op!F97="","",op!F97+1)</f>
        <v/>
      </c>
      <c r="G209" s="896" t="str">
        <f>IF(op!G97=0,"",op!G97)</f>
        <v/>
      </c>
      <c r="H209" s="390" t="str">
        <f>IF(op!H97="","",op!H97)</f>
        <v/>
      </c>
      <c r="I209" s="897" t="str">
        <f t="shared" si="90"/>
        <v/>
      </c>
      <c r="J209" s="898" t="str">
        <f>IF(op!J97="","",op!J97)</f>
        <v/>
      </c>
      <c r="K209" s="334"/>
      <c r="L209" s="1140" t="str">
        <f>IF(op!L97="","",op!L97)</f>
        <v/>
      </c>
      <c r="M209" s="1140" t="str">
        <f>IF(op!M97="","",op!M97)</f>
        <v/>
      </c>
      <c r="N209" s="899" t="str">
        <f t="shared" si="105"/>
        <v/>
      </c>
      <c r="O209" s="900" t="str">
        <f t="shared" si="106"/>
        <v/>
      </c>
      <c r="P209" s="901" t="str">
        <f t="shared" si="107"/>
        <v/>
      </c>
      <c r="Q209" s="568" t="str">
        <f t="shared" si="91"/>
        <v/>
      </c>
      <c r="R209" s="902" t="str">
        <f t="shared" si="108"/>
        <v/>
      </c>
      <c r="S209" s="903">
        <f t="shared" si="92"/>
        <v>0</v>
      </c>
      <c r="T209" s="334"/>
      <c r="X209" s="887" t="str">
        <f t="shared" si="93"/>
        <v/>
      </c>
      <c r="Y209" s="904">
        <f t="shared" si="94"/>
        <v>0.6</v>
      </c>
      <c r="Z209" s="905" t="e">
        <f t="shared" si="109"/>
        <v>#VALUE!</v>
      </c>
      <c r="AA209" s="905" t="e">
        <f t="shared" si="110"/>
        <v>#VALUE!</v>
      </c>
      <c r="AB209" s="905" t="e">
        <f t="shared" si="111"/>
        <v>#VALUE!</v>
      </c>
      <c r="AC209" s="906" t="e">
        <f t="shared" si="95"/>
        <v>#VALUE!</v>
      </c>
      <c r="AD209" s="907">
        <f t="shared" si="96"/>
        <v>0</v>
      </c>
      <c r="AE209" s="904">
        <f>IF(H209&gt;8,tab!C$194,tab!C$197)</f>
        <v>0.5</v>
      </c>
      <c r="AF209" s="907">
        <f t="shared" si="97"/>
        <v>0</v>
      </c>
      <c r="AG209" s="887">
        <f t="shared" si="98"/>
        <v>0</v>
      </c>
      <c r="AH209" s="908" t="e">
        <f t="shared" si="99"/>
        <v>#VALUE!</v>
      </c>
      <c r="AI209" s="815" t="e">
        <f t="shared" si="100"/>
        <v>#VALUE!</v>
      </c>
      <c r="AJ209" s="540">
        <f t="shared" si="101"/>
        <v>30</v>
      </c>
      <c r="AK209" s="540">
        <f t="shared" si="102"/>
        <v>30</v>
      </c>
      <c r="AL209" s="909">
        <f t="shared" si="103"/>
        <v>0</v>
      </c>
      <c r="AN209" s="539">
        <f t="shared" si="104"/>
        <v>0</v>
      </c>
      <c r="AR209" s="941"/>
      <c r="AT209" s="317"/>
      <c r="AU209" s="317"/>
    </row>
    <row r="210" spans="3:47" ht="13.15" customHeight="1" x14ac:dyDescent="0.2">
      <c r="C210" s="381"/>
      <c r="D210" s="895" t="str">
        <f>IF(op!D98=0,"",op!D98)</f>
        <v/>
      </c>
      <c r="E210" s="895" t="str">
        <f>IF(op!E98=0,"",op!E98)</f>
        <v/>
      </c>
      <c r="F210" s="390" t="str">
        <f>IF(op!F98="","",op!F98+1)</f>
        <v/>
      </c>
      <c r="G210" s="896" t="str">
        <f>IF(op!G98=0,"",op!G98)</f>
        <v/>
      </c>
      <c r="H210" s="390" t="str">
        <f>IF(op!H98="","",op!H98)</f>
        <v/>
      </c>
      <c r="I210" s="897" t="str">
        <f t="shared" si="90"/>
        <v/>
      </c>
      <c r="J210" s="898" t="str">
        <f>IF(op!J98="","",op!J98)</f>
        <v/>
      </c>
      <c r="K210" s="334"/>
      <c r="L210" s="1140" t="str">
        <f>IF(op!L98="","",op!L98)</f>
        <v/>
      </c>
      <c r="M210" s="1140" t="str">
        <f>IF(op!M98="","",op!M98)</f>
        <v/>
      </c>
      <c r="N210" s="899" t="str">
        <f t="shared" si="105"/>
        <v/>
      </c>
      <c r="O210" s="900" t="str">
        <f t="shared" si="106"/>
        <v/>
      </c>
      <c r="P210" s="901" t="str">
        <f t="shared" si="107"/>
        <v/>
      </c>
      <c r="Q210" s="568" t="str">
        <f t="shared" si="91"/>
        <v/>
      </c>
      <c r="R210" s="902" t="str">
        <f t="shared" si="108"/>
        <v/>
      </c>
      <c r="S210" s="903">
        <f t="shared" si="92"/>
        <v>0</v>
      </c>
      <c r="T210" s="334"/>
      <c r="X210" s="887" t="str">
        <f t="shared" si="93"/>
        <v/>
      </c>
      <c r="Y210" s="904">
        <f t="shared" si="94"/>
        <v>0.6</v>
      </c>
      <c r="Z210" s="905" t="e">
        <f t="shared" si="109"/>
        <v>#VALUE!</v>
      </c>
      <c r="AA210" s="905" t="e">
        <f t="shared" si="110"/>
        <v>#VALUE!</v>
      </c>
      <c r="AB210" s="905" t="e">
        <f t="shared" si="111"/>
        <v>#VALUE!</v>
      </c>
      <c r="AC210" s="906" t="e">
        <f t="shared" si="95"/>
        <v>#VALUE!</v>
      </c>
      <c r="AD210" s="907">
        <f t="shared" si="96"/>
        <v>0</v>
      </c>
      <c r="AE210" s="904">
        <f>IF(H210&gt;8,tab!C$194,tab!C$197)</f>
        <v>0.5</v>
      </c>
      <c r="AF210" s="907">
        <f t="shared" si="97"/>
        <v>0</v>
      </c>
      <c r="AG210" s="887">
        <f t="shared" si="98"/>
        <v>0</v>
      </c>
      <c r="AH210" s="908" t="e">
        <f t="shared" si="99"/>
        <v>#VALUE!</v>
      </c>
      <c r="AI210" s="815" t="e">
        <f t="shared" si="100"/>
        <v>#VALUE!</v>
      </c>
      <c r="AJ210" s="540">
        <f t="shared" si="101"/>
        <v>30</v>
      </c>
      <c r="AK210" s="540">
        <f t="shared" si="102"/>
        <v>30</v>
      </c>
      <c r="AL210" s="909">
        <f t="shared" si="103"/>
        <v>0</v>
      </c>
      <c r="AN210" s="539">
        <f t="shared" si="104"/>
        <v>0</v>
      </c>
      <c r="AR210" s="941"/>
      <c r="AT210" s="317"/>
      <c r="AU210" s="317"/>
    </row>
    <row r="211" spans="3:47" ht="13.15" customHeight="1" x14ac:dyDescent="0.2">
      <c r="C211" s="381"/>
      <c r="D211" s="895" t="str">
        <f>IF(op!D99=0,"",op!D99)</f>
        <v/>
      </c>
      <c r="E211" s="895" t="str">
        <f>IF(op!E99=0,"",op!E99)</f>
        <v/>
      </c>
      <c r="F211" s="390" t="str">
        <f>IF(op!F99="","",op!F99+1)</f>
        <v/>
      </c>
      <c r="G211" s="896" t="str">
        <f>IF(op!G99=0,"",op!G99)</f>
        <v/>
      </c>
      <c r="H211" s="390" t="str">
        <f>IF(op!H99="","",op!H99)</f>
        <v/>
      </c>
      <c r="I211" s="897" t="str">
        <f t="shared" si="90"/>
        <v/>
      </c>
      <c r="J211" s="898" t="str">
        <f>IF(op!J99="","",op!J99)</f>
        <v/>
      </c>
      <c r="K211" s="334"/>
      <c r="L211" s="1140" t="str">
        <f>IF(op!L99="","",op!L99)</f>
        <v/>
      </c>
      <c r="M211" s="1140" t="str">
        <f>IF(op!M99="","",op!M99)</f>
        <v/>
      </c>
      <c r="N211" s="899" t="str">
        <f t="shared" si="105"/>
        <v/>
      </c>
      <c r="O211" s="900" t="str">
        <f t="shared" si="106"/>
        <v/>
      </c>
      <c r="P211" s="901" t="str">
        <f t="shared" si="107"/>
        <v/>
      </c>
      <c r="Q211" s="568" t="str">
        <f t="shared" si="91"/>
        <v/>
      </c>
      <c r="R211" s="902" t="str">
        <f t="shared" si="108"/>
        <v/>
      </c>
      <c r="S211" s="903">
        <f t="shared" si="92"/>
        <v>0</v>
      </c>
      <c r="T211" s="334"/>
      <c r="X211" s="887" t="str">
        <f t="shared" si="93"/>
        <v/>
      </c>
      <c r="Y211" s="904">
        <f t="shared" si="94"/>
        <v>0.6</v>
      </c>
      <c r="Z211" s="905" t="e">
        <f t="shared" si="109"/>
        <v>#VALUE!</v>
      </c>
      <c r="AA211" s="905" t="e">
        <f t="shared" si="110"/>
        <v>#VALUE!</v>
      </c>
      <c r="AB211" s="905" t="e">
        <f t="shared" si="111"/>
        <v>#VALUE!</v>
      </c>
      <c r="AC211" s="906" t="e">
        <f t="shared" si="95"/>
        <v>#VALUE!</v>
      </c>
      <c r="AD211" s="907">
        <f t="shared" si="96"/>
        <v>0</v>
      </c>
      <c r="AE211" s="904">
        <f>IF(H211&gt;8,tab!C$194,tab!C$197)</f>
        <v>0.5</v>
      </c>
      <c r="AF211" s="907">
        <f t="shared" si="97"/>
        <v>0</v>
      </c>
      <c r="AG211" s="887">
        <f t="shared" si="98"/>
        <v>0</v>
      </c>
      <c r="AH211" s="908" t="e">
        <f t="shared" si="99"/>
        <v>#VALUE!</v>
      </c>
      <c r="AI211" s="815" t="e">
        <f t="shared" si="100"/>
        <v>#VALUE!</v>
      </c>
      <c r="AJ211" s="540">
        <f t="shared" si="101"/>
        <v>30</v>
      </c>
      <c r="AK211" s="540">
        <f t="shared" si="102"/>
        <v>30</v>
      </c>
      <c r="AL211" s="909">
        <f t="shared" si="103"/>
        <v>0</v>
      </c>
      <c r="AN211" s="539">
        <f t="shared" si="104"/>
        <v>0</v>
      </c>
      <c r="AR211" s="941"/>
      <c r="AT211" s="317"/>
      <c r="AU211" s="317"/>
    </row>
    <row r="212" spans="3:47" ht="13.15" customHeight="1" x14ac:dyDescent="0.2">
      <c r="C212" s="381"/>
      <c r="D212" s="895" t="str">
        <f>IF(op!D100=0,"",op!D100)</f>
        <v/>
      </c>
      <c r="E212" s="895" t="str">
        <f>IF(op!E100=0,"",op!E100)</f>
        <v/>
      </c>
      <c r="F212" s="390" t="str">
        <f>IF(op!F100="","",op!F100+1)</f>
        <v/>
      </c>
      <c r="G212" s="896" t="str">
        <f>IF(op!G100=0,"",op!G100)</f>
        <v/>
      </c>
      <c r="H212" s="390" t="str">
        <f>IF(op!H100="","",op!H100)</f>
        <v/>
      </c>
      <c r="I212" s="897" t="str">
        <f t="shared" si="90"/>
        <v/>
      </c>
      <c r="J212" s="898" t="str">
        <f>IF(op!J100="","",op!J100)</f>
        <v/>
      </c>
      <c r="K212" s="334"/>
      <c r="L212" s="1140" t="str">
        <f>IF(op!L100="","",op!L100)</f>
        <v/>
      </c>
      <c r="M212" s="1140" t="str">
        <f>IF(op!M100="","",op!M100)</f>
        <v/>
      </c>
      <c r="N212" s="899" t="str">
        <f t="shared" si="105"/>
        <v/>
      </c>
      <c r="O212" s="900" t="str">
        <f t="shared" si="106"/>
        <v/>
      </c>
      <c r="P212" s="901" t="str">
        <f t="shared" si="107"/>
        <v/>
      </c>
      <c r="Q212" s="568" t="str">
        <f t="shared" si="91"/>
        <v/>
      </c>
      <c r="R212" s="902" t="str">
        <f t="shared" si="108"/>
        <v/>
      </c>
      <c r="S212" s="903">
        <f t="shared" si="92"/>
        <v>0</v>
      </c>
      <c r="T212" s="334"/>
      <c r="X212" s="887" t="str">
        <f t="shared" si="93"/>
        <v/>
      </c>
      <c r="Y212" s="904">
        <f t="shared" si="94"/>
        <v>0.6</v>
      </c>
      <c r="Z212" s="905" t="e">
        <f t="shared" si="109"/>
        <v>#VALUE!</v>
      </c>
      <c r="AA212" s="905" t="e">
        <f t="shared" si="110"/>
        <v>#VALUE!</v>
      </c>
      <c r="AB212" s="905" t="e">
        <f t="shared" si="111"/>
        <v>#VALUE!</v>
      </c>
      <c r="AC212" s="906" t="e">
        <f t="shared" si="95"/>
        <v>#VALUE!</v>
      </c>
      <c r="AD212" s="907">
        <f t="shared" si="96"/>
        <v>0</v>
      </c>
      <c r="AE212" s="904">
        <f>IF(H212&gt;8,tab!C$194,tab!C$197)</f>
        <v>0.5</v>
      </c>
      <c r="AF212" s="907">
        <f t="shared" si="97"/>
        <v>0</v>
      </c>
      <c r="AG212" s="887">
        <f t="shared" si="98"/>
        <v>0</v>
      </c>
      <c r="AH212" s="908" t="e">
        <f t="shared" si="99"/>
        <v>#VALUE!</v>
      </c>
      <c r="AI212" s="815" t="e">
        <f t="shared" si="100"/>
        <v>#VALUE!</v>
      </c>
      <c r="AJ212" s="540">
        <f t="shared" si="101"/>
        <v>30</v>
      </c>
      <c r="AK212" s="540">
        <f t="shared" si="102"/>
        <v>30</v>
      </c>
      <c r="AL212" s="909">
        <f t="shared" si="103"/>
        <v>0</v>
      </c>
      <c r="AN212" s="539">
        <f t="shared" si="104"/>
        <v>0</v>
      </c>
      <c r="AR212" s="941"/>
      <c r="AT212" s="317"/>
      <c r="AU212" s="317"/>
    </row>
    <row r="213" spans="3:47" ht="13.15" customHeight="1" x14ac:dyDescent="0.2">
      <c r="C213" s="381"/>
      <c r="D213" s="895" t="str">
        <f>IF(op!D101=0,"",op!D101)</f>
        <v/>
      </c>
      <c r="E213" s="895" t="str">
        <f>IF(op!E101=0,"",op!E101)</f>
        <v/>
      </c>
      <c r="F213" s="390" t="str">
        <f>IF(op!F101="","",op!F101+1)</f>
        <v/>
      </c>
      <c r="G213" s="896" t="str">
        <f>IF(op!G101=0,"",op!G101)</f>
        <v/>
      </c>
      <c r="H213" s="390" t="str">
        <f>IF(op!H101="","",op!H101)</f>
        <v/>
      </c>
      <c r="I213" s="897" t="str">
        <f t="shared" si="90"/>
        <v/>
      </c>
      <c r="J213" s="898" t="str">
        <f>IF(op!J101="","",op!J101)</f>
        <v/>
      </c>
      <c r="K213" s="334"/>
      <c r="L213" s="1140" t="str">
        <f>IF(op!L101="","",op!L101)</f>
        <v/>
      </c>
      <c r="M213" s="1140" t="str">
        <f>IF(op!M101="","",op!M101)</f>
        <v/>
      </c>
      <c r="N213" s="899" t="str">
        <f t="shared" si="105"/>
        <v/>
      </c>
      <c r="O213" s="900" t="str">
        <f t="shared" si="106"/>
        <v/>
      </c>
      <c r="P213" s="901" t="str">
        <f t="shared" si="107"/>
        <v/>
      </c>
      <c r="Q213" s="568" t="str">
        <f t="shared" si="91"/>
        <v/>
      </c>
      <c r="R213" s="902" t="str">
        <f t="shared" si="108"/>
        <v/>
      </c>
      <c r="S213" s="903">
        <f t="shared" si="92"/>
        <v>0</v>
      </c>
      <c r="T213" s="334"/>
      <c r="X213" s="887" t="str">
        <f t="shared" si="93"/>
        <v/>
      </c>
      <c r="Y213" s="904">
        <f t="shared" si="94"/>
        <v>0.6</v>
      </c>
      <c r="Z213" s="905" t="e">
        <f t="shared" si="109"/>
        <v>#VALUE!</v>
      </c>
      <c r="AA213" s="905" t="e">
        <f t="shared" si="110"/>
        <v>#VALUE!</v>
      </c>
      <c r="AB213" s="905" t="e">
        <f t="shared" si="111"/>
        <v>#VALUE!</v>
      </c>
      <c r="AC213" s="906" t="e">
        <f t="shared" si="95"/>
        <v>#VALUE!</v>
      </c>
      <c r="AD213" s="907">
        <f t="shared" si="96"/>
        <v>0</v>
      </c>
      <c r="AE213" s="904">
        <f>IF(H213&gt;8,tab!C$194,tab!C$197)</f>
        <v>0.5</v>
      </c>
      <c r="AF213" s="907">
        <f t="shared" si="97"/>
        <v>0</v>
      </c>
      <c r="AG213" s="887">
        <f t="shared" si="98"/>
        <v>0</v>
      </c>
      <c r="AH213" s="908" t="e">
        <f t="shared" si="99"/>
        <v>#VALUE!</v>
      </c>
      <c r="AI213" s="815" t="e">
        <f t="shared" si="100"/>
        <v>#VALUE!</v>
      </c>
      <c r="AJ213" s="540">
        <f t="shared" si="101"/>
        <v>30</v>
      </c>
      <c r="AK213" s="540">
        <f t="shared" si="102"/>
        <v>30</v>
      </c>
      <c r="AL213" s="909">
        <f t="shared" si="103"/>
        <v>0</v>
      </c>
      <c r="AN213" s="539">
        <f t="shared" si="104"/>
        <v>0</v>
      </c>
      <c r="AR213" s="941"/>
      <c r="AT213" s="317"/>
      <c r="AU213" s="317"/>
    </row>
    <row r="214" spans="3:47" ht="13.15" customHeight="1" x14ac:dyDescent="0.2">
      <c r="C214" s="381"/>
      <c r="D214" s="895" t="str">
        <f>IF(op!D102=0,"",op!D102)</f>
        <v/>
      </c>
      <c r="E214" s="895" t="str">
        <f>IF(op!E102=0,"",op!E102)</f>
        <v/>
      </c>
      <c r="F214" s="390" t="str">
        <f>IF(op!F102="","",op!F102+1)</f>
        <v/>
      </c>
      <c r="G214" s="896" t="str">
        <f>IF(op!G102=0,"",op!G102)</f>
        <v/>
      </c>
      <c r="H214" s="390" t="str">
        <f>IF(op!H102="","",op!H102)</f>
        <v/>
      </c>
      <c r="I214" s="897" t="str">
        <f t="shared" si="90"/>
        <v/>
      </c>
      <c r="J214" s="898" t="str">
        <f>IF(op!J102="","",op!J102)</f>
        <v/>
      </c>
      <c r="K214" s="334"/>
      <c r="L214" s="1140" t="str">
        <f>IF(op!L102="","",op!L102)</f>
        <v/>
      </c>
      <c r="M214" s="1140" t="str">
        <f>IF(op!M102="","",op!M102)</f>
        <v/>
      </c>
      <c r="N214" s="899" t="str">
        <f t="shared" si="105"/>
        <v/>
      </c>
      <c r="O214" s="900" t="str">
        <f t="shared" si="106"/>
        <v/>
      </c>
      <c r="P214" s="901" t="str">
        <f t="shared" si="107"/>
        <v/>
      </c>
      <c r="Q214" s="568" t="str">
        <f t="shared" si="91"/>
        <v/>
      </c>
      <c r="R214" s="902" t="str">
        <f t="shared" si="108"/>
        <v/>
      </c>
      <c r="S214" s="903">
        <f t="shared" si="92"/>
        <v>0</v>
      </c>
      <c r="T214" s="334"/>
      <c r="X214" s="887" t="str">
        <f t="shared" si="93"/>
        <v/>
      </c>
      <c r="Y214" s="904">
        <f t="shared" si="94"/>
        <v>0.6</v>
      </c>
      <c r="Z214" s="905" t="e">
        <f t="shared" si="109"/>
        <v>#VALUE!</v>
      </c>
      <c r="AA214" s="905" t="e">
        <f t="shared" si="110"/>
        <v>#VALUE!</v>
      </c>
      <c r="AB214" s="905" t="e">
        <f t="shared" si="111"/>
        <v>#VALUE!</v>
      </c>
      <c r="AC214" s="906" t="e">
        <f t="shared" si="95"/>
        <v>#VALUE!</v>
      </c>
      <c r="AD214" s="907">
        <f t="shared" si="96"/>
        <v>0</v>
      </c>
      <c r="AE214" s="904">
        <f>IF(H214&gt;8,tab!C$194,tab!C$197)</f>
        <v>0.5</v>
      </c>
      <c r="AF214" s="907">
        <f t="shared" si="97"/>
        <v>0</v>
      </c>
      <c r="AG214" s="887">
        <f t="shared" si="98"/>
        <v>0</v>
      </c>
      <c r="AH214" s="908" t="e">
        <f t="shared" si="99"/>
        <v>#VALUE!</v>
      </c>
      <c r="AI214" s="815" t="e">
        <f t="shared" si="100"/>
        <v>#VALUE!</v>
      </c>
      <c r="AJ214" s="540">
        <f t="shared" si="101"/>
        <v>30</v>
      </c>
      <c r="AK214" s="540">
        <f t="shared" si="102"/>
        <v>30</v>
      </c>
      <c r="AL214" s="909">
        <f t="shared" si="103"/>
        <v>0</v>
      </c>
      <c r="AN214" s="539">
        <f t="shared" si="104"/>
        <v>0</v>
      </c>
      <c r="AR214" s="941"/>
      <c r="AT214" s="317"/>
      <c r="AU214" s="317"/>
    </row>
    <row r="215" spans="3:47" ht="13.15" customHeight="1" x14ac:dyDescent="0.2">
      <c r="C215" s="381"/>
      <c r="D215" s="895" t="str">
        <f>IF(op!D103=0,"",op!D103)</f>
        <v/>
      </c>
      <c r="E215" s="895" t="str">
        <f>IF(op!E103=0,"",op!E103)</f>
        <v/>
      </c>
      <c r="F215" s="390" t="str">
        <f>IF(op!F103="","",op!F103+1)</f>
        <v/>
      </c>
      <c r="G215" s="896" t="str">
        <f>IF(op!G103=0,"",op!G103)</f>
        <v/>
      </c>
      <c r="H215" s="390" t="str">
        <f>IF(op!H103="","",op!H103)</f>
        <v/>
      </c>
      <c r="I215" s="897" t="str">
        <f t="shared" si="90"/>
        <v/>
      </c>
      <c r="J215" s="898" t="str">
        <f>IF(op!J103="","",op!J103)</f>
        <v/>
      </c>
      <c r="K215" s="334"/>
      <c r="L215" s="1140" t="str">
        <f>IF(op!L103="","",op!L103)</f>
        <v/>
      </c>
      <c r="M215" s="1140" t="str">
        <f>IF(op!M103="","",op!M103)</f>
        <v/>
      </c>
      <c r="N215" s="899" t="str">
        <f t="shared" si="105"/>
        <v/>
      </c>
      <c r="O215" s="900" t="str">
        <f t="shared" si="106"/>
        <v/>
      </c>
      <c r="P215" s="901" t="str">
        <f t="shared" si="107"/>
        <v/>
      </c>
      <c r="Q215" s="568" t="str">
        <f t="shared" si="91"/>
        <v/>
      </c>
      <c r="R215" s="902" t="str">
        <f t="shared" si="108"/>
        <v/>
      </c>
      <c r="S215" s="903">
        <f t="shared" si="92"/>
        <v>0</v>
      </c>
      <c r="T215" s="334"/>
      <c r="X215" s="887" t="str">
        <f t="shared" si="93"/>
        <v/>
      </c>
      <c r="Y215" s="904">
        <f t="shared" si="94"/>
        <v>0.6</v>
      </c>
      <c r="Z215" s="905" t="e">
        <f t="shared" si="109"/>
        <v>#VALUE!</v>
      </c>
      <c r="AA215" s="905" t="e">
        <f t="shared" si="110"/>
        <v>#VALUE!</v>
      </c>
      <c r="AB215" s="905" t="e">
        <f t="shared" si="111"/>
        <v>#VALUE!</v>
      </c>
      <c r="AC215" s="906" t="e">
        <f t="shared" si="95"/>
        <v>#VALUE!</v>
      </c>
      <c r="AD215" s="907">
        <f t="shared" si="96"/>
        <v>0</v>
      </c>
      <c r="AE215" s="904">
        <f>IF(H215&gt;8,tab!C$194,tab!C$197)</f>
        <v>0.5</v>
      </c>
      <c r="AF215" s="907">
        <f t="shared" si="97"/>
        <v>0</v>
      </c>
      <c r="AG215" s="887">
        <f t="shared" si="98"/>
        <v>0</v>
      </c>
      <c r="AH215" s="908" t="e">
        <f t="shared" si="99"/>
        <v>#VALUE!</v>
      </c>
      <c r="AI215" s="815" t="e">
        <f t="shared" si="100"/>
        <v>#VALUE!</v>
      </c>
      <c r="AJ215" s="540">
        <f t="shared" si="101"/>
        <v>30</v>
      </c>
      <c r="AK215" s="540">
        <f t="shared" si="102"/>
        <v>30</v>
      </c>
      <c r="AL215" s="909">
        <f t="shared" si="103"/>
        <v>0</v>
      </c>
      <c r="AN215" s="539">
        <f t="shared" si="104"/>
        <v>0</v>
      </c>
      <c r="AR215" s="941"/>
      <c r="AT215" s="317"/>
      <c r="AU215" s="317"/>
    </row>
    <row r="216" spans="3:47" ht="13.15" customHeight="1" x14ac:dyDescent="0.2">
      <c r="C216" s="381"/>
      <c r="D216" s="895" t="str">
        <f>IF(op!D104=0,"",op!D104)</f>
        <v/>
      </c>
      <c r="E216" s="895" t="str">
        <f>IF(op!E104=0,"",op!E104)</f>
        <v/>
      </c>
      <c r="F216" s="390" t="str">
        <f>IF(op!F104="","",op!F104+1)</f>
        <v/>
      </c>
      <c r="G216" s="896" t="str">
        <f>IF(op!G104=0,"",op!G104)</f>
        <v/>
      </c>
      <c r="H216" s="390" t="str">
        <f>IF(op!H104="","",op!H104)</f>
        <v/>
      </c>
      <c r="I216" s="897" t="str">
        <f t="shared" si="90"/>
        <v/>
      </c>
      <c r="J216" s="898" t="str">
        <f>IF(op!J104="","",op!J104)</f>
        <v/>
      </c>
      <c r="K216" s="334"/>
      <c r="L216" s="1140" t="str">
        <f>IF(op!L104="","",op!L104)</f>
        <v/>
      </c>
      <c r="M216" s="1140" t="str">
        <f>IF(op!M104="","",op!M104)</f>
        <v/>
      </c>
      <c r="N216" s="899" t="str">
        <f t="shared" si="105"/>
        <v/>
      </c>
      <c r="O216" s="900" t="str">
        <f t="shared" si="106"/>
        <v/>
      </c>
      <c r="P216" s="901" t="str">
        <f t="shared" si="107"/>
        <v/>
      </c>
      <c r="Q216" s="568" t="str">
        <f t="shared" si="91"/>
        <v/>
      </c>
      <c r="R216" s="902" t="str">
        <f t="shared" si="108"/>
        <v/>
      </c>
      <c r="S216" s="903">
        <f t="shared" si="92"/>
        <v>0</v>
      </c>
      <c r="T216" s="334"/>
      <c r="X216" s="887" t="str">
        <f t="shared" si="93"/>
        <v/>
      </c>
      <c r="Y216" s="904">
        <f t="shared" si="94"/>
        <v>0.6</v>
      </c>
      <c r="Z216" s="905" t="e">
        <f t="shared" si="109"/>
        <v>#VALUE!</v>
      </c>
      <c r="AA216" s="905" t="e">
        <f t="shared" si="110"/>
        <v>#VALUE!</v>
      </c>
      <c r="AB216" s="905" t="e">
        <f t="shared" si="111"/>
        <v>#VALUE!</v>
      </c>
      <c r="AC216" s="906" t="e">
        <f t="shared" si="95"/>
        <v>#VALUE!</v>
      </c>
      <c r="AD216" s="907">
        <f t="shared" si="96"/>
        <v>0</v>
      </c>
      <c r="AE216" s="904">
        <f>IF(H216&gt;8,tab!C$194,tab!C$197)</f>
        <v>0.5</v>
      </c>
      <c r="AF216" s="907">
        <f t="shared" si="97"/>
        <v>0</v>
      </c>
      <c r="AG216" s="887">
        <f t="shared" si="98"/>
        <v>0</v>
      </c>
      <c r="AH216" s="908" t="e">
        <f t="shared" si="99"/>
        <v>#VALUE!</v>
      </c>
      <c r="AI216" s="815" t="e">
        <f t="shared" si="100"/>
        <v>#VALUE!</v>
      </c>
      <c r="AJ216" s="540">
        <f t="shared" si="101"/>
        <v>30</v>
      </c>
      <c r="AK216" s="540">
        <f t="shared" si="102"/>
        <v>30</v>
      </c>
      <c r="AL216" s="909">
        <f t="shared" si="103"/>
        <v>0</v>
      </c>
      <c r="AN216" s="539">
        <f t="shared" si="104"/>
        <v>0</v>
      </c>
      <c r="AR216" s="941"/>
      <c r="AT216" s="317"/>
      <c r="AU216" s="317"/>
    </row>
    <row r="217" spans="3:47" ht="13.15" customHeight="1" x14ac:dyDescent="0.2">
      <c r="C217" s="381"/>
      <c r="D217" s="895" t="str">
        <f>IF(op!D105=0,"",op!D105)</f>
        <v/>
      </c>
      <c r="E217" s="895" t="str">
        <f>IF(op!E105=0,"",op!E105)</f>
        <v/>
      </c>
      <c r="F217" s="390" t="str">
        <f>IF(op!F105="","",op!F105+1)</f>
        <v/>
      </c>
      <c r="G217" s="896" t="str">
        <f>IF(op!G105=0,"",op!G105)</f>
        <v/>
      </c>
      <c r="H217" s="390" t="str">
        <f>IF(op!H105="","",op!H105)</f>
        <v/>
      </c>
      <c r="I217" s="897" t="str">
        <f t="shared" si="90"/>
        <v/>
      </c>
      <c r="J217" s="898" t="str">
        <f>IF(op!J105="","",op!J105)</f>
        <v/>
      </c>
      <c r="K217" s="334"/>
      <c r="L217" s="1140" t="str">
        <f>IF(op!L105="","",op!L105)</f>
        <v/>
      </c>
      <c r="M217" s="1140" t="str">
        <f>IF(op!M105="","",op!M105)</f>
        <v/>
      </c>
      <c r="N217" s="899" t="str">
        <f t="shared" si="105"/>
        <v/>
      </c>
      <c r="O217" s="900" t="str">
        <f t="shared" si="106"/>
        <v/>
      </c>
      <c r="P217" s="901" t="str">
        <f t="shared" si="107"/>
        <v/>
      </c>
      <c r="Q217" s="568" t="str">
        <f t="shared" si="91"/>
        <v/>
      </c>
      <c r="R217" s="902" t="str">
        <f t="shared" si="108"/>
        <v/>
      </c>
      <c r="S217" s="903">
        <f t="shared" si="92"/>
        <v>0</v>
      </c>
      <c r="T217" s="334"/>
      <c r="X217" s="887" t="str">
        <f t="shared" si="93"/>
        <v/>
      </c>
      <c r="Y217" s="904">
        <f t="shared" si="94"/>
        <v>0.6</v>
      </c>
      <c r="Z217" s="905" t="e">
        <f t="shared" si="109"/>
        <v>#VALUE!</v>
      </c>
      <c r="AA217" s="905" t="e">
        <f t="shared" si="110"/>
        <v>#VALUE!</v>
      </c>
      <c r="AB217" s="905" t="e">
        <f t="shared" si="111"/>
        <v>#VALUE!</v>
      </c>
      <c r="AC217" s="906" t="e">
        <f t="shared" si="95"/>
        <v>#VALUE!</v>
      </c>
      <c r="AD217" s="907">
        <f t="shared" si="96"/>
        <v>0</v>
      </c>
      <c r="AE217" s="904">
        <f>IF(H217&gt;8,tab!C$194,tab!C$197)</f>
        <v>0.5</v>
      </c>
      <c r="AF217" s="907">
        <f t="shared" si="97"/>
        <v>0</v>
      </c>
      <c r="AG217" s="887">
        <f t="shared" si="98"/>
        <v>0</v>
      </c>
      <c r="AH217" s="908" t="e">
        <f t="shared" si="99"/>
        <v>#VALUE!</v>
      </c>
      <c r="AI217" s="815" t="e">
        <f t="shared" si="100"/>
        <v>#VALUE!</v>
      </c>
      <c r="AJ217" s="540">
        <f t="shared" si="101"/>
        <v>30</v>
      </c>
      <c r="AK217" s="540">
        <f t="shared" si="102"/>
        <v>30</v>
      </c>
      <c r="AL217" s="909">
        <f t="shared" si="103"/>
        <v>0</v>
      </c>
      <c r="AN217" s="539">
        <f t="shared" si="104"/>
        <v>0</v>
      </c>
      <c r="AR217" s="941"/>
      <c r="AT217" s="317"/>
      <c r="AU217" s="317"/>
    </row>
    <row r="218" spans="3:47" ht="13.15" customHeight="1" x14ac:dyDescent="0.2">
      <c r="C218" s="381"/>
      <c r="D218" s="895" t="str">
        <f>IF(op!D106=0,"",op!D106)</f>
        <v/>
      </c>
      <c r="E218" s="895" t="str">
        <f>IF(op!E106=0,"",op!E106)</f>
        <v/>
      </c>
      <c r="F218" s="390" t="str">
        <f>IF(op!F106="","",op!F106+1)</f>
        <v/>
      </c>
      <c r="G218" s="896" t="str">
        <f>IF(op!G106=0,"",op!G106)</f>
        <v/>
      </c>
      <c r="H218" s="390" t="str">
        <f>IF(op!H106="","",op!H106)</f>
        <v/>
      </c>
      <c r="I218" s="897" t="str">
        <f t="shared" si="90"/>
        <v/>
      </c>
      <c r="J218" s="898" t="str">
        <f>IF(op!J106="","",op!J106)</f>
        <v/>
      </c>
      <c r="K218" s="334"/>
      <c r="L218" s="1140" t="str">
        <f>IF(op!L106="","",op!L106)</f>
        <v/>
      </c>
      <c r="M218" s="1140" t="str">
        <f>IF(op!M106="","",op!M106)</f>
        <v/>
      </c>
      <c r="N218" s="899" t="str">
        <f t="shared" si="105"/>
        <v/>
      </c>
      <c r="O218" s="900" t="str">
        <f t="shared" si="106"/>
        <v/>
      </c>
      <c r="P218" s="901" t="str">
        <f t="shared" si="107"/>
        <v/>
      </c>
      <c r="Q218" s="568" t="str">
        <f t="shared" si="91"/>
        <v/>
      </c>
      <c r="R218" s="902" t="str">
        <f t="shared" si="108"/>
        <v/>
      </c>
      <c r="S218" s="903">
        <f t="shared" si="92"/>
        <v>0</v>
      </c>
      <c r="T218" s="334"/>
      <c r="X218" s="887" t="str">
        <f t="shared" si="93"/>
        <v/>
      </c>
      <c r="Y218" s="904">
        <f t="shared" si="94"/>
        <v>0.6</v>
      </c>
      <c r="Z218" s="905" t="e">
        <f t="shared" si="109"/>
        <v>#VALUE!</v>
      </c>
      <c r="AA218" s="905" t="e">
        <f t="shared" si="110"/>
        <v>#VALUE!</v>
      </c>
      <c r="AB218" s="905" t="e">
        <f t="shared" si="111"/>
        <v>#VALUE!</v>
      </c>
      <c r="AC218" s="906" t="e">
        <f t="shared" si="95"/>
        <v>#VALUE!</v>
      </c>
      <c r="AD218" s="907">
        <f t="shared" si="96"/>
        <v>0</v>
      </c>
      <c r="AE218" s="904">
        <f>IF(H218&gt;8,tab!C$194,tab!C$197)</f>
        <v>0.5</v>
      </c>
      <c r="AF218" s="907">
        <f t="shared" si="97"/>
        <v>0</v>
      </c>
      <c r="AG218" s="887">
        <f t="shared" si="98"/>
        <v>0</v>
      </c>
      <c r="AH218" s="908" t="e">
        <f t="shared" si="99"/>
        <v>#VALUE!</v>
      </c>
      <c r="AI218" s="815" t="e">
        <f t="shared" si="100"/>
        <v>#VALUE!</v>
      </c>
      <c r="AJ218" s="540">
        <f t="shared" si="101"/>
        <v>30</v>
      </c>
      <c r="AK218" s="540">
        <f t="shared" si="102"/>
        <v>30</v>
      </c>
      <c r="AL218" s="909">
        <f t="shared" si="103"/>
        <v>0</v>
      </c>
      <c r="AN218" s="539">
        <f t="shared" si="104"/>
        <v>0</v>
      </c>
      <c r="AR218" s="941"/>
      <c r="AT218" s="317"/>
      <c r="AU218" s="317"/>
    </row>
    <row r="219" spans="3:47" ht="13.15" customHeight="1" x14ac:dyDescent="0.2">
      <c r="C219" s="381"/>
      <c r="D219" s="895" t="str">
        <f>IF(op!D107=0,"",op!D107)</f>
        <v/>
      </c>
      <c r="E219" s="895" t="str">
        <f>IF(op!E107=0,"",op!E107)</f>
        <v/>
      </c>
      <c r="F219" s="390" t="str">
        <f>IF(op!F107="","",op!F107+1)</f>
        <v/>
      </c>
      <c r="G219" s="896" t="str">
        <f>IF(op!G107=0,"",op!G107)</f>
        <v/>
      </c>
      <c r="H219" s="390" t="str">
        <f>IF(op!H107="","",op!H107)</f>
        <v/>
      </c>
      <c r="I219" s="897" t="str">
        <f t="shared" si="90"/>
        <v/>
      </c>
      <c r="J219" s="898" t="str">
        <f>IF(op!J107="","",op!J107)</f>
        <v/>
      </c>
      <c r="K219" s="334"/>
      <c r="L219" s="1140" t="str">
        <f>IF(op!L107="","",op!L107)</f>
        <v/>
      </c>
      <c r="M219" s="1140" t="str">
        <f>IF(op!M107="","",op!M107)</f>
        <v/>
      </c>
      <c r="N219" s="899" t="str">
        <f t="shared" si="105"/>
        <v/>
      </c>
      <c r="O219" s="900" t="str">
        <f t="shared" si="106"/>
        <v/>
      </c>
      <c r="P219" s="901" t="str">
        <f t="shared" si="107"/>
        <v/>
      </c>
      <c r="Q219" s="568" t="str">
        <f t="shared" si="91"/>
        <v/>
      </c>
      <c r="R219" s="902" t="str">
        <f t="shared" si="108"/>
        <v/>
      </c>
      <c r="S219" s="903">
        <f t="shared" si="92"/>
        <v>0</v>
      </c>
      <c r="T219" s="334"/>
      <c r="X219" s="887" t="str">
        <f t="shared" si="93"/>
        <v/>
      </c>
      <c r="Y219" s="904">
        <f t="shared" si="94"/>
        <v>0.6</v>
      </c>
      <c r="Z219" s="905" t="e">
        <f t="shared" si="109"/>
        <v>#VALUE!</v>
      </c>
      <c r="AA219" s="905" t="e">
        <f t="shared" si="110"/>
        <v>#VALUE!</v>
      </c>
      <c r="AB219" s="905" t="e">
        <f t="shared" si="111"/>
        <v>#VALUE!</v>
      </c>
      <c r="AC219" s="906" t="e">
        <f t="shared" si="95"/>
        <v>#VALUE!</v>
      </c>
      <c r="AD219" s="907">
        <f t="shared" si="96"/>
        <v>0</v>
      </c>
      <c r="AE219" s="904">
        <f>IF(H219&gt;8,tab!C$194,tab!C$197)</f>
        <v>0.5</v>
      </c>
      <c r="AF219" s="907">
        <f t="shared" si="97"/>
        <v>0</v>
      </c>
      <c r="AG219" s="887">
        <f t="shared" si="98"/>
        <v>0</v>
      </c>
      <c r="AH219" s="908" t="e">
        <f t="shared" si="99"/>
        <v>#VALUE!</v>
      </c>
      <c r="AI219" s="815" t="e">
        <f t="shared" si="100"/>
        <v>#VALUE!</v>
      </c>
      <c r="AJ219" s="540">
        <f t="shared" si="101"/>
        <v>30</v>
      </c>
      <c r="AK219" s="540">
        <f t="shared" si="102"/>
        <v>30</v>
      </c>
      <c r="AL219" s="909">
        <f t="shared" si="103"/>
        <v>0</v>
      </c>
      <c r="AN219" s="539">
        <f t="shared" si="104"/>
        <v>0</v>
      </c>
      <c r="AR219" s="941"/>
      <c r="AT219" s="317"/>
      <c r="AU219" s="317"/>
    </row>
    <row r="220" spans="3:47" ht="13.15" customHeight="1" x14ac:dyDescent="0.2">
      <c r="C220" s="381"/>
      <c r="D220" s="895" t="str">
        <f>IF(op!D108=0,"",op!D108)</f>
        <v/>
      </c>
      <c r="E220" s="895" t="str">
        <f>IF(op!E108=0,"",op!E108)</f>
        <v/>
      </c>
      <c r="F220" s="390" t="str">
        <f>IF(op!F108="","",op!F108+1)</f>
        <v/>
      </c>
      <c r="G220" s="896" t="str">
        <f>IF(op!G108=0,"",op!G108)</f>
        <v/>
      </c>
      <c r="H220" s="390" t="str">
        <f>IF(op!H108="","",op!H108)</f>
        <v/>
      </c>
      <c r="I220" s="897" t="str">
        <f t="shared" si="90"/>
        <v/>
      </c>
      <c r="J220" s="898" t="str">
        <f>IF(op!J108="","",op!J108)</f>
        <v/>
      </c>
      <c r="K220" s="334"/>
      <c r="L220" s="1140" t="str">
        <f>IF(op!L108="","",op!L108)</f>
        <v/>
      </c>
      <c r="M220" s="1140" t="str">
        <f>IF(op!M108="","",op!M108)</f>
        <v/>
      </c>
      <c r="N220" s="899" t="str">
        <f t="shared" si="105"/>
        <v/>
      </c>
      <c r="O220" s="900" t="str">
        <f t="shared" si="106"/>
        <v/>
      </c>
      <c r="P220" s="901" t="str">
        <f t="shared" si="107"/>
        <v/>
      </c>
      <c r="Q220" s="568" t="str">
        <f t="shared" si="91"/>
        <v/>
      </c>
      <c r="R220" s="902" t="str">
        <f t="shared" si="108"/>
        <v/>
      </c>
      <c r="S220" s="903">
        <f t="shared" si="92"/>
        <v>0</v>
      </c>
      <c r="T220" s="334"/>
      <c r="X220" s="887" t="str">
        <f t="shared" si="93"/>
        <v/>
      </c>
      <c r="Y220" s="904">
        <f t="shared" si="94"/>
        <v>0.6</v>
      </c>
      <c r="Z220" s="905" t="e">
        <f t="shared" si="109"/>
        <v>#VALUE!</v>
      </c>
      <c r="AA220" s="905" t="e">
        <f t="shared" si="110"/>
        <v>#VALUE!</v>
      </c>
      <c r="AB220" s="905" t="e">
        <f t="shared" si="111"/>
        <v>#VALUE!</v>
      </c>
      <c r="AC220" s="906" t="e">
        <f t="shared" si="95"/>
        <v>#VALUE!</v>
      </c>
      <c r="AD220" s="907">
        <f t="shared" si="96"/>
        <v>0</v>
      </c>
      <c r="AE220" s="904">
        <f>IF(H220&gt;8,tab!C$194,tab!C$197)</f>
        <v>0.5</v>
      </c>
      <c r="AF220" s="907">
        <f t="shared" si="97"/>
        <v>0</v>
      </c>
      <c r="AG220" s="887">
        <f t="shared" si="98"/>
        <v>0</v>
      </c>
      <c r="AH220" s="908" t="e">
        <f t="shared" si="99"/>
        <v>#VALUE!</v>
      </c>
      <c r="AI220" s="815" t="e">
        <f t="shared" si="100"/>
        <v>#VALUE!</v>
      </c>
      <c r="AJ220" s="540">
        <f t="shared" si="101"/>
        <v>30</v>
      </c>
      <c r="AK220" s="540">
        <f t="shared" si="102"/>
        <v>30</v>
      </c>
      <c r="AL220" s="909">
        <f t="shared" si="103"/>
        <v>0</v>
      </c>
      <c r="AN220" s="539">
        <f t="shared" si="104"/>
        <v>0</v>
      </c>
      <c r="AR220" s="941"/>
      <c r="AT220" s="317"/>
      <c r="AU220" s="317"/>
    </row>
    <row r="221" spans="3:47" ht="13.15" customHeight="1" x14ac:dyDescent="0.2">
      <c r="C221" s="381"/>
      <c r="D221" s="895" t="str">
        <f>IF(op!D109=0,"",op!D109)</f>
        <v/>
      </c>
      <c r="E221" s="895" t="str">
        <f>IF(op!E109=0,"",op!E109)</f>
        <v/>
      </c>
      <c r="F221" s="390" t="str">
        <f>IF(op!F109="","",op!F109+1)</f>
        <v/>
      </c>
      <c r="G221" s="896" t="str">
        <f>IF(op!G109=0,"",op!G109)</f>
        <v/>
      </c>
      <c r="H221" s="390" t="str">
        <f>IF(op!H109="","",op!H109)</f>
        <v/>
      </c>
      <c r="I221" s="897" t="str">
        <f t="shared" si="90"/>
        <v/>
      </c>
      <c r="J221" s="898" t="str">
        <f>IF(op!J109="","",op!J109)</f>
        <v/>
      </c>
      <c r="K221" s="334"/>
      <c r="L221" s="1140" t="str">
        <f>IF(op!L109="","",op!L109)</f>
        <v/>
      </c>
      <c r="M221" s="1140" t="str">
        <f>IF(op!M109="","",op!M109)</f>
        <v/>
      </c>
      <c r="N221" s="899" t="str">
        <f t="shared" si="105"/>
        <v/>
      </c>
      <c r="O221" s="900" t="str">
        <f t="shared" si="106"/>
        <v/>
      </c>
      <c r="P221" s="901" t="str">
        <f t="shared" si="107"/>
        <v/>
      </c>
      <c r="Q221" s="568" t="str">
        <f t="shared" si="91"/>
        <v/>
      </c>
      <c r="R221" s="902" t="str">
        <f t="shared" si="108"/>
        <v/>
      </c>
      <c r="S221" s="903">
        <f t="shared" si="92"/>
        <v>0</v>
      </c>
      <c r="T221" s="334"/>
      <c r="X221" s="887" t="str">
        <f t="shared" si="93"/>
        <v/>
      </c>
      <c r="Y221" s="904">
        <f t="shared" si="94"/>
        <v>0.6</v>
      </c>
      <c r="Z221" s="905" t="e">
        <f t="shared" si="109"/>
        <v>#VALUE!</v>
      </c>
      <c r="AA221" s="905" t="e">
        <f t="shared" si="110"/>
        <v>#VALUE!</v>
      </c>
      <c r="AB221" s="905" t="e">
        <f t="shared" si="111"/>
        <v>#VALUE!</v>
      </c>
      <c r="AC221" s="906" t="e">
        <f t="shared" si="95"/>
        <v>#VALUE!</v>
      </c>
      <c r="AD221" s="907">
        <f t="shared" si="96"/>
        <v>0</v>
      </c>
      <c r="AE221" s="904">
        <f>IF(H221&gt;8,tab!C$194,tab!C$197)</f>
        <v>0.5</v>
      </c>
      <c r="AF221" s="907">
        <f t="shared" si="97"/>
        <v>0</v>
      </c>
      <c r="AG221" s="887">
        <f t="shared" si="98"/>
        <v>0</v>
      </c>
      <c r="AH221" s="908" t="e">
        <f t="shared" si="99"/>
        <v>#VALUE!</v>
      </c>
      <c r="AI221" s="815" t="e">
        <f t="shared" si="100"/>
        <v>#VALUE!</v>
      </c>
      <c r="AJ221" s="540">
        <f t="shared" si="101"/>
        <v>30</v>
      </c>
      <c r="AK221" s="540">
        <f t="shared" si="102"/>
        <v>30</v>
      </c>
      <c r="AL221" s="909">
        <f t="shared" si="103"/>
        <v>0</v>
      </c>
      <c r="AN221" s="539">
        <f t="shared" si="104"/>
        <v>0</v>
      </c>
      <c r="AR221" s="941"/>
      <c r="AT221" s="317"/>
      <c r="AU221" s="317"/>
    </row>
    <row r="222" spans="3:47" ht="13.15" customHeight="1" x14ac:dyDescent="0.2">
      <c r="C222" s="381"/>
      <c r="D222" s="895" t="str">
        <f>IF(op!D110=0,"",op!D110)</f>
        <v/>
      </c>
      <c r="E222" s="895" t="str">
        <f>IF(op!E110=0,"",op!E110)</f>
        <v/>
      </c>
      <c r="F222" s="390" t="str">
        <f>IF(op!F110="","",op!F110+1)</f>
        <v/>
      </c>
      <c r="G222" s="896" t="str">
        <f>IF(op!G110=0,"",op!G110)</f>
        <v/>
      </c>
      <c r="H222" s="390" t="str">
        <f>IF(op!H110="","",op!H110)</f>
        <v/>
      </c>
      <c r="I222" s="897" t="str">
        <f t="shared" si="90"/>
        <v/>
      </c>
      <c r="J222" s="898" t="str">
        <f>IF(op!J110="","",op!J110)</f>
        <v/>
      </c>
      <c r="K222" s="334"/>
      <c r="L222" s="1140" t="str">
        <f>IF(op!L110="","",op!L110)</f>
        <v/>
      </c>
      <c r="M222" s="1140" t="str">
        <f>IF(op!M110="","",op!M110)</f>
        <v/>
      </c>
      <c r="N222" s="899" t="str">
        <f t="shared" si="105"/>
        <v/>
      </c>
      <c r="O222" s="900" t="str">
        <f t="shared" si="106"/>
        <v/>
      </c>
      <c r="P222" s="901" t="str">
        <f t="shared" si="107"/>
        <v/>
      </c>
      <c r="Q222" s="568" t="str">
        <f t="shared" si="91"/>
        <v/>
      </c>
      <c r="R222" s="902" t="str">
        <f t="shared" si="108"/>
        <v/>
      </c>
      <c r="S222" s="903">
        <f t="shared" si="92"/>
        <v>0</v>
      </c>
      <c r="T222" s="334"/>
      <c r="X222" s="887" t="str">
        <f t="shared" si="93"/>
        <v/>
      </c>
      <c r="Y222" s="904">
        <f t="shared" si="94"/>
        <v>0.6</v>
      </c>
      <c r="Z222" s="905" t="e">
        <f t="shared" si="109"/>
        <v>#VALUE!</v>
      </c>
      <c r="AA222" s="905" t="e">
        <f t="shared" si="110"/>
        <v>#VALUE!</v>
      </c>
      <c r="AB222" s="905" t="e">
        <f t="shared" si="111"/>
        <v>#VALUE!</v>
      </c>
      <c r="AC222" s="906" t="e">
        <f t="shared" si="95"/>
        <v>#VALUE!</v>
      </c>
      <c r="AD222" s="907">
        <f t="shared" si="96"/>
        <v>0</v>
      </c>
      <c r="AE222" s="904">
        <f>IF(H222&gt;8,tab!C$194,tab!C$197)</f>
        <v>0.5</v>
      </c>
      <c r="AF222" s="907">
        <f t="shared" si="97"/>
        <v>0</v>
      </c>
      <c r="AG222" s="887">
        <f t="shared" si="98"/>
        <v>0</v>
      </c>
      <c r="AH222" s="908" t="e">
        <f t="shared" si="99"/>
        <v>#VALUE!</v>
      </c>
      <c r="AI222" s="815" t="e">
        <f t="shared" si="100"/>
        <v>#VALUE!</v>
      </c>
      <c r="AJ222" s="540">
        <f t="shared" si="101"/>
        <v>30</v>
      </c>
      <c r="AK222" s="540">
        <f t="shared" si="102"/>
        <v>30</v>
      </c>
      <c r="AL222" s="909">
        <f t="shared" si="103"/>
        <v>0</v>
      </c>
      <c r="AN222" s="539">
        <f t="shared" si="104"/>
        <v>0</v>
      </c>
      <c r="AR222" s="941"/>
      <c r="AT222" s="317"/>
      <c r="AU222" s="317"/>
    </row>
    <row r="223" spans="3:47" ht="13.15" customHeight="1" x14ac:dyDescent="0.2">
      <c r="C223" s="381"/>
      <c r="D223" s="895" t="str">
        <f>IF(op!D111=0,"",op!D111)</f>
        <v/>
      </c>
      <c r="E223" s="895" t="str">
        <f>IF(op!E111=0,"",op!E111)</f>
        <v/>
      </c>
      <c r="F223" s="390" t="str">
        <f>IF(op!F111="","",op!F111+1)</f>
        <v/>
      </c>
      <c r="G223" s="896" t="str">
        <f>IF(op!G111=0,"",op!G111)</f>
        <v/>
      </c>
      <c r="H223" s="390" t="str">
        <f>IF(op!H111="","",op!H111)</f>
        <v/>
      </c>
      <c r="I223" s="897" t="str">
        <f t="shared" si="90"/>
        <v/>
      </c>
      <c r="J223" s="898" t="str">
        <f>IF(op!J111="","",op!J111)</f>
        <v/>
      </c>
      <c r="K223" s="334"/>
      <c r="L223" s="1140" t="str">
        <f>IF(op!L111="","",op!L111)</f>
        <v/>
      </c>
      <c r="M223" s="1140" t="str">
        <f>IF(op!M111="","",op!M111)</f>
        <v/>
      </c>
      <c r="N223" s="899" t="str">
        <f t="shared" si="105"/>
        <v/>
      </c>
      <c r="O223" s="900" t="str">
        <f t="shared" si="106"/>
        <v/>
      </c>
      <c r="P223" s="901" t="str">
        <f t="shared" si="107"/>
        <v/>
      </c>
      <c r="Q223" s="568" t="str">
        <f t="shared" si="91"/>
        <v/>
      </c>
      <c r="R223" s="902" t="str">
        <f t="shared" si="108"/>
        <v/>
      </c>
      <c r="S223" s="903">
        <f t="shared" si="92"/>
        <v>0</v>
      </c>
      <c r="T223" s="334"/>
      <c r="X223" s="887" t="str">
        <f t="shared" si="93"/>
        <v/>
      </c>
      <c r="Y223" s="904">
        <f t="shared" si="94"/>
        <v>0.6</v>
      </c>
      <c r="Z223" s="905" t="e">
        <f t="shared" si="109"/>
        <v>#VALUE!</v>
      </c>
      <c r="AA223" s="905" t="e">
        <f t="shared" si="110"/>
        <v>#VALUE!</v>
      </c>
      <c r="AB223" s="905" t="e">
        <f t="shared" si="111"/>
        <v>#VALUE!</v>
      </c>
      <c r="AC223" s="906" t="e">
        <f t="shared" si="95"/>
        <v>#VALUE!</v>
      </c>
      <c r="AD223" s="907">
        <f t="shared" si="96"/>
        <v>0</v>
      </c>
      <c r="AE223" s="904">
        <f>IF(H223&gt;8,tab!C$194,tab!C$197)</f>
        <v>0.5</v>
      </c>
      <c r="AF223" s="907">
        <f t="shared" si="97"/>
        <v>0</v>
      </c>
      <c r="AG223" s="887">
        <f t="shared" si="98"/>
        <v>0</v>
      </c>
      <c r="AH223" s="908" t="e">
        <f t="shared" si="99"/>
        <v>#VALUE!</v>
      </c>
      <c r="AI223" s="815" t="e">
        <f t="shared" si="100"/>
        <v>#VALUE!</v>
      </c>
      <c r="AJ223" s="540">
        <f t="shared" si="101"/>
        <v>30</v>
      </c>
      <c r="AK223" s="540">
        <f t="shared" si="102"/>
        <v>30</v>
      </c>
      <c r="AL223" s="909">
        <f t="shared" si="103"/>
        <v>0</v>
      </c>
      <c r="AN223" s="539">
        <f t="shared" si="104"/>
        <v>0</v>
      </c>
      <c r="AR223" s="941"/>
      <c r="AT223" s="317"/>
      <c r="AU223" s="317"/>
    </row>
    <row r="224" spans="3:47" ht="13.15" customHeight="1" x14ac:dyDescent="0.2">
      <c r="C224" s="381"/>
      <c r="D224" s="895" t="str">
        <f>IF(op!D112=0,"",op!D112)</f>
        <v/>
      </c>
      <c r="E224" s="895" t="str">
        <f>IF(op!E112=0,"",op!E112)</f>
        <v/>
      </c>
      <c r="F224" s="390" t="str">
        <f>IF(op!F112="","",op!F112+1)</f>
        <v/>
      </c>
      <c r="G224" s="896" t="str">
        <f>IF(op!G112=0,"",op!G112)</f>
        <v/>
      </c>
      <c r="H224" s="390" t="str">
        <f>IF(op!H112="","",op!H112)</f>
        <v/>
      </c>
      <c r="I224" s="897" t="str">
        <f>IF(E224="","",IF(I112=VLOOKUP(H224,Salaris2021,22,FALSE),I112,I112+1))</f>
        <v/>
      </c>
      <c r="J224" s="898" t="str">
        <f>IF(op!J112="","",op!J112)</f>
        <v/>
      </c>
      <c r="K224" s="334"/>
      <c r="L224" s="1140" t="str">
        <f>IF(op!L112="","",op!L112)</f>
        <v/>
      </c>
      <c r="M224" s="1140" t="str">
        <f>IF(op!M112="","",op!M112)</f>
        <v/>
      </c>
      <c r="N224" s="899" t="str">
        <f t="shared" si="105"/>
        <v/>
      </c>
      <c r="O224" s="900" t="str">
        <f t="shared" si="106"/>
        <v/>
      </c>
      <c r="P224" s="901" t="str">
        <f t="shared" si="107"/>
        <v/>
      </c>
      <c r="Q224" s="568" t="str">
        <f>IF(J224="","",(1659*J224-P224)*AA224)</f>
        <v/>
      </c>
      <c r="R224" s="902" t="str">
        <f t="shared" si="108"/>
        <v/>
      </c>
      <c r="S224" s="903">
        <f>IF(E224=0,0,SUM(Q224:R224))</f>
        <v>0</v>
      </c>
      <c r="T224" s="334"/>
      <c r="X224" s="887" t="str">
        <f t="shared" si="93"/>
        <v/>
      </c>
      <c r="Y224" s="904">
        <f t="shared" si="94"/>
        <v>0.6</v>
      </c>
      <c r="Z224" s="905" t="e">
        <f t="shared" si="109"/>
        <v>#VALUE!</v>
      </c>
      <c r="AA224" s="905" t="e">
        <f t="shared" si="110"/>
        <v>#VALUE!</v>
      </c>
      <c r="AB224" s="905" t="e">
        <f t="shared" si="111"/>
        <v>#VALUE!</v>
      </c>
      <c r="AC224" s="906" t="e">
        <f t="shared" si="95"/>
        <v>#VALUE!</v>
      </c>
      <c r="AD224" s="907">
        <f t="shared" si="96"/>
        <v>0</v>
      </c>
      <c r="AE224" s="904">
        <f>IF(H224&gt;8,tab!C$194,tab!C$197)</f>
        <v>0.5</v>
      </c>
      <c r="AF224" s="907">
        <f t="shared" si="97"/>
        <v>0</v>
      </c>
      <c r="AG224" s="887">
        <f>IF(AF224=25,(X224*1.08*J224/2),IF(AF224=40,(Y224*1.08*J224),IF(AF224=0,0)))</f>
        <v>0</v>
      </c>
      <c r="AH224" s="908" t="e">
        <f t="shared" si="99"/>
        <v>#VALUE!</v>
      </c>
      <c r="AI224" s="815" t="e">
        <f>YEAR($E$121)-YEAR(G224)-AH224</f>
        <v>#VALUE!</v>
      </c>
      <c r="AJ224" s="540">
        <f>IF((G224=""),30,AI224)</f>
        <v>30</v>
      </c>
      <c r="AK224" s="540">
        <f t="shared" si="102"/>
        <v>30</v>
      </c>
      <c r="AL224" s="909">
        <f>(AK224*(SUM(J224:J224)))</f>
        <v>0</v>
      </c>
      <c r="AN224" s="539">
        <f t="shared" si="104"/>
        <v>0</v>
      </c>
      <c r="AR224" s="941"/>
      <c r="AT224" s="317"/>
      <c r="AU224" s="317"/>
    </row>
    <row r="225" spans="3:49" ht="13.15" customHeight="1" x14ac:dyDescent="0.2">
      <c r="C225" s="381"/>
      <c r="D225" s="895" t="str">
        <f>IF(op!D113=0,"",op!D113)</f>
        <v/>
      </c>
      <c r="E225" s="895" t="str">
        <f>IF(op!E113=0,"",op!E113)</f>
        <v/>
      </c>
      <c r="F225" s="390" t="str">
        <f>IF(op!F113="","",op!F113+1)</f>
        <v/>
      </c>
      <c r="G225" s="896" t="str">
        <f>IF(op!G113=0,"",op!G113)</f>
        <v/>
      </c>
      <c r="H225" s="390" t="str">
        <f>IF(op!H113="","",op!H113)</f>
        <v/>
      </c>
      <c r="I225" s="897" t="str">
        <f>IF(E225="","",IF(I113=VLOOKUP(H225,Salaris2021,22,FALSE),I113,I113+1))</f>
        <v/>
      </c>
      <c r="J225" s="898" t="str">
        <f>IF(op!J113="","",op!J113)</f>
        <v/>
      </c>
      <c r="K225" s="334"/>
      <c r="L225" s="1140" t="str">
        <f>IF(op!L113="","",op!L113)</f>
        <v/>
      </c>
      <c r="M225" s="1140" t="str">
        <f>IF(op!M113="","",op!M113)</f>
        <v/>
      </c>
      <c r="N225" s="899" t="str">
        <f t="shared" si="105"/>
        <v/>
      </c>
      <c r="O225" s="900" t="str">
        <f t="shared" si="106"/>
        <v/>
      </c>
      <c r="P225" s="901" t="str">
        <f t="shared" si="107"/>
        <v/>
      </c>
      <c r="Q225" s="568" t="str">
        <f>IF(J225="","",(1659*J225-P225)*AA225)</f>
        <v/>
      </c>
      <c r="R225" s="902" t="str">
        <f t="shared" si="108"/>
        <v/>
      </c>
      <c r="S225" s="903">
        <f>IF(E225=0,0,SUM(Q225:R225))</f>
        <v>0</v>
      </c>
      <c r="T225" s="334"/>
      <c r="X225" s="887" t="str">
        <f t="shared" si="93"/>
        <v/>
      </c>
      <c r="Y225" s="904">
        <f t="shared" si="94"/>
        <v>0.6</v>
      </c>
      <c r="Z225" s="905" t="e">
        <f t="shared" si="109"/>
        <v>#VALUE!</v>
      </c>
      <c r="AA225" s="905" t="e">
        <f t="shared" si="110"/>
        <v>#VALUE!</v>
      </c>
      <c r="AB225" s="905" t="e">
        <f t="shared" si="111"/>
        <v>#VALUE!</v>
      </c>
      <c r="AC225" s="906" t="e">
        <f t="shared" si="95"/>
        <v>#VALUE!</v>
      </c>
      <c r="AD225" s="907">
        <f t="shared" si="96"/>
        <v>0</v>
      </c>
      <c r="AE225" s="904">
        <f>IF(H225&gt;8,tab!C$194,tab!C$197)</f>
        <v>0.5</v>
      </c>
      <c r="AF225" s="907">
        <f t="shared" si="97"/>
        <v>0</v>
      </c>
      <c r="AG225" s="887">
        <f>IF(AF225=25,(X225*1.08*J225/2),IF(AF225=40,(Y225*1.08*J225),IF(AF225=0,0)))</f>
        <v>0</v>
      </c>
      <c r="AH225" s="908" t="e">
        <f t="shared" si="99"/>
        <v>#VALUE!</v>
      </c>
      <c r="AI225" s="815" t="e">
        <f>YEAR($E$121)-YEAR(G225)-AH225</f>
        <v>#VALUE!</v>
      </c>
      <c r="AJ225" s="540">
        <f>IF((G225=""),30,AI225)</f>
        <v>30</v>
      </c>
      <c r="AK225" s="540">
        <f t="shared" si="102"/>
        <v>30</v>
      </c>
      <c r="AL225" s="909">
        <f>(AK225*(SUM(J225:J225)))</f>
        <v>0</v>
      </c>
      <c r="AN225" s="539">
        <f t="shared" si="104"/>
        <v>0</v>
      </c>
      <c r="AR225" s="941"/>
    </row>
    <row r="226" spans="3:49" ht="13.15" customHeight="1" x14ac:dyDescent="0.2">
      <c r="C226" s="381"/>
      <c r="D226" s="895" t="str">
        <f>IF(op!D114=0,"",op!D114)</f>
        <v/>
      </c>
      <c r="E226" s="895" t="str">
        <f>IF(op!E114=0,"",op!E114)</f>
        <v/>
      </c>
      <c r="F226" s="390" t="str">
        <f>IF(op!F114="","",op!F114+1)</f>
        <v/>
      </c>
      <c r="G226" s="896" t="str">
        <f>IF(op!G114=0,"",op!G114)</f>
        <v/>
      </c>
      <c r="H226" s="390" t="str">
        <f>IF(op!H114="","",op!H114)</f>
        <v/>
      </c>
      <c r="I226" s="897" t="str">
        <f>IF(E226="","",IF(I114=VLOOKUP(H226,Salaris2021,22,FALSE),I114,I114+1))</f>
        <v/>
      </c>
      <c r="J226" s="898" t="str">
        <f>IF(op!J114="","",op!J114)</f>
        <v/>
      </c>
      <c r="K226" s="334"/>
      <c r="L226" s="1140" t="str">
        <f>IF(op!L114="","",op!L114)</f>
        <v/>
      </c>
      <c r="M226" s="1140" t="str">
        <f>IF(op!M114="","",op!M114)</f>
        <v/>
      </c>
      <c r="N226" s="899" t="str">
        <f t="shared" si="105"/>
        <v/>
      </c>
      <c r="O226" s="900" t="str">
        <f t="shared" si="106"/>
        <v/>
      </c>
      <c r="P226" s="901" t="str">
        <f t="shared" si="107"/>
        <v/>
      </c>
      <c r="Q226" s="568" t="str">
        <f>IF(J226="","",(1659*J226-P226)*AA226)</f>
        <v/>
      </c>
      <c r="R226" s="902" t="str">
        <f t="shared" si="108"/>
        <v/>
      </c>
      <c r="S226" s="903">
        <f>IF(E226=0,0,SUM(Q226:R226))</f>
        <v>0</v>
      </c>
      <c r="T226" s="334"/>
      <c r="X226" s="887" t="str">
        <f t="shared" si="93"/>
        <v/>
      </c>
      <c r="Y226" s="904">
        <f t="shared" si="94"/>
        <v>0.6</v>
      </c>
      <c r="Z226" s="905" t="e">
        <f t="shared" si="109"/>
        <v>#VALUE!</v>
      </c>
      <c r="AA226" s="905" t="e">
        <f t="shared" si="110"/>
        <v>#VALUE!</v>
      </c>
      <c r="AB226" s="905" t="e">
        <f t="shared" si="111"/>
        <v>#VALUE!</v>
      </c>
      <c r="AC226" s="906" t="e">
        <f t="shared" si="95"/>
        <v>#VALUE!</v>
      </c>
      <c r="AD226" s="907">
        <f t="shared" si="96"/>
        <v>0</v>
      </c>
      <c r="AE226" s="904">
        <f>IF(H226&gt;8,tab!C$194,tab!C$197)</f>
        <v>0.5</v>
      </c>
      <c r="AF226" s="907">
        <f t="shared" si="97"/>
        <v>0</v>
      </c>
      <c r="AG226" s="887">
        <f>IF(AF226=25,(X226*1.08*J226/2),IF(AF226=40,(Y226*1.08*J226),IF(AF226=0,0)))</f>
        <v>0</v>
      </c>
      <c r="AH226" s="908" t="e">
        <f t="shared" si="99"/>
        <v>#VALUE!</v>
      </c>
      <c r="AI226" s="815" t="e">
        <f>YEAR($E$121)-YEAR(G226)-AH226</f>
        <v>#VALUE!</v>
      </c>
      <c r="AJ226" s="540">
        <f>IF((G226=""),30,AI226)</f>
        <v>30</v>
      </c>
      <c r="AK226" s="540">
        <f t="shared" si="102"/>
        <v>30</v>
      </c>
      <c r="AL226" s="909">
        <f>(AK226*(SUM(J226:J226)))</f>
        <v>0</v>
      </c>
      <c r="AN226" s="539">
        <f t="shared" si="104"/>
        <v>0</v>
      </c>
      <c r="AR226" s="941"/>
    </row>
    <row r="227" spans="3:49" ht="13.15" customHeight="1" x14ac:dyDescent="0.2">
      <c r="C227" s="381"/>
      <c r="D227" s="895" t="str">
        <f>IF(op!D115=0,"",op!D115)</f>
        <v/>
      </c>
      <c r="E227" s="895" t="str">
        <f>IF(op!E115=0,"",op!E115)</f>
        <v/>
      </c>
      <c r="F227" s="390" t="str">
        <f>IF(op!F115="","",op!F115+1)</f>
        <v/>
      </c>
      <c r="G227" s="896" t="str">
        <f>IF(op!G115=0,"",op!G115)</f>
        <v/>
      </c>
      <c r="H227" s="390" t="str">
        <f>IF(op!H115="","",op!H115)</f>
        <v/>
      </c>
      <c r="I227" s="897" t="str">
        <f>IF(E227="","",IF(I115=VLOOKUP(H227,Salaris2021,22,FALSE),I115,I115+1))</f>
        <v/>
      </c>
      <c r="J227" s="898" t="str">
        <f>IF(op!J115="","",op!J115)</f>
        <v/>
      </c>
      <c r="K227" s="334"/>
      <c r="L227" s="1140" t="str">
        <f>IF(op!L115="","",op!L115)</f>
        <v/>
      </c>
      <c r="M227" s="1140" t="str">
        <f>IF(op!M115="","",op!M115)</f>
        <v/>
      </c>
      <c r="N227" s="899" t="str">
        <f t="shared" si="105"/>
        <v/>
      </c>
      <c r="O227" s="900" t="str">
        <f t="shared" si="106"/>
        <v/>
      </c>
      <c r="P227" s="901" t="str">
        <f t="shared" si="107"/>
        <v/>
      </c>
      <c r="Q227" s="568" t="str">
        <f>IF(J227="","",(1659*J227-P227)*AA227)</f>
        <v/>
      </c>
      <c r="R227" s="902" t="str">
        <f t="shared" si="108"/>
        <v/>
      </c>
      <c r="S227" s="903">
        <f>IF(E227=0,0,SUM(Q227:R227))</f>
        <v>0</v>
      </c>
      <c r="T227" s="334"/>
      <c r="X227" s="887" t="str">
        <f t="shared" si="93"/>
        <v/>
      </c>
      <c r="Y227" s="904">
        <f t="shared" si="94"/>
        <v>0.6</v>
      </c>
      <c r="Z227" s="905" t="e">
        <f t="shared" si="109"/>
        <v>#VALUE!</v>
      </c>
      <c r="AA227" s="905" t="e">
        <f t="shared" si="110"/>
        <v>#VALUE!</v>
      </c>
      <c r="AB227" s="905" t="e">
        <f t="shared" si="111"/>
        <v>#VALUE!</v>
      </c>
      <c r="AC227" s="906" t="e">
        <f t="shared" si="95"/>
        <v>#VALUE!</v>
      </c>
      <c r="AD227" s="907">
        <f t="shared" si="96"/>
        <v>0</v>
      </c>
      <c r="AE227" s="904">
        <f>IF(H227&gt;8,tab!C$194,tab!C$197)</f>
        <v>0.5</v>
      </c>
      <c r="AF227" s="907">
        <f t="shared" si="97"/>
        <v>0</v>
      </c>
      <c r="AG227" s="887">
        <f>IF(AF227=25,(X227*1.08*J227/2),IF(AF227=40,(Y227*1.08*J227),IF(AF227=0,0)))</f>
        <v>0</v>
      </c>
      <c r="AH227" s="908" t="e">
        <f t="shared" si="99"/>
        <v>#VALUE!</v>
      </c>
      <c r="AI227" s="815" t="e">
        <f>YEAR($E$121)-YEAR(G227)-AH227</f>
        <v>#VALUE!</v>
      </c>
      <c r="AJ227" s="540">
        <f>IF((G227=""),30,AI227)</f>
        <v>30</v>
      </c>
      <c r="AK227" s="540">
        <f t="shared" si="102"/>
        <v>30</v>
      </c>
      <c r="AL227" s="909">
        <f>(AK227*(SUM(J227:J227)))</f>
        <v>0</v>
      </c>
      <c r="AN227" s="539">
        <f t="shared" si="104"/>
        <v>0</v>
      </c>
      <c r="AR227" s="941"/>
    </row>
    <row r="228" spans="3:49" ht="13.15" customHeight="1" x14ac:dyDescent="0.2">
      <c r="C228" s="381"/>
      <c r="D228" s="319"/>
      <c r="E228" s="342"/>
      <c r="F228" s="319"/>
      <c r="G228" s="910"/>
      <c r="H228" s="342"/>
      <c r="I228" s="911"/>
      <c r="J228" s="912">
        <f>SUM(J128:J227)</f>
        <v>1</v>
      </c>
      <c r="K228" s="319"/>
      <c r="L228" s="913">
        <f t="shared" ref="L228:S228" si="112">SUM(L128:L227)</f>
        <v>0</v>
      </c>
      <c r="M228" s="913">
        <f t="shared" si="112"/>
        <v>0</v>
      </c>
      <c r="N228" s="913">
        <f t="shared" si="112"/>
        <v>40</v>
      </c>
      <c r="O228" s="913">
        <f t="shared" si="112"/>
        <v>0</v>
      </c>
      <c r="P228" s="914">
        <f t="shared" si="112"/>
        <v>40</v>
      </c>
      <c r="Q228" s="571">
        <f t="shared" si="112"/>
        <v>69701.902350813732</v>
      </c>
      <c r="R228" s="915">
        <f t="shared" si="112"/>
        <v>1722.0976491862566</v>
      </c>
      <c r="S228" s="571">
        <f t="shared" si="112"/>
        <v>71423.999999999985</v>
      </c>
      <c r="T228" s="319"/>
      <c r="AG228" s="575">
        <f>SUM(AG128:AG227)</f>
        <v>0</v>
      </c>
      <c r="AH228" s="563"/>
      <c r="AI228" s="563"/>
      <c r="AL228" s="909">
        <f>ROUND(SUM(AL128:AL227)/AN228,2)</f>
        <v>43</v>
      </c>
      <c r="AN228" s="539">
        <f>SUM(AN128:AN227)</f>
        <v>1</v>
      </c>
      <c r="AR228" s="941"/>
    </row>
    <row r="229" spans="3:49" ht="13.15" customHeight="1" x14ac:dyDescent="0.2">
      <c r="C229" s="483"/>
      <c r="D229" s="916"/>
      <c r="E229" s="916"/>
      <c r="F229" s="916"/>
      <c r="G229" s="917"/>
      <c r="H229" s="373"/>
      <c r="I229" s="918"/>
      <c r="J229" s="919"/>
      <c r="K229" s="916"/>
      <c r="L229" s="918"/>
      <c r="M229" s="777"/>
      <c r="N229" s="777"/>
      <c r="O229" s="777"/>
      <c r="P229" s="920"/>
      <c r="Q229" s="553"/>
      <c r="R229" s="921"/>
      <c r="T229" s="916"/>
      <c r="AR229" s="941"/>
    </row>
    <row r="230" spans="3:49" ht="13.15" customHeight="1" x14ac:dyDescent="0.2"/>
    <row r="231" spans="3:49" ht="13.15" customHeight="1" x14ac:dyDescent="0.2"/>
    <row r="232" spans="3:49" ht="13.15" customHeight="1" x14ac:dyDescent="0.2">
      <c r="C232" s="317" t="s">
        <v>48</v>
      </c>
      <c r="E232" s="950" t="str">
        <f>tab!F2</f>
        <v>2021/22</v>
      </c>
    </row>
    <row r="233" spans="3:49" ht="13.15" customHeight="1" x14ac:dyDescent="0.2">
      <c r="C233" s="317" t="s">
        <v>125</v>
      </c>
      <c r="E233" s="950">
        <f>tab!G3</f>
        <v>44470</v>
      </c>
    </row>
    <row r="234" spans="3:49" ht="13.15" customHeight="1" x14ac:dyDescent="0.2"/>
    <row r="235" spans="3:49" ht="13.15" customHeight="1" x14ac:dyDescent="0.2">
      <c r="C235" s="928"/>
      <c r="D235" s="374"/>
      <c r="E235" s="562"/>
      <c r="F235" s="349"/>
      <c r="G235" s="929"/>
      <c r="H235" s="930"/>
      <c r="I235" s="930"/>
      <c r="J235" s="931"/>
      <c r="K235" s="347"/>
      <c r="L235" s="930"/>
      <c r="M235" s="349"/>
      <c r="N235" s="349"/>
      <c r="O235" s="349"/>
      <c r="P235" s="932"/>
      <c r="Q235" s="933"/>
      <c r="R235" s="954"/>
      <c r="T235" s="347"/>
      <c r="AM235" s="861"/>
      <c r="AN235" s="861"/>
      <c r="AO235" s="861"/>
      <c r="AP235" s="861"/>
      <c r="AQ235" s="862"/>
      <c r="AR235" s="863"/>
      <c r="AS235" s="864"/>
      <c r="AT235" s="865"/>
      <c r="AU235" s="866"/>
    </row>
    <row r="236" spans="3:49" ht="13.15" customHeight="1" x14ac:dyDescent="0.2">
      <c r="C236" s="935"/>
      <c r="D236" s="1346" t="s">
        <v>126</v>
      </c>
      <c r="E236" s="1347"/>
      <c r="F236" s="1347"/>
      <c r="G236" s="1347"/>
      <c r="H236" s="1347"/>
      <c r="I236" s="1347"/>
      <c r="J236" s="1347"/>
      <c r="K236" s="868"/>
      <c r="L236" s="579" t="s">
        <v>440</v>
      </c>
      <c r="M236" s="869"/>
      <c r="N236" s="869"/>
      <c r="O236" s="869"/>
      <c r="P236" s="870"/>
      <c r="Q236" s="579" t="s">
        <v>450</v>
      </c>
      <c r="R236" s="869"/>
      <c r="S236" s="869"/>
      <c r="T236" s="936"/>
      <c r="U236" s="938"/>
      <c r="V236" s="938"/>
      <c r="W236" s="938"/>
      <c r="X236" s="882"/>
      <c r="Y236" s="882"/>
      <c r="Z236" s="882"/>
      <c r="AA236" s="882"/>
      <c r="AB236" s="882"/>
      <c r="AC236" s="909"/>
      <c r="AD236" s="882"/>
      <c r="AE236" s="882"/>
      <c r="AF236" s="882"/>
      <c r="AG236" s="882"/>
      <c r="AH236" s="540"/>
      <c r="AI236" s="540"/>
      <c r="AL236" s="540"/>
      <c r="AT236" s="317"/>
      <c r="AU236" s="317"/>
      <c r="AV236" s="938"/>
      <c r="AW236" s="938"/>
    </row>
    <row r="237" spans="3:49" ht="13.15" customHeight="1" x14ac:dyDescent="0.2">
      <c r="C237" s="406"/>
      <c r="D237" s="871" t="s">
        <v>529</v>
      </c>
      <c r="E237" s="871" t="s">
        <v>88</v>
      </c>
      <c r="F237" s="872" t="s">
        <v>128</v>
      </c>
      <c r="G237" s="873" t="s">
        <v>129</v>
      </c>
      <c r="H237" s="872" t="s">
        <v>130</v>
      </c>
      <c r="I237" s="872" t="s">
        <v>131</v>
      </c>
      <c r="J237" s="874" t="s">
        <v>132</v>
      </c>
      <c r="K237" s="871"/>
      <c r="L237" s="775" t="s">
        <v>441</v>
      </c>
      <c r="M237" s="775" t="s">
        <v>444</v>
      </c>
      <c r="N237" s="775" t="s">
        <v>446</v>
      </c>
      <c r="O237" s="775" t="s">
        <v>443</v>
      </c>
      <c r="P237" s="875" t="s">
        <v>449</v>
      </c>
      <c r="Q237" s="775" t="s">
        <v>133</v>
      </c>
      <c r="R237" s="876" t="s">
        <v>453</v>
      </c>
      <c r="S237" s="877" t="s">
        <v>133</v>
      </c>
      <c r="T237" s="321"/>
      <c r="U237" s="940"/>
      <c r="V237" s="940"/>
      <c r="W237" s="940"/>
      <c r="X237" s="879" t="s">
        <v>139</v>
      </c>
      <c r="Y237" s="880" t="s">
        <v>454</v>
      </c>
      <c r="Z237" s="586" t="s">
        <v>455</v>
      </c>
      <c r="AA237" s="586" t="s">
        <v>455</v>
      </c>
      <c r="AB237" s="586" t="s">
        <v>456</v>
      </c>
      <c r="AC237" s="878" t="s">
        <v>457</v>
      </c>
      <c r="AD237" s="586" t="s">
        <v>458</v>
      </c>
      <c r="AE237" s="586" t="s">
        <v>459</v>
      </c>
      <c r="AF237" s="586" t="s">
        <v>134</v>
      </c>
      <c r="AG237" s="877" t="s">
        <v>135</v>
      </c>
      <c r="AH237" s="881" t="s">
        <v>143</v>
      </c>
      <c r="AI237" s="881" t="s">
        <v>144</v>
      </c>
      <c r="AJ237" s="881" t="s">
        <v>145</v>
      </c>
      <c r="AK237" s="586" t="s">
        <v>146</v>
      </c>
      <c r="AL237" s="879" t="s">
        <v>1</v>
      </c>
      <c r="AT237" s="317"/>
      <c r="AU237" s="317"/>
      <c r="AV237" s="938"/>
      <c r="AW237" s="940"/>
    </row>
    <row r="238" spans="3:49" ht="13.15" customHeight="1" x14ac:dyDescent="0.2">
      <c r="C238" s="381"/>
      <c r="D238" s="883"/>
      <c r="E238" s="871"/>
      <c r="F238" s="872" t="s">
        <v>136</v>
      </c>
      <c r="G238" s="873" t="s">
        <v>137</v>
      </c>
      <c r="H238" s="872"/>
      <c r="I238" s="872"/>
      <c r="J238" s="874" t="s">
        <v>138</v>
      </c>
      <c r="K238" s="871"/>
      <c r="L238" s="775" t="s">
        <v>442</v>
      </c>
      <c r="M238" s="775" t="s">
        <v>445</v>
      </c>
      <c r="N238" s="775" t="s">
        <v>447</v>
      </c>
      <c r="O238" s="775" t="s">
        <v>448</v>
      </c>
      <c r="P238" s="875" t="s">
        <v>141</v>
      </c>
      <c r="Q238" s="586" t="s">
        <v>451</v>
      </c>
      <c r="R238" s="876" t="s">
        <v>452</v>
      </c>
      <c r="S238" s="884" t="s">
        <v>141</v>
      </c>
      <c r="T238" s="321"/>
      <c r="X238" s="586" t="s">
        <v>460</v>
      </c>
      <c r="Y238" s="885">
        <f>tab!C$193</f>
        <v>0.6</v>
      </c>
      <c r="Z238" s="586" t="s">
        <v>461</v>
      </c>
      <c r="AA238" s="586" t="s">
        <v>462</v>
      </c>
      <c r="AB238" s="586" t="s">
        <v>463</v>
      </c>
      <c r="AC238" s="878" t="s">
        <v>464</v>
      </c>
      <c r="AD238" s="586" t="s">
        <v>464</v>
      </c>
      <c r="AE238" s="586" t="s">
        <v>465</v>
      </c>
      <c r="AF238" s="586"/>
      <c r="AG238" s="586" t="s">
        <v>140</v>
      </c>
      <c r="AH238" s="886" t="s">
        <v>147</v>
      </c>
      <c r="AI238" s="886" t="s">
        <v>147</v>
      </c>
      <c r="AJ238" s="881"/>
      <c r="AK238" s="586" t="s">
        <v>1</v>
      </c>
      <c r="AL238" s="879"/>
      <c r="AT238" s="317"/>
      <c r="AU238" s="317"/>
      <c r="AW238" s="894"/>
    </row>
    <row r="239" spans="3:49" ht="13.15" customHeight="1" x14ac:dyDescent="0.2">
      <c r="C239" s="381"/>
      <c r="D239" s="334"/>
      <c r="E239" s="334"/>
      <c r="F239" s="334"/>
      <c r="G239" s="888"/>
      <c r="H239" s="889"/>
      <c r="I239" s="889"/>
      <c r="J239" s="890"/>
      <c r="K239" s="334"/>
      <c r="L239" s="891"/>
      <c r="M239" s="776"/>
      <c r="N239" s="776"/>
      <c r="O239" s="776"/>
      <c r="P239" s="892"/>
      <c r="Q239" s="893"/>
      <c r="R239" s="776"/>
      <c r="S239" s="776"/>
      <c r="T239" s="334"/>
      <c r="X239" s="878"/>
      <c r="Y239" s="878"/>
      <c r="Z239" s="878"/>
      <c r="AA239" s="878"/>
      <c r="AB239" s="878"/>
      <c r="AC239" s="878"/>
      <c r="AD239" s="878"/>
      <c r="AE239" s="878"/>
      <c r="AF239" s="878"/>
      <c r="AG239" s="878"/>
      <c r="AL239" s="879"/>
      <c r="AT239" s="317"/>
      <c r="AU239" s="317"/>
      <c r="AW239" s="894"/>
    </row>
    <row r="240" spans="3:49" ht="13.15" customHeight="1" x14ac:dyDescent="0.2">
      <c r="C240" s="381"/>
      <c r="D240" s="895" t="str">
        <f>IF(op!D128=0,"",op!D128)</f>
        <v/>
      </c>
      <c r="E240" s="895" t="str">
        <f>IF(op!E128=0,"",op!E128)</f>
        <v>piet</v>
      </c>
      <c r="F240" s="390" t="str">
        <f>IF(op!F128="","",op!F128+1)</f>
        <v/>
      </c>
      <c r="G240" s="896">
        <f>IF(op!G128=0,"",op!G128)</f>
        <v>28140</v>
      </c>
      <c r="H240" s="390" t="str">
        <f>IF(op!H128="","",op!H128)</f>
        <v>L11</v>
      </c>
      <c r="I240" s="897">
        <f t="shared" ref="I240:I271" si="113">IF(E240="","",IF(I128=VLOOKUP(H240,Salaris2021,22,FALSE),I128,I128+1))</f>
        <v>11</v>
      </c>
      <c r="J240" s="898">
        <f>IF(op!J128="","",op!J128)</f>
        <v>1</v>
      </c>
      <c r="K240" s="334"/>
      <c r="L240" s="1140" t="str">
        <f>IF(op!L128="","",op!L128)</f>
        <v/>
      </c>
      <c r="M240" s="1140" t="str">
        <f>IF(op!M128="","",op!M128)</f>
        <v/>
      </c>
      <c r="N240" s="899">
        <f>IF(J240="","",IF(J240*40&gt;40,40,J240*40))</f>
        <v>40</v>
      </c>
      <c r="O240" s="900">
        <f>IF(H240="","",IF(I240&lt;4,IF(40*J240&gt;40,40,40*J240),0))</f>
        <v>0</v>
      </c>
      <c r="P240" s="901">
        <f>IF(J240="","",SUM(L240:O240))</f>
        <v>40</v>
      </c>
      <c r="Q240" s="568">
        <f t="shared" ref="Q240:Q271" si="114">IF(J240="","",(1659*J240-P240)*AA240)</f>
        <v>72044.036166365287</v>
      </c>
      <c r="R240" s="902">
        <f>IF(J240="","",(P240*AB240)+Z240*(AC240+AD240*(1-AE240)))</f>
        <v>1779.9638336347198</v>
      </c>
      <c r="S240" s="903">
        <f t="shared" ref="S240:S271" si="115">IF(E240=0,0,SUM(Q240:R240))</f>
        <v>73824</v>
      </c>
      <c r="T240" s="334"/>
      <c r="X240" s="887">
        <f t="shared" ref="X240:X271" si="116">IF(H240="","",VLOOKUP(H240,Salaris2021,I240+1,FALSE))</f>
        <v>3845</v>
      </c>
      <c r="Y240" s="904">
        <f t="shared" ref="Y240:Y271" si="117">$Y$14</f>
        <v>0.6</v>
      </c>
      <c r="Z240" s="905">
        <f>X240*12/1659</f>
        <v>27.811934900542497</v>
      </c>
      <c r="AA240" s="905">
        <f>X240*12*(1+Y240)/1659</f>
        <v>44.499095840867994</v>
      </c>
      <c r="AB240" s="905">
        <f>AA240-Z240</f>
        <v>16.687160940325498</v>
      </c>
      <c r="AC240" s="906">
        <f t="shared" ref="AC240:AC271" si="118">N240+O240</f>
        <v>40</v>
      </c>
      <c r="AD240" s="907">
        <f t="shared" ref="AD240:AD271" si="119">SUM(L240:M240)</f>
        <v>0</v>
      </c>
      <c r="AE240" s="904">
        <f>IF(H240&gt;8,tab!C$194,tab!C$197)</f>
        <v>0.5</v>
      </c>
      <c r="AF240" s="907">
        <f t="shared" ref="AF240:AF271" si="120">IF(F240&lt;25,0,IF(F240=25,25,IF(F240&lt;40,0,IF(F240=40,40,IF(F240&gt;=40,0)))))</f>
        <v>0</v>
      </c>
      <c r="AG240" s="887">
        <f t="shared" ref="AG240:AG271" si="121">IF(AF240=25,(X240*1.08*J240/2),IF(AF240=40,(Y240*1.08*J240),IF(AF240=0,0)))</f>
        <v>0</v>
      </c>
      <c r="AH240" s="908" t="b">
        <f t="shared" ref="AH240:AH271" si="122">DATE(YEAR($E$233),MONTH(G240),DAY(G240))&gt;$E$233</f>
        <v>0</v>
      </c>
      <c r="AI240" s="815">
        <f t="shared" ref="AI240:AI271" si="123">YEAR($E$233)-YEAR(G240)-AH240</f>
        <v>44</v>
      </c>
      <c r="AJ240" s="540">
        <f t="shared" ref="AJ240:AJ271" si="124">IF((G240=""),30,AI240)</f>
        <v>44</v>
      </c>
      <c r="AK240" s="540">
        <f t="shared" ref="AK240:AK303" si="125">IF((AJ240)&gt;50,50,(AJ240))</f>
        <v>44</v>
      </c>
      <c r="AL240" s="909">
        <f t="shared" ref="AL240:AL271" si="126">(AK240*(SUM(J240:J240)))</f>
        <v>44</v>
      </c>
      <c r="AN240" s="539">
        <f t="shared" ref="AN240:AN303" si="127">IF(AND(AL240&gt;0.01,AL240&lt;50.01),1,0)</f>
        <v>1</v>
      </c>
      <c r="AR240" s="941"/>
    </row>
    <row r="241" spans="3:47" ht="13.15" customHeight="1" x14ac:dyDescent="0.2">
      <c r="C241" s="381"/>
      <c r="D241" s="895" t="str">
        <f>IF(op!D129=0,"",op!D129)</f>
        <v/>
      </c>
      <c r="E241" s="895" t="str">
        <f>IF(op!E129=0,"",op!E129)</f>
        <v/>
      </c>
      <c r="F241" s="390" t="str">
        <f>IF(op!F129="","",op!F129+1)</f>
        <v/>
      </c>
      <c r="G241" s="896" t="str">
        <f>IF(op!G129=0,"",op!G129)</f>
        <v/>
      </c>
      <c r="H241" s="390" t="str">
        <f>IF(op!H129="","",op!H129)</f>
        <v/>
      </c>
      <c r="I241" s="897" t="str">
        <f t="shared" si="113"/>
        <v/>
      </c>
      <c r="J241" s="898" t="str">
        <f>IF(op!J129="","",op!J129)</f>
        <v/>
      </c>
      <c r="K241" s="334"/>
      <c r="L241" s="1140" t="str">
        <f>IF(op!L129="","",op!L129)</f>
        <v/>
      </c>
      <c r="M241" s="1140" t="str">
        <f>IF(op!M129="","",op!M129)</f>
        <v/>
      </c>
      <c r="N241" s="899" t="str">
        <f t="shared" ref="N241:N304" si="128">IF(J241="","",IF(J241*40&gt;40,40,J241*40))</f>
        <v/>
      </c>
      <c r="O241" s="900" t="str">
        <f t="shared" ref="O241:O304" si="129">IF(H241="","",IF(I241&lt;4,IF(40*J241&gt;40,40,40*J241),0))</f>
        <v/>
      </c>
      <c r="P241" s="901" t="str">
        <f t="shared" ref="P241:P304" si="130">IF(J241="","",SUM(L241:O241))</f>
        <v/>
      </c>
      <c r="Q241" s="568" t="str">
        <f t="shared" si="114"/>
        <v/>
      </c>
      <c r="R241" s="902" t="str">
        <f t="shared" ref="R241:R304" si="131">IF(J241="","",(P241*AB241)+Z241*(AC241+AD241*(1-AE241)))</f>
        <v/>
      </c>
      <c r="S241" s="903">
        <f t="shared" si="115"/>
        <v>0</v>
      </c>
      <c r="T241" s="334"/>
      <c r="X241" s="887" t="str">
        <f t="shared" si="116"/>
        <v/>
      </c>
      <c r="Y241" s="904">
        <f t="shared" si="117"/>
        <v>0.6</v>
      </c>
      <c r="Z241" s="905" t="e">
        <f t="shared" ref="Z241:Z304" si="132">X241*12/1659</f>
        <v>#VALUE!</v>
      </c>
      <c r="AA241" s="905" t="e">
        <f t="shared" ref="AA241:AA304" si="133">X241*12*(1+Y241)/1659</f>
        <v>#VALUE!</v>
      </c>
      <c r="AB241" s="905" t="e">
        <f t="shared" ref="AB241:AB304" si="134">AA241-Z241</f>
        <v>#VALUE!</v>
      </c>
      <c r="AC241" s="906" t="e">
        <f t="shared" si="118"/>
        <v>#VALUE!</v>
      </c>
      <c r="AD241" s="907">
        <f t="shared" si="119"/>
        <v>0</v>
      </c>
      <c r="AE241" s="904">
        <f>IF(H241&gt;8,tab!C$194,tab!C$197)</f>
        <v>0.5</v>
      </c>
      <c r="AF241" s="907">
        <f t="shared" si="120"/>
        <v>0</v>
      </c>
      <c r="AG241" s="887">
        <f t="shared" si="121"/>
        <v>0</v>
      </c>
      <c r="AH241" s="908" t="e">
        <f t="shared" si="122"/>
        <v>#VALUE!</v>
      </c>
      <c r="AI241" s="815" t="e">
        <f t="shared" si="123"/>
        <v>#VALUE!</v>
      </c>
      <c r="AJ241" s="540">
        <f t="shared" si="124"/>
        <v>30</v>
      </c>
      <c r="AK241" s="540">
        <f t="shared" si="125"/>
        <v>30</v>
      </c>
      <c r="AL241" s="909">
        <f t="shared" si="126"/>
        <v>0</v>
      </c>
      <c r="AN241" s="539">
        <f t="shared" si="127"/>
        <v>0</v>
      </c>
      <c r="AR241" s="941"/>
      <c r="AT241" s="317"/>
      <c r="AU241" s="317"/>
    </row>
    <row r="242" spans="3:47" ht="13.15" customHeight="1" x14ac:dyDescent="0.2">
      <c r="C242" s="381"/>
      <c r="D242" s="895" t="str">
        <f>IF(op!D130=0,"",op!D130)</f>
        <v/>
      </c>
      <c r="E242" s="895" t="str">
        <f>IF(op!E130=0,"",op!E130)</f>
        <v/>
      </c>
      <c r="F242" s="390" t="str">
        <f>IF(op!F130="","",op!F130+1)</f>
        <v/>
      </c>
      <c r="G242" s="896" t="str">
        <f>IF(op!G130=0,"",op!G130)</f>
        <v/>
      </c>
      <c r="H242" s="390" t="str">
        <f>IF(op!H130="","",op!H130)</f>
        <v/>
      </c>
      <c r="I242" s="897" t="str">
        <f t="shared" si="113"/>
        <v/>
      </c>
      <c r="J242" s="898" t="str">
        <f>IF(op!J130="","",op!J130)</f>
        <v/>
      </c>
      <c r="K242" s="334"/>
      <c r="L242" s="1140" t="str">
        <f>IF(op!L130="","",op!L130)</f>
        <v/>
      </c>
      <c r="M242" s="1140" t="str">
        <f>IF(op!M130="","",op!M130)</f>
        <v/>
      </c>
      <c r="N242" s="899" t="str">
        <f t="shared" si="128"/>
        <v/>
      </c>
      <c r="O242" s="900" t="str">
        <f t="shared" si="129"/>
        <v/>
      </c>
      <c r="P242" s="901" t="str">
        <f t="shared" si="130"/>
        <v/>
      </c>
      <c r="Q242" s="568" t="str">
        <f t="shared" si="114"/>
        <v/>
      </c>
      <c r="R242" s="902" t="str">
        <f t="shared" si="131"/>
        <v/>
      </c>
      <c r="S242" s="903">
        <f t="shared" si="115"/>
        <v>0</v>
      </c>
      <c r="T242" s="334"/>
      <c r="X242" s="887" t="str">
        <f t="shared" si="116"/>
        <v/>
      </c>
      <c r="Y242" s="904">
        <f t="shared" si="117"/>
        <v>0.6</v>
      </c>
      <c r="Z242" s="905" t="e">
        <f t="shared" si="132"/>
        <v>#VALUE!</v>
      </c>
      <c r="AA242" s="905" t="e">
        <f t="shared" si="133"/>
        <v>#VALUE!</v>
      </c>
      <c r="AB242" s="905" t="e">
        <f t="shared" si="134"/>
        <v>#VALUE!</v>
      </c>
      <c r="AC242" s="906" t="e">
        <f t="shared" si="118"/>
        <v>#VALUE!</v>
      </c>
      <c r="AD242" s="907">
        <f t="shared" si="119"/>
        <v>0</v>
      </c>
      <c r="AE242" s="904">
        <f>IF(H242&gt;8,tab!C$194,tab!C$197)</f>
        <v>0.5</v>
      </c>
      <c r="AF242" s="907">
        <f t="shared" si="120"/>
        <v>0</v>
      </c>
      <c r="AG242" s="887">
        <f t="shared" si="121"/>
        <v>0</v>
      </c>
      <c r="AH242" s="908" t="e">
        <f t="shared" si="122"/>
        <v>#VALUE!</v>
      </c>
      <c r="AI242" s="815" t="e">
        <f t="shared" si="123"/>
        <v>#VALUE!</v>
      </c>
      <c r="AJ242" s="540">
        <f t="shared" si="124"/>
        <v>30</v>
      </c>
      <c r="AK242" s="540">
        <f t="shared" si="125"/>
        <v>30</v>
      </c>
      <c r="AL242" s="909">
        <f t="shared" si="126"/>
        <v>0</v>
      </c>
      <c r="AN242" s="539">
        <f t="shared" si="127"/>
        <v>0</v>
      </c>
      <c r="AR242" s="941"/>
      <c r="AT242" s="317"/>
      <c r="AU242" s="317"/>
    </row>
    <row r="243" spans="3:47" ht="13.15" customHeight="1" x14ac:dyDescent="0.2">
      <c r="C243" s="381"/>
      <c r="D243" s="895" t="str">
        <f>IF(op!D131=0,"",op!D131)</f>
        <v/>
      </c>
      <c r="E243" s="895" t="str">
        <f>IF(op!E131=0,"",op!E131)</f>
        <v/>
      </c>
      <c r="F243" s="390" t="str">
        <f>IF(op!F131="","",op!F131+1)</f>
        <v/>
      </c>
      <c r="G243" s="896" t="str">
        <f>IF(op!G131=0,"",op!G131)</f>
        <v/>
      </c>
      <c r="H243" s="390" t="str">
        <f>IF(op!H131="","",op!H131)</f>
        <v/>
      </c>
      <c r="I243" s="897" t="str">
        <f t="shared" si="113"/>
        <v/>
      </c>
      <c r="J243" s="898" t="str">
        <f>IF(op!J131="","",op!J131)</f>
        <v/>
      </c>
      <c r="K243" s="334"/>
      <c r="L243" s="1140" t="str">
        <f>IF(op!L131="","",op!L131)</f>
        <v/>
      </c>
      <c r="M243" s="1140" t="str">
        <f>IF(op!M131="","",op!M131)</f>
        <v/>
      </c>
      <c r="N243" s="899" t="str">
        <f t="shared" si="128"/>
        <v/>
      </c>
      <c r="O243" s="900" t="str">
        <f t="shared" si="129"/>
        <v/>
      </c>
      <c r="P243" s="901" t="str">
        <f t="shared" si="130"/>
        <v/>
      </c>
      <c r="Q243" s="568" t="str">
        <f t="shared" si="114"/>
        <v/>
      </c>
      <c r="R243" s="902" t="str">
        <f t="shared" si="131"/>
        <v/>
      </c>
      <c r="S243" s="903">
        <f t="shared" si="115"/>
        <v>0</v>
      </c>
      <c r="T243" s="334"/>
      <c r="X243" s="887" t="str">
        <f t="shared" si="116"/>
        <v/>
      </c>
      <c r="Y243" s="904">
        <f t="shared" si="117"/>
        <v>0.6</v>
      </c>
      <c r="Z243" s="905" t="e">
        <f t="shared" si="132"/>
        <v>#VALUE!</v>
      </c>
      <c r="AA243" s="905" t="e">
        <f t="shared" si="133"/>
        <v>#VALUE!</v>
      </c>
      <c r="AB243" s="905" t="e">
        <f t="shared" si="134"/>
        <v>#VALUE!</v>
      </c>
      <c r="AC243" s="906" t="e">
        <f t="shared" si="118"/>
        <v>#VALUE!</v>
      </c>
      <c r="AD243" s="907">
        <f t="shared" si="119"/>
        <v>0</v>
      </c>
      <c r="AE243" s="904">
        <f>IF(H243&gt;8,tab!C$194,tab!C$197)</f>
        <v>0.5</v>
      </c>
      <c r="AF243" s="907">
        <f t="shared" si="120"/>
        <v>0</v>
      </c>
      <c r="AG243" s="887">
        <f t="shared" si="121"/>
        <v>0</v>
      </c>
      <c r="AH243" s="908" t="e">
        <f t="shared" si="122"/>
        <v>#VALUE!</v>
      </c>
      <c r="AI243" s="815" t="e">
        <f t="shared" si="123"/>
        <v>#VALUE!</v>
      </c>
      <c r="AJ243" s="540">
        <f t="shared" si="124"/>
        <v>30</v>
      </c>
      <c r="AK243" s="540">
        <f t="shared" si="125"/>
        <v>30</v>
      </c>
      <c r="AL243" s="909">
        <f t="shared" si="126"/>
        <v>0</v>
      </c>
      <c r="AN243" s="539">
        <f t="shared" si="127"/>
        <v>0</v>
      </c>
      <c r="AR243" s="941"/>
      <c r="AT243" s="317"/>
      <c r="AU243" s="317"/>
    </row>
    <row r="244" spans="3:47" ht="13.15" customHeight="1" x14ac:dyDescent="0.2">
      <c r="C244" s="381"/>
      <c r="D244" s="895" t="str">
        <f>IF(op!D132=0,"",op!D132)</f>
        <v/>
      </c>
      <c r="E244" s="895" t="str">
        <f>IF(op!E132=0,"",op!E132)</f>
        <v/>
      </c>
      <c r="F244" s="390" t="str">
        <f>IF(op!F132="","",op!F132+1)</f>
        <v/>
      </c>
      <c r="G244" s="896" t="str">
        <f>IF(op!G132=0,"",op!G132)</f>
        <v/>
      </c>
      <c r="H244" s="390" t="str">
        <f>IF(op!H132="","",op!H132)</f>
        <v/>
      </c>
      <c r="I244" s="897" t="str">
        <f t="shared" si="113"/>
        <v/>
      </c>
      <c r="J244" s="898" t="str">
        <f>IF(op!J132="","",op!J132)</f>
        <v/>
      </c>
      <c r="K244" s="334"/>
      <c r="L244" s="1140" t="str">
        <f>IF(op!L132="","",op!L132)</f>
        <v/>
      </c>
      <c r="M244" s="1140" t="str">
        <f>IF(op!M132="","",op!M132)</f>
        <v/>
      </c>
      <c r="N244" s="899" t="str">
        <f t="shared" si="128"/>
        <v/>
      </c>
      <c r="O244" s="900" t="str">
        <f t="shared" si="129"/>
        <v/>
      </c>
      <c r="P244" s="901" t="str">
        <f t="shared" si="130"/>
        <v/>
      </c>
      <c r="Q244" s="568" t="str">
        <f t="shared" si="114"/>
        <v/>
      </c>
      <c r="R244" s="902" t="str">
        <f t="shared" si="131"/>
        <v/>
      </c>
      <c r="S244" s="903">
        <f t="shared" si="115"/>
        <v>0</v>
      </c>
      <c r="T244" s="334"/>
      <c r="X244" s="887" t="str">
        <f t="shared" si="116"/>
        <v/>
      </c>
      <c r="Y244" s="904">
        <f t="shared" si="117"/>
        <v>0.6</v>
      </c>
      <c r="Z244" s="905" t="e">
        <f t="shared" si="132"/>
        <v>#VALUE!</v>
      </c>
      <c r="AA244" s="905" t="e">
        <f t="shared" si="133"/>
        <v>#VALUE!</v>
      </c>
      <c r="AB244" s="905" t="e">
        <f t="shared" si="134"/>
        <v>#VALUE!</v>
      </c>
      <c r="AC244" s="906" t="e">
        <f t="shared" si="118"/>
        <v>#VALUE!</v>
      </c>
      <c r="AD244" s="907">
        <f t="shared" si="119"/>
        <v>0</v>
      </c>
      <c r="AE244" s="904">
        <f>IF(H244&gt;8,tab!C$194,tab!C$197)</f>
        <v>0.5</v>
      </c>
      <c r="AF244" s="907">
        <f t="shared" si="120"/>
        <v>0</v>
      </c>
      <c r="AG244" s="887">
        <f t="shared" si="121"/>
        <v>0</v>
      </c>
      <c r="AH244" s="908" t="e">
        <f t="shared" si="122"/>
        <v>#VALUE!</v>
      </c>
      <c r="AI244" s="815" t="e">
        <f t="shared" si="123"/>
        <v>#VALUE!</v>
      </c>
      <c r="AJ244" s="540">
        <f t="shared" si="124"/>
        <v>30</v>
      </c>
      <c r="AK244" s="540">
        <f t="shared" si="125"/>
        <v>30</v>
      </c>
      <c r="AL244" s="909">
        <f t="shared" si="126"/>
        <v>0</v>
      </c>
      <c r="AN244" s="539">
        <f t="shared" si="127"/>
        <v>0</v>
      </c>
      <c r="AR244" s="941"/>
      <c r="AT244" s="317"/>
      <c r="AU244" s="317"/>
    </row>
    <row r="245" spans="3:47" ht="13.15" customHeight="1" x14ac:dyDescent="0.2">
      <c r="C245" s="381"/>
      <c r="D245" s="895" t="str">
        <f>IF(op!D133=0,"",op!D133)</f>
        <v/>
      </c>
      <c r="E245" s="895" t="str">
        <f>IF(op!E133=0,"",op!E133)</f>
        <v/>
      </c>
      <c r="F245" s="390" t="str">
        <f>IF(op!F133="","",op!F133+1)</f>
        <v/>
      </c>
      <c r="G245" s="896" t="str">
        <f>IF(op!G133=0,"",op!G133)</f>
        <v/>
      </c>
      <c r="H245" s="390" t="str">
        <f>IF(op!H133="","",op!H133)</f>
        <v/>
      </c>
      <c r="I245" s="897" t="str">
        <f t="shared" si="113"/>
        <v/>
      </c>
      <c r="J245" s="898" t="str">
        <f>IF(op!J133="","",op!J133)</f>
        <v/>
      </c>
      <c r="K245" s="334"/>
      <c r="L245" s="1140" t="str">
        <f>IF(op!L133="","",op!L133)</f>
        <v/>
      </c>
      <c r="M245" s="1140" t="str">
        <f>IF(op!M133="","",op!M133)</f>
        <v/>
      </c>
      <c r="N245" s="899" t="str">
        <f t="shared" si="128"/>
        <v/>
      </c>
      <c r="O245" s="900" t="str">
        <f t="shared" si="129"/>
        <v/>
      </c>
      <c r="P245" s="901" t="str">
        <f t="shared" si="130"/>
        <v/>
      </c>
      <c r="Q245" s="568" t="str">
        <f t="shared" si="114"/>
        <v/>
      </c>
      <c r="R245" s="902" t="str">
        <f t="shared" si="131"/>
        <v/>
      </c>
      <c r="S245" s="903">
        <f t="shared" si="115"/>
        <v>0</v>
      </c>
      <c r="T245" s="334"/>
      <c r="X245" s="887" t="str">
        <f t="shared" si="116"/>
        <v/>
      </c>
      <c r="Y245" s="904">
        <f t="shared" si="117"/>
        <v>0.6</v>
      </c>
      <c r="Z245" s="905" t="e">
        <f t="shared" si="132"/>
        <v>#VALUE!</v>
      </c>
      <c r="AA245" s="905" t="e">
        <f t="shared" si="133"/>
        <v>#VALUE!</v>
      </c>
      <c r="AB245" s="905" t="e">
        <f t="shared" si="134"/>
        <v>#VALUE!</v>
      </c>
      <c r="AC245" s="906" t="e">
        <f t="shared" si="118"/>
        <v>#VALUE!</v>
      </c>
      <c r="AD245" s="907">
        <f t="shared" si="119"/>
        <v>0</v>
      </c>
      <c r="AE245" s="904">
        <f>IF(H245&gt;8,tab!C$194,tab!C$197)</f>
        <v>0.5</v>
      </c>
      <c r="AF245" s="907">
        <f t="shared" si="120"/>
        <v>0</v>
      </c>
      <c r="AG245" s="887">
        <f t="shared" si="121"/>
        <v>0</v>
      </c>
      <c r="AH245" s="908" t="e">
        <f t="shared" si="122"/>
        <v>#VALUE!</v>
      </c>
      <c r="AI245" s="815" t="e">
        <f t="shared" si="123"/>
        <v>#VALUE!</v>
      </c>
      <c r="AJ245" s="540">
        <f t="shared" si="124"/>
        <v>30</v>
      </c>
      <c r="AK245" s="540">
        <f t="shared" si="125"/>
        <v>30</v>
      </c>
      <c r="AL245" s="909">
        <f t="shared" si="126"/>
        <v>0</v>
      </c>
      <c r="AN245" s="539">
        <f t="shared" si="127"/>
        <v>0</v>
      </c>
      <c r="AR245" s="941"/>
      <c r="AT245" s="317"/>
      <c r="AU245" s="317"/>
    </row>
    <row r="246" spans="3:47" ht="13.15" customHeight="1" x14ac:dyDescent="0.2">
      <c r="C246" s="381"/>
      <c r="D246" s="895" t="str">
        <f>IF(op!D134=0,"",op!D134)</f>
        <v/>
      </c>
      <c r="E246" s="895" t="str">
        <f>IF(op!E134=0,"",op!E134)</f>
        <v/>
      </c>
      <c r="F246" s="390" t="str">
        <f>IF(op!F134="","",op!F134+1)</f>
        <v/>
      </c>
      <c r="G246" s="896" t="str">
        <f>IF(op!G134=0,"",op!G134)</f>
        <v/>
      </c>
      <c r="H246" s="390" t="str">
        <f>IF(op!H134="","",op!H134)</f>
        <v/>
      </c>
      <c r="I246" s="897" t="str">
        <f t="shared" si="113"/>
        <v/>
      </c>
      <c r="J246" s="898" t="str">
        <f>IF(op!J134="","",op!J134)</f>
        <v/>
      </c>
      <c r="K246" s="334"/>
      <c r="L246" s="1140" t="str">
        <f>IF(op!L134="","",op!L134)</f>
        <v/>
      </c>
      <c r="M246" s="1140" t="str">
        <f>IF(op!M134="","",op!M134)</f>
        <v/>
      </c>
      <c r="N246" s="899" t="str">
        <f t="shared" si="128"/>
        <v/>
      </c>
      <c r="O246" s="900" t="str">
        <f t="shared" si="129"/>
        <v/>
      </c>
      <c r="P246" s="901" t="str">
        <f t="shared" si="130"/>
        <v/>
      </c>
      <c r="Q246" s="568" t="str">
        <f t="shared" si="114"/>
        <v/>
      </c>
      <c r="R246" s="902" t="str">
        <f t="shared" si="131"/>
        <v/>
      </c>
      <c r="S246" s="903">
        <f t="shared" si="115"/>
        <v>0</v>
      </c>
      <c r="T246" s="334"/>
      <c r="X246" s="887" t="str">
        <f t="shared" si="116"/>
        <v/>
      </c>
      <c r="Y246" s="904">
        <f t="shared" si="117"/>
        <v>0.6</v>
      </c>
      <c r="Z246" s="905" t="e">
        <f t="shared" si="132"/>
        <v>#VALUE!</v>
      </c>
      <c r="AA246" s="905" t="e">
        <f t="shared" si="133"/>
        <v>#VALUE!</v>
      </c>
      <c r="AB246" s="905" t="e">
        <f t="shared" si="134"/>
        <v>#VALUE!</v>
      </c>
      <c r="AC246" s="906" t="e">
        <f t="shared" si="118"/>
        <v>#VALUE!</v>
      </c>
      <c r="AD246" s="907">
        <f t="shared" si="119"/>
        <v>0</v>
      </c>
      <c r="AE246" s="904">
        <f>IF(H246&gt;8,tab!C$194,tab!C$197)</f>
        <v>0.5</v>
      </c>
      <c r="AF246" s="907">
        <f t="shared" si="120"/>
        <v>0</v>
      </c>
      <c r="AG246" s="887">
        <f t="shared" si="121"/>
        <v>0</v>
      </c>
      <c r="AH246" s="908" t="e">
        <f t="shared" si="122"/>
        <v>#VALUE!</v>
      </c>
      <c r="AI246" s="815" t="e">
        <f t="shared" si="123"/>
        <v>#VALUE!</v>
      </c>
      <c r="AJ246" s="540">
        <f t="shared" si="124"/>
        <v>30</v>
      </c>
      <c r="AK246" s="540">
        <f t="shared" si="125"/>
        <v>30</v>
      </c>
      <c r="AL246" s="909">
        <f t="shared" si="126"/>
        <v>0</v>
      </c>
      <c r="AN246" s="539">
        <f t="shared" si="127"/>
        <v>0</v>
      </c>
      <c r="AR246" s="941"/>
      <c r="AT246" s="317"/>
      <c r="AU246" s="317"/>
    </row>
    <row r="247" spans="3:47" ht="13.15" customHeight="1" x14ac:dyDescent="0.2">
      <c r="C247" s="381"/>
      <c r="D247" s="895" t="str">
        <f>IF(op!D135=0,"",op!D135)</f>
        <v/>
      </c>
      <c r="E247" s="895" t="str">
        <f>IF(op!E135=0,"",op!E135)</f>
        <v/>
      </c>
      <c r="F247" s="390" t="str">
        <f>IF(op!F135="","",op!F135+1)</f>
        <v/>
      </c>
      <c r="G247" s="896" t="str">
        <f>IF(op!G135=0,"",op!G135)</f>
        <v/>
      </c>
      <c r="H247" s="390" t="str">
        <f>IF(op!H135="","",op!H135)</f>
        <v/>
      </c>
      <c r="I247" s="897" t="str">
        <f t="shared" si="113"/>
        <v/>
      </c>
      <c r="J247" s="898" t="str">
        <f>IF(op!J135="","",op!J135)</f>
        <v/>
      </c>
      <c r="K247" s="334"/>
      <c r="L247" s="1140" t="str">
        <f>IF(op!L135="","",op!L135)</f>
        <v/>
      </c>
      <c r="M247" s="1140" t="str">
        <f>IF(op!M135="","",op!M135)</f>
        <v/>
      </c>
      <c r="N247" s="899" t="str">
        <f t="shared" si="128"/>
        <v/>
      </c>
      <c r="O247" s="900" t="str">
        <f t="shared" si="129"/>
        <v/>
      </c>
      <c r="P247" s="901" t="str">
        <f t="shared" si="130"/>
        <v/>
      </c>
      <c r="Q247" s="568" t="str">
        <f t="shared" si="114"/>
        <v/>
      </c>
      <c r="R247" s="902" t="str">
        <f t="shared" si="131"/>
        <v/>
      </c>
      <c r="S247" s="903">
        <f t="shared" si="115"/>
        <v>0</v>
      </c>
      <c r="T247" s="334"/>
      <c r="X247" s="887" t="str">
        <f t="shared" si="116"/>
        <v/>
      </c>
      <c r="Y247" s="904">
        <f t="shared" si="117"/>
        <v>0.6</v>
      </c>
      <c r="Z247" s="905" t="e">
        <f t="shared" si="132"/>
        <v>#VALUE!</v>
      </c>
      <c r="AA247" s="905" t="e">
        <f t="shared" si="133"/>
        <v>#VALUE!</v>
      </c>
      <c r="AB247" s="905" t="e">
        <f t="shared" si="134"/>
        <v>#VALUE!</v>
      </c>
      <c r="AC247" s="906" t="e">
        <f t="shared" si="118"/>
        <v>#VALUE!</v>
      </c>
      <c r="AD247" s="907">
        <f t="shared" si="119"/>
        <v>0</v>
      </c>
      <c r="AE247" s="904">
        <f>IF(H247&gt;8,tab!C$194,tab!C$197)</f>
        <v>0.5</v>
      </c>
      <c r="AF247" s="907">
        <f t="shared" si="120"/>
        <v>0</v>
      </c>
      <c r="AG247" s="887">
        <f t="shared" si="121"/>
        <v>0</v>
      </c>
      <c r="AH247" s="908" t="e">
        <f t="shared" si="122"/>
        <v>#VALUE!</v>
      </c>
      <c r="AI247" s="815" t="e">
        <f t="shared" si="123"/>
        <v>#VALUE!</v>
      </c>
      <c r="AJ247" s="540">
        <f t="shared" si="124"/>
        <v>30</v>
      </c>
      <c r="AK247" s="540">
        <f t="shared" si="125"/>
        <v>30</v>
      </c>
      <c r="AL247" s="909">
        <f t="shared" si="126"/>
        <v>0</v>
      </c>
      <c r="AN247" s="539">
        <f t="shared" si="127"/>
        <v>0</v>
      </c>
      <c r="AR247" s="941"/>
      <c r="AT247" s="317"/>
      <c r="AU247" s="317"/>
    </row>
    <row r="248" spans="3:47" ht="13.15" customHeight="1" x14ac:dyDescent="0.2">
      <c r="C248" s="381"/>
      <c r="D248" s="895" t="str">
        <f>IF(op!D136=0,"",op!D136)</f>
        <v/>
      </c>
      <c r="E248" s="895" t="str">
        <f>IF(op!E136=0,"",op!E136)</f>
        <v/>
      </c>
      <c r="F248" s="390" t="str">
        <f>IF(op!F136="","",op!F136+1)</f>
        <v/>
      </c>
      <c r="G248" s="896" t="str">
        <f>IF(op!G136=0,"",op!G136)</f>
        <v/>
      </c>
      <c r="H248" s="390" t="str">
        <f>IF(op!H136="","",op!H136)</f>
        <v/>
      </c>
      <c r="I248" s="897" t="str">
        <f t="shared" si="113"/>
        <v/>
      </c>
      <c r="J248" s="898" t="str">
        <f>IF(op!J136="","",op!J136)</f>
        <v/>
      </c>
      <c r="K248" s="334"/>
      <c r="L248" s="1140" t="str">
        <f>IF(op!L136="","",op!L136)</f>
        <v/>
      </c>
      <c r="M248" s="1140" t="str">
        <f>IF(op!M136="","",op!M136)</f>
        <v/>
      </c>
      <c r="N248" s="899" t="str">
        <f t="shared" si="128"/>
        <v/>
      </c>
      <c r="O248" s="900" t="str">
        <f t="shared" si="129"/>
        <v/>
      </c>
      <c r="P248" s="901" t="str">
        <f t="shared" si="130"/>
        <v/>
      </c>
      <c r="Q248" s="568" t="str">
        <f t="shared" si="114"/>
        <v/>
      </c>
      <c r="R248" s="902" t="str">
        <f t="shared" si="131"/>
        <v/>
      </c>
      <c r="S248" s="903">
        <f t="shared" si="115"/>
        <v>0</v>
      </c>
      <c r="T248" s="334"/>
      <c r="X248" s="887" t="str">
        <f t="shared" si="116"/>
        <v/>
      </c>
      <c r="Y248" s="904">
        <f t="shared" si="117"/>
        <v>0.6</v>
      </c>
      <c r="Z248" s="905" t="e">
        <f t="shared" si="132"/>
        <v>#VALUE!</v>
      </c>
      <c r="AA248" s="905" t="e">
        <f t="shared" si="133"/>
        <v>#VALUE!</v>
      </c>
      <c r="AB248" s="905" t="e">
        <f t="shared" si="134"/>
        <v>#VALUE!</v>
      </c>
      <c r="AC248" s="906" t="e">
        <f t="shared" si="118"/>
        <v>#VALUE!</v>
      </c>
      <c r="AD248" s="907">
        <f t="shared" si="119"/>
        <v>0</v>
      </c>
      <c r="AE248" s="904">
        <f>IF(H248&gt;8,tab!C$194,tab!C$197)</f>
        <v>0.5</v>
      </c>
      <c r="AF248" s="907">
        <f t="shared" si="120"/>
        <v>0</v>
      </c>
      <c r="AG248" s="887">
        <f t="shared" si="121"/>
        <v>0</v>
      </c>
      <c r="AH248" s="908" t="e">
        <f t="shared" si="122"/>
        <v>#VALUE!</v>
      </c>
      <c r="AI248" s="815" t="e">
        <f t="shared" si="123"/>
        <v>#VALUE!</v>
      </c>
      <c r="AJ248" s="540">
        <f t="shared" si="124"/>
        <v>30</v>
      </c>
      <c r="AK248" s="540">
        <f t="shared" si="125"/>
        <v>30</v>
      </c>
      <c r="AL248" s="909">
        <f t="shared" si="126"/>
        <v>0</v>
      </c>
      <c r="AN248" s="539">
        <f t="shared" si="127"/>
        <v>0</v>
      </c>
      <c r="AR248" s="941"/>
      <c r="AT248" s="317"/>
      <c r="AU248" s="317"/>
    </row>
    <row r="249" spans="3:47" ht="13.15" customHeight="1" x14ac:dyDescent="0.2">
      <c r="C249" s="381"/>
      <c r="D249" s="895" t="str">
        <f>IF(op!D137=0,"",op!D137)</f>
        <v/>
      </c>
      <c r="E249" s="895" t="str">
        <f>IF(op!E137=0,"",op!E137)</f>
        <v/>
      </c>
      <c r="F249" s="390" t="str">
        <f>IF(op!F137="","",op!F137+1)</f>
        <v/>
      </c>
      <c r="G249" s="896" t="str">
        <f>IF(op!G137=0,"",op!G137)</f>
        <v/>
      </c>
      <c r="H249" s="390" t="str">
        <f>IF(op!H137="","",op!H137)</f>
        <v/>
      </c>
      <c r="I249" s="897" t="str">
        <f t="shared" si="113"/>
        <v/>
      </c>
      <c r="J249" s="898" t="str">
        <f>IF(op!J137="","",op!J137)</f>
        <v/>
      </c>
      <c r="K249" s="334"/>
      <c r="L249" s="1140" t="str">
        <f>IF(op!L137="","",op!L137)</f>
        <v/>
      </c>
      <c r="M249" s="1140" t="str">
        <f>IF(op!M137="","",op!M137)</f>
        <v/>
      </c>
      <c r="N249" s="899" t="str">
        <f t="shared" si="128"/>
        <v/>
      </c>
      <c r="O249" s="900" t="str">
        <f t="shared" si="129"/>
        <v/>
      </c>
      <c r="P249" s="901" t="str">
        <f t="shared" si="130"/>
        <v/>
      </c>
      <c r="Q249" s="568" t="str">
        <f t="shared" si="114"/>
        <v/>
      </c>
      <c r="R249" s="902" t="str">
        <f t="shared" si="131"/>
        <v/>
      </c>
      <c r="S249" s="903">
        <f t="shared" si="115"/>
        <v>0</v>
      </c>
      <c r="T249" s="334"/>
      <c r="X249" s="887" t="str">
        <f t="shared" si="116"/>
        <v/>
      </c>
      <c r="Y249" s="904">
        <f t="shared" si="117"/>
        <v>0.6</v>
      </c>
      <c r="Z249" s="905" t="e">
        <f t="shared" si="132"/>
        <v>#VALUE!</v>
      </c>
      <c r="AA249" s="905" t="e">
        <f t="shared" si="133"/>
        <v>#VALUE!</v>
      </c>
      <c r="AB249" s="905" t="e">
        <f t="shared" si="134"/>
        <v>#VALUE!</v>
      </c>
      <c r="AC249" s="906" t="e">
        <f t="shared" si="118"/>
        <v>#VALUE!</v>
      </c>
      <c r="AD249" s="907">
        <f t="shared" si="119"/>
        <v>0</v>
      </c>
      <c r="AE249" s="904">
        <f>IF(H249&gt;8,tab!C$194,tab!C$197)</f>
        <v>0.5</v>
      </c>
      <c r="AF249" s="907">
        <f t="shared" si="120"/>
        <v>0</v>
      </c>
      <c r="AG249" s="887">
        <f t="shared" si="121"/>
        <v>0</v>
      </c>
      <c r="AH249" s="908" t="e">
        <f t="shared" si="122"/>
        <v>#VALUE!</v>
      </c>
      <c r="AI249" s="815" t="e">
        <f t="shared" si="123"/>
        <v>#VALUE!</v>
      </c>
      <c r="AJ249" s="540">
        <f t="shared" si="124"/>
        <v>30</v>
      </c>
      <c r="AK249" s="540">
        <f t="shared" si="125"/>
        <v>30</v>
      </c>
      <c r="AL249" s="909">
        <f t="shared" si="126"/>
        <v>0</v>
      </c>
      <c r="AN249" s="539">
        <f t="shared" si="127"/>
        <v>0</v>
      </c>
      <c r="AR249" s="941"/>
      <c r="AT249" s="317"/>
      <c r="AU249" s="317"/>
    </row>
    <row r="250" spans="3:47" ht="13.15" customHeight="1" x14ac:dyDescent="0.2">
      <c r="C250" s="381"/>
      <c r="D250" s="895" t="str">
        <f>IF(op!D138=0,"",op!D138)</f>
        <v/>
      </c>
      <c r="E250" s="895" t="str">
        <f>IF(op!E138=0,"",op!E138)</f>
        <v/>
      </c>
      <c r="F250" s="390" t="str">
        <f>IF(op!F138="","",op!F138+1)</f>
        <v/>
      </c>
      <c r="G250" s="896" t="str">
        <f>IF(op!G138=0,"",op!G138)</f>
        <v/>
      </c>
      <c r="H250" s="390" t="str">
        <f>IF(op!H138="","",op!H138)</f>
        <v/>
      </c>
      <c r="I250" s="897" t="str">
        <f t="shared" si="113"/>
        <v/>
      </c>
      <c r="J250" s="898" t="str">
        <f>IF(op!J138="","",op!J138)</f>
        <v/>
      </c>
      <c r="K250" s="334"/>
      <c r="L250" s="1140" t="str">
        <f>IF(op!L138="","",op!L138)</f>
        <v/>
      </c>
      <c r="M250" s="1140" t="str">
        <f>IF(op!M138="","",op!M138)</f>
        <v/>
      </c>
      <c r="N250" s="899" t="str">
        <f t="shared" si="128"/>
        <v/>
      </c>
      <c r="O250" s="900" t="str">
        <f t="shared" si="129"/>
        <v/>
      </c>
      <c r="P250" s="901" t="str">
        <f t="shared" si="130"/>
        <v/>
      </c>
      <c r="Q250" s="568" t="str">
        <f t="shared" si="114"/>
        <v/>
      </c>
      <c r="R250" s="902" t="str">
        <f t="shared" si="131"/>
        <v/>
      </c>
      <c r="S250" s="903">
        <f t="shared" si="115"/>
        <v>0</v>
      </c>
      <c r="T250" s="334"/>
      <c r="X250" s="887" t="str">
        <f t="shared" si="116"/>
        <v/>
      </c>
      <c r="Y250" s="904">
        <f t="shared" si="117"/>
        <v>0.6</v>
      </c>
      <c r="Z250" s="905" t="e">
        <f t="shared" si="132"/>
        <v>#VALUE!</v>
      </c>
      <c r="AA250" s="905" t="e">
        <f t="shared" si="133"/>
        <v>#VALUE!</v>
      </c>
      <c r="AB250" s="905" t="e">
        <f t="shared" si="134"/>
        <v>#VALUE!</v>
      </c>
      <c r="AC250" s="906" t="e">
        <f t="shared" si="118"/>
        <v>#VALUE!</v>
      </c>
      <c r="AD250" s="907">
        <f t="shared" si="119"/>
        <v>0</v>
      </c>
      <c r="AE250" s="904">
        <f>IF(H250&gt;8,tab!C$194,tab!C$197)</f>
        <v>0.5</v>
      </c>
      <c r="AF250" s="907">
        <f t="shared" si="120"/>
        <v>0</v>
      </c>
      <c r="AG250" s="887">
        <f t="shared" si="121"/>
        <v>0</v>
      </c>
      <c r="AH250" s="908" t="e">
        <f t="shared" si="122"/>
        <v>#VALUE!</v>
      </c>
      <c r="AI250" s="815" t="e">
        <f t="shared" si="123"/>
        <v>#VALUE!</v>
      </c>
      <c r="AJ250" s="540">
        <f t="shared" si="124"/>
        <v>30</v>
      </c>
      <c r="AK250" s="540">
        <f t="shared" si="125"/>
        <v>30</v>
      </c>
      <c r="AL250" s="909">
        <f t="shared" si="126"/>
        <v>0</v>
      </c>
      <c r="AN250" s="539">
        <f t="shared" si="127"/>
        <v>0</v>
      </c>
      <c r="AR250" s="941"/>
      <c r="AT250" s="317"/>
      <c r="AU250" s="317"/>
    </row>
    <row r="251" spans="3:47" ht="13.15" customHeight="1" x14ac:dyDescent="0.2">
      <c r="C251" s="381"/>
      <c r="D251" s="895" t="str">
        <f>IF(op!D139=0,"",op!D139)</f>
        <v/>
      </c>
      <c r="E251" s="895" t="str">
        <f>IF(op!E139=0,"",op!E139)</f>
        <v/>
      </c>
      <c r="F251" s="390" t="str">
        <f>IF(op!F139="","",op!F139+1)</f>
        <v/>
      </c>
      <c r="G251" s="896" t="str">
        <f>IF(op!G139=0,"",op!G139)</f>
        <v/>
      </c>
      <c r="H251" s="390" t="str">
        <f>IF(op!H139="","",op!H139)</f>
        <v/>
      </c>
      <c r="I251" s="897" t="str">
        <f t="shared" si="113"/>
        <v/>
      </c>
      <c r="J251" s="898" t="str">
        <f>IF(op!J139="","",op!J139)</f>
        <v/>
      </c>
      <c r="K251" s="334"/>
      <c r="L251" s="1140" t="str">
        <f>IF(op!L139="","",op!L139)</f>
        <v/>
      </c>
      <c r="M251" s="1140" t="str">
        <f>IF(op!M139="","",op!M139)</f>
        <v/>
      </c>
      <c r="N251" s="899" t="str">
        <f t="shared" si="128"/>
        <v/>
      </c>
      <c r="O251" s="900" t="str">
        <f t="shared" si="129"/>
        <v/>
      </c>
      <c r="P251" s="901" t="str">
        <f t="shared" si="130"/>
        <v/>
      </c>
      <c r="Q251" s="568" t="str">
        <f t="shared" si="114"/>
        <v/>
      </c>
      <c r="R251" s="902" t="str">
        <f t="shared" si="131"/>
        <v/>
      </c>
      <c r="S251" s="903">
        <f t="shared" si="115"/>
        <v>0</v>
      </c>
      <c r="T251" s="334"/>
      <c r="X251" s="887" t="str">
        <f t="shared" si="116"/>
        <v/>
      </c>
      <c r="Y251" s="904">
        <f t="shared" si="117"/>
        <v>0.6</v>
      </c>
      <c r="Z251" s="905" t="e">
        <f t="shared" si="132"/>
        <v>#VALUE!</v>
      </c>
      <c r="AA251" s="905" t="e">
        <f t="shared" si="133"/>
        <v>#VALUE!</v>
      </c>
      <c r="AB251" s="905" t="e">
        <f t="shared" si="134"/>
        <v>#VALUE!</v>
      </c>
      <c r="AC251" s="906" t="e">
        <f t="shared" si="118"/>
        <v>#VALUE!</v>
      </c>
      <c r="AD251" s="907">
        <f t="shared" si="119"/>
        <v>0</v>
      </c>
      <c r="AE251" s="904">
        <f>IF(H251&gt;8,tab!C$194,tab!C$197)</f>
        <v>0.5</v>
      </c>
      <c r="AF251" s="907">
        <f t="shared" si="120"/>
        <v>0</v>
      </c>
      <c r="AG251" s="887">
        <f t="shared" si="121"/>
        <v>0</v>
      </c>
      <c r="AH251" s="908" t="e">
        <f t="shared" si="122"/>
        <v>#VALUE!</v>
      </c>
      <c r="AI251" s="815" t="e">
        <f t="shared" si="123"/>
        <v>#VALUE!</v>
      </c>
      <c r="AJ251" s="540">
        <f t="shared" si="124"/>
        <v>30</v>
      </c>
      <c r="AK251" s="540">
        <f t="shared" si="125"/>
        <v>30</v>
      </c>
      <c r="AL251" s="909">
        <f t="shared" si="126"/>
        <v>0</v>
      </c>
      <c r="AN251" s="539">
        <f t="shared" si="127"/>
        <v>0</v>
      </c>
      <c r="AR251" s="941"/>
      <c r="AT251" s="317"/>
      <c r="AU251" s="317"/>
    </row>
    <row r="252" spans="3:47" ht="13.15" customHeight="1" x14ac:dyDescent="0.2">
      <c r="C252" s="381"/>
      <c r="D252" s="895" t="str">
        <f>IF(op!D140=0,"",op!D140)</f>
        <v/>
      </c>
      <c r="E252" s="895" t="str">
        <f>IF(op!E140=0,"",op!E140)</f>
        <v/>
      </c>
      <c r="F252" s="390" t="str">
        <f>IF(op!F140="","",op!F140+1)</f>
        <v/>
      </c>
      <c r="G252" s="896" t="str">
        <f>IF(op!G140=0,"",op!G140)</f>
        <v/>
      </c>
      <c r="H252" s="390" t="str">
        <f>IF(op!H140="","",op!H140)</f>
        <v/>
      </c>
      <c r="I252" s="897" t="str">
        <f t="shared" si="113"/>
        <v/>
      </c>
      <c r="J252" s="898" t="str">
        <f>IF(op!J140="","",op!J140)</f>
        <v/>
      </c>
      <c r="K252" s="334"/>
      <c r="L252" s="1140" t="str">
        <f>IF(op!L140="","",op!L140)</f>
        <v/>
      </c>
      <c r="M252" s="1140" t="str">
        <f>IF(op!M140="","",op!M140)</f>
        <v/>
      </c>
      <c r="N252" s="899" t="str">
        <f t="shared" si="128"/>
        <v/>
      </c>
      <c r="O252" s="900" t="str">
        <f t="shared" si="129"/>
        <v/>
      </c>
      <c r="P252" s="901" t="str">
        <f t="shared" si="130"/>
        <v/>
      </c>
      <c r="Q252" s="568" t="str">
        <f t="shared" si="114"/>
        <v/>
      </c>
      <c r="R252" s="902" t="str">
        <f t="shared" si="131"/>
        <v/>
      </c>
      <c r="S252" s="903">
        <f t="shared" si="115"/>
        <v>0</v>
      </c>
      <c r="T252" s="334"/>
      <c r="X252" s="887" t="str">
        <f t="shared" si="116"/>
        <v/>
      </c>
      <c r="Y252" s="904">
        <f t="shared" si="117"/>
        <v>0.6</v>
      </c>
      <c r="Z252" s="905" t="e">
        <f t="shared" si="132"/>
        <v>#VALUE!</v>
      </c>
      <c r="AA252" s="905" t="e">
        <f t="shared" si="133"/>
        <v>#VALUE!</v>
      </c>
      <c r="AB252" s="905" t="e">
        <f t="shared" si="134"/>
        <v>#VALUE!</v>
      </c>
      <c r="AC252" s="906" t="e">
        <f t="shared" si="118"/>
        <v>#VALUE!</v>
      </c>
      <c r="AD252" s="907">
        <f t="shared" si="119"/>
        <v>0</v>
      </c>
      <c r="AE252" s="904">
        <f>IF(H252&gt;8,tab!C$194,tab!C$197)</f>
        <v>0.5</v>
      </c>
      <c r="AF252" s="907">
        <f t="shared" si="120"/>
        <v>0</v>
      </c>
      <c r="AG252" s="887">
        <f t="shared" si="121"/>
        <v>0</v>
      </c>
      <c r="AH252" s="908" t="e">
        <f t="shared" si="122"/>
        <v>#VALUE!</v>
      </c>
      <c r="AI252" s="815" t="e">
        <f t="shared" si="123"/>
        <v>#VALUE!</v>
      </c>
      <c r="AJ252" s="540">
        <f t="shared" si="124"/>
        <v>30</v>
      </c>
      <c r="AK252" s="540">
        <f t="shared" si="125"/>
        <v>30</v>
      </c>
      <c r="AL252" s="909">
        <f t="shared" si="126"/>
        <v>0</v>
      </c>
      <c r="AN252" s="539">
        <f t="shared" si="127"/>
        <v>0</v>
      </c>
      <c r="AR252" s="941"/>
      <c r="AT252" s="317"/>
      <c r="AU252" s="317"/>
    </row>
    <row r="253" spans="3:47" ht="13.15" customHeight="1" x14ac:dyDescent="0.2">
      <c r="C253" s="381"/>
      <c r="D253" s="895" t="str">
        <f>IF(op!D141=0,"",op!D141)</f>
        <v/>
      </c>
      <c r="E253" s="895" t="str">
        <f>IF(op!E141=0,"",op!E141)</f>
        <v/>
      </c>
      <c r="F253" s="390" t="str">
        <f>IF(op!F141="","",op!F141+1)</f>
        <v/>
      </c>
      <c r="G253" s="896" t="str">
        <f>IF(op!G141=0,"",op!G141)</f>
        <v/>
      </c>
      <c r="H253" s="390" t="str">
        <f>IF(op!H141="","",op!H141)</f>
        <v/>
      </c>
      <c r="I253" s="897" t="str">
        <f t="shared" si="113"/>
        <v/>
      </c>
      <c r="J253" s="898" t="str">
        <f>IF(op!J141="","",op!J141)</f>
        <v/>
      </c>
      <c r="K253" s="334"/>
      <c r="L253" s="1140" t="str">
        <f>IF(op!L141="","",op!L141)</f>
        <v/>
      </c>
      <c r="M253" s="1140" t="str">
        <f>IF(op!M141="","",op!M141)</f>
        <v/>
      </c>
      <c r="N253" s="899" t="str">
        <f t="shared" si="128"/>
        <v/>
      </c>
      <c r="O253" s="900" t="str">
        <f t="shared" si="129"/>
        <v/>
      </c>
      <c r="P253" s="901" t="str">
        <f t="shared" si="130"/>
        <v/>
      </c>
      <c r="Q253" s="568" t="str">
        <f t="shared" si="114"/>
        <v/>
      </c>
      <c r="R253" s="902" t="str">
        <f t="shared" si="131"/>
        <v/>
      </c>
      <c r="S253" s="903">
        <f t="shared" si="115"/>
        <v>0</v>
      </c>
      <c r="T253" s="334"/>
      <c r="X253" s="887" t="str">
        <f t="shared" si="116"/>
        <v/>
      </c>
      <c r="Y253" s="904">
        <f t="shared" si="117"/>
        <v>0.6</v>
      </c>
      <c r="Z253" s="905" t="e">
        <f t="shared" si="132"/>
        <v>#VALUE!</v>
      </c>
      <c r="AA253" s="905" t="e">
        <f t="shared" si="133"/>
        <v>#VALUE!</v>
      </c>
      <c r="AB253" s="905" t="e">
        <f t="shared" si="134"/>
        <v>#VALUE!</v>
      </c>
      <c r="AC253" s="906" t="e">
        <f t="shared" si="118"/>
        <v>#VALUE!</v>
      </c>
      <c r="AD253" s="907">
        <f t="shared" si="119"/>
        <v>0</v>
      </c>
      <c r="AE253" s="904">
        <f>IF(H253&gt;8,tab!C$194,tab!C$197)</f>
        <v>0.5</v>
      </c>
      <c r="AF253" s="907">
        <f t="shared" si="120"/>
        <v>0</v>
      </c>
      <c r="AG253" s="887">
        <f t="shared" si="121"/>
        <v>0</v>
      </c>
      <c r="AH253" s="908" t="e">
        <f t="shared" si="122"/>
        <v>#VALUE!</v>
      </c>
      <c r="AI253" s="815" t="e">
        <f t="shared" si="123"/>
        <v>#VALUE!</v>
      </c>
      <c r="AJ253" s="540">
        <f t="shared" si="124"/>
        <v>30</v>
      </c>
      <c r="AK253" s="540">
        <f t="shared" si="125"/>
        <v>30</v>
      </c>
      <c r="AL253" s="909">
        <f t="shared" si="126"/>
        <v>0</v>
      </c>
      <c r="AN253" s="539">
        <f t="shared" si="127"/>
        <v>0</v>
      </c>
      <c r="AR253" s="941"/>
      <c r="AT253" s="317"/>
      <c r="AU253" s="317"/>
    </row>
    <row r="254" spans="3:47" ht="13.15" customHeight="1" x14ac:dyDescent="0.2">
      <c r="C254" s="381"/>
      <c r="D254" s="895" t="str">
        <f>IF(op!D142=0,"",op!D142)</f>
        <v/>
      </c>
      <c r="E254" s="895" t="str">
        <f>IF(op!E142=0,"",op!E142)</f>
        <v/>
      </c>
      <c r="F254" s="390" t="str">
        <f>IF(op!F142="","",op!F142+1)</f>
        <v/>
      </c>
      <c r="G254" s="896" t="str">
        <f>IF(op!G142=0,"",op!G142)</f>
        <v/>
      </c>
      <c r="H254" s="390" t="str">
        <f>IF(op!H142="","",op!H142)</f>
        <v/>
      </c>
      <c r="I254" s="897" t="str">
        <f t="shared" si="113"/>
        <v/>
      </c>
      <c r="J254" s="898" t="str">
        <f>IF(op!J142="","",op!J142)</f>
        <v/>
      </c>
      <c r="K254" s="334"/>
      <c r="L254" s="1140" t="str">
        <f>IF(op!L142="","",op!L142)</f>
        <v/>
      </c>
      <c r="M254" s="1140" t="str">
        <f>IF(op!M142="","",op!M142)</f>
        <v/>
      </c>
      <c r="N254" s="899" t="str">
        <f t="shared" si="128"/>
        <v/>
      </c>
      <c r="O254" s="900" t="str">
        <f t="shared" si="129"/>
        <v/>
      </c>
      <c r="P254" s="901" t="str">
        <f t="shared" si="130"/>
        <v/>
      </c>
      <c r="Q254" s="568" t="str">
        <f t="shared" si="114"/>
        <v/>
      </c>
      <c r="R254" s="902" t="str">
        <f t="shared" si="131"/>
        <v/>
      </c>
      <c r="S254" s="903">
        <f t="shared" si="115"/>
        <v>0</v>
      </c>
      <c r="T254" s="334"/>
      <c r="X254" s="887" t="str">
        <f t="shared" si="116"/>
        <v/>
      </c>
      <c r="Y254" s="904">
        <f t="shared" si="117"/>
        <v>0.6</v>
      </c>
      <c r="Z254" s="905" t="e">
        <f t="shared" si="132"/>
        <v>#VALUE!</v>
      </c>
      <c r="AA254" s="905" t="e">
        <f t="shared" si="133"/>
        <v>#VALUE!</v>
      </c>
      <c r="AB254" s="905" t="e">
        <f t="shared" si="134"/>
        <v>#VALUE!</v>
      </c>
      <c r="AC254" s="906" t="e">
        <f t="shared" si="118"/>
        <v>#VALUE!</v>
      </c>
      <c r="AD254" s="907">
        <f t="shared" si="119"/>
        <v>0</v>
      </c>
      <c r="AE254" s="904">
        <f>IF(H254&gt;8,tab!C$194,tab!C$197)</f>
        <v>0.5</v>
      </c>
      <c r="AF254" s="907">
        <f t="shared" si="120"/>
        <v>0</v>
      </c>
      <c r="AG254" s="887">
        <f t="shared" si="121"/>
        <v>0</v>
      </c>
      <c r="AH254" s="908" t="e">
        <f t="shared" si="122"/>
        <v>#VALUE!</v>
      </c>
      <c r="AI254" s="815" t="e">
        <f t="shared" si="123"/>
        <v>#VALUE!</v>
      </c>
      <c r="AJ254" s="540">
        <f t="shared" si="124"/>
        <v>30</v>
      </c>
      <c r="AK254" s="540">
        <f t="shared" si="125"/>
        <v>30</v>
      </c>
      <c r="AL254" s="909">
        <f t="shared" si="126"/>
        <v>0</v>
      </c>
      <c r="AN254" s="539">
        <f t="shared" si="127"/>
        <v>0</v>
      </c>
      <c r="AR254" s="941"/>
      <c r="AT254" s="317"/>
      <c r="AU254" s="317"/>
    </row>
    <row r="255" spans="3:47" ht="13.15" customHeight="1" x14ac:dyDescent="0.2">
      <c r="C255" s="381"/>
      <c r="D255" s="895" t="str">
        <f>IF(op!D143=0,"",op!D143)</f>
        <v/>
      </c>
      <c r="E255" s="895" t="str">
        <f>IF(op!E143=0,"",op!E143)</f>
        <v/>
      </c>
      <c r="F255" s="390" t="str">
        <f>IF(op!F143="","",op!F143+1)</f>
        <v/>
      </c>
      <c r="G255" s="896" t="str">
        <f>IF(op!G143=0,"",op!G143)</f>
        <v/>
      </c>
      <c r="H255" s="390" t="str">
        <f>IF(op!H143="","",op!H143)</f>
        <v/>
      </c>
      <c r="I255" s="897" t="str">
        <f t="shared" si="113"/>
        <v/>
      </c>
      <c r="J255" s="898" t="str">
        <f>IF(op!J143="","",op!J143)</f>
        <v/>
      </c>
      <c r="K255" s="334"/>
      <c r="L255" s="1140" t="str">
        <f>IF(op!L143="","",op!L143)</f>
        <v/>
      </c>
      <c r="M255" s="1140" t="str">
        <f>IF(op!M143="","",op!M143)</f>
        <v/>
      </c>
      <c r="N255" s="899" t="str">
        <f t="shared" si="128"/>
        <v/>
      </c>
      <c r="O255" s="900" t="str">
        <f t="shared" si="129"/>
        <v/>
      </c>
      <c r="P255" s="901" t="str">
        <f t="shared" si="130"/>
        <v/>
      </c>
      <c r="Q255" s="568" t="str">
        <f t="shared" si="114"/>
        <v/>
      </c>
      <c r="R255" s="902" t="str">
        <f t="shared" si="131"/>
        <v/>
      </c>
      <c r="S255" s="903">
        <f t="shared" si="115"/>
        <v>0</v>
      </c>
      <c r="T255" s="334"/>
      <c r="X255" s="887" t="str">
        <f t="shared" si="116"/>
        <v/>
      </c>
      <c r="Y255" s="904">
        <f t="shared" si="117"/>
        <v>0.6</v>
      </c>
      <c r="Z255" s="905" t="e">
        <f t="shared" si="132"/>
        <v>#VALUE!</v>
      </c>
      <c r="AA255" s="905" t="e">
        <f t="shared" si="133"/>
        <v>#VALUE!</v>
      </c>
      <c r="AB255" s="905" t="e">
        <f t="shared" si="134"/>
        <v>#VALUE!</v>
      </c>
      <c r="AC255" s="906" t="e">
        <f t="shared" si="118"/>
        <v>#VALUE!</v>
      </c>
      <c r="AD255" s="907">
        <f t="shared" si="119"/>
        <v>0</v>
      </c>
      <c r="AE255" s="904">
        <f>IF(H255&gt;8,tab!C$194,tab!C$197)</f>
        <v>0.5</v>
      </c>
      <c r="AF255" s="907">
        <f t="shared" si="120"/>
        <v>0</v>
      </c>
      <c r="AG255" s="887">
        <f t="shared" si="121"/>
        <v>0</v>
      </c>
      <c r="AH255" s="908" t="e">
        <f t="shared" si="122"/>
        <v>#VALUE!</v>
      </c>
      <c r="AI255" s="815" t="e">
        <f t="shared" si="123"/>
        <v>#VALUE!</v>
      </c>
      <c r="AJ255" s="540">
        <f t="shared" si="124"/>
        <v>30</v>
      </c>
      <c r="AK255" s="540">
        <f t="shared" si="125"/>
        <v>30</v>
      </c>
      <c r="AL255" s="909">
        <f t="shared" si="126"/>
        <v>0</v>
      </c>
      <c r="AN255" s="539">
        <f t="shared" si="127"/>
        <v>0</v>
      </c>
      <c r="AR255" s="941"/>
      <c r="AT255" s="317"/>
      <c r="AU255" s="317"/>
    </row>
    <row r="256" spans="3:47" ht="13.15" customHeight="1" x14ac:dyDescent="0.2">
      <c r="C256" s="381"/>
      <c r="D256" s="895" t="str">
        <f>IF(op!D144=0,"",op!D144)</f>
        <v/>
      </c>
      <c r="E256" s="895" t="str">
        <f>IF(op!E144=0,"",op!E144)</f>
        <v/>
      </c>
      <c r="F256" s="390" t="str">
        <f>IF(op!F144="","",op!F144+1)</f>
        <v/>
      </c>
      <c r="G256" s="896" t="str">
        <f>IF(op!G144=0,"",op!G144)</f>
        <v/>
      </c>
      <c r="H256" s="390" t="str">
        <f>IF(op!H144="","",op!H144)</f>
        <v/>
      </c>
      <c r="I256" s="897" t="str">
        <f t="shared" si="113"/>
        <v/>
      </c>
      <c r="J256" s="898" t="str">
        <f>IF(op!J144="","",op!J144)</f>
        <v/>
      </c>
      <c r="K256" s="334"/>
      <c r="L256" s="1140" t="str">
        <f>IF(op!L144="","",op!L144)</f>
        <v/>
      </c>
      <c r="M256" s="1140" t="str">
        <f>IF(op!M144="","",op!M144)</f>
        <v/>
      </c>
      <c r="N256" s="899" t="str">
        <f t="shared" si="128"/>
        <v/>
      </c>
      <c r="O256" s="900" t="str">
        <f t="shared" si="129"/>
        <v/>
      </c>
      <c r="P256" s="901" t="str">
        <f t="shared" si="130"/>
        <v/>
      </c>
      <c r="Q256" s="568" t="str">
        <f t="shared" si="114"/>
        <v/>
      </c>
      <c r="R256" s="902" t="str">
        <f t="shared" si="131"/>
        <v/>
      </c>
      <c r="S256" s="903">
        <f t="shared" si="115"/>
        <v>0</v>
      </c>
      <c r="T256" s="334"/>
      <c r="X256" s="887" t="str">
        <f t="shared" si="116"/>
        <v/>
      </c>
      <c r="Y256" s="904">
        <f t="shared" si="117"/>
        <v>0.6</v>
      </c>
      <c r="Z256" s="905" t="e">
        <f t="shared" si="132"/>
        <v>#VALUE!</v>
      </c>
      <c r="AA256" s="905" t="e">
        <f t="shared" si="133"/>
        <v>#VALUE!</v>
      </c>
      <c r="AB256" s="905" t="e">
        <f t="shared" si="134"/>
        <v>#VALUE!</v>
      </c>
      <c r="AC256" s="906" t="e">
        <f t="shared" si="118"/>
        <v>#VALUE!</v>
      </c>
      <c r="AD256" s="907">
        <f t="shared" si="119"/>
        <v>0</v>
      </c>
      <c r="AE256" s="904">
        <f>IF(H256&gt;8,tab!C$194,tab!C$197)</f>
        <v>0.5</v>
      </c>
      <c r="AF256" s="907">
        <f t="shared" si="120"/>
        <v>0</v>
      </c>
      <c r="AG256" s="887">
        <f t="shared" si="121"/>
        <v>0</v>
      </c>
      <c r="AH256" s="908" t="e">
        <f t="shared" si="122"/>
        <v>#VALUE!</v>
      </c>
      <c r="AI256" s="815" t="e">
        <f t="shared" si="123"/>
        <v>#VALUE!</v>
      </c>
      <c r="AJ256" s="540">
        <f t="shared" si="124"/>
        <v>30</v>
      </c>
      <c r="AK256" s="540">
        <f t="shared" si="125"/>
        <v>30</v>
      </c>
      <c r="AL256" s="909">
        <f t="shared" si="126"/>
        <v>0</v>
      </c>
      <c r="AN256" s="539">
        <f t="shared" si="127"/>
        <v>0</v>
      </c>
      <c r="AR256" s="941"/>
      <c r="AT256" s="317"/>
      <c r="AU256" s="317"/>
    </row>
    <row r="257" spans="3:47" ht="13.15" customHeight="1" x14ac:dyDescent="0.2">
      <c r="C257" s="381"/>
      <c r="D257" s="895" t="str">
        <f>IF(op!D145=0,"",op!D145)</f>
        <v/>
      </c>
      <c r="E257" s="895" t="str">
        <f>IF(op!E145=0,"",op!E145)</f>
        <v/>
      </c>
      <c r="F257" s="390" t="str">
        <f>IF(op!F145="","",op!F145+1)</f>
        <v/>
      </c>
      <c r="G257" s="896" t="str">
        <f>IF(op!G145=0,"",op!G145)</f>
        <v/>
      </c>
      <c r="H257" s="390" t="str">
        <f>IF(op!H145="","",op!H145)</f>
        <v/>
      </c>
      <c r="I257" s="897" t="str">
        <f t="shared" si="113"/>
        <v/>
      </c>
      <c r="J257" s="898" t="str">
        <f>IF(op!J145="","",op!J145)</f>
        <v/>
      </c>
      <c r="K257" s="334"/>
      <c r="L257" s="1140" t="str">
        <f>IF(op!L145="","",op!L145)</f>
        <v/>
      </c>
      <c r="M257" s="1140" t="str">
        <f>IF(op!M145="","",op!M145)</f>
        <v/>
      </c>
      <c r="N257" s="899" t="str">
        <f t="shared" si="128"/>
        <v/>
      </c>
      <c r="O257" s="900" t="str">
        <f t="shared" si="129"/>
        <v/>
      </c>
      <c r="P257" s="901" t="str">
        <f t="shared" si="130"/>
        <v/>
      </c>
      <c r="Q257" s="568" t="str">
        <f t="shared" si="114"/>
        <v/>
      </c>
      <c r="R257" s="902" t="str">
        <f t="shared" si="131"/>
        <v/>
      </c>
      <c r="S257" s="903">
        <f t="shared" si="115"/>
        <v>0</v>
      </c>
      <c r="T257" s="334"/>
      <c r="X257" s="887" t="str">
        <f t="shared" si="116"/>
        <v/>
      </c>
      <c r="Y257" s="904">
        <f t="shared" si="117"/>
        <v>0.6</v>
      </c>
      <c r="Z257" s="905" t="e">
        <f t="shared" si="132"/>
        <v>#VALUE!</v>
      </c>
      <c r="AA257" s="905" t="e">
        <f t="shared" si="133"/>
        <v>#VALUE!</v>
      </c>
      <c r="AB257" s="905" t="e">
        <f t="shared" si="134"/>
        <v>#VALUE!</v>
      </c>
      <c r="AC257" s="906" t="e">
        <f t="shared" si="118"/>
        <v>#VALUE!</v>
      </c>
      <c r="AD257" s="907">
        <f t="shared" si="119"/>
        <v>0</v>
      </c>
      <c r="AE257" s="904">
        <f>IF(H257&gt;8,tab!C$194,tab!C$197)</f>
        <v>0.5</v>
      </c>
      <c r="AF257" s="907">
        <f t="shared" si="120"/>
        <v>0</v>
      </c>
      <c r="AG257" s="887">
        <f t="shared" si="121"/>
        <v>0</v>
      </c>
      <c r="AH257" s="908" t="e">
        <f t="shared" si="122"/>
        <v>#VALUE!</v>
      </c>
      <c r="AI257" s="815" t="e">
        <f t="shared" si="123"/>
        <v>#VALUE!</v>
      </c>
      <c r="AJ257" s="540">
        <f t="shared" si="124"/>
        <v>30</v>
      </c>
      <c r="AK257" s="540">
        <f t="shared" si="125"/>
        <v>30</v>
      </c>
      <c r="AL257" s="909">
        <f t="shared" si="126"/>
        <v>0</v>
      </c>
      <c r="AN257" s="539">
        <f t="shared" si="127"/>
        <v>0</v>
      </c>
      <c r="AR257" s="941"/>
      <c r="AT257" s="317"/>
      <c r="AU257" s="317"/>
    </row>
    <row r="258" spans="3:47" ht="13.15" customHeight="1" x14ac:dyDescent="0.2">
      <c r="C258" s="381"/>
      <c r="D258" s="895" t="str">
        <f>IF(op!D146=0,"",op!D146)</f>
        <v/>
      </c>
      <c r="E258" s="895" t="str">
        <f>IF(op!E146=0,"",op!E146)</f>
        <v/>
      </c>
      <c r="F258" s="390" t="str">
        <f>IF(op!F146="","",op!F146+1)</f>
        <v/>
      </c>
      <c r="G258" s="896" t="str">
        <f>IF(op!G146=0,"",op!G146)</f>
        <v/>
      </c>
      <c r="H258" s="390" t="str">
        <f>IF(op!H146="","",op!H146)</f>
        <v/>
      </c>
      <c r="I258" s="897" t="str">
        <f t="shared" si="113"/>
        <v/>
      </c>
      <c r="J258" s="898" t="str">
        <f>IF(op!J146="","",op!J146)</f>
        <v/>
      </c>
      <c r="K258" s="334"/>
      <c r="L258" s="1140" t="str">
        <f>IF(op!L146="","",op!L146)</f>
        <v/>
      </c>
      <c r="M258" s="1140" t="str">
        <f>IF(op!M146="","",op!M146)</f>
        <v/>
      </c>
      <c r="N258" s="899" t="str">
        <f t="shared" si="128"/>
        <v/>
      </c>
      <c r="O258" s="900" t="str">
        <f t="shared" si="129"/>
        <v/>
      </c>
      <c r="P258" s="901" t="str">
        <f t="shared" si="130"/>
        <v/>
      </c>
      <c r="Q258" s="568" t="str">
        <f t="shared" si="114"/>
        <v/>
      </c>
      <c r="R258" s="902" t="str">
        <f t="shared" si="131"/>
        <v/>
      </c>
      <c r="S258" s="903">
        <f t="shared" si="115"/>
        <v>0</v>
      </c>
      <c r="T258" s="334"/>
      <c r="X258" s="887" t="str">
        <f t="shared" si="116"/>
        <v/>
      </c>
      <c r="Y258" s="904">
        <f t="shared" si="117"/>
        <v>0.6</v>
      </c>
      <c r="Z258" s="905" t="e">
        <f t="shared" si="132"/>
        <v>#VALUE!</v>
      </c>
      <c r="AA258" s="905" t="e">
        <f t="shared" si="133"/>
        <v>#VALUE!</v>
      </c>
      <c r="AB258" s="905" t="e">
        <f t="shared" si="134"/>
        <v>#VALUE!</v>
      </c>
      <c r="AC258" s="906" t="e">
        <f t="shared" si="118"/>
        <v>#VALUE!</v>
      </c>
      <c r="AD258" s="907">
        <f t="shared" si="119"/>
        <v>0</v>
      </c>
      <c r="AE258" s="904">
        <f>IF(H258&gt;8,tab!C$194,tab!C$197)</f>
        <v>0.5</v>
      </c>
      <c r="AF258" s="907">
        <f t="shared" si="120"/>
        <v>0</v>
      </c>
      <c r="AG258" s="887">
        <f t="shared" si="121"/>
        <v>0</v>
      </c>
      <c r="AH258" s="908" t="e">
        <f t="shared" si="122"/>
        <v>#VALUE!</v>
      </c>
      <c r="AI258" s="815" t="e">
        <f t="shared" si="123"/>
        <v>#VALUE!</v>
      </c>
      <c r="AJ258" s="540">
        <f t="shared" si="124"/>
        <v>30</v>
      </c>
      <c r="AK258" s="540">
        <f t="shared" si="125"/>
        <v>30</v>
      </c>
      <c r="AL258" s="909">
        <f t="shared" si="126"/>
        <v>0</v>
      </c>
      <c r="AN258" s="539">
        <f t="shared" si="127"/>
        <v>0</v>
      </c>
      <c r="AR258" s="941"/>
      <c r="AT258" s="317"/>
      <c r="AU258" s="317"/>
    </row>
    <row r="259" spans="3:47" ht="13.15" customHeight="1" x14ac:dyDescent="0.2">
      <c r="C259" s="381"/>
      <c r="D259" s="895" t="str">
        <f>IF(op!D147=0,"",op!D147)</f>
        <v/>
      </c>
      <c r="E259" s="895" t="str">
        <f>IF(op!E147=0,"",op!E147)</f>
        <v/>
      </c>
      <c r="F259" s="390" t="str">
        <f>IF(op!F147="","",op!F147+1)</f>
        <v/>
      </c>
      <c r="G259" s="896" t="str">
        <f>IF(op!G147=0,"",op!G147)</f>
        <v/>
      </c>
      <c r="H259" s="390" t="str">
        <f>IF(op!H147="","",op!H147)</f>
        <v/>
      </c>
      <c r="I259" s="897" t="str">
        <f t="shared" si="113"/>
        <v/>
      </c>
      <c r="J259" s="898" t="str">
        <f>IF(op!J147="","",op!J147)</f>
        <v/>
      </c>
      <c r="K259" s="334"/>
      <c r="L259" s="1140" t="str">
        <f>IF(op!L147="","",op!L147)</f>
        <v/>
      </c>
      <c r="M259" s="1140" t="str">
        <f>IF(op!M147="","",op!M147)</f>
        <v/>
      </c>
      <c r="N259" s="899" t="str">
        <f t="shared" si="128"/>
        <v/>
      </c>
      <c r="O259" s="900" t="str">
        <f t="shared" si="129"/>
        <v/>
      </c>
      <c r="P259" s="901" t="str">
        <f t="shared" si="130"/>
        <v/>
      </c>
      <c r="Q259" s="568" t="str">
        <f t="shared" si="114"/>
        <v/>
      </c>
      <c r="R259" s="902" t="str">
        <f t="shared" si="131"/>
        <v/>
      </c>
      <c r="S259" s="903">
        <f t="shared" si="115"/>
        <v>0</v>
      </c>
      <c r="T259" s="334"/>
      <c r="X259" s="887" t="str">
        <f t="shared" si="116"/>
        <v/>
      </c>
      <c r="Y259" s="904">
        <f t="shared" si="117"/>
        <v>0.6</v>
      </c>
      <c r="Z259" s="905" t="e">
        <f t="shared" si="132"/>
        <v>#VALUE!</v>
      </c>
      <c r="AA259" s="905" t="e">
        <f t="shared" si="133"/>
        <v>#VALUE!</v>
      </c>
      <c r="AB259" s="905" t="e">
        <f t="shared" si="134"/>
        <v>#VALUE!</v>
      </c>
      <c r="AC259" s="906" t="e">
        <f t="shared" si="118"/>
        <v>#VALUE!</v>
      </c>
      <c r="AD259" s="907">
        <f t="shared" si="119"/>
        <v>0</v>
      </c>
      <c r="AE259" s="904">
        <f>IF(H259&gt;8,tab!C$194,tab!C$197)</f>
        <v>0.5</v>
      </c>
      <c r="AF259" s="907">
        <f t="shared" si="120"/>
        <v>0</v>
      </c>
      <c r="AG259" s="887">
        <f t="shared" si="121"/>
        <v>0</v>
      </c>
      <c r="AH259" s="908" t="e">
        <f t="shared" si="122"/>
        <v>#VALUE!</v>
      </c>
      <c r="AI259" s="815" t="e">
        <f t="shared" si="123"/>
        <v>#VALUE!</v>
      </c>
      <c r="AJ259" s="540">
        <f t="shared" si="124"/>
        <v>30</v>
      </c>
      <c r="AK259" s="540">
        <f t="shared" si="125"/>
        <v>30</v>
      </c>
      <c r="AL259" s="909">
        <f t="shared" si="126"/>
        <v>0</v>
      </c>
      <c r="AN259" s="539">
        <f t="shared" si="127"/>
        <v>0</v>
      </c>
      <c r="AR259" s="941"/>
      <c r="AT259" s="317"/>
      <c r="AU259" s="317"/>
    </row>
    <row r="260" spans="3:47" ht="13.15" customHeight="1" x14ac:dyDescent="0.2">
      <c r="C260" s="381"/>
      <c r="D260" s="895" t="str">
        <f>IF(op!D148=0,"",op!D148)</f>
        <v/>
      </c>
      <c r="E260" s="895" t="str">
        <f>IF(op!E148=0,"",op!E148)</f>
        <v/>
      </c>
      <c r="F260" s="390" t="str">
        <f>IF(op!F148="","",op!F148+1)</f>
        <v/>
      </c>
      <c r="G260" s="896" t="str">
        <f>IF(op!G148=0,"",op!G148)</f>
        <v/>
      </c>
      <c r="H260" s="390" t="str">
        <f>IF(op!H148="","",op!H148)</f>
        <v/>
      </c>
      <c r="I260" s="897" t="str">
        <f t="shared" si="113"/>
        <v/>
      </c>
      <c r="J260" s="898" t="str">
        <f>IF(op!J148="","",op!J148)</f>
        <v/>
      </c>
      <c r="K260" s="334"/>
      <c r="L260" s="1140" t="str">
        <f>IF(op!L148="","",op!L148)</f>
        <v/>
      </c>
      <c r="M260" s="1140" t="str">
        <f>IF(op!M148="","",op!M148)</f>
        <v/>
      </c>
      <c r="N260" s="899" t="str">
        <f t="shared" si="128"/>
        <v/>
      </c>
      <c r="O260" s="900" t="str">
        <f t="shared" si="129"/>
        <v/>
      </c>
      <c r="P260" s="901" t="str">
        <f t="shared" si="130"/>
        <v/>
      </c>
      <c r="Q260" s="568" t="str">
        <f t="shared" si="114"/>
        <v/>
      </c>
      <c r="R260" s="902" t="str">
        <f t="shared" si="131"/>
        <v/>
      </c>
      <c r="S260" s="903">
        <f t="shared" si="115"/>
        <v>0</v>
      </c>
      <c r="T260" s="334"/>
      <c r="X260" s="887" t="str">
        <f t="shared" si="116"/>
        <v/>
      </c>
      <c r="Y260" s="904">
        <f t="shared" si="117"/>
        <v>0.6</v>
      </c>
      <c r="Z260" s="905" t="e">
        <f t="shared" si="132"/>
        <v>#VALUE!</v>
      </c>
      <c r="AA260" s="905" t="e">
        <f t="shared" si="133"/>
        <v>#VALUE!</v>
      </c>
      <c r="AB260" s="905" t="e">
        <f t="shared" si="134"/>
        <v>#VALUE!</v>
      </c>
      <c r="AC260" s="906" t="e">
        <f t="shared" si="118"/>
        <v>#VALUE!</v>
      </c>
      <c r="AD260" s="907">
        <f t="shared" si="119"/>
        <v>0</v>
      </c>
      <c r="AE260" s="904">
        <f>IF(H260&gt;8,tab!C$194,tab!C$197)</f>
        <v>0.5</v>
      </c>
      <c r="AF260" s="907">
        <f t="shared" si="120"/>
        <v>0</v>
      </c>
      <c r="AG260" s="887">
        <f t="shared" si="121"/>
        <v>0</v>
      </c>
      <c r="AH260" s="908" t="e">
        <f t="shared" si="122"/>
        <v>#VALUE!</v>
      </c>
      <c r="AI260" s="815" t="e">
        <f t="shared" si="123"/>
        <v>#VALUE!</v>
      </c>
      <c r="AJ260" s="540">
        <f t="shared" si="124"/>
        <v>30</v>
      </c>
      <c r="AK260" s="540">
        <f t="shared" si="125"/>
        <v>30</v>
      </c>
      <c r="AL260" s="909">
        <f t="shared" si="126"/>
        <v>0</v>
      </c>
      <c r="AN260" s="539">
        <f t="shared" si="127"/>
        <v>0</v>
      </c>
      <c r="AR260" s="941"/>
      <c r="AT260" s="317"/>
      <c r="AU260" s="317"/>
    </row>
    <row r="261" spans="3:47" ht="13.15" customHeight="1" x14ac:dyDescent="0.2">
      <c r="C261" s="381"/>
      <c r="D261" s="895" t="str">
        <f>IF(op!D149=0,"",op!D149)</f>
        <v/>
      </c>
      <c r="E261" s="895" t="str">
        <f>IF(op!E149=0,"",op!E149)</f>
        <v/>
      </c>
      <c r="F261" s="390" t="str">
        <f>IF(op!F149="","",op!F149+1)</f>
        <v/>
      </c>
      <c r="G261" s="896" t="str">
        <f>IF(op!G149=0,"",op!G149)</f>
        <v/>
      </c>
      <c r="H261" s="390" t="str">
        <f>IF(op!H149="","",op!H149)</f>
        <v/>
      </c>
      <c r="I261" s="897" t="str">
        <f t="shared" si="113"/>
        <v/>
      </c>
      <c r="J261" s="898" t="str">
        <f>IF(op!J149="","",op!J149)</f>
        <v/>
      </c>
      <c r="K261" s="334"/>
      <c r="L261" s="1140" t="str">
        <f>IF(op!L149="","",op!L149)</f>
        <v/>
      </c>
      <c r="M261" s="1140" t="str">
        <f>IF(op!M149="","",op!M149)</f>
        <v/>
      </c>
      <c r="N261" s="899" t="str">
        <f t="shared" si="128"/>
        <v/>
      </c>
      <c r="O261" s="900" t="str">
        <f t="shared" si="129"/>
        <v/>
      </c>
      <c r="P261" s="901" t="str">
        <f t="shared" si="130"/>
        <v/>
      </c>
      <c r="Q261" s="568" t="str">
        <f t="shared" si="114"/>
        <v/>
      </c>
      <c r="R261" s="902" t="str">
        <f t="shared" si="131"/>
        <v/>
      </c>
      <c r="S261" s="903">
        <f t="shared" si="115"/>
        <v>0</v>
      </c>
      <c r="T261" s="334"/>
      <c r="X261" s="887" t="str">
        <f t="shared" si="116"/>
        <v/>
      </c>
      <c r="Y261" s="904">
        <f t="shared" si="117"/>
        <v>0.6</v>
      </c>
      <c r="Z261" s="905" t="e">
        <f t="shared" si="132"/>
        <v>#VALUE!</v>
      </c>
      <c r="AA261" s="905" t="e">
        <f t="shared" si="133"/>
        <v>#VALUE!</v>
      </c>
      <c r="AB261" s="905" t="e">
        <f t="shared" si="134"/>
        <v>#VALUE!</v>
      </c>
      <c r="AC261" s="906" t="e">
        <f t="shared" si="118"/>
        <v>#VALUE!</v>
      </c>
      <c r="AD261" s="907">
        <f t="shared" si="119"/>
        <v>0</v>
      </c>
      <c r="AE261" s="904">
        <f>IF(H261&gt;8,tab!C$194,tab!C$197)</f>
        <v>0.5</v>
      </c>
      <c r="AF261" s="907">
        <f t="shared" si="120"/>
        <v>0</v>
      </c>
      <c r="AG261" s="887">
        <f t="shared" si="121"/>
        <v>0</v>
      </c>
      <c r="AH261" s="908" t="e">
        <f t="shared" si="122"/>
        <v>#VALUE!</v>
      </c>
      <c r="AI261" s="815" t="e">
        <f t="shared" si="123"/>
        <v>#VALUE!</v>
      </c>
      <c r="AJ261" s="540">
        <f t="shared" si="124"/>
        <v>30</v>
      </c>
      <c r="AK261" s="540">
        <f t="shared" si="125"/>
        <v>30</v>
      </c>
      <c r="AL261" s="909">
        <f t="shared" si="126"/>
        <v>0</v>
      </c>
      <c r="AN261" s="539">
        <f t="shared" si="127"/>
        <v>0</v>
      </c>
      <c r="AR261" s="941"/>
      <c r="AT261" s="317"/>
      <c r="AU261" s="317"/>
    </row>
    <row r="262" spans="3:47" ht="13.15" customHeight="1" x14ac:dyDescent="0.2">
      <c r="C262" s="381"/>
      <c r="D262" s="895" t="str">
        <f>IF(op!D150=0,"",op!D150)</f>
        <v/>
      </c>
      <c r="E262" s="895" t="str">
        <f>IF(op!E150=0,"",op!E150)</f>
        <v/>
      </c>
      <c r="F262" s="390" t="str">
        <f>IF(op!F150="","",op!F150+1)</f>
        <v/>
      </c>
      <c r="G262" s="896" t="str">
        <f>IF(op!G150=0,"",op!G150)</f>
        <v/>
      </c>
      <c r="H262" s="390" t="str">
        <f>IF(op!H150="","",op!H150)</f>
        <v/>
      </c>
      <c r="I262" s="897" t="str">
        <f t="shared" si="113"/>
        <v/>
      </c>
      <c r="J262" s="898" t="str">
        <f>IF(op!J150="","",op!J150)</f>
        <v/>
      </c>
      <c r="K262" s="334"/>
      <c r="L262" s="1140" t="str">
        <f>IF(op!L150="","",op!L150)</f>
        <v/>
      </c>
      <c r="M262" s="1140" t="str">
        <f>IF(op!M150="","",op!M150)</f>
        <v/>
      </c>
      <c r="N262" s="899" t="str">
        <f t="shared" si="128"/>
        <v/>
      </c>
      <c r="O262" s="900" t="str">
        <f t="shared" si="129"/>
        <v/>
      </c>
      <c r="P262" s="901" t="str">
        <f t="shared" si="130"/>
        <v/>
      </c>
      <c r="Q262" s="568" t="str">
        <f t="shared" si="114"/>
        <v/>
      </c>
      <c r="R262" s="902" t="str">
        <f t="shared" si="131"/>
        <v/>
      </c>
      <c r="S262" s="903">
        <f t="shared" si="115"/>
        <v>0</v>
      </c>
      <c r="T262" s="334"/>
      <c r="X262" s="887" t="str">
        <f t="shared" si="116"/>
        <v/>
      </c>
      <c r="Y262" s="904">
        <f t="shared" si="117"/>
        <v>0.6</v>
      </c>
      <c r="Z262" s="905" t="e">
        <f t="shared" si="132"/>
        <v>#VALUE!</v>
      </c>
      <c r="AA262" s="905" t="e">
        <f t="shared" si="133"/>
        <v>#VALUE!</v>
      </c>
      <c r="AB262" s="905" t="e">
        <f t="shared" si="134"/>
        <v>#VALUE!</v>
      </c>
      <c r="AC262" s="906" t="e">
        <f t="shared" si="118"/>
        <v>#VALUE!</v>
      </c>
      <c r="AD262" s="907">
        <f t="shared" si="119"/>
        <v>0</v>
      </c>
      <c r="AE262" s="904">
        <f>IF(H262&gt;8,tab!C$194,tab!C$197)</f>
        <v>0.5</v>
      </c>
      <c r="AF262" s="907">
        <f t="shared" si="120"/>
        <v>0</v>
      </c>
      <c r="AG262" s="887">
        <f t="shared" si="121"/>
        <v>0</v>
      </c>
      <c r="AH262" s="908" t="e">
        <f t="shared" si="122"/>
        <v>#VALUE!</v>
      </c>
      <c r="AI262" s="815" t="e">
        <f t="shared" si="123"/>
        <v>#VALUE!</v>
      </c>
      <c r="AJ262" s="540">
        <f t="shared" si="124"/>
        <v>30</v>
      </c>
      <c r="AK262" s="540">
        <f t="shared" si="125"/>
        <v>30</v>
      </c>
      <c r="AL262" s="909">
        <f t="shared" si="126"/>
        <v>0</v>
      </c>
      <c r="AN262" s="539">
        <f t="shared" si="127"/>
        <v>0</v>
      </c>
      <c r="AR262" s="941"/>
      <c r="AT262" s="317"/>
      <c r="AU262" s="317"/>
    </row>
    <row r="263" spans="3:47" ht="13.15" customHeight="1" x14ac:dyDescent="0.2">
      <c r="C263" s="381"/>
      <c r="D263" s="895" t="str">
        <f>IF(op!D151=0,"",op!D151)</f>
        <v/>
      </c>
      <c r="E263" s="895" t="str">
        <f>IF(op!E151=0,"",op!E151)</f>
        <v/>
      </c>
      <c r="F263" s="390" t="str">
        <f>IF(op!F151="","",op!F151+1)</f>
        <v/>
      </c>
      <c r="G263" s="896" t="str">
        <f>IF(op!G151=0,"",op!G151)</f>
        <v/>
      </c>
      <c r="H263" s="390" t="str">
        <f>IF(op!H151="","",op!H151)</f>
        <v/>
      </c>
      <c r="I263" s="897" t="str">
        <f t="shared" si="113"/>
        <v/>
      </c>
      <c r="J263" s="898" t="str">
        <f>IF(op!J151="","",op!J151)</f>
        <v/>
      </c>
      <c r="K263" s="334"/>
      <c r="L263" s="1140" t="str">
        <f>IF(op!L151="","",op!L151)</f>
        <v/>
      </c>
      <c r="M263" s="1140" t="str">
        <f>IF(op!M151="","",op!M151)</f>
        <v/>
      </c>
      <c r="N263" s="899" t="str">
        <f t="shared" si="128"/>
        <v/>
      </c>
      <c r="O263" s="900" t="str">
        <f t="shared" si="129"/>
        <v/>
      </c>
      <c r="P263" s="901" t="str">
        <f t="shared" si="130"/>
        <v/>
      </c>
      <c r="Q263" s="568" t="str">
        <f t="shared" si="114"/>
        <v/>
      </c>
      <c r="R263" s="902" t="str">
        <f t="shared" si="131"/>
        <v/>
      </c>
      <c r="S263" s="903">
        <f t="shared" si="115"/>
        <v>0</v>
      </c>
      <c r="T263" s="334"/>
      <c r="X263" s="887" t="str">
        <f t="shared" si="116"/>
        <v/>
      </c>
      <c r="Y263" s="904">
        <f t="shared" si="117"/>
        <v>0.6</v>
      </c>
      <c r="Z263" s="905" t="e">
        <f t="shared" si="132"/>
        <v>#VALUE!</v>
      </c>
      <c r="AA263" s="905" t="e">
        <f t="shared" si="133"/>
        <v>#VALUE!</v>
      </c>
      <c r="AB263" s="905" t="e">
        <f t="shared" si="134"/>
        <v>#VALUE!</v>
      </c>
      <c r="AC263" s="906" t="e">
        <f t="shared" si="118"/>
        <v>#VALUE!</v>
      </c>
      <c r="AD263" s="907">
        <f t="shared" si="119"/>
        <v>0</v>
      </c>
      <c r="AE263" s="904">
        <f>IF(H263&gt;8,tab!C$194,tab!C$197)</f>
        <v>0.5</v>
      </c>
      <c r="AF263" s="907">
        <f t="shared" si="120"/>
        <v>0</v>
      </c>
      <c r="AG263" s="887">
        <f t="shared" si="121"/>
        <v>0</v>
      </c>
      <c r="AH263" s="908" t="e">
        <f t="shared" si="122"/>
        <v>#VALUE!</v>
      </c>
      <c r="AI263" s="815" t="e">
        <f t="shared" si="123"/>
        <v>#VALUE!</v>
      </c>
      <c r="AJ263" s="540">
        <f t="shared" si="124"/>
        <v>30</v>
      </c>
      <c r="AK263" s="540">
        <f t="shared" si="125"/>
        <v>30</v>
      </c>
      <c r="AL263" s="909">
        <f t="shared" si="126"/>
        <v>0</v>
      </c>
      <c r="AN263" s="539">
        <f t="shared" si="127"/>
        <v>0</v>
      </c>
      <c r="AR263" s="941"/>
      <c r="AT263" s="317"/>
      <c r="AU263" s="317"/>
    </row>
    <row r="264" spans="3:47" ht="13.15" customHeight="1" x14ac:dyDescent="0.2">
      <c r="C264" s="381"/>
      <c r="D264" s="895" t="str">
        <f>IF(op!D152=0,"",op!D152)</f>
        <v/>
      </c>
      <c r="E264" s="895" t="str">
        <f>IF(op!E152=0,"",op!E152)</f>
        <v/>
      </c>
      <c r="F264" s="390" t="str">
        <f>IF(op!F152="","",op!F152+1)</f>
        <v/>
      </c>
      <c r="G264" s="896" t="str">
        <f>IF(op!G152=0,"",op!G152)</f>
        <v/>
      </c>
      <c r="H264" s="390" t="str">
        <f>IF(op!H152="","",op!H152)</f>
        <v/>
      </c>
      <c r="I264" s="897" t="str">
        <f t="shared" si="113"/>
        <v/>
      </c>
      <c r="J264" s="898" t="str">
        <f>IF(op!J152="","",op!J152)</f>
        <v/>
      </c>
      <c r="K264" s="334"/>
      <c r="L264" s="1140" t="str">
        <f>IF(op!L152="","",op!L152)</f>
        <v/>
      </c>
      <c r="M264" s="1140" t="str">
        <f>IF(op!M152="","",op!M152)</f>
        <v/>
      </c>
      <c r="N264" s="899" t="str">
        <f t="shared" si="128"/>
        <v/>
      </c>
      <c r="O264" s="900" t="str">
        <f t="shared" si="129"/>
        <v/>
      </c>
      <c r="P264" s="901" t="str">
        <f t="shared" si="130"/>
        <v/>
      </c>
      <c r="Q264" s="568" t="str">
        <f t="shared" si="114"/>
        <v/>
      </c>
      <c r="R264" s="902" t="str">
        <f t="shared" si="131"/>
        <v/>
      </c>
      <c r="S264" s="903">
        <f t="shared" si="115"/>
        <v>0</v>
      </c>
      <c r="T264" s="334"/>
      <c r="X264" s="887" t="str">
        <f t="shared" si="116"/>
        <v/>
      </c>
      <c r="Y264" s="904">
        <f t="shared" si="117"/>
        <v>0.6</v>
      </c>
      <c r="Z264" s="905" t="e">
        <f t="shared" si="132"/>
        <v>#VALUE!</v>
      </c>
      <c r="AA264" s="905" t="e">
        <f t="shared" si="133"/>
        <v>#VALUE!</v>
      </c>
      <c r="AB264" s="905" t="e">
        <f t="shared" si="134"/>
        <v>#VALUE!</v>
      </c>
      <c r="AC264" s="906" t="e">
        <f t="shared" si="118"/>
        <v>#VALUE!</v>
      </c>
      <c r="AD264" s="907">
        <f t="shared" si="119"/>
        <v>0</v>
      </c>
      <c r="AE264" s="904">
        <f>IF(H264&gt;8,tab!C$194,tab!C$197)</f>
        <v>0.5</v>
      </c>
      <c r="AF264" s="907">
        <f t="shared" si="120"/>
        <v>0</v>
      </c>
      <c r="AG264" s="887">
        <f t="shared" si="121"/>
        <v>0</v>
      </c>
      <c r="AH264" s="908" t="e">
        <f t="shared" si="122"/>
        <v>#VALUE!</v>
      </c>
      <c r="AI264" s="815" t="e">
        <f t="shared" si="123"/>
        <v>#VALUE!</v>
      </c>
      <c r="AJ264" s="540">
        <f t="shared" si="124"/>
        <v>30</v>
      </c>
      <c r="AK264" s="540">
        <f t="shared" si="125"/>
        <v>30</v>
      </c>
      <c r="AL264" s="909">
        <f t="shared" si="126"/>
        <v>0</v>
      </c>
      <c r="AN264" s="539">
        <f t="shared" si="127"/>
        <v>0</v>
      </c>
      <c r="AR264" s="941"/>
      <c r="AT264" s="317"/>
      <c r="AU264" s="317"/>
    </row>
    <row r="265" spans="3:47" ht="13.15" customHeight="1" x14ac:dyDescent="0.2">
      <c r="C265" s="381"/>
      <c r="D265" s="895" t="str">
        <f>IF(op!D153=0,"",op!D153)</f>
        <v/>
      </c>
      <c r="E265" s="895" t="str">
        <f>IF(op!E153=0,"",op!E153)</f>
        <v/>
      </c>
      <c r="F265" s="390" t="str">
        <f>IF(op!F153="","",op!F153+1)</f>
        <v/>
      </c>
      <c r="G265" s="896" t="str">
        <f>IF(op!G153=0,"",op!G153)</f>
        <v/>
      </c>
      <c r="H265" s="390" t="str">
        <f>IF(op!H153="","",op!H153)</f>
        <v/>
      </c>
      <c r="I265" s="897" t="str">
        <f t="shared" si="113"/>
        <v/>
      </c>
      <c r="J265" s="898" t="str">
        <f>IF(op!J153="","",op!J153)</f>
        <v/>
      </c>
      <c r="K265" s="334"/>
      <c r="L265" s="1140" t="str">
        <f>IF(op!L153="","",op!L153)</f>
        <v/>
      </c>
      <c r="M265" s="1140" t="str">
        <f>IF(op!M153="","",op!M153)</f>
        <v/>
      </c>
      <c r="N265" s="899" t="str">
        <f t="shared" si="128"/>
        <v/>
      </c>
      <c r="O265" s="900" t="str">
        <f t="shared" si="129"/>
        <v/>
      </c>
      <c r="P265" s="901" t="str">
        <f t="shared" si="130"/>
        <v/>
      </c>
      <c r="Q265" s="568" t="str">
        <f t="shared" si="114"/>
        <v/>
      </c>
      <c r="R265" s="902" t="str">
        <f t="shared" si="131"/>
        <v/>
      </c>
      <c r="S265" s="903">
        <f t="shared" si="115"/>
        <v>0</v>
      </c>
      <c r="T265" s="334"/>
      <c r="X265" s="887" t="str">
        <f t="shared" si="116"/>
        <v/>
      </c>
      <c r="Y265" s="904">
        <f t="shared" si="117"/>
        <v>0.6</v>
      </c>
      <c r="Z265" s="905" t="e">
        <f t="shared" si="132"/>
        <v>#VALUE!</v>
      </c>
      <c r="AA265" s="905" t="e">
        <f t="shared" si="133"/>
        <v>#VALUE!</v>
      </c>
      <c r="AB265" s="905" t="e">
        <f t="shared" si="134"/>
        <v>#VALUE!</v>
      </c>
      <c r="AC265" s="906" t="e">
        <f t="shared" si="118"/>
        <v>#VALUE!</v>
      </c>
      <c r="AD265" s="907">
        <f t="shared" si="119"/>
        <v>0</v>
      </c>
      <c r="AE265" s="904">
        <f>IF(H265&gt;8,tab!C$194,tab!C$197)</f>
        <v>0.5</v>
      </c>
      <c r="AF265" s="907">
        <f t="shared" si="120"/>
        <v>0</v>
      </c>
      <c r="AG265" s="887">
        <f t="shared" si="121"/>
        <v>0</v>
      </c>
      <c r="AH265" s="908" t="e">
        <f t="shared" si="122"/>
        <v>#VALUE!</v>
      </c>
      <c r="AI265" s="815" t="e">
        <f t="shared" si="123"/>
        <v>#VALUE!</v>
      </c>
      <c r="AJ265" s="540">
        <f t="shared" si="124"/>
        <v>30</v>
      </c>
      <c r="AK265" s="540">
        <f t="shared" si="125"/>
        <v>30</v>
      </c>
      <c r="AL265" s="909">
        <f t="shared" si="126"/>
        <v>0</v>
      </c>
      <c r="AN265" s="539">
        <f t="shared" si="127"/>
        <v>0</v>
      </c>
      <c r="AR265" s="941"/>
      <c r="AT265" s="317"/>
      <c r="AU265" s="317"/>
    </row>
    <row r="266" spans="3:47" ht="13.15" customHeight="1" x14ac:dyDescent="0.2">
      <c r="C266" s="381"/>
      <c r="D266" s="895" t="str">
        <f>IF(op!D154=0,"",op!D154)</f>
        <v/>
      </c>
      <c r="E266" s="895" t="str">
        <f>IF(op!E154=0,"",op!E154)</f>
        <v/>
      </c>
      <c r="F266" s="390" t="str">
        <f>IF(op!F154="","",op!F154+1)</f>
        <v/>
      </c>
      <c r="G266" s="896" t="str">
        <f>IF(op!G154=0,"",op!G154)</f>
        <v/>
      </c>
      <c r="H266" s="390" t="str">
        <f>IF(op!H154="","",op!H154)</f>
        <v/>
      </c>
      <c r="I266" s="897" t="str">
        <f t="shared" si="113"/>
        <v/>
      </c>
      <c r="J266" s="898" t="str">
        <f>IF(op!J154="","",op!J154)</f>
        <v/>
      </c>
      <c r="K266" s="334"/>
      <c r="L266" s="1140" t="str">
        <f>IF(op!L154="","",op!L154)</f>
        <v/>
      </c>
      <c r="M266" s="1140" t="str">
        <f>IF(op!M154="","",op!M154)</f>
        <v/>
      </c>
      <c r="N266" s="899" t="str">
        <f t="shared" si="128"/>
        <v/>
      </c>
      <c r="O266" s="900" t="str">
        <f t="shared" si="129"/>
        <v/>
      </c>
      <c r="P266" s="901" t="str">
        <f t="shared" si="130"/>
        <v/>
      </c>
      <c r="Q266" s="568" t="str">
        <f t="shared" si="114"/>
        <v/>
      </c>
      <c r="R266" s="902" t="str">
        <f t="shared" si="131"/>
        <v/>
      </c>
      <c r="S266" s="903">
        <f t="shared" si="115"/>
        <v>0</v>
      </c>
      <c r="T266" s="334"/>
      <c r="X266" s="887" t="str">
        <f t="shared" si="116"/>
        <v/>
      </c>
      <c r="Y266" s="904">
        <f t="shared" si="117"/>
        <v>0.6</v>
      </c>
      <c r="Z266" s="905" t="e">
        <f t="shared" si="132"/>
        <v>#VALUE!</v>
      </c>
      <c r="AA266" s="905" t="e">
        <f t="shared" si="133"/>
        <v>#VALUE!</v>
      </c>
      <c r="AB266" s="905" t="e">
        <f t="shared" si="134"/>
        <v>#VALUE!</v>
      </c>
      <c r="AC266" s="906" t="e">
        <f t="shared" si="118"/>
        <v>#VALUE!</v>
      </c>
      <c r="AD266" s="907">
        <f t="shared" si="119"/>
        <v>0</v>
      </c>
      <c r="AE266" s="904">
        <f>IF(H266&gt;8,tab!C$194,tab!C$197)</f>
        <v>0.5</v>
      </c>
      <c r="AF266" s="907">
        <f t="shared" si="120"/>
        <v>0</v>
      </c>
      <c r="AG266" s="887">
        <f t="shared" si="121"/>
        <v>0</v>
      </c>
      <c r="AH266" s="908" t="e">
        <f t="shared" si="122"/>
        <v>#VALUE!</v>
      </c>
      <c r="AI266" s="815" t="e">
        <f t="shared" si="123"/>
        <v>#VALUE!</v>
      </c>
      <c r="AJ266" s="540">
        <f t="shared" si="124"/>
        <v>30</v>
      </c>
      <c r="AK266" s="540">
        <f t="shared" si="125"/>
        <v>30</v>
      </c>
      <c r="AL266" s="909">
        <f t="shared" si="126"/>
        <v>0</v>
      </c>
      <c r="AN266" s="539">
        <f t="shared" si="127"/>
        <v>0</v>
      </c>
      <c r="AR266" s="941"/>
      <c r="AT266" s="317"/>
      <c r="AU266" s="317"/>
    </row>
    <row r="267" spans="3:47" ht="13.15" customHeight="1" x14ac:dyDescent="0.2">
      <c r="C267" s="381"/>
      <c r="D267" s="895" t="str">
        <f>IF(op!D155=0,"",op!D155)</f>
        <v/>
      </c>
      <c r="E267" s="895" t="str">
        <f>IF(op!E155=0,"",op!E155)</f>
        <v/>
      </c>
      <c r="F267" s="390" t="str">
        <f>IF(op!F155="","",op!F155+1)</f>
        <v/>
      </c>
      <c r="G267" s="896" t="str">
        <f>IF(op!G155=0,"",op!G155)</f>
        <v/>
      </c>
      <c r="H267" s="390" t="str">
        <f>IF(op!H155="","",op!H155)</f>
        <v/>
      </c>
      <c r="I267" s="897" t="str">
        <f t="shared" si="113"/>
        <v/>
      </c>
      <c r="J267" s="898" t="str">
        <f>IF(op!J155="","",op!J155)</f>
        <v/>
      </c>
      <c r="K267" s="334"/>
      <c r="L267" s="1140" t="str">
        <f>IF(op!L155="","",op!L155)</f>
        <v/>
      </c>
      <c r="M267" s="1140" t="str">
        <f>IF(op!M155="","",op!M155)</f>
        <v/>
      </c>
      <c r="N267" s="899" t="str">
        <f t="shared" si="128"/>
        <v/>
      </c>
      <c r="O267" s="900" t="str">
        <f t="shared" si="129"/>
        <v/>
      </c>
      <c r="P267" s="901" t="str">
        <f t="shared" si="130"/>
        <v/>
      </c>
      <c r="Q267" s="568" t="str">
        <f t="shared" si="114"/>
        <v/>
      </c>
      <c r="R267" s="902" t="str">
        <f t="shared" si="131"/>
        <v/>
      </c>
      <c r="S267" s="903">
        <f t="shared" si="115"/>
        <v>0</v>
      </c>
      <c r="T267" s="334"/>
      <c r="X267" s="887" t="str">
        <f t="shared" si="116"/>
        <v/>
      </c>
      <c r="Y267" s="904">
        <f t="shared" si="117"/>
        <v>0.6</v>
      </c>
      <c r="Z267" s="905" t="e">
        <f t="shared" si="132"/>
        <v>#VALUE!</v>
      </c>
      <c r="AA267" s="905" t="e">
        <f t="shared" si="133"/>
        <v>#VALUE!</v>
      </c>
      <c r="AB267" s="905" t="e">
        <f t="shared" si="134"/>
        <v>#VALUE!</v>
      </c>
      <c r="AC267" s="906" t="e">
        <f t="shared" si="118"/>
        <v>#VALUE!</v>
      </c>
      <c r="AD267" s="907">
        <f t="shared" si="119"/>
        <v>0</v>
      </c>
      <c r="AE267" s="904">
        <f>IF(H267&gt;8,tab!C$194,tab!C$197)</f>
        <v>0.5</v>
      </c>
      <c r="AF267" s="907">
        <f t="shared" si="120"/>
        <v>0</v>
      </c>
      <c r="AG267" s="887">
        <f t="shared" si="121"/>
        <v>0</v>
      </c>
      <c r="AH267" s="908" t="e">
        <f t="shared" si="122"/>
        <v>#VALUE!</v>
      </c>
      <c r="AI267" s="815" t="e">
        <f t="shared" si="123"/>
        <v>#VALUE!</v>
      </c>
      <c r="AJ267" s="540">
        <f t="shared" si="124"/>
        <v>30</v>
      </c>
      <c r="AK267" s="540">
        <f t="shared" si="125"/>
        <v>30</v>
      </c>
      <c r="AL267" s="909">
        <f t="shared" si="126"/>
        <v>0</v>
      </c>
      <c r="AN267" s="539">
        <f t="shared" si="127"/>
        <v>0</v>
      </c>
      <c r="AR267" s="941"/>
      <c r="AT267" s="317"/>
      <c r="AU267" s="317"/>
    </row>
    <row r="268" spans="3:47" ht="13.15" customHeight="1" x14ac:dyDescent="0.2">
      <c r="C268" s="381"/>
      <c r="D268" s="895" t="str">
        <f>IF(op!D156=0,"",op!D156)</f>
        <v/>
      </c>
      <c r="E268" s="895" t="str">
        <f>IF(op!E156=0,"",op!E156)</f>
        <v/>
      </c>
      <c r="F268" s="390" t="str">
        <f>IF(op!F156="","",op!F156+1)</f>
        <v/>
      </c>
      <c r="G268" s="896" t="str">
        <f>IF(op!G156=0,"",op!G156)</f>
        <v/>
      </c>
      <c r="H268" s="390" t="str">
        <f>IF(op!H156="","",op!H156)</f>
        <v/>
      </c>
      <c r="I268" s="897" t="str">
        <f t="shared" si="113"/>
        <v/>
      </c>
      <c r="J268" s="898" t="str">
        <f>IF(op!J156="","",op!J156)</f>
        <v/>
      </c>
      <c r="K268" s="334"/>
      <c r="L268" s="1140" t="str">
        <f>IF(op!L156="","",op!L156)</f>
        <v/>
      </c>
      <c r="M268" s="1140" t="str">
        <f>IF(op!M156="","",op!M156)</f>
        <v/>
      </c>
      <c r="N268" s="899" t="str">
        <f t="shared" si="128"/>
        <v/>
      </c>
      <c r="O268" s="900" t="str">
        <f t="shared" si="129"/>
        <v/>
      </c>
      <c r="P268" s="901" t="str">
        <f t="shared" si="130"/>
        <v/>
      </c>
      <c r="Q268" s="568" t="str">
        <f t="shared" si="114"/>
        <v/>
      </c>
      <c r="R268" s="902" t="str">
        <f t="shared" si="131"/>
        <v/>
      </c>
      <c r="S268" s="903">
        <f t="shared" si="115"/>
        <v>0</v>
      </c>
      <c r="T268" s="334"/>
      <c r="X268" s="887" t="str">
        <f t="shared" si="116"/>
        <v/>
      </c>
      <c r="Y268" s="904">
        <f t="shared" si="117"/>
        <v>0.6</v>
      </c>
      <c r="Z268" s="905" t="e">
        <f t="shared" si="132"/>
        <v>#VALUE!</v>
      </c>
      <c r="AA268" s="905" t="e">
        <f t="shared" si="133"/>
        <v>#VALUE!</v>
      </c>
      <c r="AB268" s="905" t="e">
        <f t="shared" si="134"/>
        <v>#VALUE!</v>
      </c>
      <c r="AC268" s="906" t="e">
        <f t="shared" si="118"/>
        <v>#VALUE!</v>
      </c>
      <c r="AD268" s="907">
        <f t="shared" si="119"/>
        <v>0</v>
      </c>
      <c r="AE268" s="904">
        <f>IF(H268&gt;8,tab!C$194,tab!C$197)</f>
        <v>0.5</v>
      </c>
      <c r="AF268" s="907">
        <f t="shared" si="120"/>
        <v>0</v>
      </c>
      <c r="AG268" s="887">
        <f t="shared" si="121"/>
        <v>0</v>
      </c>
      <c r="AH268" s="908" t="e">
        <f t="shared" si="122"/>
        <v>#VALUE!</v>
      </c>
      <c r="AI268" s="815" t="e">
        <f t="shared" si="123"/>
        <v>#VALUE!</v>
      </c>
      <c r="AJ268" s="540">
        <f t="shared" si="124"/>
        <v>30</v>
      </c>
      <c r="AK268" s="540">
        <f t="shared" si="125"/>
        <v>30</v>
      </c>
      <c r="AL268" s="909">
        <f t="shared" si="126"/>
        <v>0</v>
      </c>
      <c r="AN268" s="539">
        <f t="shared" si="127"/>
        <v>0</v>
      </c>
      <c r="AR268" s="941"/>
      <c r="AT268" s="317"/>
      <c r="AU268" s="317"/>
    </row>
    <row r="269" spans="3:47" ht="13.15" customHeight="1" x14ac:dyDescent="0.2">
      <c r="C269" s="381"/>
      <c r="D269" s="895" t="str">
        <f>IF(op!D157=0,"",op!D157)</f>
        <v/>
      </c>
      <c r="E269" s="895" t="str">
        <f>IF(op!E157=0,"",op!E157)</f>
        <v/>
      </c>
      <c r="F269" s="390" t="str">
        <f>IF(op!F157="","",op!F157+1)</f>
        <v/>
      </c>
      <c r="G269" s="896" t="str">
        <f>IF(op!G157=0,"",op!G157)</f>
        <v/>
      </c>
      <c r="H269" s="390" t="str">
        <f>IF(op!H157="","",op!H157)</f>
        <v/>
      </c>
      <c r="I269" s="897" t="str">
        <f t="shared" si="113"/>
        <v/>
      </c>
      <c r="J269" s="898" t="str">
        <f>IF(op!J157="","",op!J157)</f>
        <v/>
      </c>
      <c r="K269" s="334"/>
      <c r="L269" s="1140" t="str">
        <f>IF(op!L157="","",op!L157)</f>
        <v/>
      </c>
      <c r="M269" s="1140" t="str">
        <f>IF(op!M157="","",op!M157)</f>
        <v/>
      </c>
      <c r="N269" s="899" t="str">
        <f t="shared" si="128"/>
        <v/>
      </c>
      <c r="O269" s="900" t="str">
        <f t="shared" si="129"/>
        <v/>
      </c>
      <c r="P269" s="901" t="str">
        <f t="shared" si="130"/>
        <v/>
      </c>
      <c r="Q269" s="568" t="str">
        <f t="shared" si="114"/>
        <v/>
      </c>
      <c r="R269" s="902" t="str">
        <f t="shared" si="131"/>
        <v/>
      </c>
      <c r="S269" s="903">
        <f t="shared" si="115"/>
        <v>0</v>
      </c>
      <c r="T269" s="334"/>
      <c r="X269" s="887" t="str">
        <f t="shared" si="116"/>
        <v/>
      </c>
      <c r="Y269" s="904">
        <f t="shared" si="117"/>
        <v>0.6</v>
      </c>
      <c r="Z269" s="905" t="e">
        <f t="shared" si="132"/>
        <v>#VALUE!</v>
      </c>
      <c r="AA269" s="905" t="e">
        <f t="shared" si="133"/>
        <v>#VALUE!</v>
      </c>
      <c r="AB269" s="905" t="e">
        <f t="shared" si="134"/>
        <v>#VALUE!</v>
      </c>
      <c r="AC269" s="906" t="e">
        <f t="shared" si="118"/>
        <v>#VALUE!</v>
      </c>
      <c r="AD269" s="907">
        <f t="shared" si="119"/>
        <v>0</v>
      </c>
      <c r="AE269" s="904">
        <f>IF(H269&gt;8,tab!C$194,tab!C$197)</f>
        <v>0.5</v>
      </c>
      <c r="AF269" s="907">
        <f t="shared" si="120"/>
        <v>0</v>
      </c>
      <c r="AG269" s="887">
        <f t="shared" si="121"/>
        <v>0</v>
      </c>
      <c r="AH269" s="908" t="e">
        <f t="shared" si="122"/>
        <v>#VALUE!</v>
      </c>
      <c r="AI269" s="815" t="e">
        <f t="shared" si="123"/>
        <v>#VALUE!</v>
      </c>
      <c r="AJ269" s="540">
        <f t="shared" si="124"/>
        <v>30</v>
      </c>
      <c r="AK269" s="540">
        <f t="shared" si="125"/>
        <v>30</v>
      </c>
      <c r="AL269" s="909">
        <f t="shared" si="126"/>
        <v>0</v>
      </c>
      <c r="AN269" s="539">
        <f t="shared" si="127"/>
        <v>0</v>
      </c>
      <c r="AR269" s="941"/>
      <c r="AT269" s="317"/>
      <c r="AU269" s="317"/>
    </row>
    <row r="270" spans="3:47" ht="13.15" customHeight="1" x14ac:dyDescent="0.2">
      <c r="C270" s="381"/>
      <c r="D270" s="895" t="str">
        <f>IF(op!D158=0,"",op!D158)</f>
        <v/>
      </c>
      <c r="E270" s="895" t="str">
        <f>IF(op!E158=0,"",op!E158)</f>
        <v/>
      </c>
      <c r="F270" s="390" t="str">
        <f>IF(op!F158="","",op!F158+1)</f>
        <v/>
      </c>
      <c r="G270" s="896" t="str">
        <f>IF(op!G158=0,"",op!G158)</f>
        <v/>
      </c>
      <c r="H270" s="390" t="str">
        <f>IF(op!H158="","",op!H158)</f>
        <v/>
      </c>
      <c r="I270" s="897" t="str">
        <f t="shared" si="113"/>
        <v/>
      </c>
      <c r="J270" s="898" t="str">
        <f>IF(op!J158="","",op!J158)</f>
        <v/>
      </c>
      <c r="K270" s="334"/>
      <c r="L270" s="1140" t="str">
        <f>IF(op!L158="","",op!L158)</f>
        <v/>
      </c>
      <c r="M270" s="1140" t="str">
        <f>IF(op!M158="","",op!M158)</f>
        <v/>
      </c>
      <c r="N270" s="899" t="str">
        <f t="shared" si="128"/>
        <v/>
      </c>
      <c r="O270" s="900" t="str">
        <f t="shared" si="129"/>
        <v/>
      </c>
      <c r="P270" s="901" t="str">
        <f t="shared" si="130"/>
        <v/>
      </c>
      <c r="Q270" s="568" t="str">
        <f t="shared" si="114"/>
        <v/>
      </c>
      <c r="R270" s="902" t="str">
        <f t="shared" si="131"/>
        <v/>
      </c>
      <c r="S270" s="903">
        <f t="shared" si="115"/>
        <v>0</v>
      </c>
      <c r="T270" s="334"/>
      <c r="X270" s="887" t="str">
        <f t="shared" si="116"/>
        <v/>
      </c>
      <c r="Y270" s="904">
        <f t="shared" si="117"/>
        <v>0.6</v>
      </c>
      <c r="Z270" s="905" t="e">
        <f t="shared" si="132"/>
        <v>#VALUE!</v>
      </c>
      <c r="AA270" s="905" t="e">
        <f t="shared" si="133"/>
        <v>#VALUE!</v>
      </c>
      <c r="AB270" s="905" t="e">
        <f t="shared" si="134"/>
        <v>#VALUE!</v>
      </c>
      <c r="AC270" s="906" t="e">
        <f t="shared" si="118"/>
        <v>#VALUE!</v>
      </c>
      <c r="AD270" s="907">
        <f t="shared" si="119"/>
        <v>0</v>
      </c>
      <c r="AE270" s="904">
        <f>IF(H270&gt;8,tab!C$194,tab!C$197)</f>
        <v>0.5</v>
      </c>
      <c r="AF270" s="907">
        <f t="shared" si="120"/>
        <v>0</v>
      </c>
      <c r="AG270" s="887">
        <f t="shared" si="121"/>
        <v>0</v>
      </c>
      <c r="AH270" s="908" t="e">
        <f t="shared" si="122"/>
        <v>#VALUE!</v>
      </c>
      <c r="AI270" s="815" t="e">
        <f t="shared" si="123"/>
        <v>#VALUE!</v>
      </c>
      <c r="AJ270" s="540">
        <f t="shared" si="124"/>
        <v>30</v>
      </c>
      <c r="AK270" s="540">
        <f t="shared" si="125"/>
        <v>30</v>
      </c>
      <c r="AL270" s="909">
        <f t="shared" si="126"/>
        <v>0</v>
      </c>
      <c r="AN270" s="539">
        <f t="shared" si="127"/>
        <v>0</v>
      </c>
      <c r="AR270" s="941"/>
      <c r="AT270" s="317"/>
      <c r="AU270" s="317"/>
    </row>
    <row r="271" spans="3:47" ht="13.15" customHeight="1" x14ac:dyDescent="0.2">
      <c r="C271" s="381"/>
      <c r="D271" s="895" t="str">
        <f>IF(op!D159=0,"",op!D159)</f>
        <v/>
      </c>
      <c r="E271" s="895" t="str">
        <f>IF(op!E159=0,"",op!E159)</f>
        <v/>
      </c>
      <c r="F271" s="390" t="str">
        <f>IF(op!F159="","",op!F159+1)</f>
        <v/>
      </c>
      <c r="G271" s="896" t="str">
        <f>IF(op!G159=0,"",op!G159)</f>
        <v/>
      </c>
      <c r="H271" s="390" t="str">
        <f>IF(op!H159="","",op!H159)</f>
        <v/>
      </c>
      <c r="I271" s="897" t="str">
        <f t="shared" si="113"/>
        <v/>
      </c>
      <c r="J271" s="898" t="str">
        <f>IF(op!J159="","",op!J159)</f>
        <v/>
      </c>
      <c r="K271" s="334"/>
      <c r="L271" s="1140" t="str">
        <f>IF(op!L159="","",op!L159)</f>
        <v/>
      </c>
      <c r="M271" s="1140" t="str">
        <f>IF(op!M159="","",op!M159)</f>
        <v/>
      </c>
      <c r="N271" s="899" t="str">
        <f t="shared" si="128"/>
        <v/>
      </c>
      <c r="O271" s="900" t="str">
        <f t="shared" si="129"/>
        <v/>
      </c>
      <c r="P271" s="901" t="str">
        <f t="shared" si="130"/>
        <v/>
      </c>
      <c r="Q271" s="568" t="str">
        <f t="shared" si="114"/>
        <v/>
      </c>
      <c r="R271" s="902" t="str">
        <f t="shared" si="131"/>
        <v/>
      </c>
      <c r="S271" s="903">
        <f t="shared" si="115"/>
        <v>0</v>
      </c>
      <c r="T271" s="334"/>
      <c r="X271" s="887" t="str">
        <f t="shared" si="116"/>
        <v/>
      </c>
      <c r="Y271" s="904">
        <f t="shared" si="117"/>
        <v>0.6</v>
      </c>
      <c r="Z271" s="905" t="e">
        <f t="shared" si="132"/>
        <v>#VALUE!</v>
      </c>
      <c r="AA271" s="905" t="e">
        <f t="shared" si="133"/>
        <v>#VALUE!</v>
      </c>
      <c r="AB271" s="905" t="e">
        <f t="shared" si="134"/>
        <v>#VALUE!</v>
      </c>
      <c r="AC271" s="906" t="e">
        <f t="shared" si="118"/>
        <v>#VALUE!</v>
      </c>
      <c r="AD271" s="907">
        <f t="shared" si="119"/>
        <v>0</v>
      </c>
      <c r="AE271" s="904">
        <f>IF(H271&gt;8,tab!C$194,tab!C$197)</f>
        <v>0.5</v>
      </c>
      <c r="AF271" s="907">
        <f t="shared" si="120"/>
        <v>0</v>
      </c>
      <c r="AG271" s="887">
        <f t="shared" si="121"/>
        <v>0</v>
      </c>
      <c r="AH271" s="908" t="e">
        <f t="shared" si="122"/>
        <v>#VALUE!</v>
      </c>
      <c r="AI271" s="815" t="e">
        <f t="shared" si="123"/>
        <v>#VALUE!</v>
      </c>
      <c r="AJ271" s="540">
        <f t="shared" si="124"/>
        <v>30</v>
      </c>
      <c r="AK271" s="540">
        <f t="shared" si="125"/>
        <v>30</v>
      </c>
      <c r="AL271" s="909">
        <f t="shared" si="126"/>
        <v>0</v>
      </c>
      <c r="AN271" s="539">
        <f t="shared" si="127"/>
        <v>0</v>
      </c>
      <c r="AR271" s="941"/>
      <c r="AT271" s="317"/>
      <c r="AU271" s="317"/>
    </row>
    <row r="272" spans="3:47" ht="13.15" customHeight="1" x14ac:dyDescent="0.2">
      <c r="C272" s="381"/>
      <c r="D272" s="895" t="str">
        <f>IF(op!D160=0,"",op!D160)</f>
        <v/>
      </c>
      <c r="E272" s="895" t="str">
        <f>IF(op!E160=0,"",op!E160)</f>
        <v/>
      </c>
      <c r="F272" s="390" t="str">
        <f>IF(op!F160="","",op!F160+1)</f>
        <v/>
      </c>
      <c r="G272" s="896" t="str">
        <f>IF(op!G160=0,"",op!G160)</f>
        <v/>
      </c>
      <c r="H272" s="390" t="str">
        <f>IF(op!H160="","",op!H160)</f>
        <v/>
      </c>
      <c r="I272" s="897" t="str">
        <f t="shared" ref="I272:I303" si="135">IF(E272="","",IF(I160=VLOOKUP(H272,Salaris2021,22,FALSE),I160,I160+1))</f>
        <v/>
      </c>
      <c r="J272" s="898" t="str">
        <f>IF(op!J160="","",op!J160)</f>
        <v/>
      </c>
      <c r="K272" s="334"/>
      <c r="L272" s="1140" t="str">
        <f>IF(op!L160="","",op!L160)</f>
        <v/>
      </c>
      <c r="M272" s="1140" t="str">
        <f>IF(op!M160="","",op!M160)</f>
        <v/>
      </c>
      <c r="N272" s="899" t="str">
        <f t="shared" si="128"/>
        <v/>
      </c>
      <c r="O272" s="900" t="str">
        <f t="shared" si="129"/>
        <v/>
      </c>
      <c r="P272" s="901" t="str">
        <f t="shared" si="130"/>
        <v/>
      </c>
      <c r="Q272" s="568" t="str">
        <f t="shared" ref="Q272:Q303" si="136">IF(J272="","",(1659*J272-P272)*AA272)</f>
        <v/>
      </c>
      <c r="R272" s="902" t="str">
        <f t="shared" si="131"/>
        <v/>
      </c>
      <c r="S272" s="903">
        <f t="shared" ref="S272:S303" si="137">IF(E272=0,0,SUM(Q272:R272))</f>
        <v>0</v>
      </c>
      <c r="T272" s="334"/>
      <c r="X272" s="887" t="str">
        <f t="shared" ref="X272:X303" si="138">IF(H272="","",VLOOKUP(H272,Salaris2021,I272+1,FALSE))</f>
        <v/>
      </c>
      <c r="Y272" s="904">
        <f t="shared" ref="Y272:Y303" si="139">$Y$14</f>
        <v>0.6</v>
      </c>
      <c r="Z272" s="905" t="e">
        <f t="shared" si="132"/>
        <v>#VALUE!</v>
      </c>
      <c r="AA272" s="905" t="e">
        <f t="shared" si="133"/>
        <v>#VALUE!</v>
      </c>
      <c r="AB272" s="905" t="e">
        <f t="shared" si="134"/>
        <v>#VALUE!</v>
      </c>
      <c r="AC272" s="906" t="e">
        <f t="shared" ref="AC272:AC303" si="140">N272+O272</f>
        <v>#VALUE!</v>
      </c>
      <c r="AD272" s="907">
        <f t="shared" ref="AD272:AD303" si="141">SUM(L272:M272)</f>
        <v>0</v>
      </c>
      <c r="AE272" s="904">
        <f>IF(H272&gt;8,tab!C$194,tab!C$197)</f>
        <v>0.5</v>
      </c>
      <c r="AF272" s="907">
        <f t="shared" ref="AF272:AF303" si="142">IF(F272&lt;25,0,IF(F272=25,25,IF(F272&lt;40,0,IF(F272=40,40,IF(F272&gt;=40,0)))))</f>
        <v>0</v>
      </c>
      <c r="AG272" s="887">
        <f t="shared" ref="AG272:AG303" si="143">IF(AF272=25,(X272*1.08*J272/2),IF(AF272=40,(Y272*1.08*J272),IF(AF272=0,0)))</f>
        <v>0</v>
      </c>
      <c r="AH272" s="908" t="e">
        <f t="shared" ref="AH272:AH303" si="144">DATE(YEAR($E$233),MONTH(G272),DAY(G272))&gt;$E$233</f>
        <v>#VALUE!</v>
      </c>
      <c r="AI272" s="815" t="e">
        <f t="shared" ref="AI272:AI303" si="145">YEAR($E$233)-YEAR(G272)-AH272</f>
        <v>#VALUE!</v>
      </c>
      <c r="AJ272" s="540">
        <f t="shared" ref="AJ272:AJ303" si="146">IF((G272=""),30,AI272)</f>
        <v>30</v>
      </c>
      <c r="AK272" s="540">
        <f t="shared" si="125"/>
        <v>30</v>
      </c>
      <c r="AL272" s="909">
        <f t="shared" ref="AL272:AL303" si="147">(AK272*(SUM(J272:J272)))</f>
        <v>0</v>
      </c>
      <c r="AN272" s="539">
        <f t="shared" si="127"/>
        <v>0</v>
      </c>
      <c r="AR272" s="941"/>
      <c r="AT272" s="317"/>
      <c r="AU272" s="317"/>
    </row>
    <row r="273" spans="3:47" ht="13.15" customHeight="1" x14ac:dyDescent="0.2">
      <c r="C273" s="381"/>
      <c r="D273" s="895" t="str">
        <f>IF(op!D161=0,"",op!D161)</f>
        <v/>
      </c>
      <c r="E273" s="895" t="str">
        <f>IF(op!E161=0,"",op!E161)</f>
        <v/>
      </c>
      <c r="F273" s="390" t="str">
        <f>IF(op!F161="","",op!F161+1)</f>
        <v/>
      </c>
      <c r="G273" s="896" t="str">
        <f>IF(op!G161=0,"",op!G161)</f>
        <v/>
      </c>
      <c r="H273" s="390" t="str">
        <f>IF(op!H161="","",op!H161)</f>
        <v/>
      </c>
      <c r="I273" s="897" t="str">
        <f t="shared" si="135"/>
        <v/>
      </c>
      <c r="J273" s="898" t="str">
        <f>IF(op!J161="","",op!J161)</f>
        <v/>
      </c>
      <c r="K273" s="334"/>
      <c r="L273" s="1140" t="str">
        <f>IF(op!L161="","",op!L161)</f>
        <v/>
      </c>
      <c r="M273" s="1140" t="str">
        <f>IF(op!M161="","",op!M161)</f>
        <v/>
      </c>
      <c r="N273" s="899" t="str">
        <f t="shared" si="128"/>
        <v/>
      </c>
      <c r="O273" s="900" t="str">
        <f t="shared" si="129"/>
        <v/>
      </c>
      <c r="P273" s="901" t="str">
        <f t="shared" si="130"/>
        <v/>
      </c>
      <c r="Q273" s="568" t="str">
        <f t="shared" si="136"/>
        <v/>
      </c>
      <c r="R273" s="902" t="str">
        <f t="shared" si="131"/>
        <v/>
      </c>
      <c r="S273" s="903">
        <f t="shared" si="137"/>
        <v>0</v>
      </c>
      <c r="T273" s="334"/>
      <c r="X273" s="887" t="str">
        <f t="shared" si="138"/>
        <v/>
      </c>
      <c r="Y273" s="904">
        <f t="shared" si="139"/>
        <v>0.6</v>
      </c>
      <c r="Z273" s="905" t="e">
        <f t="shared" si="132"/>
        <v>#VALUE!</v>
      </c>
      <c r="AA273" s="905" t="e">
        <f t="shared" si="133"/>
        <v>#VALUE!</v>
      </c>
      <c r="AB273" s="905" t="e">
        <f t="shared" si="134"/>
        <v>#VALUE!</v>
      </c>
      <c r="AC273" s="906" t="e">
        <f t="shared" si="140"/>
        <v>#VALUE!</v>
      </c>
      <c r="AD273" s="907">
        <f t="shared" si="141"/>
        <v>0</v>
      </c>
      <c r="AE273" s="904">
        <f>IF(H273&gt;8,tab!C$194,tab!C$197)</f>
        <v>0.5</v>
      </c>
      <c r="AF273" s="907">
        <f t="shared" si="142"/>
        <v>0</v>
      </c>
      <c r="AG273" s="887">
        <f t="shared" si="143"/>
        <v>0</v>
      </c>
      <c r="AH273" s="908" t="e">
        <f t="shared" si="144"/>
        <v>#VALUE!</v>
      </c>
      <c r="AI273" s="815" t="e">
        <f t="shared" si="145"/>
        <v>#VALUE!</v>
      </c>
      <c r="AJ273" s="540">
        <f t="shared" si="146"/>
        <v>30</v>
      </c>
      <c r="AK273" s="540">
        <f t="shared" si="125"/>
        <v>30</v>
      </c>
      <c r="AL273" s="909">
        <f t="shared" si="147"/>
        <v>0</v>
      </c>
      <c r="AN273" s="539">
        <f t="shared" si="127"/>
        <v>0</v>
      </c>
      <c r="AR273" s="941"/>
      <c r="AT273" s="317"/>
      <c r="AU273" s="317"/>
    </row>
    <row r="274" spans="3:47" ht="13.15" customHeight="1" x14ac:dyDescent="0.2">
      <c r="C274" s="381"/>
      <c r="D274" s="895" t="str">
        <f>IF(op!D162=0,"",op!D162)</f>
        <v/>
      </c>
      <c r="E274" s="895" t="str">
        <f>IF(op!E162=0,"",op!E162)</f>
        <v/>
      </c>
      <c r="F274" s="390" t="str">
        <f>IF(op!F162="","",op!F162+1)</f>
        <v/>
      </c>
      <c r="G274" s="896" t="str">
        <f>IF(op!G162=0,"",op!G162)</f>
        <v/>
      </c>
      <c r="H274" s="390" t="str">
        <f>IF(op!H162="","",op!H162)</f>
        <v/>
      </c>
      <c r="I274" s="897" t="str">
        <f t="shared" si="135"/>
        <v/>
      </c>
      <c r="J274" s="898" t="str">
        <f>IF(op!J162="","",op!J162)</f>
        <v/>
      </c>
      <c r="K274" s="334"/>
      <c r="L274" s="1140" t="str">
        <f>IF(op!L162="","",op!L162)</f>
        <v/>
      </c>
      <c r="M274" s="1140" t="str">
        <f>IF(op!M162="","",op!M162)</f>
        <v/>
      </c>
      <c r="N274" s="899" t="str">
        <f t="shared" si="128"/>
        <v/>
      </c>
      <c r="O274" s="900" t="str">
        <f t="shared" si="129"/>
        <v/>
      </c>
      <c r="P274" s="901" t="str">
        <f t="shared" si="130"/>
        <v/>
      </c>
      <c r="Q274" s="568" t="str">
        <f t="shared" si="136"/>
        <v/>
      </c>
      <c r="R274" s="902" t="str">
        <f t="shared" si="131"/>
        <v/>
      </c>
      <c r="S274" s="903">
        <f t="shared" si="137"/>
        <v>0</v>
      </c>
      <c r="T274" s="334"/>
      <c r="X274" s="887" t="str">
        <f t="shared" si="138"/>
        <v/>
      </c>
      <c r="Y274" s="904">
        <f t="shared" si="139"/>
        <v>0.6</v>
      </c>
      <c r="Z274" s="905" t="e">
        <f t="shared" si="132"/>
        <v>#VALUE!</v>
      </c>
      <c r="AA274" s="905" t="e">
        <f t="shared" si="133"/>
        <v>#VALUE!</v>
      </c>
      <c r="AB274" s="905" t="e">
        <f t="shared" si="134"/>
        <v>#VALUE!</v>
      </c>
      <c r="AC274" s="906" t="e">
        <f t="shared" si="140"/>
        <v>#VALUE!</v>
      </c>
      <c r="AD274" s="907">
        <f t="shared" si="141"/>
        <v>0</v>
      </c>
      <c r="AE274" s="904">
        <f>IF(H274&gt;8,tab!C$194,tab!C$197)</f>
        <v>0.5</v>
      </c>
      <c r="AF274" s="907">
        <f t="shared" si="142"/>
        <v>0</v>
      </c>
      <c r="AG274" s="887">
        <f t="shared" si="143"/>
        <v>0</v>
      </c>
      <c r="AH274" s="908" t="e">
        <f t="shared" si="144"/>
        <v>#VALUE!</v>
      </c>
      <c r="AI274" s="815" t="e">
        <f t="shared" si="145"/>
        <v>#VALUE!</v>
      </c>
      <c r="AJ274" s="540">
        <f t="shared" si="146"/>
        <v>30</v>
      </c>
      <c r="AK274" s="540">
        <f t="shared" si="125"/>
        <v>30</v>
      </c>
      <c r="AL274" s="909">
        <f t="shared" si="147"/>
        <v>0</v>
      </c>
      <c r="AN274" s="539">
        <f t="shared" si="127"/>
        <v>0</v>
      </c>
      <c r="AR274" s="941"/>
      <c r="AT274" s="317"/>
      <c r="AU274" s="317"/>
    </row>
    <row r="275" spans="3:47" ht="13.15" customHeight="1" x14ac:dyDescent="0.2">
      <c r="C275" s="381"/>
      <c r="D275" s="895" t="str">
        <f>IF(op!D163=0,"",op!D163)</f>
        <v/>
      </c>
      <c r="E275" s="895" t="str">
        <f>IF(op!E163=0,"",op!E163)</f>
        <v/>
      </c>
      <c r="F275" s="390" t="str">
        <f>IF(op!F163="","",op!F163+1)</f>
        <v/>
      </c>
      <c r="G275" s="896" t="str">
        <f>IF(op!G163=0,"",op!G163)</f>
        <v/>
      </c>
      <c r="H275" s="390" t="str">
        <f>IF(op!H163="","",op!H163)</f>
        <v/>
      </c>
      <c r="I275" s="897" t="str">
        <f t="shared" si="135"/>
        <v/>
      </c>
      <c r="J275" s="898" t="str">
        <f>IF(op!J163="","",op!J163)</f>
        <v/>
      </c>
      <c r="K275" s="334"/>
      <c r="L275" s="1140" t="str">
        <f>IF(op!L163="","",op!L163)</f>
        <v/>
      </c>
      <c r="M275" s="1140" t="str">
        <f>IF(op!M163="","",op!M163)</f>
        <v/>
      </c>
      <c r="N275" s="899" t="str">
        <f t="shared" si="128"/>
        <v/>
      </c>
      <c r="O275" s="900" t="str">
        <f t="shared" si="129"/>
        <v/>
      </c>
      <c r="P275" s="901" t="str">
        <f t="shared" si="130"/>
        <v/>
      </c>
      <c r="Q275" s="568" t="str">
        <f t="shared" si="136"/>
        <v/>
      </c>
      <c r="R275" s="902" t="str">
        <f t="shared" si="131"/>
        <v/>
      </c>
      <c r="S275" s="903">
        <f t="shared" si="137"/>
        <v>0</v>
      </c>
      <c r="T275" s="334"/>
      <c r="X275" s="887" t="str">
        <f t="shared" si="138"/>
        <v/>
      </c>
      <c r="Y275" s="904">
        <f t="shared" si="139"/>
        <v>0.6</v>
      </c>
      <c r="Z275" s="905" t="e">
        <f t="shared" si="132"/>
        <v>#VALUE!</v>
      </c>
      <c r="AA275" s="905" t="e">
        <f t="shared" si="133"/>
        <v>#VALUE!</v>
      </c>
      <c r="AB275" s="905" t="e">
        <f t="shared" si="134"/>
        <v>#VALUE!</v>
      </c>
      <c r="AC275" s="906" t="e">
        <f t="shared" si="140"/>
        <v>#VALUE!</v>
      </c>
      <c r="AD275" s="907">
        <f t="shared" si="141"/>
        <v>0</v>
      </c>
      <c r="AE275" s="904">
        <f>IF(H275&gt;8,tab!C$194,tab!C$197)</f>
        <v>0.5</v>
      </c>
      <c r="AF275" s="907">
        <f t="shared" si="142"/>
        <v>0</v>
      </c>
      <c r="AG275" s="887">
        <f t="shared" si="143"/>
        <v>0</v>
      </c>
      <c r="AH275" s="908" t="e">
        <f t="shared" si="144"/>
        <v>#VALUE!</v>
      </c>
      <c r="AI275" s="815" t="e">
        <f t="shared" si="145"/>
        <v>#VALUE!</v>
      </c>
      <c r="AJ275" s="540">
        <f t="shared" si="146"/>
        <v>30</v>
      </c>
      <c r="AK275" s="540">
        <f t="shared" si="125"/>
        <v>30</v>
      </c>
      <c r="AL275" s="909">
        <f t="shared" si="147"/>
        <v>0</v>
      </c>
      <c r="AN275" s="539">
        <f t="shared" si="127"/>
        <v>0</v>
      </c>
      <c r="AR275" s="941"/>
      <c r="AT275" s="317"/>
      <c r="AU275" s="317"/>
    </row>
    <row r="276" spans="3:47" ht="13.15" customHeight="1" x14ac:dyDescent="0.2">
      <c r="C276" s="381"/>
      <c r="D276" s="895" t="str">
        <f>IF(op!D164=0,"",op!D164)</f>
        <v/>
      </c>
      <c r="E276" s="895" t="str">
        <f>IF(op!E164=0,"",op!E164)</f>
        <v/>
      </c>
      <c r="F276" s="390" t="str">
        <f>IF(op!F164="","",op!F164+1)</f>
        <v/>
      </c>
      <c r="G276" s="896" t="str">
        <f>IF(op!G164=0,"",op!G164)</f>
        <v/>
      </c>
      <c r="H276" s="390" t="str">
        <f>IF(op!H164="","",op!H164)</f>
        <v/>
      </c>
      <c r="I276" s="897" t="str">
        <f t="shared" si="135"/>
        <v/>
      </c>
      <c r="J276" s="898" t="str">
        <f>IF(op!J164="","",op!J164)</f>
        <v/>
      </c>
      <c r="K276" s="334"/>
      <c r="L276" s="1140" t="str">
        <f>IF(op!L164="","",op!L164)</f>
        <v/>
      </c>
      <c r="M276" s="1140" t="str">
        <f>IF(op!M164="","",op!M164)</f>
        <v/>
      </c>
      <c r="N276" s="899" t="str">
        <f t="shared" si="128"/>
        <v/>
      </c>
      <c r="O276" s="900" t="str">
        <f t="shared" si="129"/>
        <v/>
      </c>
      <c r="P276" s="901" t="str">
        <f t="shared" si="130"/>
        <v/>
      </c>
      <c r="Q276" s="568" t="str">
        <f t="shared" si="136"/>
        <v/>
      </c>
      <c r="R276" s="902" t="str">
        <f t="shared" si="131"/>
        <v/>
      </c>
      <c r="S276" s="903">
        <f t="shared" si="137"/>
        <v>0</v>
      </c>
      <c r="T276" s="334"/>
      <c r="X276" s="887" t="str">
        <f t="shared" si="138"/>
        <v/>
      </c>
      <c r="Y276" s="904">
        <f t="shared" si="139"/>
        <v>0.6</v>
      </c>
      <c r="Z276" s="905" t="e">
        <f t="shared" si="132"/>
        <v>#VALUE!</v>
      </c>
      <c r="AA276" s="905" t="e">
        <f t="shared" si="133"/>
        <v>#VALUE!</v>
      </c>
      <c r="AB276" s="905" t="e">
        <f t="shared" si="134"/>
        <v>#VALUE!</v>
      </c>
      <c r="AC276" s="906" t="e">
        <f t="shared" si="140"/>
        <v>#VALUE!</v>
      </c>
      <c r="AD276" s="907">
        <f t="shared" si="141"/>
        <v>0</v>
      </c>
      <c r="AE276" s="904">
        <f>IF(H276&gt;8,tab!C$194,tab!C$197)</f>
        <v>0.5</v>
      </c>
      <c r="AF276" s="907">
        <f t="shared" si="142"/>
        <v>0</v>
      </c>
      <c r="AG276" s="887">
        <f t="shared" si="143"/>
        <v>0</v>
      </c>
      <c r="AH276" s="908" t="e">
        <f t="shared" si="144"/>
        <v>#VALUE!</v>
      </c>
      <c r="AI276" s="815" t="e">
        <f t="shared" si="145"/>
        <v>#VALUE!</v>
      </c>
      <c r="AJ276" s="540">
        <f t="shared" si="146"/>
        <v>30</v>
      </c>
      <c r="AK276" s="540">
        <f t="shared" si="125"/>
        <v>30</v>
      </c>
      <c r="AL276" s="909">
        <f t="shared" si="147"/>
        <v>0</v>
      </c>
      <c r="AN276" s="539">
        <f t="shared" si="127"/>
        <v>0</v>
      </c>
      <c r="AR276" s="941"/>
      <c r="AT276" s="317"/>
      <c r="AU276" s="317"/>
    </row>
    <row r="277" spans="3:47" ht="13.15" customHeight="1" x14ac:dyDescent="0.2">
      <c r="C277" s="381"/>
      <c r="D277" s="895" t="str">
        <f>IF(op!D165=0,"",op!D165)</f>
        <v/>
      </c>
      <c r="E277" s="895" t="str">
        <f>IF(op!E165=0,"",op!E165)</f>
        <v/>
      </c>
      <c r="F277" s="390" t="str">
        <f>IF(op!F165="","",op!F165+1)</f>
        <v/>
      </c>
      <c r="G277" s="896" t="str">
        <f>IF(op!G165=0,"",op!G165)</f>
        <v/>
      </c>
      <c r="H277" s="390" t="str">
        <f>IF(op!H165="","",op!H165)</f>
        <v/>
      </c>
      <c r="I277" s="897" t="str">
        <f t="shared" si="135"/>
        <v/>
      </c>
      <c r="J277" s="898" t="str">
        <f>IF(op!J165="","",op!J165)</f>
        <v/>
      </c>
      <c r="K277" s="334"/>
      <c r="L277" s="1140" t="str">
        <f>IF(op!L165="","",op!L165)</f>
        <v/>
      </c>
      <c r="M277" s="1140" t="str">
        <f>IF(op!M165="","",op!M165)</f>
        <v/>
      </c>
      <c r="N277" s="899" t="str">
        <f t="shared" si="128"/>
        <v/>
      </c>
      <c r="O277" s="900" t="str">
        <f t="shared" si="129"/>
        <v/>
      </c>
      <c r="P277" s="901" t="str">
        <f t="shared" si="130"/>
        <v/>
      </c>
      <c r="Q277" s="568" t="str">
        <f t="shared" si="136"/>
        <v/>
      </c>
      <c r="R277" s="902" t="str">
        <f t="shared" si="131"/>
        <v/>
      </c>
      <c r="S277" s="903">
        <f t="shared" si="137"/>
        <v>0</v>
      </c>
      <c r="T277" s="334"/>
      <c r="X277" s="887" t="str">
        <f t="shared" si="138"/>
        <v/>
      </c>
      <c r="Y277" s="904">
        <f t="shared" si="139"/>
        <v>0.6</v>
      </c>
      <c r="Z277" s="905" t="e">
        <f t="shared" si="132"/>
        <v>#VALUE!</v>
      </c>
      <c r="AA277" s="905" t="e">
        <f t="shared" si="133"/>
        <v>#VALUE!</v>
      </c>
      <c r="AB277" s="905" t="e">
        <f t="shared" si="134"/>
        <v>#VALUE!</v>
      </c>
      <c r="AC277" s="906" t="e">
        <f t="shared" si="140"/>
        <v>#VALUE!</v>
      </c>
      <c r="AD277" s="907">
        <f t="shared" si="141"/>
        <v>0</v>
      </c>
      <c r="AE277" s="904">
        <f>IF(H277&gt;8,tab!C$194,tab!C$197)</f>
        <v>0.5</v>
      </c>
      <c r="AF277" s="907">
        <f t="shared" si="142"/>
        <v>0</v>
      </c>
      <c r="AG277" s="887">
        <f t="shared" si="143"/>
        <v>0</v>
      </c>
      <c r="AH277" s="908" t="e">
        <f t="shared" si="144"/>
        <v>#VALUE!</v>
      </c>
      <c r="AI277" s="815" t="e">
        <f t="shared" si="145"/>
        <v>#VALUE!</v>
      </c>
      <c r="AJ277" s="540">
        <f t="shared" si="146"/>
        <v>30</v>
      </c>
      <c r="AK277" s="540">
        <f t="shared" si="125"/>
        <v>30</v>
      </c>
      <c r="AL277" s="909">
        <f t="shared" si="147"/>
        <v>0</v>
      </c>
      <c r="AN277" s="539">
        <f t="shared" si="127"/>
        <v>0</v>
      </c>
      <c r="AR277" s="941"/>
      <c r="AT277" s="317"/>
      <c r="AU277" s="317"/>
    </row>
    <row r="278" spans="3:47" ht="13.15" customHeight="1" x14ac:dyDescent="0.2">
      <c r="C278" s="381"/>
      <c r="D278" s="895" t="str">
        <f>IF(op!D166=0,"",op!D166)</f>
        <v/>
      </c>
      <c r="E278" s="895" t="str">
        <f>IF(op!E166=0,"",op!E166)</f>
        <v/>
      </c>
      <c r="F278" s="390" t="str">
        <f>IF(op!F166="","",op!F166+1)</f>
        <v/>
      </c>
      <c r="G278" s="896" t="str">
        <f>IF(op!G166=0,"",op!G166)</f>
        <v/>
      </c>
      <c r="H278" s="390" t="str">
        <f>IF(op!H166="","",op!H166)</f>
        <v/>
      </c>
      <c r="I278" s="897" t="str">
        <f t="shared" si="135"/>
        <v/>
      </c>
      <c r="J278" s="898" t="str">
        <f>IF(op!J166="","",op!J166)</f>
        <v/>
      </c>
      <c r="K278" s="334"/>
      <c r="L278" s="1140" t="str">
        <f>IF(op!L166="","",op!L166)</f>
        <v/>
      </c>
      <c r="M278" s="1140" t="str">
        <f>IF(op!M166="","",op!M166)</f>
        <v/>
      </c>
      <c r="N278" s="899" t="str">
        <f t="shared" si="128"/>
        <v/>
      </c>
      <c r="O278" s="900" t="str">
        <f t="shared" si="129"/>
        <v/>
      </c>
      <c r="P278" s="901" t="str">
        <f t="shared" si="130"/>
        <v/>
      </c>
      <c r="Q278" s="568" t="str">
        <f t="shared" si="136"/>
        <v/>
      </c>
      <c r="R278" s="902" t="str">
        <f t="shared" si="131"/>
        <v/>
      </c>
      <c r="S278" s="903">
        <f t="shared" si="137"/>
        <v>0</v>
      </c>
      <c r="T278" s="334"/>
      <c r="X278" s="887" t="str">
        <f t="shared" si="138"/>
        <v/>
      </c>
      <c r="Y278" s="904">
        <f t="shared" si="139"/>
        <v>0.6</v>
      </c>
      <c r="Z278" s="905" t="e">
        <f t="shared" si="132"/>
        <v>#VALUE!</v>
      </c>
      <c r="AA278" s="905" t="e">
        <f t="shared" si="133"/>
        <v>#VALUE!</v>
      </c>
      <c r="AB278" s="905" t="e">
        <f t="shared" si="134"/>
        <v>#VALUE!</v>
      </c>
      <c r="AC278" s="906" t="e">
        <f t="shared" si="140"/>
        <v>#VALUE!</v>
      </c>
      <c r="AD278" s="907">
        <f t="shared" si="141"/>
        <v>0</v>
      </c>
      <c r="AE278" s="904">
        <f>IF(H278&gt;8,tab!C$194,tab!C$197)</f>
        <v>0.5</v>
      </c>
      <c r="AF278" s="907">
        <f t="shared" si="142"/>
        <v>0</v>
      </c>
      <c r="AG278" s="887">
        <f t="shared" si="143"/>
        <v>0</v>
      </c>
      <c r="AH278" s="908" t="e">
        <f t="shared" si="144"/>
        <v>#VALUE!</v>
      </c>
      <c r="AI278" s="815" t="e">
        <f t="shared" si="145"/>
        <v>#VALUE!</v>
      </c>
      <c r="AJ278" s="540">
        <f t="shared" si="146"/>
        <v>30</v>
      </c>
      <c r="AK278" s="540">
        <f t="shared" si="125"/>
        <v>30</v>
      </c>
      <c r="AL278" s="909">
        <f t="shared" si="147"/>
        <v>0</v>
      </c>
      <c r="AN278" s="539">
        <f t="shared" si="127"/>
        <v>0</v>
      </c>
      <c r="AR278" s="941"/>
      <c r="AT278" s="317"/>
      <c r="AU278" s="317"/>
    </row>
    <row r="279" spans="3:47" ht="13.15" customHeight="1" x14ac:dyDescent="0.2">
      <c r="C279" s="381"/>
      <c r="D279" s="895" t="str">
        <f>IF(op!D167=0,"",op!D167)</f>
        <v/>
      </c>
      <c r="E279" s="895" t="str">
        <f>IF(op!E167=0,"",op!E167)</f>
        <v/>
      </c>
      <c r="F279" s="390" t="str">
        <f>IF(op!F167="","",op!F167+1)</f>
        <v/>
      </c>
      <c r="G279" s="896" t="str">
        <f>IF(op!G167=0,"",op!G167)</f>
        <v/>
      </c>
      <c r="H279" s="390" t="str">
        <f>IF(op!H167="","",op!H167)</f>
        <v/>
      </c>
      <c r="I279" s="897" t="str">
        <f t="shared" si="135"/>
        <v/>
      </c>
      <c r="J279" s="898" t="str">
        <f>IF(op!J167="","",op!J167)</f>
        <v/>
      </c>
      <c r="K279" s="334"/>
      <c r="L279" s="1140" t="str">
        <f>IF(op!L167="","",op!L167)</f>
        <v/>
      </c>
      <c r="M279" s="1140" t="str">
        <f>IF(op!M167="","",op!M167)</f>
        <v/>
      </c>
      <c r="N279" s="899" t="str">
        <f t="shared" si="128"/>
        <v/>
      </c>
      <c r="O279" s="900" t="str">
        <f t="shared" si="129"/>
        <v/>
      </c>
      <c r="P279" s="901" t="str">
        <f t="shared" si="130"/>
        <v/>
      </c>
      <c r="Q279" s="568" t="str">
        <f t="shared" si="136"/>
        <v/>
      </c>
      <c r="R279" s="902" t="str">
        <f t="shared" si="131"/>
        <v/>
      </c>
      <c r="S279" s="903">
        <f t="shared" si="137"/>
        <v>0</v>
      </c>
      <c r="T279" s="334"/>
      <c r="X279" s="887" t="str">
        <f t="shared" si="138"/>
        <v/>
      </c>
      <c r="Y279" s="904">
        <f t="shared" si="139"/>
        <v>0.6</v>
      </c>
      <c r="Z279" s="905" t="e">
        <f t="shared" si="132"/>
        <v>#VALUE!</v>
      </c>
      <c r="AA279" s="905" t="e">
        <f t="shared" si="133"/>
        <v>#VALUE!</v>
      </c>
      <c r="AB279" s="905" t="e">
        <f t="shared" si="134"/>
        <v>#VALUE!</v>
      </c>
      <c r="AC279" s="906" t="e">
        <f t="shared" si="140"/>
        <v>#VALUE!</v>
      </c>
      <c r="AD279" s="907">
        <f t="shared" si="141"/>
        <v>0</v>
      </c>
      <c r="AE279" s="904">
        <f>IF(H279&gt;8,tab!C$194,tab!C$197)</f>
        <v>0.5</v>
      </c>
      <c r="AF279" s="907">
        <f t="shared" si="142"/>
        <v>0</v>
      </c>
      <c r="AG279" s="887">
        <f t="shared" si="143"/>
        <v>0</v>
      </c>
      <c r="AH279" s="908" t="e">
        <f t="shared" si="144"/>
        <v>#VALUE!</v>
      </c>
      <c r="AI279" s="815" t="e">
        <f t="shared" si="145"/>
        <v>#VALUE!</v>
      </c>
      <c r="AJ279" s="540">
        <f t="shared" si="146"/>
        <v>30</v>
      </c>
      <c r="AK279" s="540">
        <f t="shared" si="125"/>
        <v>30</v>
      </c>
      <c r="AL279" s="909">
        <f t="shared" si="147"/>
        <v>0</v>
      </c>
      <c r="AN279" s="539">
        <f t="shared" si="127"/>
        <v>0</v>
      </c>
      <c r="AR279" s="941"/>
      <c r="AT279" s="317"/>
      <c r="AU279" s="317"/>
    </row>
    <row r="280" spans="3:47" ht="13.15" customHeight="1" x14ac:dyDescent="0.2">
      <c r="C280" s="381"/>
      <c r="D280" s="895" t="str">
        <f>IF(op!D168=0,"",op!D168)</f>
        <v/>
      </c>
      <c r="E280" s="895" t="str">
        <f>IF(op!E168=0,"",op!E168)</f>
        <v/>
      </c>
      <c r="F280" s="390" t="str">
        <f>IF(op!F168="","",op!F168+1)</f>
        <v/>
      </c>
      <c r="G280" s="896" t="str">
        <f>IF(op!G168=0,"",op!G168)</f>
        <v/>
      </c>
      <c r="H280" s="390" t="str">
        <f>IF(op!H168="","",op!H168)</f>
        <v/>
      </c>
      <c r="I280" s="897" t="str">
        <f t="shared" si="135"/>
        <v/>
      </c>
      <c r="J280" s="898" t="str">
        <f>IF(op!J168="","",op!J168)</f>
        <v/>
      </c>
      <c r="K280" s="334"/>
      <c r="L280" s="1140" t="str">
        <f>IF(op!L168="","",op!L168)</f>
        <v/>
      </c>
      <c r="M280" s="1140" t="str">
        <f>IF(op!M168="","",op!M168)</f>
        <v/>
      </c>
      <c r="N280" s="899" t="str">
        <f t="shared" si="128"/>
        <v/>
      </c>
      <c r="O280" s="900" t="str">
        <f t="shared" si="129"/>
        <v/>
      </c>
      <c r="P280" s="901" t="str">
        <f t="shared" si="130"/>
        <v/>
      </c>
      <c r="Q280" s="568" t="str">
        <f t="shared" si="136"/>
        <v/>
      </c>
      <c r="R280" s="902" t="str">
        <f t="shared" si="131"/>
        <v/>
      </c>
      <c r="S280" s="903">
        <f t="shared" si="137"/>
        <v>0</v>
      </c>
      <c r="T280" s="334"/>
      <c r="X280" s="887" t="str">
        <f t="shared" si="138"/>
        <v/>
      </c>
      <c r="Y280" s="904">
        <f t="shared" si="139"/>
        <v>0.6</v>
      </c>
      <c r="Z280" s="905" t="e">
        <f t="shared" si="132"/>
        <v>#VALUE!</v>
      </c>
      <c r="AA280" s="905" t="e">
        <f t="shared" si="133"/>
        <v>#VALUE!</v>
      </c>
      <c r="AB280" s="905" t="e">
        <f t="shared" si="134"/>
        <v>#VALUE!</v>
      </c>
      <c r="AC280" s="906" t="e">
        <f t="shared" si="140"/>
        <v>#VALUE!</v>
      </c>
      <c r="AD280" s="907">
        <f t="shared" si="141"/>
        <v>0</v>
      </c>
      <c r="AE280" s="904">
        <f>IF(H280&gt;8,tab!C$194,tab!C$197)</f>
        <v>0.5</v>
      </c>
      <c r="AF280" s="907">
        <f t="shared" si="142"/>
        <v>0</v>
      </c>
      <c r="AG280" s="887">
        <f t="shared" si="143"/>
        <v>0</v>
      </c>
      <c r="AH280" s="908" t="e">
        <f t="shared" si="144"/>
        <v>#VALUE!</v>
      </c>
      <c r="AI280" s="815" t="e">
        <f t="shared" si="145"/>
        <v>#VALUE!</v>
      </c>
      <c r="AJ280" s="540">
        <f t="shared" si="146"/>
        <v>30</v>
      </c>
      <c r="AK280" s="540">
        <f t="shared" si="125"/>
        <v>30</v>
      </c>
      <c r="AL280" s="909">
        <f t="shared" si="147"/>
        <v>0</v>
      </c>
      <c r="AN280" s="539">
        <f t="shared" si="127"/>
        <v>0</v>
      </c>
      <c r="AR280" s="941"/>
      <c r="AT280" s="317"/>
      <c r="AU280" s="317"/>
    </row>
    <row r="281" spans="3:47" ht="13.15" customHeight="1" x14ac:dyDescent="0.2">
      <c r="C281" s="381"/>
      <c r="D281" s="895" t="str">
        <f>IF(op!D169=0,"",op!D169)</f>
        <v/>
      </c>
      <c r="E281" s="895" t="str">
        <f>IF(op!E169=0,"",op!E169)</f>
        <v/>
      </c>
      <c r="F281" s="390" t="str">
        <f>IF(op!F169="","",op!F169+1)</f>
        <v/>
      </c>
      <c r="G281" s="896" t="str">
        <f>IF(op!G169=0,"",op!G169)</f>
        <v/>
      </c>
      <c r="H281" s="390" t="str">
        <f>IF(op!H169="","",op!H169)</f>
        <v/>
      </c>
      <c r="I281" s="897" t="str">
        <f t="shared" si="135"/>
        <v/>
      </c>
      <c r="J281" s="898" t="str">
        <f>IF(op!J169="","",op!J169)</f>
        <v/>
      </c>
      <c r="K281" s="334"/>
      <c r="L281" s="1140" t="str">
        <f>IF(op!L169="","",op!L169)</f>
        <v/>
      </c>
      <c r="M281" s="1140" t="str">
        <f>IF(op!M169="","",op!M169)</f>
        <v/>
      </c>
      <c r="N281" s="899" t="str">
        <f t="shared" si="128"/>
        <v/>
      </c>
      <c r="O281" s="900" t="str">
        <f t="shared" si="129"/>
        <v/>
      </c>
      <c r="P281" s="901" t="str">
        <f t="shared" si="130"/>
        <v/>
      </c>
      <c r="Q281" s="568" t="str">
        <f t="shared" si="136"/>
        <v/>
      </c>
      <c r="R281" s="902" t="str">
        <f t="shared" si="131"/>
        <v/>
      </c>
      <c r="S281" s="903">
        <f t="shared" si="137"/>
        <v>0</v>
      </c>
      <c r="T281" s="334"/>
      <c r="X281" s="887" t="str">
        <f t="shared" si="138"/>
        <v/>
      </c>
      <c r="Y281" s="904">
        <f t="shared" si="139"/>
        <v>0.6</v>
      </c>
      <c r="Z281" s="905" t="e">
        <f t="shared" si="132"/>
        <v>#VALUE!</v>
      </c>
      <c r="AA281" s="905" t="e">
        <f t="shared" si="133"/>
        <v>#VALUE!</v>
      </c>
      <c r="AB281" s="905" t="e">
        <f t="shared" si="134"/>
        <v>#VALUE!</v>
      </c>
      <c r="AC281" s="906" t="e">
        <f t="shared" si="140"/>
        <v>#VALUE!</v>
      </c>
      <c r="AD281" s="907">
        <f t="shared" si="141"/>
        <v>0</v>
      </c>
      <c r="AE281" s="904">
        <f>IF(H281&gt;8,tab!C$194,tab!C$197)</f>
        <v>0.5</v>
      </c>
      <c r="AF281" s="907">
        <f t="shared" si="142"/>
        <v>0</v>
      </c>
      <c r="AG281" s="887">
        <f t="shared" si="143"/>
        <v>0</v>
      </c>
      <c r="AH281" s="908" t="e">
        <f t="shared" si="144"/>
        <v>#VALUE!</v>
      </c>
      <c r="AI281" s="815" t="e">
        <f t="shared" si="145"/>
        <v>#VALUE!</v>
      </c>
      <c r="AJ281" s="540">
        <f t="shared" si="146"/>
        <v>30</v>
      </c>
      <c r="AK281" s="540">
        <f t="shared" si="125"/>
        <v>30</v>
      </c>
      <c r="AL281" s="909">
        <f t="shared" si="147"/>
        <v>0</v>
      </c>
      <c r="AN281" s="539">
        <f t="shared" si="127"/>
        <v>0</v>
      </c>
      <c r="AR281" s="941"/>
      <c r="AT281" s="317"/>
      <c r="AU281" s="317"/>
    </row>
    <row r="282" spans="3:47" ht="13.15" customHeight="1" x14ac:dyDescent="0.2">
      <c r="C282" s="381"/>
      <c r="D282" s="895" t="str">
        <f>IF(op!D170=0,"",op!D170)</f>
        <v/>
      </c>
      <c r="E282" s="895" t="str">
        <f>IF(op!E170=0,"",op!E170)</f>
        <v/>
      </c>
      <c r="F282" s="390" t="str">
        <f>IF(op!F170="","",op!F170+1)</f>
        <v/>
      </c>
      <c r="G282" s="896" t="str">
        <f>IF(op!G170=0,"",op!G170)</f>
        <v/>
      </c>
      <c r="H282" s="390" t="str">
        <f>IF(op!H170="","",op!H170)</f>
        <v/>
      </c>
      <c r="I282" s="897" t="str">
        <f t="shared" si="135"/>
        <v/>
      </c>
      <c r="J282" s="898" t="str">
        <f>IF(op!J170="","",op!J170)</f>
        <v/>
      </c>
      <c r="K282" s="334"/>
      <c r="L282" s="1140" t="str">
        <f>IF(op!L170="","",op!L170)</f>
        <v/>
      </c>
      <c r="M282" s="1140" t="str">
        <f>IF(op!M170="","",op!M170)</f>
        <v/>
      </c>
      <c r="N282" s="899" t="str">
        <f t="shared" si="128"/>
        <v/>
      </c>
      <c r="O282" s="900" t="str">
        <f t="shared" si="129"/>
        <v/>
      </c>
      <c r="P282" s="901" t="str">
        <f t="shared" si="130"/>
        <v/>
      </c>
      <c r="Q282" s="568" t="str">
        <f t="shared" si="136"/>
        <v/>
      </c>
      <c r="R282" s="902" t="str">
        <f t="shared" si="131"/>
        <v/>
      </c>
      <c r="S282" s="903">
        <f t="shared" si="137"/>
        <v>0</v>
      </c>
      <c r="T282" s="334"/>
      <c r="X282" s="887" t="str">
        <f t="shared" si="138"/>
        <v/>
      </c>
      <c r="Y282" s="904">
        <f t="shared" si="139"/>
        <v>0.6</v>
      </c>
      <c r="Z282" s="905" t="e">
        <f t="shared" si="132"/>
        <v>#VALUE!</v>
      </c>
      <c r="AA282" s="905" t="e">
        <f t="shared" si="133"/>
        <v>#VALUE!</v>
      </c>
      <c r="AB282" s="905" t="e">
        <f t="shared" si="134"/>
        <v>#VALUE!</v>
      </c>
      <c r="AC282" s="906" t="e">
        <f t="shared" si="140"/>
        <v>#VALUE!</v>
      </c>
      <c r="AD282" s="907">
        <f t="shared" si="141"/>
        <v>0</v>
      </c>
      <c r="AE282" s="904">
        <f>IF(H282&gt;8,tab!C$194,tab!C$197)</f>
        <v>0.5</v>
      </c>
      <c r="AF282" s="907">
        <f t="shared" si="142"/>
        <v>0</v>
      </c>
      <c r="AG282" s="887">
        <f t="shared" si="143"/>
        <v>0</v>
      </c>
      <c r="AH282" s="908" t="e">
        <f t="shared" si="144"/>
        <v>#VALUE!</v>
      </c>
      <c r="AI282" s="815" t="e">
        <f t="shared" si="145"/>
        <v>#VALUE!</v>
      </c>
      <c r="AJ282" s="540">
        <f t="shared" si="146"/>
        <v>30</v>
      </c>
      <c r="AK282" s="540">
        <f t="shared" si="125"/>
        <v>30</v>
      </c>
      <c r="AL282" s="909">
        <f t="shared" si="147"/>
        <v>0</v>
      </c>
      <c r="AN282" s="539">
        <f t="shared" si="127"/>
        <v>0</v>
      </c>
      <c r="AR282" s="941"/>
      <c r="AT282" s="317"/>
      <c r="AU282" s="317"/>
    </row>
    <row r="283" spans="3:47" ht="13.15" customHeight="1" x14ac:dyDescent="0.2">
      <c r="C283" s="381"/>
      <c r="D283" s="895" t="str">
        <f>IF(op!D171=0,"",op!D171)</f>
        <v/>
      </c>
      <c r="E283" s="895" t="str">
        <f>IF(op!E171=0,"",op!E171)</f>
        <v/>
      </c>
      <c r="F283" s="390" t="str">
        <f>IF(op!F171="","",op!F171+1)</f>
        <v/>
      </c>
      <c r="G283" s="896" t="str">
        <f>IF(op!G171=0,"",op!G171)</f>
        <v/>
      </c>
      <c r="H283" s="390" t="str">
        <f>IF(op!H171="","",op!H171)</f>
        <v/>
      </c>
      <c r="I283" s="897" t="str">
        <f t="shared" si="135"/>
        <v/>
      </c>
      <c r="J283" s="898" t="str">
        <f>IF(op!J171="","",op!J171)</f>
        <v/>
      </c>
      <c r="K283" s="334"/>
      <c r="L283" s="1140" t="str">
        <f>IF(op!L171="","",op!L171)</f>
        <v/>
      </c>
      <c r="M283" s="1140" t="str">
        <f>IF(op!M171="","",op!M171)</f>
        <v/>
      </c>
      <c r="N283" s="899" t="str">
        <f t="shared" si="128"/>
        <v/>
      </c>
      <c r="O283" s="900" t="str">
        <f t="shared" si="129"/>
        <v/>
      </c>
      <c r="P283" s="901" t="str">
        <f t="shared" si="130"/>
        <v/>
      </c>
      <c r="Q283" s="568" t="str">
        <f t="shared" si="136"/>
        <v/>
      </c>
      <c r="R283" s="902" t="str">
        <f t="shared" si="131"/>
        <v/>
      </c>
      <c r="S283" s="903">
        <f t="shared" si="137"/>
        <v>0</v>
      </c>
      <c r="T283" s="334"/>
      <c r="X283" s="887" t="str">
        <f t="shared" si="138"/>
        <v/>
      </c>
      <c r="Y283" s="904">
        <f t="shared" si="139"/>
        <v>0.6</v>
      </c>
      <c r="Z283" s="905" t="e">
        <f t="shared" si="132"/>
        <v>#VALUE!</v>
      </c>
      <c r="AA283" s="905" t="e">
        <f t="shared" si="133"/>
        <v>#VALUE!</v>
      </c>
      <c r="AB283" s="905" t="e">
        <f t="shared" si="134"/>
        <v>#VALUE!</v>
      </c>
      <c r="AC283" s="906" t="e">
        <f t="shared" si="140"/>
        <v>#VALUE!</v>
      </c>
      <c r="AD283" s="907">
        <f t="shared" si="141"/>
        <v>0</v>
      </c>
      <c r="AE283" s="904">
        <f>IF(H283&gt;8,tab!C$194,tab!C$197)</f>
        <v>0.5</v>
      </c>
      <c r="AF283" s="907">
        <f t="shared" si="142"/>
        <v>0</v>
      </c>
      <c r="AG283" s="887">
        <f t="shared" si="143"/>
        <v>0</v>
      </c>
      <c r="AH283" s="908" t="e">
        <f t="shared" si="144"/>
        <v>#VALUE!</v>
      </c>
      <c r="AI283" s="815" t="e">
        <f t="shared" si="145"/>
        <v>#VALUE!</v>
      </c>
      <c r="AJ283" s="540">
        <f t="shared" si="146"/>
        <v>30</v>
      </c>
      <c r="AK283" s="540">
        <f t="shared" si="125"/>
        <v>30</v>
      </c>
      <c r="AL283" s="909">
        <f t="shared" si="147"/>
        <v>0</v>
      </c>
      <c r="AN283" s="539">
        <f t="shared" si="127"/>
        <v>0</v>
      </c>
      <c r="AR283" s="941"/>
      <c r="AT283" s="317"/>
      <c r="AU283" s="317"/>
    </row>
    <row r="284" spans="3:47" ht="13.15" customHeight="1" x14ac:dyDescent="0.2">
      <c r="C284" s="381"/>
      <c r="D284" s="895" t="str">
        <f>IF(op!D172=0,"",op!D172)</f>
        <v/>
      </c>
      <c r="E284" s="895" t="str">
        <f>IF(op!E172=0,"",op!E172)</f>
        <v/>
      </c>
      <c r="F284" s="390" t="str">
        <f>IF(op!F172="","",op!F172+1)</f>
        <v/>
      </c>
      <c r="G284" s="896" t="str">
        <f>IF(op!G172=0,"",op!G172)</f>
        <v/>
      </c>
      <c r="H284" s="390" t="str">
        <f>IF(op!H172="","",op!H172)</f>
        <v/>
      </c>
      <c r="I284" s="897" t="str">
        <f t="shared" si="135"/>
        <v/>
      </c>
      <c r="J284" s="898" t="str">
        <f>IF(op!J172="","",op!J172)</f>
        <v/>
      </c>
      <c r="K284" s="334"/>
      <c r="L284" s="1140" t="str">
        <f>IF(op!L172="","",op!L172)</f>
        <v/>
      </c>
      <c r="M284" s="1140" t="str">
        <f>IF(op!M172="","",op!M172)</f>
        <v/>
      </c>
      <c r="N284" s="899" t="str">
        <f t="shared" si="128"/>
        <v/>
      </c>
      <c r="O284" s="900" t="str">
        <f t="shared" si="129"/>
        <v/>
      </c>
      <c r="P284" s="901" t="str">
        <f t="shared" si="130"/>
        <v/>
      </c>
      <c r="Q284" s="568" t="str">
        <f t="shared" si="136"/>
        <v/>
      </c>
      <c r="R284" s="902" t="str">
        <f t="shared" si="131"/>
        <v/>
      </c>
      <c r="S284" s="903">
        <f t="shared" si="137"/>
        <v>0</v>
      </c>
      <c r="T284" s="334"/>
      <c r="X284" s="887" t="str">
        <f t="shared" si="138"/>
        <v/>
      </c>
      <c r="Y284" s="904">
        <f t="shared" si="139"/>
        <v>0.6</v>
      </c>
      <c r="Z284" s="905" t="e">
        <f t="shared" si="132"/>
        <v>#VALUE!</v>
      </c>
      <c r="AA284" s="905" t="e">
        <f t="shared" si="133"/>
        <v>#VALUE!</v>
      </c>
      <c r="AB284" s="905" t="e">
        <f t="shared" si="134"/>
        <v>#VALUE!</v>
      </c>
      <c r="AC284" s="906" t="e">
        <f t="shared" si="140"/>
        <v>#VALUE!</v>
      </c>
      <c r="AD284" s="907">
        <f t="shared" si="141"/>
        <v>0</v>
      </c>
      <c r="AE284" s="904">
        <f>IF(H284&gt;8,tab!C$194,tab!C$197)</f>
        <v>0.5</v>
      </c>
      <c r="AF284" s="907">
        <f t="shared" si="142"/>
        <v>0</v>
      </c>
      <c r="AG284" s="887">
        <f t="shared" si="143"/>
        <v>0</v>
      </c>
      <c r="AH284" s="908" t="e">
        <f t="shared" si="144"/>
        <v>#VALUE!</v>
      </c>
      <c r="AI284" s="815" t="e">
        <f t="shared" si="145"/>
        <v>#VALUE!</v>
      </c>
      <c r="AJ284" s="540">
        <f t="shared" si="146"/>
        <v>30</v>
      </c>
      <c r="AK284" s="540">
        <f t="shared" si="125"/>
        <v>30</v>
      </c>
      <c r="AL284" s="909">
        <f t="shared" si="147"/>
        <v>0</v>
      </c>
      <c r="AN284" s="539">
        <f t="shared" si="127"/>
        <v>0</v>
      </c>
      <c r="AR284" s="941"/>
      <c r="AT284" s="317"/>
      <c r="AU284" s="317"/>
    </row>
    <row r="285" spans="3:47" ht="13.15" customHeight="1" x14ac:dyDescent="0.2">
      <c r="C285" s="381"/>
      <c r="D285" s="895" t="str">
        <f>IF(op!D173=0,"",op!D173)</f>
        <v/>
      </c>
      <c r="E285" s="895" t="str">
        <f>IF(op!E173=0,"",op!E173)</f>
        <v/>
      </c>
      <c r="F285" s="390" t="str">
        <f>IF(op!F173="","",op!F173+1)</f>
        <v/>
      </c>
      <c r="G285" s="896" t="str">
        <f>IF(op!G173=0,"",op!G173)</f>
        <v/>
      </c>
      <c r="H285" s="390" t="str">
        <f>IF(op!H173="","",op!H173)</f>
        <v/>
      </c>
      <c r="I285" s="897" t="str">
        <f t="shared" si="135"/>
        <v/>
      </c>
      <c r="J285" s="898" t="str">
        <f>IF(op!J173="","",op!J173)</f>
        <v/>
      </c>
      <c r="K285" s="334"/>
      <c r="L285" s="1140" t="str">
        <f>IF(op!L173="","",op!L173)</f>
        <v/>
      </c>
      <c r="M285" s="1140" t="str">
        <f>IF(op!M173="","",op!M173)</f>
        <v/>
      </c>
      <c r="N285" s="899" t="str">
        <f t="shared" si="128"/>
        <v/>
      </c>
      <c r="O285" s="900" t="str">
        <f t="shared" si="129"/>
        <v/>
      </c>
      <c r="P285" s="901" t="str">
        <f t="shared" si="130"/>
        <v/>
      </c>
      <c r="Q285" s="568" t="str">
        <f t="shared" si="136"/>
        <v/>
      </c>
      <c r="R285" s="902" t="str">
        <f t="shared" si="131"/>
        <v/>
      </c>
      <c r="S285" s="903">
        <f t="shared" si="137"/>
        <v>0</v>
      </c>
      <c r="T285" s="334"/>
      <c r="X285" s="887" t="str">
        <f t="shared" si="138"/>
        <v/>
      </c>
      <c r="Y285" s="904">
        <f t="shared" si="139"/>
        <v>0.6</v>
      </c>
      <c r="Z285" s="905" t="e">
        <f t="shared" si="132"/>
        <v>#VALUE!</v>
      </c>
      <c r="AA285" s="905" t="e">
        <f t="shared" si="133"/>
        <v>#VALUE!</v>
      </c>
      <c r="AB285" s="905" t="e">
        <f t="shared" si="134"/>
        <v>#VALUE!</v>
      </c>
      <c r="AC285" s="906" t="e">
        <f t="shared" si="140"/>
        <v>#VALUE!</v>
      </c>
      <c r="AD285" s="907">
        <f t="shared" si="141"/>
        <v>0</v>
      </c>
      <c r="AE285" s="904">
        <f>IF(H285&gt;8,tab!C$194,tab!C$197)</f>
        <v>0.5</v>
      </c>
      <c r="AF285" s="907">
        <f t="shared" si="142"/>
        <v>0</v>
      </c>
      <c r="AG285" s="887">
        <f t="shared" si="143"/>
        <v>0</v>
      </c>
      <c r="AH285" s="908" t="e">
        <f t="shared" si="144"/>
        <v>#VALUE!</v>
      </c>
      <c r="AI285" s="815" t="e">
        <f t="shared" si="145"/>
        <v>#VALUE!</v>
      </c>
      <c r="AJ285" s="540">
        <f t="shared" si="146"/>
        <v>30</v>
      </c>
      <c r="AK285" s="540">
        <f t="shared" si="125"/>
        <v>30</v>
      </c>
      <c r="AL285" s="909">
        <f t="shared" si="147"/>
        <v>0</v>
      </c>
      <c r="AN285" s="539">
        <f t="shared" si="127"/>
        <v>0</v>
      </c>
      <c r="AR285" s="941"/>
      <c r="AT285" s="317"/>
      <c r="AU285" s="317"/>
    </row>
    <row r="286" spans="3:47" ht="13.15" customHeight="1" x14ac:dyDescent="0.2">
      <c r="C286" s="381"/>
      <c r="D286" s="895" t="str">
        <f>IF(op!D174=0,"",op!D174)</f>
        <v/>
      </c>
      <c r="E286" s="895" t="str">
        <f>IF(op!E174=0,"",op!E174)</f>
        <v/>
      </c>
      <c r="F286" s="390" t="str">
        <f>IF(op!F174="","",op!F174+1)</f>
        <v/>
      </c>
      <c r="G286" s="896" t="str">
        <f>IF(op!G174=0,"",op!G174)</f>
        <v/>
      </c>
      <c r="H286" s="390" t="str">
        <f>IF(op!H174="","",op!H174)</f>
        <v/>
      </c>
      <c r="I286" s="897" t="str">
        <f t="shared" si="135"/>
        <v/>
      </c>
      <c r="J286" s="898" t="str">
        <f>IF(op!J174="","",op!J174)</f>
        <v/>
      </c>
      <c r="K286" s="334"/>
      <c r="L286" s="1140" t="str">
        <f>IF(op!L174="","",op!L174)</f>
        <v/>
      </c>
      <c r="M286" s="1140" t="str">
        <f>IF(op!M174="","",op!M174)</f>
        <v/>
      </c>
      <c r="N286" s="899" t="str">
        <f t="shared" si="128"/>
        <v/>
      </c>
      <c r="O286" s="900" t="str">
        <f t="shared" si="129"/>
        <v/>
      </c>
      <c r="P286" s="901" t="str">
        <f t="shared" si="130"/>
        <v/>
      </c>
      <c r="Q286" s="568" t="str">
        <f t="shared" si="136"/>
        <v/>
      </c>
      <c r="R286" s="902" t="str">
        <f t="shared" si="131"/>
        <v/>
      </c>
      <c r="S286" s="903">
        <f t="shared" si="137"/>
        <v>0</v>
      </c>
      <c r="T286" s="334"/>
      <c r="X286" s="887" t="str">
        <f t="shared" si="138"/>
        <v/>
      </c>
      <c r="Y286" s="904">
        <f t="shared" si="139"/>
        <v>0.6</v>
      </c>
      <c r="Z286" s="905" t="e">
        <f t="shared" si="132"/>
        <v>#VALUE!</v>
      </c>
      <c r="AA286" s="905" t="e">
        <f t="shared" si="133"/>
        <v>#VALUE!</v>
      </c>
      <c r="AB286" s="905" t="e">
        <f t="shared" si="134"/>
        <v>#VALUE!</v>
      </c>
      <c r="AC286" s="906" t="e">
        <f t="shared" si="140"/>
        <v>#VALUE!</v>
      </c>
      <c r="AD286" s="907">
        <f t="shared" si="141"/>
        <v>0</v>
      </c>
      <c r="AE286" s="904">
        <f>IF(H286&gt;8,tab!C$194,tab!C$197)</f>
        <v>0.5</v>
      </c>
      <c r="AF286" s="907">
        <f t="shared" si="142"/>
        <v>0</v>
      </c>
      <c r="AG286" s="887">
        <f t="shared" si="143"/>
        <v>0</v>
      </c>
      <c r="AH286" s="908" t="e">
        <f t="shared" si="144"/>
        <v>#VALUE!</v>
      </c>
      <c r="AI286" s="815" t="e">
        <f t="shared" si="145"/>
        <v>#VALUE!</v>
      </c>
      <c r="AJ286" s="540">
        <f t="shared" si="146"/>
        <v>30</v>
      </c>
      <c r="AK286" s="540">
        <f t="shared" si="125"/>
        <v>30</v>
      </c>
      <c r="AL286" s="909">
        <f t="shared" si="147"/>
        <v>0</v>
      </c>
      <c r="AN286" s="539">
        <f t="shared" si="127"/>
        <v>0</v>
      </c>
      <c r="AR286" s="941"/>
      <c r="AT286" s="317"/>
      <c r="AU286" s="317"/>
    </row>
    <row r="287" spans="3:47" ht="13.15" customHeight="1" x14ac:dyDescent="0.2">
      <c r="C287" s="381"/>
      <c r="D287" s="895" t="str">
        <f>IF(op!D175=0,"",op!D175)</f>
        <v/>
      </c>
      <c r="E287" s="895" t="str">
        <f>IF(op!E175=0,"",op!E175)</f>
        <v/>
      </c>
      <c r="F287" s="390" t="str">
        <f>IF(op!F175="","",op!F175+1)</f>
        <v/>
      </c>
      <c r="G287" s="896" t="str">
        <f>IF(op!G175=0,"",op!G175)</f>
        <v/>
      </c>
      <c r="H287" s="390" t="str">
        <f>IF(op!H175="","",op!H175)</f>
        <v/>
      </c>
      <c r="I287" s="897" t="str">
        <f t="shared" si="135"/>
        <v/>
      </c>
      <c r="J287" s="898" t="str">
        <f>IF(op!J175="","",op!J175)</f>
        <v/>
      </c>
      <c r="K287" s="334"/>
      <c r="L287" s="1140" t="str">
        <f>IF(op!L175="","",op!L175)</f>
        <v/>
      </c>
      <c r="M287" s="1140" t="str">
        <f>IF(op!M175="","",op!M175)</f>
        <v/>
      </c>
      <c r="N287" s="899" t="str">
        <f t="shared" si="128"/>
        <v/>
      </c>
      <c r="O287" s="900" t="str">
        <f t="shared" si="129"/>
        <v/>
      </c>
      <c r="P287" s="901" t="str">
        <f t="shared" si="130"/>
        <v/>
      </c>
      <c r="Q287" s="568" t="str">
        <f t="shared" si="136"/>
        <v/>
      </c>
      <c r="R287" s="902" t="str">
        <f t="shared" si="131"/>
        <v/>
      </c>
      <c r="S287" s="903">
        <f t="shared" si="137"/>
        <v>0</v>
      </c>
      <c r="T287" s="334"/>
      <c r="X287" s="887" t="str">
        <f t="shared" si="138"/>
        <v/>
      </c>
      <c r="Y287" s="904">
        <f t="shared" si="139"/>
        <v>0.6</v>
      </c>
      <c r="Z287" s="905" t="e">
        <f t="shared" si="132"/>
        <v>#VALUE!</v>
      </c>
      <c r="AA287" s="905" t="e">
        <f t="shared" si="133"/>
        <v>#VALUE!</v>
      </c>
      <c r="AB287" s="905" t="e">
        <f t="shared" si="134"/>
        <v>#VALUE!</v>
      </c>
      <c r="AC287" s="906" t="e">
        <f t="shared" si="140"/>
        <v>#VALUE!</v>
      </c>
      <c r="AD287" s="907">
        <f t="shared" si="141"/>
        <v>0</v>
      </c>
      <c r="AE287" s="904">
        <f>IF(H287&gt;8,tab!C$194,tab!C$197)</f>
        <v>0.5</v>
      </c>
      <c r="AF287" s="907">
        <f t="shared" si="142"/>
        <v>0</v>
      </c>
      <c r="AG287" s="887">
        <f t="shared" si="143"/>
        <v>0</v>
      </c>
      <c r="AH287" s="908" t="e">
        <f t="shared" si="144"/>
        <v>#VALUE!</v>
      </c>
      <c r="AI287" s="815" t="e">
        <f t="shared" si="145"/>
        <v>#VALUE!</v>
      </c>
      <c r="AJ287" s="540">
        <f t="shared" si="146"/>
        <v>30</v>
      </c>
      <c r="AK287" s="540">
        <f t="shared" si="125"/>
        <v>30</v>
      </c>
      <c r="AL287" s="909">
        <f t="shared" si="147"/>
        <v>0</v>
      </c>
      <c r="AN287" s="539">
        <f t="shared" si="127"/>
        <v>0</v>
      </c>
      <c r="AR287" s="941"/>
      <c r="AT287" s="317"/>
      <c r="AU287" s="317"/>
    </row>
    <row r="288" spans="3:47" ht="13.15" customHeight="1" x14ac:dyDescent="0.2">
      <c r="C288" s="381"/>
      <c r="D288" s="895" t="str">
        <f>IF(op!D176=0,"",op!D176)</f>
        <v/>
      </c>
      <c r="E288" s="895" t="str">
        <f>IF(op!E176=0,"",op!E176)</f>
        <v/>
      </c>
      <c r="F288" s="390" t="str">
        <f>IF(op!F176="","",op!F176+1)</f>
        <v/>
      </c>
      <c r="G288" s="896" t="str">
        <f>IF(op!G176=0,"",op!G176)</f>
        <v/>
      </c>
      <c r="H288" s="390" t="str">
        <f>IF(op!H176="","",op!H176)</f>
        <v/>
      </c>
      <c r="I288" s="897" t="str">
        <f t="shared" si="135"/>
        <v/>
      </c>
      <c r="J288" s="898" t="str">
        <f>IF(op!J176="","",op!J176)</f>
        <v/>
      </c>
      <c r="K288" s="334"/>
      <c r="L288" s="1140" t="str">
        <f>IF(op!L176="","",op!L176)</f>
        <v/>
      </c>
      <c r="M288" s="1140" t="str">
        <f>IF(op!M176="","",op!M176)</f>
        <v/>
      </c>
      <c r="N288" s="899" t="str">
        <f t="shared" si="128"/>
        <v/>
      </c>
      <c r="O288" s="900" t="str">
        <f t="shared" si="129"/>
        <v/>
      </c>
      <c r="P288" s="901" t="str">
        <f t="shared" si="130"/>
        <v/>
      </c>
      <c r="Q288" s="568" t="str">
        <f t="shared" si="136"/>
        <v/>
      </c>
      <c r="R288" s="902" t="str">
        <f t="shared" si="131"/>
        <v/>
      </c>
      <c r="S288" s="903">
        <f t="shared" si="137"/>
        <v>0</v>
      </c>
      <c r="T288" s="334"/>
      <c r="X288" s="887" t="str">
        <f t="shared" si="138"/>
        <v/>
      </c>
      <c r="Y288" s="904">
        <f t="shared" si="139"/>
        <v>0.6</v>
      </c>
      <c r="Z288" s="905" t="e">
        <f t="shared" si="132"/>
        <v>#VALUE!</v>
      </c>
      <c r="AA288" s="905" t="e">
        <f t="shared" si="133"/>
        <v>#VALUE!</v>
      </c>
      <c r="AB288" s="905" t="e">
        <f t="shared" si="134"/>
        <v>#VALUE!</v>
      </c>
      <c r="AC288" s="906" t="e">
        <f t="shared" si="140"/>
        <v>#VALUE!</v>
      </c>
      <c r="AD288" s="907">
        <f t="shared" si="141"/>
        <v>0</v>
      </c>
      <c r="AE288" s="904">
        <f>IF(H288&gt;8,tab!C$194,tab!C$197)</f>
        <v>0.5</v>
      </c>
      <c r="AF288" s="907">
        <f t="shared" si="142"/>
        <v>0</v>
      </c>
      <c r="AG288" s="887">
        <f t="shared" si="143"/>
        <v>0</v>
      </c>
      <c r="AH288" s="908" t="e">
        <f t="shared" si="144"/>
        <v>#VALUE!</v>
      </c>
      <c r="AI288" s="815" t="e">
        <f t="shared" si="145"/>
        <v>#VALUE!</v>
      </c>
      <c r="AJ288" s="540">
        <f t="shared" si="146"/>
        <v>30</v>
      </c>
      <c r="AK288" s="540">
        <f t="shared" si="125"/>
        <v>30</v>
      </c>
      <c r="AL288" s="909">
        <f t="shared" si="147"/>
        <v>0</v>
      </c>
      <c r="AN288" s="539">
        <f t="shared" si="127"/>
        <v>0</v>
      </c>
      <c r="AR288" s="941"/>
      <c r="AT288" s="317"/>
      <c r="AU288" s="317"/>
    </row>
    <row r="289" spans="3:47" ht="13.15" customHeight="1" x14ac:dyDescent="0.2">
      <c r="C289" s="381"/>
      <c r="D289" s="895" t="str">
        <f>IF(op!D177=0,"",op!D177)</f>
        <v/>
      </c>
      <c r="E289" s="895" t="str">
        <f>IF(op!E177=0,"",op!E177)</f>
        <v/>
      </c>
      <c r="F289" s="390" t="str">
        <f>IF(op!F177="","",op!F177+1)</f>
        <v/>
      </c>
      <c r="G289" s="896" t="str">
        <f>IF(op!G177=0,"",op!G177)</f>
        <v/>
      </c>
      <c r="H289" s="390" t="str">
        <f>IF(op!H177="","",op!H177)</f>
        <v/>
      </c>
      <c r="I289" s="897" t="str">
        <f t="shared" si="135"/>
        <v/>
      </c>
      <c r="J289" s="898" t="str">
        <f>IF(op!J177="","",op!J177)</f>
        <v/>
      </c>
      <c r="K289" s="334"/>
      <c r="L289" s="1140" t="str">
        <f>IF(op!L177="","",op!L177)</f>
        <v/>
      </c>
      <c r="M289" s="1140" t="str">
        <f>IF(op!M177="","",op!M177)</f>
        <v/>
      </c>
      <c r="N289" s="899" t="str">
        <f t="shared" si="128"/>
        <v/>
      </c>
      <c r="O289" s="900" t="str">
        <f t="shared" si="129"/>
        <v/>
      </c>
      <c r="P289" s="901" t="str">
        <f t="shared" si="130"/>
        <v/>
      </c>
      <c r="Q289" s="568" t="str">
        <f t="shared" si="136"/>
        <v/>
      </c>
      <c r="R289" s="902" t="str">
        <f t="shared" si="131"/>
        <v/>
      </c>
      <c r="S289" s="903">
        <f t="shared" si="137"/>
        <v>0</v>
      </c>
      <c r="T289" s="334"/>
      <c r="X289" s="887" t="str">
        <f t="shared" si="138"/>
        <v/>
      </c>
      <c r="Y289" s="904">
        <f t="shared" si="139"/>
        <v>0.6</v>
      </c>
      <c r="Z289" s="905" t="e">
        <f t="shared" si="132"/>
        <v>#VALUE!</v>
      </c>
      <c r="AA289" s="905" t="e">
        <f t="shared" si="133"/>
        <v>#VALUE!</v>
      </c>
      <c r="AB289" s="905" t="e">
        <f t="shared" si="134"/>
        <v>#VALUE!</v>
      </c>
      <c r="AC289" s="906" t="e">
        <f t="shared" si="140"/>
        <v>#VALUE!</v>
      </c>
      <c r="AD289" s="907">
        <f t="shared" si="141"/>
        <v>0</v>
      </c>
      <c r="AE289" s="904">
        <f>IF(H289&gt;8,tab!C$194,tab!C$197)</f>
        <v>0.5</v>
      </c>
      <c r="AF289" s="907">
        <f t="shared" si="142"/>
        <v>0</v>
      </c>
      <c r="AG289" s="887">
        <f t="shared" si="143"/>
        <v>0</v>
      </c>
      <c r="AH289" s="908" t="e">
        <f t="shared" si="144"/>
        <v>#VALUE!</v>
      </c>
      <c r="AI289" s="815" t="e">
        <f t="shared" si="145"/>
        <v>#VALUE!</v>
      </c>
      <c r="AJ289" s="540">
        <f t="shared" si="146"/>
        <v>30</v>
      </c>
      <c r="AK289" s="540">
        <f t="shared" si="125"/>
        <v>30</v>
      </c>
      <c r="AL289" s="909">
        <f t="shared" si="147"/>
        <v>0</v>
      </c>
      <c r="AN289" s="539">
        <f t="shared" si="127"/>
        <v>0</v>
      </c>
      <c r="AR289" s="941"/>
      <c r="AT289" s="317"/>
      <c r="AU289" s="317"/>
    </row>
    <row r="290" spans="3:47" ht="13.15" customHeight="1" x14ac:dyDescent="0.2">
      <c r="C290" s="381"/>
      <c r="D290" s="895" t="str">
        <f>IF(op!D178=0,"",op!D178)</f>
        <v/>
      </c>
      <c r="E290" s="895" t="str">
        <f>IF(op!E178=0,"",op!E178)</f>
        <v/>
      </c>
      <c r="F290" s="390" t="str">
        <f>IF(op!F178="","",op!F178+1)</f>
        <v/>
      </c>
      <c r="G290" s="896" t="str">
        <f>IF(op!G178=0,"",op!G178)</f>
        <v/>
      </c>
      <c r="H290" s="390" t="str">
        <f>IF(op!H178="","",op!H178)</f>
        <v/>
      </c>
      <c r="I290" s="897" t="str">
        <f t="shared" si="135"/>
        <v/>
      </c>
      <c r="J290" s="898" t="str">
        <f>IF(op!J178="","",op!J178)</f>
        <v/>
      </c>
      <c r="K290" s="334"/>
      <c r="L290" s="1140" t="str">
        <f>IF(op!L178="","",op!L178)</f>
        <v/>
      </c>
      <c r="M290" s="1140" t="str">
        <f>IF(op!M178="","",op!M178)</f>
        <v/>
      </c>
      <c r="N290" s="899" t="str">
        <f t="shared" si="128"/>
        <v/>
      </c>
      <c r="O290" s="900" t="str">
        <f t="shared" si="129"/>
        <v/>
      </c>
      <c r="P290" s="901" t="str">
        <f t="shared" si="130"/>
        <v/>
      </c>
      <c r="Q290" s="568" t="str">
        <f t="shared" si="136"/>
        <v/>
      </c>
      <c r="R290" s="902" t="str">
        <f t="shared" si="131"/>
        <v/>
      </c>
      <c r="S290" s="903">
        <f t="shared" si="137"/>
        <v>0</v>
      </c>
      <c r="T290" s="334"/>
      <c r="X290" s="887" t="str">
        <f t="shared" si="138"/>
        <v/>
      </c>
      <c r="Y290" s="904">
        <f t="shared" si="139"/>
        <v>0.6</v>
      </c>
      <c r="Z290" s="905" t="e">
        <f t="shared" si="132"/>
        <v>#VALUE!</v>
      </c>
      <c r="AA290" s="905" t="e">
        <f t="shared" si="133"/>
        <v>#VALUE!</v>
      </c>
      <c r="AB290" s="905" t="e">
        <f t="shared" si="134"/>
        <v>#VALUE!</v>
      </c>
      <c r="AC290" s="906" t="e">
        <f t="shared" si="140"/>
        <v>#VALUE!</v>
      </c>
      <c r="AD290" s="907">
        <f t="shared" si="141"/>
        <v>0</v>
      </c>
      <c r="AE290" s="904">
        <f>IF(H290&gt;8,tab!C$194,tab!C$197)</f>
        <v>0.5</v>
      </c>
      <c r="AF290" s="907">
        <f t="shared" si="142"/>
        <v>0</v>
      </c>
      <c r="AG290" s="887">
        <f t="shared" si="143"/>
        <v>0</v>
      </c>
      <c r="AH290" s="908" t="e">
        <f t="shared" si="144"/>
        <v>#VALUE!</v>
      </c>
      <c r="AI290" s="815" t="e">
        <f t="shared" si="145"/>
        <v>#VALUE!</v>
      </c>
      <c r="AJ290" s="540">
        <f t="shared" si="146"/>
        <v>30</v>
      </c>
      <c r="AK290" s="540">
        <f t="shared" si="125"/>
        <v>30</v>
      </c>
      <c r="AL290" s="909">
        <f t="shared" si="147"/>
        <v>0</v>
      </c>
      <c r="AN290" s="539">
        <f t="shared" si="127"/>
        <v>0</v>
      </c>
      <c r="AR290" s="941"/>
      <c r="AT290" s="317"/>
      <c r="AU290" s="317"/>
    </row>
    <row r="291" spans="3:47" ht="13.15" customHeight="1" x14ac:dyDescent="0.2">
      <c r="C291" s="381"/>
      <c r="D291" s="895" t="str">
        <f>IF(op!D179=0,"",op!D179)</f>
        <v/>
      </c>
      <c r="E291" s="895" t="str">
        <f>IF(op!E179=0,"",op!E179)</f>
        <v/>
      </c>
      <c r="F291" s="390" t="str">
        <f>IF(op!F179="","",op!F179+1)</f>
        <v/>
      </c>
      <c r="G291" s="896" t="str">
        <f>IF(op!G179=0,"",op!G179)</f>
        <v/>
      </c>
      <c r="H291" s="390" t="str">
        <f>IF(op!H179="","",op!H179)</f>
        <v/>
      </c>
      <c r="I291" s="897" t="str">
        <f t="shared" si="135"/>
        <v/>
      </c>
      <c r="J291" s="898" t="str">
        <f>IF(op!J179="","",op!J179)</f>
        <v/>
      </c>
      <c r="K291" s="334"/>
      <c r="L291" s="1140" t="str">
        <f>IF(op!L179="","",op!L179)</f>
        <v/>
      </c>
      <c r="M291" s="1140" t="str">
        <f>IF(op!M179="","",op!M179)</f>
        <v/>
      </c>
      <c r="N291" s="899" t="str">
        <f t="shared" si="128"/>
        <v/>
      </c>
      <c r="O291" s="900" t="str">
        <f t="shared" si="129"/>
        <v/>
      </c>
      <c r="P291" s="901" t="str">
        <f t="shared" si="130"/>
        <v/>
      </c>
      <c r="Q291" s="568" t="str">
        <f t="shared" si="136"/>
        <v/>
      </c>
      <c r="R291" s="902" t="str">
        <f t="shared" si="131"/>
        <v/>
      </c>
      <c r="S291" s="903">
        <f t="shared" si="137"/>
        <v>0</v>
      </c>
      <c r="T291" s="334"/>
      <c r="X291" s="887" t="str">
        <f t="shared" si="138"/>
        <v/>
      </c>
      <c r="Y291" s="904">
        <f t="shared" si="139"/>
        <v>0.6</v>
      </c>
      <c r="Z291" s="905" t="e">
        <f t="shared" si="132"/>
        <v>#VALUE!</v>
      </c>
      <c r="AA291" s="905" t="e">
        <f t="shared" si="133"/>
        <v>#VALUE!</v>
      </c>
      <c r="AB291" s="905" t="e">
        <f t="shared" si="134"/>
        <v>#VALUE!</v>
      </c>
      <c r="AC291" s="906" t="e">
        <f t="shared" si="140"/>
        <v>#VALUE!</v>
      </c>
      <c r="AD291" s="907">
        <f t="shared" si="141"/>
        <v>0</v>
      </c>
      <c r="AE291" s="904">
        <f>IF(H291&gt;8,tab!C$194,tab!C$197)</f>
        <v>0.5</v>
      </c>
      <c r="AF291" s="907">
        <f t="shared" si="142"/>
        <v>0</v>
      </c>
      <c r="AG291" s="887">
        <f t="shared" si="143"/>
        <v>0</v>
      </c>
      <c r="AH291" s="908" t="e">
        <f t="shared" si="144"/>
        <v>#VALUE!</v>
      </c>
      <c r="AI291" s="815" t="e">
        <f t="shared" si="145"/>
        <v>#VALUE!</v>
      </c>
      <c r="AJ291" s="540">
        <f t="shared" si="146"/>
        <v>30</v>
      </c>
      <c r="AK291" s="540">
        <f t="shared" si="125"/>
        <v>30</v>
      </c>
      <c r="AL291" s="909">
        <f t="shared" si="147"/>
        <v>0</v>
      </c>
      <c r="AN291" s="539">
        <f t="shared" si="127"/>
        <v>0</v>
      </c>
      <c r="AR291" s="941"/>
      <c r="AT291" s="317"/>
      <c r="AU291" s="317"/>
    </row>
    <row r="292" spans="3:47" ht="13.15" customHeight="1" x14ac:dyDescent="0.2">
      <c r="C292" s="381"/>
      <c r="D292" s="895" t="str">
        <f>IF(op!D180=0,"",op!D180)</f>
        <v/>
      </c>
      <c r="E292" s="895" t="str">
        <f>IF(op!E180=0,"",op!E180)</f>
        <v/>
      </c>
      <c r="F292" s="390" t="str">
        <f>IF(op!F180="","",op!F180+1)</f>
        <v/>
      </c>
      <c r="G292" s="896" t="str">
        <f>IF(op!G180=0,"",op!G180)</f>
        <v/>
      </c>
      <c r="H292" s="390" t="str">
        <f>IF(op!H180="","",op!H180)</f>
        <v/>
      </c>
      <c r="I292" s="897" t="str">
        <f t="shared" si="135"/>
        <v/>
      </c>
      <c r="J292" s="898" t="str">
        <f>IF(op!J180="","",op!J180)</f>
        <v/>
      </c>
      <c r="K292" s="334"/>
      <c r="L292" s="1140" t="str">
        <f>IF(op!L180="","",op!L180)</f>
        <v/>
      </c>
      <c r="M292" s="1140" t="str">
        <f>IF(op!M180="","",op!M180)</f>
        <v/>
      </c>
      <c r="N292" s="899" t="str">
        <f t="shared" si="128"/>
        <v/>
      </c>
      <c r="O292" s="900" t="str">
        <f t="shared" si="129"/>
        <v/>
      </c>
      <c r="P292" s="901" t="str">
        <f t="shared" si="130"/>
        <v/>
      </c>
      <c r="Q292" s="568" t="str">
        <f t="shared" si="136"/>
        <v/>
      </c>
      <c r="R292" s="902" t="str">
        <f t="shared" si="131"/>
        <v/>
      </c>
      <c r="S292" s="903">
        <f t="shared" si="137"/>
        <v>0</v>
      </c>
      <c r="T292" s="334"/>
      <c r="X292" s="887" t="str">
        <f t="shared" si="138"/>
        <v/>
      </c>
      <c r="Y292" s="904">
        <f t="shared" si="139"/>
        <v>0.6</v>
      </c>
      <c r="Z292" s="905" t="e">
        <f t="shared" si="132"/>
        <v>#VALUE!</v>
      </c>
      <c r="AA292" s="905" t="e">
        <f t="shared" si="133"/>
        <v>#VALUE!</v>
      </c>
      <c r="AB292" s="905" t="e">
        <f t="shared" si="134"/>
        <v>#VALUE!</v>
      </c>
      <c r="AC292" s="906" t="e">
        <f t="shared" si="140"/>
        <v>#VALUE!</v>
      </c>
      <c r="AD292" s="907">
        <f t="shared" si="141"/>
        <v>0</v>
      </c>
      <c r="AE292" s="904">
        <f>IF(H292&gt;8,tab!C$194,tab!C$197)</f>
        <v>0.5</v>
      </c>
      <c r="AF292" s="907">
        <f t="shared" si="142"/>
        <v>0</v>
      </c>
      <c r="AG292" s="887">
        <f t="shared" si="143"/>
        <v>0</v>
      </c>
      <c r="AH292" s="908" t="e">
        <f t="shared" si="144"/>
        <v>#VALUE!</v>
      </c>
      <c r="AI292" s="815" t="e">
        <f t="shared" si="145"/>
        <v>#VALUE!</v>
      </c>
      <c r="AJ292" s="540">
        <f t="shared" si="146"/>
        <v>30</v>
      </c>
      <c r="AK292" s="540">
        <f t="shared" si="125"/>
        <v>30</v>
      </c>
      <c r="AL292" s="909">
        <f t="shared" si="147"/>
        <v>0</v>
      </c>
      <c r="AN292" s="539">
        <f t="shared" si="127"/>
        <v>0</v>
      </c>
      <c r="AR292" s="941"/>
      <c r="AT292" s="317"/>
      <c r="AU292" s="317"/>
    </row>
    <row r="293" spans="3:47" ht="13.15" customHeight="1" x14ac:dyDescent="0.2">
      <c r="C293" s="381"/>
      <c r="D293" s="895" t="str">
        <f>IF(op!D181=0,"",op!D181)</f>
        <v/>
      </c>
      <c r="E293" s="895" t="str">
        <f>IF(op!E181=0,"",op!E181)</f>
        <v/>
      </c>
      <c r="F293" s="390" t="str">
        <f>IF(op!F181="","",op!F181+1)</f>
        <v/>
      </c>
      <c r="G293" s="896" t="str">
        <f>IF(op!G181=0,"",op!G181)</f>
        <v/>
      </c>
      <c r="H293" s="390" t="str">
        <f>IF(op!H181="","",op!H181)</f>
        <v/>
      </c>
      <c r="I293" s="897" t="str">
        <f t="shared" si="135"/>
        <v/>
      </c>
      <c r="J293" s="898" t="str">
        <f>IF(op!J181="","",op!J181)</f>
        <v/>
      </c>
      <c r="K293" s="334"/>
      <c r="L293" s="1140" t="str">
        <f>IF(op!L181="","",op!L181)</f>
        <v/>
      </c>
      <c r="M293" s="1140" t="str">
        <f>IF(op!M181="","",op!M181)</f>
        <v/>
      </c>
      <c r="N293" s="899" t="str">
        <f t="shared" si="128"/>
        <v/>
      </c>
      <c r="O293" s="900" t="str">
        <f t="shared" si="129"/>
        <v/>
      </c>
      <c r="P293" s="901" t="str">
        <f t="shared" si="130"/>
        <v/>
      </c>
      <c r="Q293" s="568" t="str">
        <f t="shared" si="136"/>
        <v/>
      </c>
      <c r="R293" s="902" t="str">
        <f t="shared" si="131"/>
        <v/>
      </c>
      <c r="S293" s="903">
        <f t="shared" si="137"/>
        <v>0</v>
      </c>
      <c r="T293" s="334"/>
      <c r="X293" s="887" t="str">
        <f t="shared" si="138"/>
        <v/>
      </c>
      <c r="Y293" s="904">
        <f t="shared" si="139"/>
        <v>0.6</v>
      </c>
      <c r="Z293" s="905" t="e">
        <f t="shared" si="132"/>
        <v>#VALUE!</v>
      </c>
      <c r="AA293" s="905" t="e">
        <f t="shared" si="133"/>
        <v>#VALUE!</v>
      </c>
      <c r="AB293" s="905" t="e">
        <f t="shared" si="134"/>
        <v>#VALUE!</v>
      </c>
      <c r="AC293" s="906" t="e">
        <f t="shared" si="140"/>
        <v>#VALUE!</v>
      </c>
      <c r="AD293" s="907">
        <f t="shared" si="141"/>
        <v>0</v>
      </c>
      <c r="AE293" s="904">
        <f>IF(H293&gt;8,tab!C$194,tab!C$197)</f>
        <v>0.5</v>
      </c>
      <c r="AF293" s="907">
        <f t="shared" si="142"/>
        <v>0</v>
      </c>
      <c r="AG293" s="887">
        <f t="shared" si="143"/>
        <v>0</v>
      </c>
      <c r="AH293" s="908" t="e">
        <f t="shared" si="144"/>
        <v>#VALUE!</v>
      </c>
      <c r="AI293" s="815" t="e">
        <f t="shared" si="145"/>
        <v>#VALUE!</v>
      </c>
      <c r="AJ293" s="540">
        <f t="shared" si="146"/>
        <v>30</v>
      </c>
      <c r="AK293" s="540">
        <f t="shared" si="125"/>
        <v>30</v>
      </c>
      <c r="AL293" s="909">
        <f t="shared" si="147"/>
        <v>0</v>
      </c>
      <c r="AN293" s="539">
        <f t="shared" si="127"/>
        <v>0</v>
      </c>
      <c r="AR293" s="941"/>
      <c r="AT293" s="317"/>
      <c r="AU293" s="317"/>
    </row>
    <row r="294" spans="3:47" ht="13.15" customHeight="1" x14ac:dyDescent="0.2">
      <c r="C294" s="381"/>
      <c r="D294" s="895" t="str">
        <f>IF(op!D182=0,"",op!D182)</f>
        <v/>
      </c>
      <c r="E294" s="895" t="str">
        <f>IF(op!E182=0,"",op!E182)</f>
        <v/>
      </c>
      <c r="F294" s="390" t="str">
        <f>IF(op!F182="","",op!F182+1)</f>
        <v/>
      </c>
      <c r="G294" s="896" t="str">
        <f>IF(op!G182=0,"",op!G182)</f>
        <v/>
      </c>
      <c r="H294" s="390" t="str">
        <f>IF(op!H182="","",op!H182)</f>
        <v/>
      </c>
      <c r="I294" s="897" t="str">
        <f t="shared" si="135"/>
        <v/>
      </c>
      <c r="J294" s="898" t="str">
        <f>IF(op!J182="","",op!J182)</f>
        <v/>
      </c>
      <c r="K294" s="334"/>
      <c r="L294" s="1140" t="str">
        <f>IF(op!L182="","",op!L182)</f>
        <v/>
      </c>
      <c r="M294" s="1140" t="str">
        <f>IF(op!M182="","",op!M182)</f>
        <v/>
      </c>
      <c r="N294" s="899" t="str">
        <f t="shared" si="128"/>
        <v/>
      </c>
      <c r="O294" s="900" t="str">
        <f t="shared" si="129"/>
        <v/>
      </c>
      <c r="P294" s="901" t="str">
        <f t="shared" si="130"/>
        <v/>
      </c>
      <c r="Q294" s="568" t="str">
        <f t="shared" si="136"/>
        <v/>
      </c>
      <c r="R294" s="902" t="str">
        <f t="shared" si="131"/>
        <v/>
      </c>
      <c r="S294" s="903">
        <f t="shared" si="137"/>
        <v>0</v>
      </c>
      <c r="T294" s="334"/>
      <c r="X294" s="887" t="str">
        <f t="shared" si="138"/>
        <v/>
      </c>
      <c r="Y294" s="904">
        <f t="shared" si="139"/>
        <v>0.6</v>
      </c>
      <c r="Z294" s="905" t="e">
        <f t="shared" si="132"/>
        <v>#VALUE!</v>
      </c>
      <c r="AA294" s="905" t="e">
        <f t="shared" si="133"/>
        <v>#VALUE!</v>
      </c>
      <c r="AB294" s="905" t="e">
        <f t="shared" si="134"/>
        <v>#VALUE!</v>
      </c>
      <c r="AC294" s="906" t="e">
        <f t="shared" si="140"/>
        <v>#VALUE!</v>
      </c>
      <c r="AD294" s="907">
        <f t="shared" si="141"/>
        <v>0</v>
      </c>
      <c r="AE294" s="904">
        <f>IF(H294&gt;8,tab!C$194,tab!C$197)</f>
        <v>0.5</v>
      </c>
      <c r="AF294" s="907">
        <f t="shared" si="142"/>
        <v>0</v>
      </c>
      <c r="AG294" s="887">
        <f t="shared" si="143"/>
        <v>0</v>
      </c>
      <c r="AH294" s="908" t="e">
        <f t="shared" si="144"/>
        <v>#VALUE!</v>
      </c>
      <c r="AI294" s="815" t="e">
        <f t="shared" si="145"/>
        <v>#VALUE!</v>
      </c>
      <c r="AJ294" s="540">
        <f t="shared" si="146"/>
        <v>30</v>
      </c>
      <c r="AK294" s="540">
        <f t="shared" si="125"/>
        <v>30</v>
      </c>
      <c r="AL294" s="909">
        <f t="shared" si="147"/>
        <v>0</v>
      </c>
      <c r="AN294" s="539">
        <f t="shared" si="127"/>
        <v>0</v>
      </c>
      <c r="AR294" s="941"/>
      <c r="AT294" s="317"/>
      <c r="AU294" s="317"/>
    </row>
    <row r="295" spans="3:47" ht="13.15" customHeight="1" x14ac:dyDescent="0.2">
      <c r="C295" s="381"/>
      <c r="D295" s="895" t="str">
        <f>IF(op!D183=0,"",op!D183)</f>
        <v/>
      </c>
      <c r="E295" s="895" t="str">
        <f>IF(op!E183=0,"",op!E183)</f>
        <v/>
      </c>
      <c r="F295" s="390" t="str">
        <f>IF(op!F183="","",op!F183+1)</f>
        <v/>
      </c>
      <c r="G295" s="896" t="str">
        <f>IF(op!G183=0,"",op!G183)</f>
        <v/>
      </c>
      <c r="H295" s="390" t="str">
        <f>IF(op!H183="","",op!H183)</f>
        <v/>
      </c>
      <c r="I295" s="897" t="str">
        <f t="shared" si="135"/>
        <v/>
      </c>
      <c r="J295" s="898" t="str">
        <f>IF(op!J183="","",op!J183)</f>
        <v/>
      </c>
      <c r="K295" s="334"/>
      <c r="L295" s="1140" t="str">
        <f>IF(op!L183="","",op!L183)</f>
        <v/>
      </c>
      <c r="M295" s="1140" t="str">
        <f>IF(op!M183="","",op!M183)</f>
        <v/>
      </c>
      <c r="N295" s="899" t="str">
        <f t="shared" si="128"/>
        <v/>
      </c>
      <c r="O295" s="900" t="str">
        <f t="shared" si="129"/>
        <v/>
      </c>
      <c r="P295" s="901" t="str">
        <f t="shared" si="130"/>
        <v/>
      </c>
      <c r="Q295" s="568" t="str">
        <f t="shared" si="136"/>
        <v/>
      </c>
      <c r="R295" s="902" t="str">
        <f t="shared" si="131"/>
        <v/>
      </c>
      <c r="S295" s="903">
        <f t="shared" si="137"/>
        <v>0</v>
      </c>
      <c r="T295" s="334"/>
      <c r="X295" s="887" t="str">
        <f t="shared" si="138"/>
        <v/>
      </c>
      <c r="Y295" s="904">
        <f t="shared" si="139"/>
        <v>0.6</v>
      </c>
      <c r="Z295" s="905" t="e">
        <f t="shared" si="132"/>
        <v>#VALUE!</v>
      </c>
      <c r="AA295" s="905" t="e">
        <f t="shared" si="133"/>
        <v>#VALUE!</v>
      </c>
      <c r="AB295" s="905" t="e">
        <f t="shared" si="134"/>
        <v>#VALUE!</v>
      </c>
      <c r="AC295" s="906" t="e">
        <f t="shared" si="140"/>
        <v>#VALUE!</v>
      </c>
      <c r="AD295" s="907">
        <f t="shared" si="141"/>
        <v>0</v>
      </c>
      <c r="AE295" s="904">
        <f>IF(H295&gt;8,tab!C$194,tab!C$197)</f>
        <v>0.5</v>
      </c>
      <c r="AF295" s="907">
        <f t="shared" si="142"/>
        <v>0</v>
      </c>
      <c r="AG295" s="887">
        <f t="shared" si="143"/>
        <v>0</v>
      </c>
      <c r="AH295" s="908" t="e">
        <f t="shared" si="144"/>
        <v>#VALUE!</v>
      </c>
      <c r="AI295" s="815" t="e">
        <f t="shared" si="145"/>
        <v>#VALUE!</v>
      </c>
      <c r="AJ295" s="540">
        <f t="shared" si="146"/>
        <v>30</v>
      </c>
      <c r="AK295" s="540">
        <f t="shared" si="125"/>
        <v>30</v>
      </c>
      <c r="AL295" s="909">
        <f t="shared" si="147"/>
        <v>0</v>
      </c>
      <c r="AN295" s="539">
        <f t="shared" si="127"/>
        <v>0</v>
      </c>
      <c r="AR295" s="941"/>
      <c r="AT295" s="317"/>
      <c r="AU295" s="317"/>
    </row>
    <row r="296" spans="3:47" ht="13.15" customHeight="1" x14ac:dyDescent="0.2">
      <c r="C296" s="381"/>
      <c r="D296" s="895" t="str">
        <f>IF(op!D184=0,"",op!D184)</f>
        <v/>
      </c>
      <c r="E296" s="895" t="str">
        <f>IF(op!E184=0,"",op!E184)</f>
        <v/>
      </c>
      <c r="F296" s="390" t="str">
        <f>IF(op!F184="","",op!F184+1)</f>
        <v/>
      </c>
      <c r="G296" s="896" t="str">
        <f>IF(op!G184=0,"",op!G184)</f>
        <v/>
      </c>
      <c r="H296" s="390" t="str">
        <f>IF(op!H184="","",op!H184)</f>
        <v/>
      </c>
      <c r="I296" s="897" t="str">
        <f t="shared" si="135"/>
        <v/>
      </c>
      <c r="J296" s="898" t="str">
        <f>IF(op!J184="","",op!J184)</f>
        <v/>
      </c>
      <c r="K296" s="334"/>
      <c r="L296" s="1140" t="str">
        <f>IF(op!L184="","",op!L184)</f>
        <v/>
      </c>
      <c r="M296" s="1140" t="str">
        <f>IF(op!M184="","",op!M184)</f>
        <v/>
      </c>
      <c r="N296" s="899" t="str">
        <f t="shared" si="128"/>
        <v/>
      </c>
      <c r="O296" s="900" t="str">
        <f t="shared" si="129"/>
        <v/>
      </c>
      <c r="P296" s="901" t="str">
        <f t="shared" si="130"/>
        <v/>
      </c>
      <c r="Q296" s="568" t="str">
        <f t="shared" si="136"/>
        <v/>
      </c>
      <c r="R296" s="902" t="str">
        <f t="shared" si="131"/>
        <v/>
      </c>
      <c r="S296" s="903">
        <f t="shared" si="137"/>
        <v>0</v>
      </c>
      <c r="T296" s="334"/>
      <c r="X296" s="887" t="str">
        <f t="shared" si="138"/>
        <v/>
      </c>
      <c r="Y296" s="904">
        <f t="shared" si="139"/>
        <v>0.6</v>
      </c>
      <c r="Z296" s="905" t="e">
        <f t="shared" si="132"/>
        <v>#VALUE!</v>
      </c>
      <c r="AA296" s="905" t="e">
        <f t="shared" si="133"/>
        <v>#VALUE!</v>
      </c>
      <c r="AB296" s="905" t="e">
        <f t="shared" si="134"/>
        <v>#VALUE!</v>
      </c>
      <c r="AC296" s="906" t="e">
        <f t="shared" si="140"/>
        <v>#VALUE!</v>
      </c>
      <c r="AD296" s="907">
        <f t="shared" si="141"/>
        <v>0</v>
      </c>
      <c r="AE296" s="904">
        <f>IF(H296&gt;8,tab!C$194,tab!C$197)</f>
        <v>0.5</v>
      </c>
      <c r="AF296" s="907">
        <f t="shared" si="142"/>
        <v>0</v>
      </c>
      <c r="AG296" s="887">
        <f t="shared" si="143"/>
        <v>0</v>
      </c>
      <c r="AH296" s="908" t="e">
        <f t="shared" si="144"/>
        <v>#VALUE!</v>
      </c>
      <c r="AI296" s="815" t="e">
        <f t="shared" si="145"/>
        <v>#VALUE!</v>
      </c>
      <c r="AJ296" s="540">
        <f t="shared" si="146"/>
        <v>30</v>
      </c>
      <c r="AK296" s="540">
        <f t="shared" si="125"/>
        <v>30</v>
      </c>
      <c r="AL296" s="909">
        <f t="shared" si="147"/>
        <v>0</v>
      </c>
      <c r="AN296" s="539">
        <f t="shared" si="127"/>
        <v>0</v>
      </c>
      <c r="AR296" s="941"/>
      <c r="AT296" s="317"/>
      <c r="AU296" s="317"/>
    </row>
    <row r="297" spans="3:47" ht="13.15" customHeight="1" x14ac:dyDescent="0.2">
      <c r="C297" s="381"/>
      <c r="D297" s="895" t="str">
        <f>IF(op!D185=0,"",op!D185)</f>
        <v/>
      </c>
      <c r="E297" s="895" t="str">
        <f>IF(op!E185=0,"",op!E185)</f>
        <v/>
      </c>
      <c r="F297" s="390" t="str">
        <f>IF(op!F185="","",op!F185+1)</f>
        <v/>
      </c>
      <c r="G297" s="896" t="str">
        <f>IF(op!G185=0,"",op!G185)</f>
        <v/>
      </c>
      <c r="H297" s="390" t="str">
        <f>IF(op!H185="","",op!H185)</f>
        <v/>
      </c>
      <c r="I297" s="897" t="str">
        <f t="shared" si="135"/>
        <v/>
      </c>
      <c r="J297" s="898" t="str">
        <f>IF(op!J185="","",op!J185)</f>
        <v/>
      </c>
      <c r="K297" s="334"/>
      <c r="L297" s="1140" t="str">
        <f>IF(op!L185="","",op!L185)</f>
        <v/>
      </c>
      <c r="M297" s="1140" t="str">
        <f>IF(op!M185="","",op!M185)</f>
        <v/>
      </c>
      <c r="N297" s="899" t="str">
        <f t="shared" si="128"/>
        <v/>
      </c>
      <c r="O297" s="900" t="str">
        <f t="shared" si="129"/>
        <v/>
      </c>
      <c r="P297" s="901" t="str">
        <f t="shared" si="130"/>
        <v/>
      </c>
      <c r="Q297" s="568" t="str">
        <f t="shared" si="136"/>
        <v/>
      </c>
      <c r="R297" s="902" t="str">
        <f t="shared" si="131"/>
        <v/>
      </c>
      <c r="S297" s="903">
        <f t="shared" si="137"/>
        <v>0</v>
      </c>
      <c r="T297" s="334"/>
      <c r="X297" s="887" t="str">
        <f t="shared" si="138"/>
        <v/>
      </c>
      <c r="Y297" s="904">
        <f t="shared" si="139"/>
        <v>0.6</v>
      </c>
      <c r="Z297" s="905" t="e">
        <f t="shared" si="132"/>
        <v>#VALUE!</v>
      </c>
      <c r="AA297" s="905" t="e">
        <f t="shared" si="133"/>
        <v>#VALUE!</v>
      </c>
      <c r="AB297" s="905" t="e">
        <f t="shared" si="134"/>
        <v>#VALUE!</v>
      </c>
      <c r="AC297" s="906" t="e">
        <f t="shared" si="140"/>
        <v>#VALUE!</v>
      </c>
      <c r="AD297" s="907">
        <f t="shared" si="141"/>
        <v>0</v>
      </c>
      <c r="AE297" s="904">
        <f>IF(H297&gt;8,tab!C$194,tab!C$197)</f>
        <v>0.5</v>
      </c>
      <c r="AF297" s="907">
        <f t="shared" si="142"/>
        <v>0</v>
      </c>
      <c r="AG297" s="887">
        <f t="shared" si="143"/>
        <v>0</v>
      </c>
      <c r="AH297" s="908" t="e">
        <f t="shared" si="144"/>
        <v>#VALUE!</v>
      </c>
      <c r="AI297" s="815" t="e">
        <f t="shared" si="145"/>
        <v>#VALUE!</v>
      </c>
      <c r="AJ297" s="540">
        <f t="shared" si="146"/>
        <v>30</v>
      </c>
      <c r="AK297" s="540">
        <f t="shared" si="125"/>
        <v>30</v>
      </c>
      <c r="AL297" s="909">
        <f t="shared" si="147"/>
        <v>0</v>
      </c>
      <c r="AN297" s="539">
        <f t="shared" si="127"/>
        <v>0</v>
      </c>
      <c r="AR297" s="941"/>
      <c r="AT297" s="317"/>
      <c r="AU297" s="317"/>
    </row>
    <row r="298" spans="3:47" ht="13.15" customHeight="1" x14ac:dyDescent="0.2">
      <c r="C298" s="381"/>
      <c r="D298" s="895" t="str">
        <f>IF(op!D186=0,"",op!D186)</f>
        <v/>
      </c>
      <c r="E298" s="895" t="str">
        <f>IF(op!E186=0,"",op!E186)</f>
        <v/>
      </c>
      <c r="F298" s="390" t="str">
        <f>IF(op!F186="","",op!F186+1)</f>
        <v/>
      </c>
      <c r="G298" s="896" t="str">
        <f>IF(op!G186=0,"",op!G186)</f>
        <v/>
      </c>
      <c r="H298" s="390" t="str">
        <f>IF(op!H186="","",op!H186)</f>
        <v/>
      </c>
      <c r="I298" s="897" t="str">
        <f t="shared" si="135"/>
        <v/>
      </c>
      <c r="J298" s="898" t="str">
        <f>IF(op!J186="","",op!J186)</f>
        <v/>
      </c>
      <c r="K298" s="334"/>
      <c r="L298" s="1140" t="str">
        <f>IF(op!L186="","",op!L186)</f>
        <v/>
      </c>
      <c r="M298" s="1140" t="str">
        <f>IF(op!M186="","",op!M186)</f>
        <v/>
      </c>
      <c r="N298" s="899" t="str">
        <f t="shared" si="128"/>
        <v/>
      </c>
      <c r="O298" s="900" t="str">
        <f t="shared" si="129"/>
        <v/>
      </c>
      <c r="P298" s="901" t="str">
        <f t="shared" si="130"/>
        <v/>
      </c>
      <c r="Q298" s="568" t="str">
        <f t="shared" si="136"/>
        <v/>
      </c>
      <c r="R298" s="902" t="str">
        <f t="shared" si="131"/>
        <v/>
      </c>
      <c r="S298" s="903">
        <f t="shared" si="137"/>
        <v>0</v>
      </c>
      <c r="T298" s="334"/>
      <c r="X298" s="887" t="str">
        <f t="shared" si="138"/>
        <v/>
      </c>
      <c r="Y298" s="904">
        <f t="shared" si="139"/>
        <v>0.6</v>
      </c>
      <c r="Z298" s="905" t="e">
        <f t="shared" si="132"/>
        <v>#VALUE!</v>
      </c>
      <c r="AA298" s="905" t="e">
        <f t="shared" si="133"/>
        <v>#VALUE!</v>
      </c>
      <c r="AB298" s="905" t="e">
        <f t="shared" si="134"/>
        <v>#VALUE!</v>
      </c>
      <c r="AC298" s="906" t="e">
        <f t="shared" si="140"/>
        <v>#VALUE!</v>
      </c>
      <c r="AD298" s="907">
        <f t="shared" si="141"/>
        <v>0</v>
      </c>
      <c r="AE298" s="904">
        <f>IF(H298&gt;8,tab!C$194,tab!C$197)</f>
        <v>0.5</v>
      </c>
      <c r="AF298" s="907">
        <f t="shared" si="142"/>
        <v>0</v>
      </c>
      <c r="AG298" s="887">
        <f t="shared" si="143"/>
        <v>0</v>
      </c>
      <c r="AH298" s="908" t="e">
        <f t="shared" si="144"/>
        <v>#VALUE!</v>
      </c>
      <c r="AI298" s="815" t="e">
        <f t="shared" si="145"/>
        <v>#VALUE!</v>
      </c>
      <c r="AJ298" s="540">
        <f t="shared" si="146"/>
        <v>30</v>
      </c>
      <c r="AK298" s="540">
        <f t="shared" si="125"/>
        <v>30</v>
      </c>
      <c r="AL298" s="909">
        <f t="shared" si="147"/>
        <v>0</v>
      </c>
      <c r="AN298" s="539">
        <f t="shared" si="127"/>
        <v>0</v>
      </c>
      <c r="AR298" s="941"/>
      <c r="AT298" s="317"/>
      <c r="AU298" s="317"/>
    </row>
    <row r="299" spans="3:47" ht="13.15" customHeight="1" x14ac:dyDescent="0.2">
      <c r="C299" s="381"/>
      <c r="D299" s="895" t="str">
        <f>IF(op!D187=0,"",op!D187)</f>
        <v/>
      </c>
      <c r="E299" s="895" t="str">
        <f>IF(op!E187=0,"",op!E187)</f>
        <v/>
      </c>
      <c r="F299" s="390" t="str">
        <f>IF(op!F187="","",op!F187+1)</f>
        <v/>
      </c>
      <c r="G299" s="896" t="str">
        <f>IF(op!G187=0,"",op!G187)</f>
        <v/>
      </c>
      <c r="H299" s="390" t="str">
        <f>IF(op!H187="","",op!H187)</f>
        <v/>
      </c>
      <c r="I299" s="897" t="str">
        <f t="shared" si="135"/>
        <v/>
      </c>
      <c r="J299" s="898" t="str">
        <f>IF(op!J187="","",op!J187)</f>
        <v/>
      </c>
      <c r="K299" s="334"/>
      <c r="L299" s="1140" t="str">
        <f>IF(op!L187="","",op!L187)</f>
        <v/>
      </c>
      <c r="M299" s="1140" t="str">
        <f>IF(op!M187="","",op!M187)</f>
        <v/>
      </c>
      <c r="N299" s="899" t="str">
        <f t="shared" si="128"/>
        <v/>
      </c>
      <c r="O299" s="900" t="str">
        <f t="shared" si="129"/>
        <v/>
      </c>
      <c r="P299" s="901" t="str">
        <f t="shared" si="130"/>
        <v/>
      </c>
      <c r="Q299" s="568" t="str">
        <f t="shared" si="136"/>
        <v/>
      </c>
      <c r="R299" s="902" t="str">
        <f t="shared" si="131"/>
        <v/>
      </c>
      <c r="S299" s="903">
        <f t="shared" si="137"/>
        <v>0</v>
      </c>
      <c r="T299" s="334"/>
      <c r="X299" s="887" t="str">
        <f t="shared" si="138"/>
        <v/>
      </c>
      <c r="Y299" s="904">
        <f t="shared" si="139"/>
        <v>0.6</v>
      </c>
      <c r="Z299" s="905" t="e">
        <f t="shared" si="132"/>
        <v>#VALUE!</v>
      </c>
      <c r="AA299" s="905" t="e">
        <f t="shared" si="133"/>
        <v>#VALUE!</v>
      </c>
      <c r="AB299" s="905" t="e">
        <f t="shared" si="134"/>
        <v>#VALUE!</v>
      </c>
      <c r="AC299" s="906" t="e">
        <f t="shared" si="140"/>
        <v>#VALUE!</v>
      </c>
      <c r="AD299" s="907">
        <f t="shared" si="141"/>
        <v>0</v>
      </c>
      <c r="AE299" s="904">
        <f>IF(H299&gt;8,tab!C$194,tab!C$197)</f>
        <v>0.5</v>
      </c>
      <c r="AF299" s="907">
        <f t="shared" si="142"/>
        <v>0</v>
      </c>
      <c r="AG299" s="887">
        <f t="shared" si="143"/>
        <v>0</v>
      </c>
      <c r="AH299" s="908" t="e">
        <f t="shared" si="144"/>
        <v>#VALUE!</v>
      </c>
      <c r="AI299" s="815" t="e">
        <f t="shared" si="145"/>
        <v>#VALUE!</v>
      </c>
      <c r="AJ299" s="540">
        <f t="shared" si="146"/>
        <v>30</v>
      </c>
      <c r="AK299" s="540">
        <f t="shared" si="125"/>
        <v>30</v>
      </c>
      <c r="AL299" s="909">
        <f t="shared" si="147"/>
        <v>0</v>
      </c>
      <c r="AN299" s="539">
        <f t="shared" si="127"/>
        <v>0</v>
      </c>
      <c r="AR299" s="941"/>
      <c r="AT299" s="317"/>
      <c r="AU299" s="317"/>
    </row>
    <row r="300" spans="3:47" ht="13.15" customHeight="1" x14ac:dyDescent="0.2">
      <c r="C300" s="381"/>
      <c r="D300" s="895" t="str">
        <f>IF(op!D188=0,"",op!D188)</f>
        <v/>
      </c>
      <c r="E300" s="895" t="str">
        <f>IF(op!E188=0,"",op!E188)</f>
        <v/>
      </c>
      <c r="F300" s="390" t="str">
        <f>IF(op!F188="","",op!F188+1)</f>
        <v/>
      </c>
      <c r="G300" s="896" t="str">
        <f>IF(op!G188=0,"",op!G188)</f>
        <v/>
      </c>
      <c r="H300" s="390" t="str">
        <f>IF(op!H188="","",op!H188)</f>
        <v/>
      </c>
      <c r="I300" s="897" t="str">
        <f t="shared" si="135"/>
        <v/>
      </c>
      <c r="J300" s="898" t="str">
        <f>IF(op!J188="","",op!J188)</f>
        <v/>
      </c>
      <c r="K300" s="334"/>
      <c r="L300" s="1140" t="str">
        <f>IF(op!L188="","",op!L188)</f>
        <v/>
      </c>
      <c r="M300" s="1140" t="str">
        <f>IF(op!M188="","",op!M188)</f>
        <v/>
      </c>
      <c r="N300" s="899" t="str">
        <f t="shared" si="128"/>
        <v/>
      </c>
      <c r="O300" s="900" t="str">
        <f t="shared" si="129"/>
        <v/>
      </c>
      <c r="P300" s="901" t="str">
        <f t="shared" si="130"/>
        <v/>
      </c>
      <c r="Q300" s="568" t="str">
        <f t="shared" si="136"/>
        <v/>
      </c>
      <c r="R300" s="902" t="str">
        <f t="shared" si="131"/>
        <v/>
      </c>
      <c r="S300" s="903">
        <f t="shared" si="137"/>
        <v>0</v>
      </c>
      <c r="T300" s="334"/>
      <c r="X300" s="887" t="str">
        <f t="shared" si="138"/>
        <v/>
      </c>
      <c r="Y300" s="904">
        <f t="shared" si="139"/>
        <v>0.6</v>
      </c>
      <c r="Z300" s="905" t="e">
        <f t="shared" si="132"/>
        <v>#VALUE!</v>
      </c>
      <c r="AA300" s="905" t="e">
        <f t="shared" si="133"/>
        <v>#VALUE!</v>
      </c>
      <c r="AB300" s="905" t="e">
        <f t="shared" si="134"/>
        <v>#VALUE!</v>
      </c>
      <c r="AC300" s="906" t="e">
        <f t="shared" si="140"/>
        <v>#VALUE!</v>
      </c>
      <c r="AD300" s="907">
        <f t="shared" si="141"/>
        <v>0</v>
      </c>
      <c r="AE300" s="904">
        <f>IF(H300&gt;8,tab!C$194,tab!C$197)</f>
        <v>0.5</v>
      </c>
      <c r="AF300" s="907">
        <f t="shared" si="142"/>
        <v>0</v>
      </c>
      <c r="AG300" s="887">
        <f t="shared" si="143"/>
        <v>0</v>
      </c>
      <c r="AH300" s="908" t="e">
        <f t="shared" si="144"/>
        <v>#VALUE!</v>
      </c>
      <c r="AI300" s="815" t="e">
        <f t="shared" si="145"/>
        <v>#VALUE!</v>
      </c>
      <c r="AJ300" s="540">
        <f t="shared" si="146"/>
        <v>30</v>
      </c>
      <c r="AK300" s="540">
        <f t="shared" si="125"/>
        <v>30</v>
      </c>
      <c r="AL300" s="909">
        <f t="shared" si="147"/>
        <v>0</v>
      </c>
      <c r="AN300" s="539">
        <f t="shared" si="127"/>
        <v>0</v>
      </c>
      <c r="AR300" s="941"/>
      <c r="AT300" s="317"/>
      <c r="AU300" s="317"/>
    </row>
    <row r="301" spans="3:47" ht="13.15" customHeight="1" x14ac:dyDescent="0.2">
      <c r="C301" s="381"/>
      <c r="D301" s="895" t="str">
        <f>IF(op!D189=0,"",op!D189)</f>
        <v/>
      </c>
      <c r="E301" s="895" t="str">
        <f>IF(op!E189=0,"",op!E189)</f>
        <v/>
      </c>
      <c r="F301" s="390" t="str">
        <f>IF(op!F189="","",op!F189+1)</f>
        <v/>
      </c>
      <c r="G301" s="896" t="str">
        <f>IF(op!G189=0,"",op!G189)</f>
        <v/>
      </c>
      <c r="H301" s="390" t="str">
        <f>IF(op!H189="","",op!H189)</f>
        <v/>
      </c>
      <c r="I301" s="897" t="str">
        <f t="shared" si="135"/>
        <v/>
      </c>
      <c r="J301" s="898" t="str">
        <f>IF(op!J189="","",op!J189)</f>
        <v/>
      </c>
      <c r="K301" s="334"/>
      <c r="L301" s="1140" t="str">
        <f>IF(op!L189="","",op!L189)</f>
        <v/>
      </c>
      <c r="M301" s="1140" t="str">
        <f>IF(op!M189="","",op!M189)</f>
        <v/>
      </c>
      <c r="N301" s="899" t="str">
        <f t="shared" si="128"/>
        <v/>
      </c>
      <c r="O301" s="900" t="str">
        <f t="shared" si="129"/>
        <v/>
      </c>
      <c r="P301" s="901" t="str">
        <f t="shared" si="130"/>
        <v/>
      </c>
      <c r="Q301" s="568" t="str">
        <f t="shared" si="136"/>
        <v/>
      </c>
      <c r="R301" s="902" t="str">
        <f t="shared" si="131"/>
        <v/>
      </c>
      <c r="S301" s="903">
        <f t="shared" si="137"/>
        <v>0</v>
      </c>
      <c r="T301" s="334"/>
      <c r="X301" s="887" t="str">
        <f t="shared" si="138"/>
        <v/>
      </c>
      <c r="Y301" s="904">
        <f t="shared" si="139"/>
        <v>0.6</v>
      </c>
      <c r="Z301" s="905" t="e">
        <f t="shared" si="132"/>
        <v>#VALUE!</v>
      </c>
      <c r="AA301" s="905" t="e">
        <f t="shared" si="133"/>
        <v>#VALUE!</v>
      </c>
      <c r="AB301" s="905" t="e">
        <f t="shared" si="134"/>
        <v>#VALUE!</v>
      </c>
      <c r="AC301" s="906" t="e">
        <f t="shared" si="140"/>
        <v>#VALUE!</v>
      </c>
      <c r="AD301" s="907">
        <f t="shared" si="141"/>
        <v>0</v>
      </c>
      <c r="AE301" s="904">
        <f>IF(H301&gt;8,tab!C$194,tab!C$197)</f>
        <v>0.5</v>
      </c>
      <c r="AF301" s="907">
        <f t="shared" si="142"/>
        <v>0</v>
      </c>
      <c r="AG301" s="887">
        <f t="shared" si="143"/>
        <v>0</v>
      </c>
      <c r="AH301" s="908" t="e">
        <f t="shared" si="144"/>
        <v>#VALUE!</v>
      </c>
      <c r="AI301" s="815" t="e">
        <f t="shared" si="145"/>
        <v>#VALUE!</v>
      </c>
      <c r="AJ301" s="540">
        <f t="shared" si="146"/>
        <v>30</v>
      </c>
      <c r="AK301" s="540">
        <f t="shared" si="125"/>
        <v>30</v>
      </c>
      <c r="AL301" s="909">
        <f t="shared" si="147"/>
        <v>0</v>
      </c>
      <c r="AN301" s="539">
        <f t="shared" si="127"/>
        <v>0</v>
      </c>
      <c r="AR301" s="941"/>
      <c r="AT301" s="317"/>
      <c r="AU301" s="317"/>
    </row>
    <row r="302" spans="3:47" ht="13.15" customHeight="1" x14ac:dyDescent="0.2">
      <c r="C302" s="381"/>
      <c r="D302" s="895" t="str">
        <f>IF(op!D190=0,"",op!D190)</f>
        <v/>
      </c>
      <c r="E302" s="895" t="str">
        <f>IF(op!E190=0,"",op!E190)</f>
        <v/>
      </c>
      <c r="F302" s="390" t="str">
        <f>IF(op!F190="","",op!F190+1)</f>
        <v/>
      </c>
      <c r="G302" s="896" t="str">
        <f>IF(op!G190=0,"",op!G190)</f>
        <v/>
      </c>
      <c r="H302" s="390" t="str">
        <f>IF(op!H190="","",op!H190)</f>
        <v/>
      </c>
      <c r="I302" s="897" t="str">
        <f t="shared" si="135"/>
        <v/>
      </c>
      <c r="J302" s="898" t="str">
        <f>IF(op!J190="","",op!J190)</f>
        <v/>
      </c>
      <c r="K302" s="334"/>
      <c r="L302" s="1140" t="str">
        <f>IF(op!L190="","",op!L190)</f>
        <v/>
      </c>
      <c r="M302" s="1140" t="str">
        <f>IF(op!M190="","",op!M190)</f>
        <v/>
      </c>
      <c r="N302" s="899" t="str">
        <f t="shared" si="128"/>
        <v/>
      </c>
      <c r="O302" s="900" t="str">
        <f t="shared" si="129"/>
        <v/>
      </c>
      <c r="P302" s="901" t="str">
        <f t="shared" si="130"/>
        <v/>
      </c>
      <c r="Q302" s="568" t="str">
        <f t="shared" si="136"/>
        <v/>
      </c>
      <c r="R302" s="902" t="str">
        <f t="shared" si="131"/>
        <v/>
      </c>
      <c r="S302" s="903">
        <f t="shared" si="137"/>
        <v>0</v>
      </c>
      <c r="T302" s="334"/>
      <c r="X302" s="887" t="str">
        <f t="shared" si="138"/>
        <v/>
      </c>
      <c r="Y302" s="904">
        <f t="shared" si="139"/>
        <v>0.6</v>
      </c>
      <c r="Z302" s="905" t="e">
        <f t="shared" si="132"/>
        <v>#VALUE!</v>
      </c>
      <c r="AA302" s="905" t="e">
        <f t="shared" si="133"/>
        <v>#VALUE!</v>
      </c>
      <c r="AB302" s="905" t="e">
        <f t="shared" si="134"/>
        <v>#VALUE!</v>
      </c>
      <c r="AC302" s="906" t="e">
        <f t="shared" si="140"/>
        <v>#VALUE!</v>
      </c>
      <c r="AD302" s="907">
        <f t="shared" si="141"/>
        <v>0</v>
      </c>
      <c r="AE302" s="904">
        <f>IF(H302&gt;8,tab!C$194,tab!C$197)</f>
        <v>0.5</v>
      </c>
      <c r="AF302" s="907">
        <f t="shared" si="142"/>
        <v>0</v>
      </c>
      <c r="AG302" s="887">
        <f t="shared" si="143"/>
        <v>0</v>
      </c>
      <c r="AH302" s="908" t="e">
        <f t="shared" si="144"/>
        <v>#VALUE!</v>
      </c>
      <c r="AI302" s="815" t="e">
        <f t="shared" si="145"/>
        <v>#VALUE!</v>
      </c>
      <c r="AJ302" s="540">
        <f t="shared" si="146"/>
        <v>30</v>
      </c>
      <c r="AK302" s="540">
        <f t="shared" si="125"/>
        <v>30</v>
      </c>
      <c r="AL302" s="909">
        <f t="shared" si="147"/>
        <v>0</v>
      </c>
      <c r="AN302" s="539">
        <f t="shared" si="127"/>
        <v>0</v>
      </c>
      <c r="AR302" s="941"/>
      <c r="AT302" s="317"/>
      <c r="AU302" s="317"/>
    </row>
    <row r="303" spans="3:47" ht="13.15" customHeight="1" x14ac:dyDescent="0.2">
      <c r="C303" s="381"/>
      <c r="D303" s="895" t="str">
        <f>IF(op!D191=0,"",op!D191)</f>
        <v/>
      </c>
      <c r="E303" s="895" t="str">
        <f>IF(op!E191=0,"",op!E191)</f>
        <v/>
      </c>
      <c r="F303" s="390" t="str">
        <f>IF(op!F191="","",op!F191+1)</f>
        <v/>
      </c>
      <c r="G303" s="896" t="str">
        <f>IF(op!G191=0,"",op!G191)</f>
        <v/>
      </c>
      <c r="H303" s="390" t="str">
        <f>IF(op!H191="","",op!H191)</f>
        <v/>
      </c>
      <c r="I303" s="897" t="str">
        <f t="shared" si="135"/>
        <v/>
      </c>
      <c r="J303" s="898" t="str">
        <f>IF(op!J191="","",op!J191)</f>
        <v/>
      </c>
      <c r="K303" s="334"/>
      <c r="L303" s="1140" t="str">
        <f>IF(op!L191="","",op!L191)</f>
        <v/>
      </c>
      <c r="M303" s="1140" t="str">
        <f>IF(op!M191="","",op!M191)</f>
        <v/>
      </c>
      <c r="N303" s="899" t="str">
        <f t="shared" si="128"/>
        <v/>
      </c>
      <c r="O303" s="900" t="str">
        <f t="shared" si="129"/>
        <v/>
      </c>
      <c r="P303" s="901" t="str">
        <f t="shared" si="130"/>
        <v/>
      </c>
      <c r="Q303" s="568" t="str">
        <f t="shared" si="136"/>
        <v/>
      </c>
      <c r="R303" s="902" t="str">
        <f t="shared" si="131"/>
        <v/>
      </c>
      <c r="S303" s="903">
        <f t="shared" si="137"/>
        <v>0</v>
      </c>
      <c r="T303" s="334"/>
      <c r="X303" s="887" t="str">
        <f t="shared" si="138"/>
        <v/>
      </c>
      <c r="Y303" s="904">
        <f t="shared" si="139"/>
        <v>0.6</v>
      </c>
      <c r="Z303" s="905" t="e">
        <f t="shared" si="132"/>
        <v>#VALUE!</v>
      </c>
      <c r="AA303" s="905" t="e">
        <f t="shared" si="133"/>
        <v>#VALUE!</v>
      </c>
      <c r="AB303" s="905" t="e">
        <f t="shared" si="134"/>
        <v>#VALUE!</v>
      </c>
      <c r="AC303" s="906" t="e">
        <f t="shared" si="140"/>
        <v>#VALUE!</v>
      </c>
      <c r="AD303" s="907">
        <f t="shared" si="141"/>
        <v>0</v>
      </c>
      <c r="AE303" s="904">
        <f>IF(H303&gt;8,tab!C$194,tab!C$197)</f>
        <v>0.5</v>
      </c>
      <c r="AF303" s="907">
        <f t="shared" si="142"/>
        <v>0</v>
      </c>
      <c r="AG303" s="887">
        <f t="shared" si="143"/>
        <v>0</v>
      </c>
      <c r="AH303" s="908" t="e">
        <f t="shared" si="144"/>
        <v>#VALUE!</v>
      </c>
      <c r="AI303" s="815" t="e">
        <f t="shared" si="145"/>
        <v>#VALUE!</v>
      </c>
      <c r="AJ303" s="540">
        <f t="shared" si="146"/>
        <v>30</v>
      </c>
      <c r="AK303" s="540">
        <f t="shared" si="125"/>
        <v>30</v>
      </c>
      <c r="AL303" s="909">
        <f t="shared" si="147"/>
        <v>0</v>
      </c>
      <c r="AN303" s="539">
        <f t="shared" si="127"/>
        <v>0</v>
      </c>
      <c r="AR303" s="941"/>
      <c r="AT303" s="317"/>
      <c r="AU303" s="317"/>
    </row>
    <row r="304" spans="3:47" ht="13.15" customHeight="1" x14ac:dyDescent="0.2">
      <c r="C304" s="381"/>
      <c r="D304" s="895" t="str">
        <f>IF(op!D192=0,"",op!D192)</f>
        <v/>
      </c>
      <c r="E304" s="895" t="str">
        <f>IF(op!E192=0,"",op!E192)</f>
        <v/>
      </c>
      <c r="F304" s="390" t="str">
        <f>IF(op!F192="","",op!F192+1)</f>
        <v/>
      </c>
      <c r="G304" s="896" t="str">
        <f>IF(op!G192=0,"",op!G192)</f>
        <v/>
      </c>
      <c r="H304" s="390" t="str">
        <f>IF(op!H192="","",op!H192)</f>
        <v/>
      </c>
      <c r="I304" s="897" t="str">
        <f t="shared" ref="I304:I335" si="148">IF(E304="","",IF(I192=VLOOKUP(H304,Salaris2021,22,FALSE),I192,I192+1))</f>
        <v/>
      </c>
      <c r="J304" s="898" t="str">
        <f>IF(op!J192="","",op!J192)</f>
        <v/>
      </c>
      <c r="K304" s="334"/>
      <c r="L304" s="1140" t="str">
        <f>IF(op!L192="","",op!L192)</f>
        <v/>
      </c>
      <c r="M304" s="1140" t="str">
        <f>IF(op!M192="","",op!M192)</f>
        <v/>
      </c>
      <c r="N304" s="899" t="str">
        <f t="shared" si="128"/>
        <v/>
      </c>
      <c r="O304" s="900" t="str">
        <f t="shared" si="129"/>
        <v/>
      </c>
      <c r="P304" s="901" t="str">
        <f t="shared" si="130"/>
        <v/>
      </c>
      <c r="Q304" s="568" t="str">
        <f t="shared" ref="Q304:Q335" si="149">IF(J304="","",(1659*J304-P304)*AA304)</f>
        <v/>
      </c>
      <c r="R304" s="902" t="str">
        <f t="shared" si="131"/>
        <v/>
      </c>
      <c r="S304" s="903">
        <f t="shared" ref="S304:S335" si="150">IF(E304=0,0,SUM(Q304:R304))</f>
        <v>0</v>
      </c>
      <c r="T304" s="334"/>
      <c r="X304" s="887" t="str">
        <f t="shared" ref="X304:X339" si="151">IF(H304="","",VLOOKUP(H304,Salaris2021,I304+1,FALSE))</f>
        <v/>
      </c>
      <c r="Y304" s="904">
        <f t="shared" ref="Y304:Y339" si="152">$Y$14</f>
        <v>0.6</v>
      </c>
      <c r="Z304" s="905" t="e">
        <f t="shared" si="132"/>
        <v>#VALUE!</v>
      </c>
      <c r="AA304" s="905" t="e">
        <f t="shared" si="133"/>
        <v>#VALUE!</v>
      </c>
      <c r="AB304" s="905" t="e">
        <f t="shared" si="134"/>
        <v>#VALUE!</v>
      </c>
      <c r="AC304" s="906" t="e">
        <f t="shared" ref="AC304:AC339" si="153">N304+O304</f>
        <v>#VALUE!</v>
      </c>
      <c r="AD304" s="907">
        <f t="shared" ref="AD304:AD339" si="154">SUM(L304:M304)</f>
        <v>0</v>
      </c>
      <c r="AE304" s="904">
        <f>IF(H304&gt;8,tab!C$194,tab!C$197)</f>
        <v>0.5</v>
      </c>
      <c r="AF304" s="907">
        <f t="shared" ref="AF304:AF339" si="155">IF(F304&lt;25,0,IF(F304=25,25,IF(F304&lt;40,0,IF(F304=40,40,IF(F304&gt;=40,0)))))</f>
        <v>0</v>
      </c>
      <c r="AG304" s="887">
        <f t="shared" ref="AG304:AG335" si="156">IF(AF304=25,(X304*1.08*J304/2),IF(AF304=40,(Y304*1.08*J304),IF(AF304=0,0)))</f>
        <v>0</v>
      </c>
      <c r="AH304" s="908" t="e">
        <f t="shared" ref="AH304:AH339" si="157">DATE(YEAR($E$233),MONTH(G304),DAY(G304))&gt;$E$233</f>
        <v>#VALUE!</v>
      </c>
      <c r="AI304" s="815" t="e">
        <f t="shared" ref="AI304:AI335" si="158">YEAR($E$233)-YEAR(G304)-AH304</f>
        <v>#VALUE!</v>
      </c>
      <c r="AJ304" s="540">
        <f t="shared" ref="AJ304:AJ335" si="159">IF((G304=""),30,AI304)</f>
        <v>30</v>
      </c>
      <c r="AK304" s="540">
        <f t="shared" ref="AK304:AK339" si="160">IF((AJ304)&gt;50,50,(AJ304))</f>
        <v>30</v>
      </c>
      <c r="AL304" s="909">
        <f t="shared" ref="AL304:AL335" si="161">(AK304*(SUM(J304:J304)))</f>
        <v>0</v>
      </c>
      <c r="AN304" s="539">
        <f t="shared" ref="AN304:AN339" si="162">IF(AND(AL304&gt;0.01,AL304&lt;50.01),1,0)</f>
        <v>0</v>
      </c>
      <c r="AR304" s="941"/>
      <c r="AT304" s="317"/>
      <c r="AU304" s="317"/>
    </row>
    <row r="305" spans="3:47" ht="13.15" customHeight="1" x14ac:dyDescent="0.2">
      <c r="C305" s="381"/>
      <c r="D305" s="895" t="str">
        <f>IF(op!D193=0,"",op!D193)</f>
        <v/>
      </c>
      <c r="E305" s="895" t="str">
        <f>IF(op!E193=0,"",op!E193)</f>
        <v/>
      </c>
      <c r="F305" s="390" t="str">
        <f>IF(op!F193="","",op!F193+1)</f>
        <v/>
      </c>
      <c r="G305" s="896" t="str">
        <f>IF(op!G193=0,"",op!G193)</f>
        <v/>
      </c>
      <c r="H305" s="390" t="str">
        <f>IF(op!H193="","",op!H193)</f>
        <v/>
      </c>
      <c r="I305" s="897" t="str">
        <f t="shared" si="148"/>
        <v/>
      </c>
      <c r="J305" s="898" t="str">
        <f>IF(op!J193="","",op!J193)</f>
        <v/>
      </c>
      <c r="K305" s="334"/>
      <c r="L305" s="1140" t="str">
        <f>IF(op!L193="","",op!L193)</f>
        <v/>
      </c>
      <c r="M305" s="1140" t="str">
        <f>IF(op!M193="","",op!M193)</f>
        <v/>
      </c>
      <c r="N305" s="899" t="str">
        <f t="shared" ref="N305:N339" si="163">IF(J305="","",IF(J305*40&gt;40,40,J305*40))</f>
        <v/>
      </c>
      <c r="O305" s="900" t="str">
        <f t="shared" ref="O305:O339" si="164">IF(H305="","",IF(I305&lt;4,IF(40*J305&gt;40,40,40*J305),0))</f>
        <v/>
      </c>
      <c r="P305" s="901" t="str">
        <f t="shared" ref="P305:P339" si="165">IF(J305="","",SUM(L305:O305))</f>
        <v/>
      </c>
      <c r="Q305" s="568" t="str">
        <f t="shared" si="149"/>
        <v/>
      </c>
      <c r="R305" s="902" t="str">
        <f t="shared" ref="R305:R339" si="166">IF(J305="","",(P305*AB305)+Z305*(AC305+AD305*(1-AE305)))</f>
        <v/>
      </c>
      <c r="S305" s="903">
        <f t="shared" si="150"/>
        <v>0</v>
      </c>
      <c r="T305" s="334"/>
      <c r="X305" s="887" t="str">
        <f t="shared" si="151"/>
        <v/>
      </c>
      <c r="Y305" s="904">
        <f t="shared" si="152"/>
        <v>0.6</v>
      </c>
      <c r="Z305" s="905" t="e">
        <f t="shared" ref="Z305:Z339" si="167">X305*12/1659</f>
        <v>#VALUE!</v>
      </c>
      <c r="AA305" s="905" t="e">
        <f t="shared" ref="AA305:AA339" si="168">X305*12*(1+Y305)/1659</f>
        <v>#VALUE!</v>
      </c>
      <c r="AB305" s="905" t="e">
        <f t="shared" ref="AB305:AB339" si="169">AA305-Z305</f>
        <v>#VALUE!</v>
      </c>
      <c r="AC305" s="906" t="e">
        <f t="shared" si="153"/>
        <v>#VALUE!</v>
      </c>
      <c r="AD305" s="907">
        <f t="shared" si="154"/>
        <v>0</v>
      </c>
      <c r="AE305" s="904">
        <f>IF(H305&gt;8,tab!C$194,tab!C$197)</f>
        <v>0.5</v>
      </c>
      <c r="AF305" s="907">
        <f t="shared" si="155"/>
        <v>0</v>
      </c>
      <c r="AG305" s="887">
        <f t="shared" si="156"/>
        <v>0</v>
      </c>
      <c r="AH305" s="908" t="e">
        <f t="shared" si="157"/>
        <v>#VALUE!</v>
      </c>
      <c r="AI305" s="815" t="e">
        <f t="shared" si="158"/>
        <v>#VALUE!</v>
      </c>
      <c r="AJ305" s="540">
        <f t="shared" si="159"/>
        <v>30</v>
      </c>
      <c r="AK305" s="540">
        <f t="shared" si="160"/>
        <v>30</v>
      </c>
      <c r="AL305" s="909">
        <f t="shared" si="161"/>
        <v>0</v>
      </c>
      <c r="AN305" s="539">
        <f t="shared" si="162"/>
        <v>0</v>
      </c>
      <c r="AR305" s="941"/>
      <c r="AT305" s="317"/>
      <c r="AU305" s="317"/>
    </row>
    <row r="306" spans="3:47" ht="13.15" customHeight="1" x14ac:dyDescent="0.2">
      <c r="C306" s="381"/>
      <c r="D306" s="895" t="str">
        <f>IF(op!D194=0,"",op!D194)</f>
        <v/>
      </c>
      <c r="E306" s="895" t="str">
        <f>IF(op!E194=0,"",op!E194)</f>
        <v/>
      </c>
      <c r="F306" s="390" t="str">
        <f>IF(op!F194="","",op!F194+1)</f>
        <v/>
      </c>
      <c r="G306" s="896" t="str">
        <f>IF(op!G194=0,"",op!G194)</f>
        <v/>
      </c>
      <c r="H306" s="390" t="str">
        <f>IF(op!H194="","",op!H194)</f>
        <v/>
      </c>
      <c r="I306" s="897" t="str">
        <f t="shared" si="148"/>
        <v/>
      </c>
      <c r="J306" s="898" t="str">
        <f>IF(op!J194="","",op!J194)</f>
        <v/>
      </c>
      <c r="K306" s="334"/>
      <c r="L306" s="1140" t="str">
        <f>IF(op!L194="","",op!L194)</f>
        <v/>
      </c>
      <c r="M306" s="1140" t="str">
        <f>IF(op!M194="","",op!M194)</f>
        <v/>
      </c>
      <c r="N306" s="899" t="str">
        <f t="shared" si="163"/>
        <v/>
      </c>
      <c r="O306" s="900" t="str">
        <f t="shared" si="164"/>
        <v/>
      </c>
      <c r="P306" s="901" t="str">
        <f t="shared" si="165"/>
        <v/>
      </c>
      <c r="Q306" s="568" t="str">
        <f t="shared" si="149"/>
        <v/>
      </c>
      <c r="R306" s="902" t="str">
        <f t="shared" si="166"/>
        <v/>
      </c>
      <c r="S306" s="903">
        <f t="shared" si="150"/>
        <v>0</v>
      </c>
      <c r="T306" s="334"/>
      <c r="X306" s="887" t="str">
        <f t="shared" si="151"/>
        <v/>
      </c>
      <c r="Y306" s="904">
        <f t="shared" si="152"/>
        <v>0.6</v>
      </c>
      <c r="Z306" s="905" t="e">
        <f t="shared" si="167"/>
        <v>#VALUE!</v>
      </c>
      <c r="AA306" s="905" t="e">
        <f t="shared" si="168"/>
        <v>#VALUE!</v>
      </c>
      <c r="AB306" s="905" t="e">
        <f t="shared" si="169"/>
        <v>#VALUE!</v>
      </c>
      <c r="AC306" s="906" t="e">
        <f t="shared" si="153"/>
        <v>#VALUE!</v>
      </c>
      <c r="AD306" s="907">
        <f t="shared" si="154"/>
        <v>0</v>
      </c>
      <c r="AE306" s="904">
        <f>IF(H306&gt;8,tab!C$194,tab!C$197)</f>
        <v>0.5</v>
      </c>
      <c r="AF306" s="907">
        <f t="shared" si="155"/>
        <v>0</v>
      </c>
      <c r="AG306" s="887">
        <f t="shared" si="156"/>
        <v>0</v>
      </c>
      <c r="AH306" s="908" t="e">
        <f t="shared" si="157"/>
        <v>#VALUE!</v>
      </c>
      <c r="AI306" s="815" t="e">
        <f t="shared" si="158"/>
        <v>#VALUE!</v>
      </c>
      <c r="AJ306" s="540">
        <f t="shared" si="159"/>
        <v>30</v>
      </c>
      <c r="AK306" s="540">
        <f t="shared" si="160"/>
        <v>30</v>
      </c>
      <c r="AL306" s="909">
        <f t="shared" si="161"/>
        <v>0</v>
      </c>
      <c r="AN306" s="539">
        <f t="shared" si="162"/>
        <v>0</v>
      </c>
      <c r="AR306" s="941"/>
      <c r="AT306" s="317"/>
      <c r="AU306" s="317"/>
    </row>
    <row r="307" spans="3:47" ht="13.15" customHeight="1" x14ac:dyDescent="0.2">
      <c r="C307" s="381"/>
      <c r="D307" s="895" t="str">
        <f>IF(op!D195=0,"",op!D195)</f>
        <v/>
      </c>
      <c r="E307" s="895" t="str">
        <f>IF(op!E195=0,"",op!E195)</f>
        <v/>
      </c>
      <c r="F307" s="390" t="str">
        <f>IF(op!F195="","",op!F195+1)</f>
        <v/>
      </c>
      <c r="G307" s="896" t="str">
        <f>IF(op!G195=0,"",op!G195)</f>
        <v/>
      </c>
      <c r="H307" s="390" t="str">
        <f>IF(op!H195="","",op!H195)</f>
        <v/>
      </c>
      <c r="I307" s="897" t="str">
        <f t="shared" si="148"/>
        <v/>
      </c>
      <c r="J307" s="898" t="str">
        <f>IF(op!J195="","",op!J195)</f>
        <v/>
      </c>
      <c r="K307" s="334"/>
      <c r="L307" s="1140" t="str">
        <f>IF(op!L195="","",op!L195)</f>
        <v/>
      </c>
      <c r="M307" s="1140" t="str">
        <f>IF(op!M195="","",op!M195)</f>
        <v/>
      </c>
      <c r="N307" s="899" t="str">
        <f t="shared" si="163"/>
        <v/>
      </c>
      <c r="O307" s="900" t="str">
        <f t="shared" si="164"/>
        <v/>
      </c>
      <c r="P307" s="901" t="str">
        <f t="shared" si="165"/>
        <v/>
      </c>
      <c r="Q307" s="568" t="str">
        <f t="shared" si="149"/>
        <v/>
      </c>
      <c r="R307" s="902" t="str">
        <f t="shared" si="166"/>
        <v/>
      </c>
      <c r="S307" s="903">
        <f t="shared" si="150"/>
        <v>0</v>
      </c>
      <c r="T307" s="334"/>
      <c r="X307" s="887" t="str">
        <f t="shared" si="151"/>
        <v/>
      </c>
      <c r="Y307" s="904">
        <f t="shared" si="152"/>
        <v>0.6</v>
      </c>
      <c r="Z307" s="905" t="e">
        <f t="shared" si="167"/>
        <v>#VALUE!</v>
      </c>
      <c r="AA307" s="905" t="e">
        <f t="shared" si="168"/>
        <v>#VALUE!</v>
      </c>
      <c r="AB307" s="905" t="e">
        <f t="shared" si="169"/>
        <v>#VALUE!</v>
      </c>
      <c r="AC307" s="906" t="e">
        <f t="shared" si="153"/>
        <v>#VALUE!</v>
      </c>
      <c r="AD307" s="907">
        <f t="shared" si="154"/>
        <v>0</v>
      </c>
      <c r="AE307" s="904">
        <f>IF(H307&gt;8,tab!C$194,tab!C$197)</f>
        <v>0.5</v>
      </c>
      <c r="AF307" s="907">
        <f t="shared" si="155"/>
        <v>0</v>
      </c>
      <c r="AG307" s="887">
        <f t="shared" si="156"/>
        <v>0</v>
      </c>
      <c r="AH307" s="908" t="e">
        <f t="shared" si="157"/>
        <v>#VALUE!</v>
      </c>
      <c r="AI307" s="815" t="e">
        <f t="shared" si="158"/>
        <v>#VALUE!</v>
      </c>
      <c r="AJ307" s="540">
        <f t="shared" si="159"/>
        <v>30</v>
      </c>
      <c r="AK307" s="540">
        <f t="shared" si="160"/>
        <v>30</v>
      </c>
      <c r="AL307" s="909">
        <f t="shared" si="161"/>
        <v>0</v>
      </c>
      <c r="AN307" s="539">
        <f t="shared" si="162"/>
        <v>0</v>
      </c>
      <c r="AR307" s="941"/>
      <c r="AT307" s="317"/>
      <c r="AU307" s="317"/>
    </row>
    <row r="308" spans="3:47" ht="13.15" customHeight="1" x14ac:dyDescent="0.2">
      <c r="C308" s="381"/>
      <c r="D308" s="895" t="str">
        <f>IF(op!D196=0,"",op!D196)</f>
        <v/>
      </c>
      <c r="E308" s="895" t="str">
        <f>IF(op!E196=0,"",op!E196)</f>
        <v/>
      </c>
      <c r="F308" s="390" t="str">
        <f>IF(op!F196="","",op!F196+1)</f>
        <v/>
      </c>
      <c r="G308" s="896" t="str">
        <f>IF(op!G196=0,"",op!G196)</f>
        <v/>
      </c>
      <c r="H308" s="390" t="str">
        <f>IF(op!H196="","",op!H196)</f>
        <v/>
      </c>
      <c r="I308" s="897" t="str">
        <f t="shared" si="148"/>
        <v/>
      </c>
      <c r="J308" s="898" t="str">
        <f>IF(op!J196="","",op!J196)</f>
        <v/>
      </c>
      <c r="K308" s="334"/>
      <c r="L308" s="1140" t="str">
        <f>IF(op!L196="","",op!L196)</f>
        <v/>
      </c>
      <c r="M308" s="1140" t="str">
        <f>IF(op!M196="","",op!M196)</f>
        <v/>
      </c>
      <c r="N308" s="899" t="str">
        <f t="shared" si="163"/>
        <v/>
      </c>
      <c r="O308" s="900" t="str">
        <f t="shared" si="164"/>
        <v/>
      </c>
      <c r="P308" s="901" t="str">
        <f t="shared" si="165"/>
        <v/>
      </c>
      <c r="Q308" s="568" t="str">
        <f t="shared" si="149"/>
        <v/>
      </c>
      <c r="R308" s="902" t="str">
        <f t="shared" si="166"/>
        <v/>
      </c>
      <c r="S308" s="903">
        <f t="shared" si="150"/>
        <v>0</v>
      </c>
      <c r="T308" s="334"/>
      <c r="X308" s="887" t="str">
        <f t="shared" si="151"/>
        <v/>
      </c>
      <c r="Y308" s="904">
        <f t="shared" si="152"/>
        <v>0.6</v>
      </c>
      <c r="Z308" s="905" t="e">
        <f t="shared" si="167"/>
        <v>#VALUE!</v>
      </c>
      <c r="AA308" s="905" t="e">
        <f t="shared" si="168"/>
        <v>#VALUE!</v>
      </c>
      <c r="AB308" s="905" t="e">
        <f t="shared" si="169"/>
        <v>#VALUE!</v>
      </c>
      <c r="AC308" s="906" t="e">
        <f t="shared" si="153"/>
        <v>#VALUE!</v>
      </c>
      <c r="AD308" s="907">
        <f t="shared" si="154"/>
        <v>0</v>
      </c>
      <c r="AE308" s="904">
        <f>IF(H308&gt;8,tab!C$194,tab!C$197)</f>
        <v>0.5</v>
      </c>
      <c r="AF308" s="907">
        <f t="shared" si="155"/>
        <v>0</v>
      </c>
      <c r="AG308" s="887">
        <f t="shared" si="156"/>
        <v>0</v>
      </c>
      <c r="AH308" s="908" t="e">
        <f t="shared" si="157"/>
        <v>#VALUE!</v>
      </c>
      <c r="AI308" s="815" t="e">
        <f t="shared" si="158"/>
        <v>#VALUE!</v>
      </c>
      <c r="AJ308" s="540">
        <f t="shared" si="159"/>
        <v>30</v>
      </c>
      <c r="AK308" s="540">
        <f t="shared" si="160"/>
        <v>30</v>
      </c>
      <c r="AL308" s="909">
        <f t="shared" si="161"/>
        <v>0</v>
      </c>
      <c r="AN308" s="539">
        <f t="shared" si="162"/>
        <v>0</v>
      </c>
      <c r="AR308" s="941"/>
      <c r="AT308" s="317"/>
      <c r="AU308" s="317"/>
    </row>
    <row r="309" spans="3:47" ht="13.15" customHeight="1" x14ac:dyDescent="0.2">
      <c r="C309" s="381"/>
      <c r="D309" s="895" t="str">
        <f>IF(op!D197=0,"",op!D197)</f>
        <v/>
      </c>
      <c r="E309" s="895" t="str">
        <f>IF(op!E197=0,"",op!E197)</f>
        <v/>
      </c>
      <c r="F309" s="390" t="str">
        <f>IF(op!F197="","",op!F197+1)</f>
        <v/>
      </c>
      <c r="G309" s="896" t="str">
        <f>IF(op!G197=0,"",op!G197)</f>
        <v/>
      </c>
      <c r="H309" s="390" t="str">
        <f>IF(op!H197="","",op!H197)</f>
        <v/>
      </c>
      <c r="I309" s="897" t="str">
        <f t="shared" si="148"/>
        <v/>
      </c>
      <c r="J309" s="898" t="str">
        <f>IF(op!J197="","",op!J197)</f>
        <v/>
      </c>
      <c r="K309" s="334"/>
      <c r="L309" s="1140" t="str">
        <f>IF(op!L197="","",op!L197)</f>
        <v/>
      </c>
      <c r="M309" s="1140" t="str">
        <f>IF(op!M197="","",op!M197)</f>
        <v/>
      </c>
      <c r="N309" s="899" t="str">
        <f t="shared" si="163"/>
        <v/>
      </c>
      <c r="O309" s="900" t="str">
        <f t="shared" si="164"/>
        <v/>
      </c>
      <c r="P309" s="901" t="str">
        <f t="shared" si="165"/>
        <v/>
      </c>
      <c r="Q309" s="568" t="str">
        <f t="shared" si="149"/>
        <v/>
      </c>
      <c r="R309" s="902" t="str">
        <f t="shared" si="166"/>
        <v/>
      </c>
      <c r="S309" s="903">
        <f t="shared" si="150"/>
        <v>0</v>
      </c>
      <c r="T309" s="334"/>
      <c r="X309" s="887" t="str">
        <f t="shared" si="151"/>
        <v/>
      </c>
      <c r="Y309" s="904">
        <f t="shared" si="152"/>
        <v>0.6</v>
      </c>
      <c r="Z309" s="905" t="e">
        <f t="shared" si="167"/>
        <v>#VALUE!</v>
      </c>
      <c r="AA309" s="905" t="e">
        <f t="shared" si="168"/>
        <v>#VALUE!</v>
      </c>
      <c r="AB309" s="905" t="e">
        <f t="shared" si="169"/>
        <v>#VALUE!</v>
      </c>
      <c r="AC309" s="906" t="e">
        <f t="shared" si="153"/>
        <v>#VALUE!</v>
      </c>
      <c r="AD309" s="907">
        <f t="shared" si="154"/>
        <v>0</v>
      </c>
      <c r="AE309" s="904">
        <f>IF(H309&gt;8,tab!C$194,tab!C$197)</f>
        <v>0.5</v>
      </c>
      <c r="AF309" s="907">
        <f t="shared" si="155"/>
        <v>0</v>
      </c>
      <c r="AG309" s="887">
        <f t="shared" si="156"/>
        <v>0</v>
      </c>
      <c r="AH309" s="908" t="e">
        <f t="shared" si="157"/>
        <v>#VALUE!</v>
      </c>
      <c r="AI309" s="815" t="e">
        <f t="shared" si="158"/>
        <v>#VALUE!</v>
      </c>
      <c r="AJ309" s="540">
        <f t="shared" si="159"/>
        <v>30</v>
      </c>
      <c r="AK309" s="540">
        <f t="shared" si="160"/>
        <v>30</v>
      </c>
      <c r="AL309" s="909">
        <f t="shared" si="161"/>
        <v>0</v>
      </c>
      <c r="AN309" s="539">
        <f t="shared" si="162"/>
        <v>0</v>
      </c>
      <c r="AR309" s="941"/>
      <c r="AT309" s="317"/>
      <c r="AU309" s="317"/>
    </row>
    <row r="310" spans="3:47" ht="13.15" customHeight="1" x14ac:dyDescent="0.2">
      <c r="C310" s="381"/>
      <c r="D310" s="895" t="str">
        <f>IF(op!D198=0,"",op!D198)</f>
        <v/>
      </c>
      <c r="E310" s="895" t="str">
        <f>IF(op!E198=0,"",op!E198)</f>
        <v/>
      </c>
      <c r="F310" s="390" t="str">
        <f>IF(op!F198="","",op!F198+1)</f>
        <v/>
      </c>
      <c r="G310" s="896" t="str">
        <f>IF(op!G198=0,"",op!G198)</f>
        <v/>
      </c>
      <c r="H310" s="390" t="str">
        <f>IF(op!H198="","",op!H198)</f>
        <v/>
      </c>
      <c r="I310" s="897" t="str">
        <f t="shared" si="148"/>
        <v/>
      </c>
      <c r="J310" s="898" t="str">
        <f>IF(op!J198="","",op!J198)</f>
        <v/>
      </c>
      <c r="K310" s="334"/>
      <c r="L310" s="1140" t="str">
        <f>IF(op!L198="","",op!L198)</f>
        <v/>
      </c>
      <c r="M310" s="1140" t="str">
        <f>IF(op!M198="","",op!M198)</f>
        <v/>
      </c>
      <c r="N310" s="899" t="str">
        <f t="shared" si="163"/>
        <v/>
      </c>
      <c r="O310" s="900" t="str">
        <f t="shared" si="164"/>
        <v/>
      </c>
      <c r="P310" s="901" t="str">
        <f t="shared" si="165"/>
        <v/>
      </c>
      <c r="Q310" s="568" t="str">
        <f t="shared" si="149"/>
        <v/>
      </c>
      <c r="R310" s="902" t="str">
        <f t="shared" si="166"/>
        <v/>
      </c>
      <c r="S310" s="903">
        <f t="shared" si="150"/>
        <v>0</v>
      </c>
      <c r="T310" s="334"/>
      <c r="X310" s="887" t="str">
        <f t="shared" si="151"/>
        <v/>
      </c>
      <c r="Y310" s="904">
        <f t="shared" si="152"/>
        <v>0.6</v>
      </c>
      <c r="Z310" s="905" t="e">
        <f t="shared" si="167"/>
        <v>#VALUE!</v>
      </c>
      <c r="AA310" s="905" t="e">
        <f t="shared" si="168"/>
        <v>#VALUE!</v>
      </c>
      <c r="AB310" s="905" t="e">
        <f t="shared" si="169"/>
        <v>#VALUE!</v>
      </c>
      <c r="AC310" s="906" t="e">
        <f t="shared" si="153"/>
        <v>#VALUE!</v>
      </c>
      <c r="AD310" s="907">
        <f t="shared" si="154"/>
        <v>0</v>
      </c>
      <c r="AE310" s="904">
        <f>IF(H310&gt;8,tab!C$194,tab!C$197)</f>
        <v>0.5</v>
      </c>
      <c r="AF310" s="907">
        <f t="shared" si="155"/>
        <v>0</v>
      </c>
      <c r="AG310" s="887">
        <f t="shared" si="156"/>
        <v>0</v>
      </c>
      <c r="AH310" s="908" t="e">
        <f t="shared" si="157"/>
        <v>#VALUE!</v>
      </c>
      <c r="AI310" s="815" t="e">
        <f t="shared" si="158"/>
        <v>#VALUE!</v>
      </c>
      <c r="AJ310" s="540">
        <f t="shared" si="159"/>
        <v>30</v>
      </c>
      <c r="AK310" s="540">
        <f t="shared" si="160"/>
        <v>30</v>
      </c>
      <c r="AL310" s="909">
        <f t="shared" si="161"/>
        <v>0</v>
      </c>
      <c r="AN310" s="539">
        <f t="shared" si="162"/>
        <v>0</v>
      </c>
      <c r="AR310" s="941"/>
      <c r="AT310" s="317"/>
      <c r="AU310" s="317"/>
    </row>
    <row r="311" spans="3:47" ht="13.15" customHeight="1" x14ac:dyDescent="0.2">
      <c r="C311" s="381"/>
      <c r="D311" s="895" t="str">
        <f>IF(op!D199=0,"",op!D199)</f>
        <v/>
      </c>
      <c r="E311" s="895" t="str">
        <f>IF(op!E199=0,"",op!E199)</f>
        <v/>
      </c>
      <c r="F311" s="390" t="str">
        <f>IF(op!F199="","",op!F199+1)</f>
        <v/>
      </c>
      <c r="G311" s="896" t="str">
        <f>IF(op!G199=0,"",op!G199)</f>
        <v/>
      </c>
      <c r="H311" s="390" t="str">
        <f>IF(op!H199="","",op!H199)</f>
        <v/>
      </c>
      <c r="I311" s="897" t="str">
        <f t="shared" si="148"/>
        <v/>
      </c>
      <c r="J311" s="898" t="str">
        <f>IF(op!J199="","",op!J199)</f>
        <v/>
      </c>
      <c r="K311" s="334"/>
      <c r="L311" s="1140" t="str">
        <f>IF(op!L199="","",op!L199)</f>
        <v/>
      </c>
      <c r="M311" s="1140" t="str">
        <f>IF(op!M199="","",op!M199)</f>
        <v/>
      </c>
      <c r="N311" s="899" t="str">
        <f t="shared" si="163"/>
        <v/>
      </c>
      <c r="O311" s="900" t="str">
        <f t="shared" si="164"/>
        <v/>
      </c>
      <c r="P311" s="901" t="str">
        <f t="shared" si="165"/>
        <v/>
      </c>
      <c r="Q311" s="568" t="str">
        <f t="shared" si="149"/>
        <v/>
      </c>
      <c r="R311" s="902" t="str">
        <f t="shared" si="166"/>
        <v/>
      </c>
      <c r="S311" s="903">
        <f t="shared" si="150"/>
        <v>0</v>
      </c>
      <c r="T311" s="334"/>
      <c r="X311" s="887" t="str">
        <f t="shared" si="151"/>
        <v/>
      </c>
      <c r="Y311" s="904">
        <f t="shared" si="152"/>
        <v>0.6</v>
      </c>
      <c r="Z311" s="905" t="e">
        <f t="shared" si="167"/>
        <v>#VALUE!</v>
      </c>
      <c r="AA311" s="905" t="e">
        <f t="shared" si="168"/>
        <v>#VALUE!</v>
      </c>
      <c r="AB311" s="905" t="e">
        <f t="shared" si="169"/>
        <v>#VALUE!</v>
      </c>
      <c r="AC311" s="906" t="e">
        <f t="shared" si="153"/>
        <v>#VALUE!</v>
      </c>
      <c r="AD311" s="907">
        <f t="shared" si="154"/>
        <v>0</v>
      </c>
      <c r="AE311" s="904">
        <f>IF(H311&gt;8,tab!C$194,tab!C$197)</f>
        <v>0.5</v>
      </c>
      <c r="AF311" s="907">
        <f t="shared" si="155"/>
        <v>0</v>
      </c>
      <c r="AG311" s="887">
        <f t="shared" si="156"/>
        <v>0</v>
      </c>
      <c r="AH311" s="908" t="e">
        <f t="shared" si="157"/>
        <v>#VALUE!</v>
      </c>
      <c r="AI311" s="815" t="e">
        <f t="shared" si="158"/>
        <v>#VALUE!</v>
      </c>
      <c r="AJ311" s="540">
        <f t="shared" si="159"/>
        <v>30</v>
      </c>
      <c r="AK311" s="540">
        <f t="shared" si="160"/>
        <v>30</v>
      </c>
      <c r="AL311" s="909">
        <f t="shared" si="161"/>
        <v>0</v>
      </c>
      <c r="AN311" s="539">
        <f t="shared" si="162"/>
        <v>0</v>
      </c>
      <c r="AR311" s="941"/>
      <c r="AT311" s="317"/>
      <c r="AU311" s="317"/>
    </row>
    <row r="312" spans="3:47" ht="13.15" customHeight="1" x14ac:dyDescent="0.2">
      <c r="C312" s="381"/>
      <c r="D312" s="895" t="str">
        <f>IF(op!D200=0,"",op!D200)</f>
        <v/>
      </c>
      <c r="E312" s="895" t="str">
        <f>IF(op!E200=0,"",op!E200)</f>
        <v/>
      </c>
      <c r="F312" s="390" t="str">
        <f>IF(op!F200="","",op!F200+1)</f>
        <v/>
      </c>
      <c r="G312" s="896" t="str">
        <f>IF(op!G200=0,"",op!G200)</f>
        <v/>
      </c>
      <c r="H312" s="390" t="str">
        <f>IF(op!H200="","",op!H200)</f>
        <v/>
      </c>
      <c r="I312" s="897" t="str">
        <f t="shared" si="148"/>
        <v/>
      </c>
      <c r="J312" s="898" t="str">
        <f>IF(op!J200="","",op!J200)</f>
        <v/>
      </c>
      <c r="K312" s="334"/>
      <c r="L312" s="1140" t="str">
        <f>IF(op!L200="","",op!L200)</f>
        <v/>
      </c>
      <c r="M312" s="1140" t="str">
        <f>IF(op!M200="","",op!M200)</f>
        <v/>
      </c>
      <c r="N312" s="899" t="str">
        <f t="shared" si="163"/>
        <v/>
      </c>
      <c r="O312" s="900" t="str">
        <f t="shared" si="164"/>
        <v/>
      </c>
      <c r="P312" s="901" t="str">
        <f t="shared" si="165"/>
        <v/>
      </c>
      <c r="Q312" s="568" t="str">
        <f t="shared" si="149"/>
        <v/>
      </c>
      <c r="R312" s="902" t="str">
        <f t="shared" si="166"/>
        <v/>
      </c>
      <c r="S312" s="903">
        <f t="shared" si="150"/>
        <v>0</v>
      </c>
      <c r="T312" s="334"/>
      <c r="X312" s="887" t="str">
        <f t="shared" si="151"/>
        <v/>
      </c>
      <c r="Y312" s="904">
        <f t="shared" si="152"/>
        <v>0.6</v>
      </c>
      <c r="Z312" s="905" t="e">
        <f t="shared" si="167"/>
        <v>#VALUE!</v>
      </c>
      <c r="AA312" s="905" t="e">
        <f t="shared" si="168"/>
        <v>#VALUE!</v>
      </c>
      <c r="AB312" s="905" t="e">
        <f t="shared" si="169"/>
        <v>#VALUE!</v>
      </c>
      <c r="AC312" s="906" t="e">
        <f t="shared" si="153"/>
        <v>#VALUE!</v>
      </c>
      <c r="AD312" s="907">
        <f t="shared" si="154"/>
        <v>0</v>
      </c>
      <c r="AE312" s="904">
        <f>IF(H312&gt;8,tab!C$194,tab!C$197)</f>
        <v>0.5</v>
      </c>
      <c r="AF312" s="907">
        <f t="shared" si="155"/>
        <v>0</v>
      </c>
      <c r="AG312" s="887">
        <f t="shared" si="156"/>
        <v>0</v>
      </c>
      <c r="AH312" s="908" t="e">
        <f t="shared" si="157"/>
        <v>#VALUE!</v>
      </c>
      <c r="AI312" s="815" t="e">
        <f t="shared" si="158"/>
        <v>#VALUE!</v>
      </c>
      <c r="AJ312" s="540">
        <f t="shared" si="159"/>
        <v>30</v>
      </c>
      <c r="AK312" s="540">
        <f t="shared" si="160"/>
        <v>30</v>
      </c>
      <c r="AL312" s="909">
        <f t="shared" si="161"/>
        <v>0</v>
      </c>
      <c r="AN312" s="539">
        <f t="shared" si="162"/>
        <v>0</v>
      </c>
      <c r="AR312" s="941"/>
      <c r="AT312" s="317"/>
      <c r="AU312" s="317"/>
    </row>
    <row r="313" spans="3:47" ht="13.15" customHeight="1" x14ac:dyDescent="0.2">
      <c r="C313" s="381"/>
      <c r="D313" s="895" t="str">
        <f>IF(op!D201=0,"",op!D201)</f>
        <v/>
      </c>
      <c r="E313" s="895" t="str">
        <f>IF(op!E201=0,"",op!E201)</f>
        <v/>
      </c>
      <c r="F313" s="390" t="str">
        <f>IF(op!F201="","",op!F201+1)</f>
        <v/>
      </c>
      <c r="G313" s="896" t="str">
        <f>IF(op!G201=0,"",op!G201)</f>
        <v/>
      </c>
      <c r="H313" s="390" t="str">
        <f>IF(op!H201="","",op!H201)</f>
        <v/>
      </c>
      <c r="I313" s="897" t="str">
        <f t="shared" si="148"/>
        <v/>
      </c>
      <c r="J313" s="898" t="str">
        <f>IF(op!J201="","",op!J201)</f>
        <v/>
      </c>
      <c r="K313" s="334"/>
      <c r="L313" s="1140" t="str">
        <f>IF(op!L201="","",op!L201)</f>
        <v/>
      </c>
      <c r="M313" s="1140" t="str">
        <f>IF(op!M201="","",op!M201)</f>
        <v/>
      </c>
      <c r="N313" s="899" t="str">
        <f t="shared" si="163"/>
        <v/>
      </c>
      <c r="O313" s="900" t="str">
        <f t="shared" si="164"/>
        <v/>
      </c>
      <c r="P313" s="901" t="str">
        <f t="shared" si="165"/>
        <v/>
      </c>
      <c r="Q313" s="568" t="str">
        <f t="shared" si="149"/>
        <v/>
      </c>
      <c r="R313" s="902" t="str">
        <f t="shared" si="166"/>
        <v/>
      </c>
      <c r="S313" s="903">
        <f t="shared" si="150"/>
        <v>0</v>
      </c>
      <c r="T313" s="334"/>
      <c r="X313" s="887" t="str">
        <f t="shared" si="151"/>
        <v/>
      </c>
      <c r="Y313" s="904">
        <f t="shared" si="152"/>
        <v>0.6</v>
      </c>
      <c r="Z313" s="905" t="e">
        <f t="shared" si="167"/>
        <v>#VALUE!</v>
      </c>
      <c r="AA313" s="905" t="e">
        <f t="shared" si="168"/>
        <v>#VALUE!</v>
      </c>
      <c r="AB313" s="905" t="e">
        <f t="shared" si="169"/>
        <v>#VALUE!</v>
      </c>
      <c r="AC313" s="906" t="e">
        <f t="shared" si="153"/>
        <v>#VALUE!</v>
      </c>
      <c r="AD313" s="907">
        <f t="shared" si="154"/>
        <v>0</v>
      </c>
      <c r="AE313" s="904">
        <f>IF(H313&gt;8,tab!C$194,tab!C$197)</f>
        <v>0.5</v>
      </c>
      <c r="AF313" s="907">
        <f t="shared" si="155"/>
        <v>0</v>
      </c>
      <c r="AG313" s="887">
        <f t="shared" si="156"/>
        <v>0</v>
      </c>
      <c r="AH313" s="908" t="e">
        <f t="shared" si="157"/>
        <v>#VALUE!</v>
      </c>
      <c r="AI313" s="815" t="e">
        <f t="shared" si="158"/>
        <v>#VALUE!</v>
      </c>
      <c r="AJ313" s="540">
        <f t="shared" si="159"/>
        <v>30</v>
      </c>
      <c r="AK313" s="540">
        <f t="shared" si="160"/>
        <v>30</v>
      </c>
      <c r="AL313" s="909">
        <f t="shared" si="161"/>
        <v>0</v>
      </c>
      <c r="AN313" s="539">
        <f t="shared" si="162"/>
        <v>0</v>
      </c>
      <c r="AR313" s="941"/>
      <c r="AT313" s="317"/>
      <c r="AU313" s="317"/>
    </row>
    <row r="314" spans="3:47" ht="13.15" customHeight="1" x14ac:dyDescent="0.2">
      <c r="C314" s="381"/>
      <c r="D314" s="895" t="str">
        <f>IF(op!D202=0,"",op!D202)</f>
        <v/>
      </c>
      <c r="E314" s="895" t="str">
        <f>IF(op!E202=0,"",op!E202)</f>
        <v/>
      </c>
      <c r="F314" s="390" t="str">
        <f>IF(op!F202="","",op!F202+1)</f>
        <v/>
      </c>
      <c r="G314" s="896" t="str">
        <f>IF(op!G202=0,"",op!G202)</f>
        <v/>
      </c>
      <c r="H314" s="390" t="str">
        <f>IF(op!H202="","",op!H202)</f>
        <v/>
      </c>
      <c r="I314" s="897" t="str">
        <f t="shared" si="148"/>
        <v/>
      </c>
      <c r="J314" s="898" t="str">
        <f>IF(op!J202="","",op!J202)</f>
        <v/>
      </c>
      <c r="K314" s="334"/>
      <c r="L314" s="1140" t="str">
        <f>IF(op!L202="","",op!L202)</f>
        <v/>
      </c>
      <c r="M314" s="1140" t="str">
        <f>IF(op!M202="","",op!M202)</f>
        <v/>
      </c>
      <c r="N314" s="899" t="str">
        <f t="shared" si="163"/>
        <v/>
      </c>
      <c r="O314" s="900" t="str">
        <f t="shared" si="164"/>
        <v/>
      </c>
      <c r="P314" s="901" t="str">
        <f t="shared" si="165"/>
        <v/>
      </c>
      <c r="Q314" s="568" t="str">
        <f t="shared" si="149"/>
        <v/>
      </c>
      <c r="R314" s="902" t="str">
        <f t="shared" si="166"/>
        <v/>
      </c>
      <c r="S314" s="903">
        <f t="shared" si="150"/>
        <v>0</v>
      </c>
      <c r="T314" s="334"/>
      <c r="X314" s="887" t="str">
        <f t="shared" si="151"/>
        <v/>
      </c>
      <c r="Y314" s="904">
        <f t="shared" si="152"/>
        <v>0.6</v>
      </c>
      <c r="Z314" s="905" t="e">
        <f t="shared" si="167"/>
        <v>#VALUE!</v>
      </c>
      <c r="AA314" s="905" t="e">
        <f t="shared" si="168"/>
        <v>#VALUE!</v>
      </c>
      <c r="AB314" s="905" t="e">
        <f t="shared" si="169"/>
        <v>#VALUE!</v>
      </c>
      <c r="AC314" s="906" t="e">
        <f t="shared" si="153"/>
        <v>#VALUE!</v>
      </c>
      <c r="AD314" s="907">
        <f t="shared" si="154"/>
        <v>0</v>
      </c>
      <c r="AE314" s="904">
        <f>IF(H314&gt;8,tab!C$194,tab!C$197)</f>
        <v>0.5</v>
      </c>
      <c r="AF314" s="907">
        <f t="shared" si="155"/>
        <v>0</v>
      </c>
      <c r="AG314" s="887">
        <f t="shared" si="156"/>
        <v>0</v>
      </c>
      <c r="AH314" s="908" t="e">
        <f t="shared" si="157"/>
        <v>#VALUE!</v>
      </c>
      <c r="AI314" s="815" t="e">
        <f t="shared" si="158"/>
        <v>#VALUE!</v>
      </c>
      <c r="AJ314" s="540">
        <f t="shared" si="159"/>
        <v>30</v>
      </c>
      <c r="AK314" s="540">
        <f t="shared" si="160"/>
        <v>30</v>
      </c>
      <c r="AL314" s="909">
        <f t="shared" si="161"/>
        <v>0</v>
      </c>
      <c r="AN314" s="539">
        <f t="shared" si="162"/>
        <v>0</v>
      </c>
      <c r="AR314" s="941"/>
      <c r="AT314" s="317"/>
      <c r="AU314" s="317"/>
    </row>
    <row r="315" spans="3:47" ht="13.15" customHeight="1" x14ac:dyDescent="0.2">
      <c r="C315" s="381"/>
      <c r="D315" s="895" t="str">
        <f>IF(op!D203=0,"",op!D203)</f>
        <v/>
      </c>
      <c r="E315" s="895" t="str">
        <f>IF(op!E203=0,"",op!E203)</f>
        <v/>
      </c>
      <c r="F315" s="390" t="str">
        <f>IF(op!F203="","",op!F203+1)</f>
        <v/>
      </c>
      <c r="G315" s="896" t="str">
        <f>IF(op!G203=0,"",op!G203)</f>
        <v/>
      </c>
      <c r="H315" s="390" t="str">
        <f>IF(op!H203="","",op!H203)</f>
        <v/>
      </c>
      <c r="I315" s="897" t="str">
        <f t="shared" si="148"/>
        <v/>
      </c>
      <c r="J315" s="898" t="str">
        <f>IF(op!J203="","",op!J203)</f>
        <v/>
      </c>
      <c r="K315" s="334"/>
      <c r="L315" s="1140" t="str">
        <f>IF(op!L203="","",op!L203)</f>
        <v/>
      </c>
      <c r="M315" s="1140" t="str">
        <f>IF(op!M203="","",op!M203)</f>
        <v/>
      </c>
      <c r="N315" s="899" t="str">
        <f t="shared" si="163"/>
        <v/>
      </c>
      <c r="O315" s="900" t="str">
        <f t="shared" si="164"/>
        <v/>
      </c>
      <c r="P315" s="901" t="str">
        <f t="shared" si="165"/>
        <v/>
      </c>
      <c r="Q315" s="568" t="str">
        <f t="shared" si="149"/>
        <v/>
      </c>
      <c r="R315" s="902" t="str">
        <f t="shared" si="166"/>
        <v/>
      </c>
      <c r="S315" s="903">
        <f t="shared" si="150"/>
        <v>0</v>
      </c>
      <c r="T315" s="334"/>
      <c r="X315" s="887" t="str">
        <f t="shared" si="151"/>
        <v/>
      </c>
      <c r="Y315" s="904">
        <f t="shared" si="152"/>
        <v>0.6</v>
      </c>
      <c r="Z315" s="905" t="e">
        <f t="shared" si="167"/>
        <v>#VALUE!</v>
      </c>
      <c r="AA315" s="905" t="e">
        <f t="shared" si="168"/>
        <v>#VALUE!</v>
      </c>
      <c r="AB315" s="905" t="e">
        <f t="shared" si="169"/>
        <v>#VALUE!</v>
      </c>
      <c r="AC315" s="906" t="e">
        <f t="shared" si="153"/>
        <v>#VALUE!</v>
      </c>
      <c r="AD315" s="907">
        <f t="shared" si="154"/>
        <v>0</v>
      </c>
      <c r="AE315" s="904">
        <f>IF(H315&gt;8,tab!C$194,tab!C$197)</f>
        <v>0.5</v>
      </c>
      <c r="AF315" s="907">
        <f t="shared" si="155"/>
        <v>0</v>
      </c>
      <c r="AG315" s="887">
        <f t="shared" si="156"/>
        <v>0</v>
      </c>
      <c r="AH315" s="908" t="e">
        <f t="shared" si="157"/>
        <v>#VALUE!</v>
      </c>
      <c r="AI315" s="815" t="e">
        <f t="shared" si="158"/>
        <v>#VALUE!</v>
      </c>
      <c r="AJ315" s="540">
        <f t="shared" si="159"/>
        <v>30</v>
      </c>
      <c r="AK315" s="540">
        <f t="shared" si="160"/>
        <v>30</v>
      </c>
      <c r="AL315" s="909">
        <f t="shared" si="161"/>
        <v>0</v>
      </c>
      <c r="AN315" s="539">
        <f t="shared" si="162"/>
        <v>0</v>
      </c>
      <c r="AR315" s="941"/>
      <c r="AT315" s="317"/>
      <c r="AU315" s="317"/>
    </row>
    <row r="316" spans="3:47" ht="13.15" customHeight="1" x14ac:dyDescent="0.2">
      <c r="C316" s="381"/>
      <c r="D316" s="895" t="str">
        <f>IF(op!D204=0,"",op!D204)</f>
        <v/>
      </c>
      <c r="E316" s="895" t="str">
        <f>IF(op!E204=0,"",op!E204)</f>
        <v/>
      </c>
      <c r="F316" s="390" t="str">
        <f>IF(op!F204="","",op!F204+1)</f>
        <v/>
      </c>
      <c r="G316" s="896" t="str">
        <f>IF(op!G204=0,"",op!G204)</f>
        <v/>
      </c>
      <c r="H316" s="390" t="str">
        <f>IF(op!H204="","",op!H204)</f>
        <v/>
      </c>
      <c r="I316" s="897" t="str">
        <f t="shared" si="148"/>
        <v/>
      </c>
      <c r="J316" s="898" t="str">
        <f>IF(op!J204="","",op!J204)</f>
        <v/>
      </c>
      <c r="K316" s="334"/>
      <c r="L316" s="1140" t="str">
        <f>IF(op!L204="","",op!L204)</f>
        <v/>
      </c>
      <c r="M316" s="1140" t="str">
        <f>IF(op!M204="","",op!M204)</f>
        <v/>
      </c>
      <c r="N316" s="899" t="str">
        <f t="shared" si="163"/>
        <v/>
      </c>
      <c r="O316" s="900" t="str">
        <f t="shared" si="164"/>
        <v/>
      </c>
      <c r="P316" s="901" t="str">
        <f t="shared" si="165"/>
        <v/>
      </c>
      <c r="Q316" s="568" t="str">
        <f t="shared" si="149"/>
        <v/>
      </c>
      <c r="R316" s="902" t="str">
        <f t="shared" si="166"/>
        <v/>
      </c>
      <c r="S316" s="903">
        <f t="shared" si="150"/>
        <v>0</v>
      </c>
      <c r="T316" s="334"/>
      <c r="X316" s="887" t="str">
        <f t="shared" si="151"/>
        <v/>
      </c>
      <c r="Y316" s="904">
        <f t="shared" si="152"/>
        <v>0.6</v>
      </c>
      <c r="Z316" s="905" t="e">
        <f t="shared" si="167"/>
        <v>#VALUE!</v>
      </c>
      <c r="AA316" s="905" t="e">
        <f t="shared" si="168"/>
        <v>#VALUE!</v>
      </c>
      <c r="AB316" s="905" t="e">
        <f t="shared" si="169"/>
        <v>#VALUE!</v>
      </c>
      <c r="AC316" s="906" t="e">
        <f t="shared" si="153"/>
        <v>#VALUE!</v>
      </c>
      <c r="AD316" s="907">
        <f t="shared" si="154"/>
        <v>0</v>
      </c>
      <c r="AE316" s="904">
        <f>IF(H316&gt;8,tab!C$194,tab!C$197)</f>
        <v>0.5</v>
      </c>
      <c r="AF316" s="907">
        <f t="shared" si="155"/>
        <v>0</v>
      </c>
      <c r="AG316" s="887">
        <f t="shared" si="156"/>
        <v>0</v>
      </c>
      <c r="AH316" s="908" t="e">
        <f t="shared" si="157"/>
        <v>#VALUE!</v>
      </c>
      <c r="AI316" s="815" t="e">
        <f t="shared" si="158"/>
        <v>#VALUE!</v>
      </c>
      <c r="AJ316" s="540">
        <f t="shared" si="159"/>
        <v>30</v>
      </c>
      <c r="AK316" s="540">
        <f t="shared" si="160"/>
        <v>30</v>
      </c>
      <c r="AL316" s="909">
        <f t="shared" si="161"/>
        <v>0</v>
      </c>
      <c r="AN316" s="539">
        <f t="shared" si="162"/>
        <v>0</v>
      </c>
      <c r="AR316" s="941"/>
      <c r="AT316" s="317"/>
      <c r="AU316" s="317"/>
    </row>
    <row r="317" spans="3:47" ht="13.15" customHeight="1" x14ac:dyDescent="0.2">
      <c r="C317" s="381"/>
      <c r="D317" s="895" t="str">
        <f>IF(op!D205=0,"",op!D205)</f>
        <v/>
      </c>
      <c r="E317" s="895" t="str">
        <f>IF(op!E205=0,"",op!E205)</f>
        <v/>
      </c>
      <c r="F317" s="390" t="str">
        <f>IF(op!F205="","",op!F205+1)</f>
        <v/>
      </c>
      <c r="G317" s="896" t="str">
        <f>IF(op!G205=0,"",op!G205)</f>
        <v/>
      </c>
      <c r="H317" s="390" t="str">
        <f>IF(op!H205="","",op!H205)</f>
        <v/>
      </c>
      <c r="I317" s="897" t="str">
        <f t="shared" si="148"/>
        <v/>
      </c>
      <c r="J317" s="898" t="str">
        <f>IF(op!J205="","",op!J205)</f>
        <v/>
      </c>
      <c r="K317" s="334"/>
      <c r="L317" s="1140" t="str">
        <f>IF(op!L205="","",op!L205)</f>
        <v/>
      </c>
      <c r="M317" s="1140" t="str">
        <f>IF(op!M205="","",op!M205)</f>
        <v/>
      </c>
      <c r="N317" s="899" t="str">
        <f t="shared" si="163"/>
        <v/>
      </c>
      <c r="O317" s="900" t="str">
        <f t="shared" si="164"/>
        <v/>
      </c>
      <c r="P317" s="901" t="str">
        <f t="shared" si="165"/>
        <v/>
      </c>
      <c r="Q317" s="568" t="str">
        <f t="shared" si="149"/>
        <v/>
      </c>
      <c r="R317" s="902" t="str">
        <f t="shared" si="166"/>
        <v/>
      </c>
      <c r="S317" s="903">
        <f t="shared" si="150"/>
        <v>0</v>
      </c>
      <c r="T317" s="334"/>
      <c r="X317" s="887" t="str">
        <f t="shared" si="151"/>
        <v/>
      </c>
      <c r="Y317" s="904">
        <f t="shared" si="152"/>
        <v>0.6</v>
      </c>
      <c r="Z317" s="905" t="e">
        <f t="shared" si="167"/>
        <v>#VALUE!</v>
      </c>
      <c r="AA317" s="905" t="e">
        <f t="shared" si="168"/>
        <v>#VALUE!</v>
      </c>
      <c r="AB317" s="905" t="e">
        <f t="shared" si="169"/>
        <v>#VALUE!</v>
      </c>
      <c r="AC317" s="906" t="e">
        <f t="shared" si="153"/>
        <v>#VALUE!</v>
      </c>
      <c r="AD317" s="907">
        <f t="shared" si="154"/>
        <v>0</v>
      </c>
      <c r="AE317" s="904">
        <f>IF(H317&gt;8,tab!C$194,tab!C$197)</f>
        <v>0.5</v>
      </c>
      <c r="AF317" s="907">
        <f t="shared" si="155"/>
        <v>0</v>
      </c>
      <c r="AG317" s="887">
        <f t="shared" si="156"/>
        <v>0</v>
      </c>
      <c r="AH317" s="908" t="e">
        <f t="shared" si="157"/>
        <v>#VALUE!</v>
      </c>
      <c r="AI317" s="815" t="e">
        <f t="shared" si="158"/>
        <v>#VALUE!</v>
      </c>
      <c r="AJ317" s="540">
        <f t="shared" si="159"/>
        <v>30</v>
      </c>
      <c r="AK317" s="540">
        <f t="shared" si="160"/>
        <v>30</v>
      </c>
      <c r="AL317" s="909">
        <f t="shared" si="161"/>
        <v>0</v>
      </c>
      <c r="AN317" s="539">
        <f t="shared" si="162"/>
        <v>0</v>
      </c>
      <c r="AR317" s="941"/>
      <c r="AT317" s="317"/>
      <c r="AU317" s="317"/>
    </row>
    <row r="318" spans="3:47" ht="13.15" customHeight="1" x14ac:dyDescent="0.2">
      <c r="C318" s="381"/>
      <c r="D318" s="895" t="str">
        <f>IF(op!D206=0,"",op!D206)</f>
        <v/>
      </c>
      <c r="E318" s="895" t="str">
        <f>IF(op!E206=0,"",op!E206)</f>
        <v/>
      </c>
      <c r="F318" s="390" t="str">
        <f>IF(op!F206="","",op!F206+1)</f>
        <v/>
      </c>
      <c r="G318" s="896" t="str">
        <f>IF(op!G206=0,"",op!G206)</f>
        <v/>
      </c>
      <c r="H318" s="390" t="str">
        <f>IF(op!H206="","",op!H206)</f>
        <v/>
      </c>
      <c r="I318" s="897" t="str">
        <f t="shared" si="148"/>
        <v/>
      </c>
      <c r="J318" s="898" t="str">
        <f>IF(op!J206="","",op!J206)</f>
        <v/>
      </c>
      <c r="K318" s="334"/>
      <c r="L318" s="1140" t="str">
        <f>IF(op!L206="","",op!L206)</f>
        <v/>
      </c>
      <c r="M318" s="1140" t="str">
        <f>IF(op!M206="","",op!M206)</f>
        <v/>
      </c>
      <c r="N318" s="899" t="str">
        <f t="shared" si="163"/>
        <v/>
      </c>
      <c r="O318" s="900" t="str">
        <f t="shared" si="164"/>
        <v/>
      </c>
      <c r="P318" s="901" t="str">
        <f t="shared" si="165"/>
        <v/>
      </c>
      <c r="Q318" s="568" t="str">
        <f t="shared" si="149"/>
        <v/>
      </c>
      <c r="R318" s="902" t="str">
        <f t="shared" si="166"/>
        <v/>
      </c>
      <c r="S318" s="903">
        <f t="shared" si="150"/>
        <v>0</v>
      </c>
      <c r="T318" s="334"/>
      <c r="X318" s="887" t="str">
        <f t="shared" si="151"/>
        <v/>
      </c>
      <c r="Y318" s="904">
        <f t="shared" si="152"/>
        <v>0.6</v>
      </c>
      <c r="Z318" s="905" t="e">
        <f t="shared" si="167"/>
        <v>#VALUE!</v>
      </c>
      <c r="AA318" s="905" t="e">
        <f t="shared" si="168"/>
        <v>#VALUE!</v>
      </c>
      <c r="AB318" s="905" t="e">
        <f t="shared" si="169"/>
        <v>#VALUE!</v>
      </c>
      <c r="AC318" s="906" t="e">
        <f t="shared" si="153"/>
        <v>#VALUE!</v>
      </c>
      <c r="AD318" s="907">
        <f t="shared" si="154"/>
        <v>0</v>
      </c>
      <c r="AE318" s="904">
        <f>IF(H318&gt;8,tab!C$194,tab!C$197)</f>
        <v>0.5</v>
      </c>
      <c r="AF318" s="907">
        <f t="shared" si="155"/>
        <v>0</v>
      </c>
      <c r="AG318" s="887">
        <f t="shared" si="156"/>
        <v>0</v>
      </c>
      <c r="AH318" s="908" t="e">
        <f t="shared" si="157"/>
        <v>#VALUE!</v>
      </c>
      <c r="AI318" s="815" t="e">
        <f t="shared" si="158"/>
        <v>#VALUE!</v>
      </c>
      <c r="AJ318" s="540">
        <f t="shared" si="159"/>
        <v>30</v>
      </c>
      <c r="AK318" s="540">
        <f t="shared" si="160"/>
        <v>30</v>
      </c>
      <c r="AL318" s="909">
        <f t="shared" si="161"/>
        <v>0</v>
      </c>
      <c r="AN318" s="539">
        <f t="shared" si="162"/>
        <v>0</v>
      </c>
      <c r="AR318" s="941"/>
      <c r="AT318" s="317"/>
      <c r="AU318" s="317"/>
    </row>
    <row r="319" spans="3:47" ht="13.15" customHeight="1" x14ac:dyDescent="0.2">
      <c r="C319" s="381"/>
      <c r="D319" s="895" t="str">
        <f>IF(op!D207=0,"",op!D207)</f>
        <v/>
      </c>
      <c r="E319" s="895" t="str">
        <f>IF(op!E207=0,"",op!E207)</f>
        <v/>
      </c>
      <c r="F319" s="390" t="str">
        <f>IF(op!F207="","",op!F207+1)</f>
        <v/>
      </c>
      <c r="G319" s="896" t="str">
        <f>IF(op!G207=0,"",op!G207)</f>
        <v/>
      </c>
      <c r="H319" s="390" t="str">
        <f>IF(op!H207="","",op!H207)</f>
        <v/>
      </c>
      <c r="I319" s="897" t="str">
        <f t="shared" si="148"/>
        <v/>
      </c>
      <c r="J319" s="898" t="str">
        <f>IF(op!J207="","",op!J207)</f>
        <v/>
      </c>
      <c r="K319" s="334"/>
      <c r="L319" s="1140" t="str">
        <f>IF(op!L207="","",op!L207)</f>
        <v/>
      </c>
      <c r="M319" s="1140" t="str">
        <f>IF(op!M207="","",op!M207)</f>
        <v/>
      </c>
      <c r="N319" s="899" t="str">
        <f t="shared" si="163"/>
        <v/>
      </c>
      <c r="O319" s="900" t="str">
        <f t="shared" si="164"/>
        <v/>
      </c>
      <c r="P319" s="901" t="str">
        <f t="shared" si="165"/>
        <v/>
      </c>
      <c r="Q319" s="568" t="str">
        <f t="shared" si="149"/>
        <v/>
      </c>
      <c r="R319" s="902" t="str">
        <f t="shared" si="166"/>
        <v/>
      </c>
      <c r="S319" s="903">
        <f t="shared" si="150"/>
        <v>0</v>
      </c>
      <c r="T319" s="334"/>
      <c r="X319" s="887" t="str">
        <f t="shared" si="151"/>
        <v/>
      </c>
      <c r="Y319" s="904">
        <f t="shared" si="152"/>
        <v>0.6</v>
      </c>
      <c r="Z319" s="905" t="e">
        <f t="shared" si="167"/>
        <v>#VALUE!</v>
      </c>
      <c r="AA319" s="905" t="e">
        <f t="shared" si="168"/>
        <v>#VALUE!</v>
      </c>
      <c r="AB319" s="905" t="e">
        <f t="shared" si="169"/>
        <v>#VALUE!</v>
      </c>
      <c r="AC319" s="906" t="e">
        <f t="shared" si="153"/>
        <v>#VALUE!</v>
      </c>
      <c r="AD319" s="907">
        <f t="shared" si="154"/>
        <v>0</v>
      </c>
      <c r="AE319" s="904">
        <f>IF(H319&gt;8,tab!C$194,tab!C$197)</f>
        <v>0.5</v>
      </c>
      <c r="AF319" s="907">
        <f t="shared" si="155"/>
        <v>0</v>
      </c>
      <c r="AG319" s="887">
        <f t="shared" si="156"/>
        <v>0</v>
      </c>
      <c r="AH319" s="908" t="e">
        <f t="shared" si="157"/>
        <v>#VALUE!</v>
      </c>
      <c r="AI319" s="815" t="e">
        <f t="shared" si="158"/>
        <v>#VALUE!</v>
      </c>
      <c r="AJ319" s="540">
        <f t="shared" si="159"/>
        <v>30</v>
      </c>
      <c r="AK319" s="540">
        <f t="shared" si="160"/>
        <v>30</v>
      </c>
      <c r="AL319" s="909">
        <f t="shared" si="161"/>
        <v>0</v>
      </c>
      <c r="AN319" s="539">
        <f t="shared" si="162"/>
        <v>0</v>
      </c>
      <c r="AR319" s="941"/>
      <c r="AT319" s="317"/>
      <c r="AU319" s="317"/>
    </row>
    <row r="320" spans="3:47" ht="13.15" customHeight="1" x14ac:dyDescent="0.2">
      <c r="C320" s="381"/>
      <c r="D320" s="895" t="str">
        <f>IF(op!D208=0,"",op!D208)</f>
        <v/>
      </c>
      <c r="E320" s="895" t="str">
        <f>IF(op!E208=0,"",op!E208)</f>
        <v/>
      </c>
      <c r="F320" s="390" t="str">
        <f>IF(op!F208="","",op!F208+1)</f>
        <v/>
      </c>
      <c r="G320" s="896" t="str">
        <f>IF(op!G208=0,"",op!G208)</f>
        <v/>
      </c>
      <c r="H320" s="390" t="str">
        <f>IF(op!H208="","",op!H208)</f>
        <v/>
      </c>
      <c r="I320" s="897" t="str">
        <f t="shared" si="148"/>
        <v/>
      </c>
      <c r="J320" s="898" t="str">
        <f>IF(op!J208="","",op!J208)</f>
        <v/>
      </c>
      <c r="K320" s="334"/>
      <c r="L320" s="1140" t="str">
        <f>IF(op!L208="","",op!L208)</f>
        <v/>
      </c>
      <c r="M320" s="1140" t="str">
        <f>IF(op!M208="","",op!M208)</f>
        <v/>
      </c>
      <c r="N320" s="899" t="str">
        <f t="shared" si="163"/>
        <v/>
      </c>
      <c r="O320" s="900" t="str">
        <f t="shared" si="164"/>
        <v/>
      </c>
      <c r="P320" s="901" t="str">
        <f t="shared" si="165"/>
        <v/>
      </c>
      <c r="Q320" s="568" t="str">
        <f t="shared" si="149"/>
        <v/>
      </c>
      <c r="R320" s="902" t="str">
        <f t="shared" si="166"/>
        <v/>
      </c>
      <c r="S320" s="903">
        <f t="shared" si="150"/>
        <v>0</v>
      </c>
      <c r="T320" s="334"/>
      <c r="X320" s="887" t="str">
        <f t="shared" si="151"/>
        <v/>
      </c>
      <c r="Y320" s="904">
        <f t="shared" si="152"/>
        <v>0.6</v>
      </c>
      <c r="Z320" s="905" t="e">
        <f t="shared" si="167"/>
        <v>#VALUE!</v>
      </c>
      <c r="AA320" s="905" t="e">
        <f t="shared" si="168"/>
        <v>#VALUE!</v>
      </c>
      <c r="AB320" s="905" t="e">
        <f t="shared" si="169"/>
        <v>#VALUE!</v>
      </c>
      <c r="AC320" s="906" t="e">
        <f t="shared" si="153"/>
        <v>#VALUE!</v>
      </c>
      <c r="AD320" s="907">
        <f t="shared" si="154"/>
        <v>0</v>
      </c>
      <c r="AE320" s="904">
        <f>IF(H320&gt;8,tab!C$194,tab!C$197)</f>
        <v>0.5</v>
      </c>
      <c r="AF320" s="907">
        <f t="shared" si="155"/>
        <v>0</v>
      </c>
      <c r="AG320" s="887">
        <f t="shared" si="156"/>
        <v>0</v>
      </c>
      <c r="AH320" s="908" t="e">
        <f t="shared" si="157"/>
        <v>#VALUE!</v>
      </c>
      <c r="AI320" s="815" t="e">
        <f t="shared" si="158"/>
        <v>#VALUE!</v>
      </c>
      <c r="AJ320" s="540">
        <f t="shared" si="159"/>
        <v>30</v>
      </c>
      <c r="AK320" s="540">
        <f t="shared" si="160"/>
        <v>30</v>
      </c>
      <c r="AL320" s="909">
        <f t="shared" si="161"/>
        <v>0</v>
      </c>
      <c r="AN320" s="539">
        <f t="shared" si="162"/>
        <v>0</v>
      </c>
      <c r="AR320" s="941"/>
      <c r="AT320" s="317"/>
      <c r="AU320" s="317"/>
    </row>
    <row r="321" spans="3:47" ht="13.15" customHeight="1" x14ac:dyDescent="0.2">
      <c r="C321" s="381"/>
      <c r="D321" s="895" t="str">
        <f>IF(op!D209=0,"",op!D209)</f>
        <v/>
      </c>
      <c r="E321" s="895" t="str">
        <f>IF(op!E209=0,"",op!E209)</f>
        <v/>
      </c>
      <c r="F321" s="390" t="str">
        <f>IF(op!F209="","",op!F209+1)</f>
        <v/>
      </c>
      <c r="G321" s="896" t="str">
        <f>IF(op!G209=0,"",op!G209)</f>
        <v/>
      </c>
      <c r="H321" s="390" t="str">
        <f>IF(op!H209="","",op!H209)</f>
        <v/>
      </c>
      <c r="I321" s="897" t="str">
        <f t="shared" si="148"/>
        <v/>
      </c>
      <c r="J321" s="898" t="str">
        <f>IF(op!J209="","",op!J209)</f>
        <v/>
      </c>
      <c r="K321" s="334"/>
      <c r="L321" s="1140" t="str">
        <f>IF(op!L209="","",op!L209)</f>
        <v/>
      </c>
      <c r="M321" s="1140" t="str">
        <f>IF(op!M209="","",op!M209)</f>
        <v/>
      </c>
      <c r="N321" s="899" t="str">
        <f t="shared" si="163"/>
        <v/>
      </c>
      <c r="O321" s="900" t="str">
        <f t="shared" si="164"/>
        <v/>
      </c>
      <c r="P321" s="901" t="str">
        <f t="shared" si="165"/>
        <v/>
      </c>
      <c r="Q321" s="568" t="str">
        <f t="shared" si="149"/>
        <v/>
      </c>
      <c r="R321" s="902" t="str">
        <f t="shared" si="166"/>
        <v/>
      </c>
      <c r="S321" s="903">
        <f t="shared" si="150"/>
        <v>0</v>
      </c>
      <c r="T321" s="334"/>
      <c r="X321" s="887" t="str">
        <f t="shared" si="151"/>
        <v/>
      </c>
      <c r="Y321" s="904">
        <f t="shared" si="152"/>
        <v>0.6</v>
      </c>
      <c r="Z321" s="905" t="e">
        <f t="shared" si="167"/>
        <v>#VALUE!</v>
      </c>
      <c r="AA321" s="905" t="e">
        <f t="shared" si="168"/>
        <v>#VALUE!</v>
      </c>
      <c r="AB321" s="905" t="e">
        <f t="shared" si="169"/>
        <v>#VALUE!</v>
      </c>
      <c r="AC321" s="906" t="e">
        <f t="shared" si="153"/>
        <v>#VALUE!</v>
      </c>
      <c r="AD321" s="907">
        <f t="shared" si="154"/>
        <v>0</v>
      </c>
      <c r="AE321" s="904">
        <f>IF(H321&gt;8,tab!C$194,tab!C$197)</f>
        <v>0.5</v>
      </c>
      <c r="AF321" s="907">
        <f t="shared" si="155"/>
        <v>0</v>
      </c>
      <c r="AG321" s="887">
        <f t="shared" si="156"/>
        <v>0</v>
      </c>
      <c r="AH321" s="908" t="e">
        <f t="shared" si="157"/>
        <v>#VALUE!</v>
      </c>
      <c r="AI321" s="815" t="e">
        <f t="shared" si="158"/>
        <v>#VALUE!</v>
      </c>
      <c r="AJ321" s="540">
        <f t="shared" si="159"/>
        <v>30</v>
      </c>
      <c r="AK321" s="540">
        <f t="shared" si="160"/>
        <v>30</v>
      </c>
      <c r="AL321" s="909">
        <f t="shared" si="161"/>
        <v>0</v>
      </c>
      <c r="AN321" s="539">
        <f t="shared" si="162"/>
        <v>0</v>
      </c>
      <c r="AR321" s="941"/>
      <c r="AT321" s="317"/>
      <c r="AU321" s="317"/>
    </row>
    <row r="322" spans="3:47" ht="13.15" customHeight="1" x14ac:dyDescent="0.2">
      <c r="C322" s="381"/>
      <c r="D322" s="895" t="str">
        <f>IF(op!D210=0,"",op!D210)</f>
        <v/>
      </c>
      <c r="E322" s="895" t="str">
        <f>IF(op!E210=0,"",op!E210)</f>
        <v/>
      </c>
      <c r="F322" s="390" t="str">
        <f>IF(op!F210="","",op!F210+1)</f>
        <v/>
      </c>
      <c r="G322" s="896" t="str">
        <f>IF(op!G210=0,"",op!G210)</f>
        <v/>
      </c>
      <c r="H322" s="390" t="str">
        <f>IF(op!H210="","",op!H210)</f>
        <v/>
      </c>
      <c r="I322" s="897" t="str">
        <f t="shared" si="148"/>
        <v/>
      </c>
      <c r="J322" s="898" t="str">
        <f>IF(op!J210="","",op!J210)</f>
        <v/>
      </c>
      <c r="K322" s="334"/>
      <c r="L322" s="1140" t="str">
        <f>IF(op!L210="","",op!L210)</f>
        <v/>
      </c>
      <c r="M322" s="1140" t="str">
        <f>IF(op!M210="","",op!M210)</f>
        <v/>
      </c>
      <c r="N322" s="899" t="str">
        <f t="shared" si="163"/>
        <v/>
      </c>
      <c r="O322" s="900" t="str">
        <f t="shared" si="164"/>
        <v/>
      </c>
      <c r="P322" s="901" t="str">
        <f t="shared" si="165"/>
        <v/>
      </c>
      <c r="Q322" s="568" t="str">
        <f t="shared" si="149"/>
        <v/>
      </c>
      <c r="R322" s="902" t="str">
        <f t="shared" si="166"/>
        <v/>
      </c>
      <c r="S322" s="903">
        <f t="shared" si="150"/>
        <v>0</v>
      </c>
      <c r="T322" s="334"/>
      <c r="X322" s="887" t="str">
        <f t="shared" si="151"/>
        <v/>
      </c>
      <c r="Y322" s="904">
        <f t="shared" si="152"/>
        <v>0.6</v>
      </c>
      <c r="Z322" s="905" t="e">
        <f t="shared" si="167"/>
        <v>#VALUE!</v>
      </c>
      <c r="AA322" s="905" t="e">
        <f t="shared" si="168"/>
        <v>#VALUE!</v>
      </c>
      <c r="AB322" s="905" t="e">
        <f t="shared" si="169"/>
        <v>#VALUE!</v>
      </c>
      <c r="AC322" s="906" t="e">
        <f t="shared" si="153"/>
        <v>#VALUE!</v>
      </c>
      <c r="AD322" s="907">
        <f t="shared" si="154"/>
        <v>0</v>
      </c>
      <c r="AE322" s="904">
        <f>IF(H322&gt;8,tab!C$194,tab!C$197)</f>
        <v>0.5</v>
      </c>
      <c r="AF322" s="907">
        <f t="shared" si="155"/>
        <v>0</v>
      </c>
      <c r="AG322" s="887">
        <f t="shared" si="156"/>
        <v>0</v>
      </c>
      <c r="AH322" s="908" t="e">
        <f t="shared" si="157"/>
        <v>#VALUE!</v>
      </c>
      <c r="AI322" s="815" t="e">
        <f t="shared" si="158"/>
        <v>#VALUE!</v>
      </c>
      <c r="AJ322" s="540">
        <f t="shared" si="159"/>
        <v>30</v>
      </c>
      <c r="AK322" s="540">
        <f t="shared" si="160"/>
        <v>30</v>
      </c>
      <c r="AL322" s="909">
        <f t="shared" si="161"/>
        <v>0</v>
      </c>
      <c r="AN322" s="539">
        <f t="shared" si="162"/>
        <v>0</v>
      </c>
      <c r="AR322" s="941"/>
      <c r="AT322" s="317"/>
      <c r="AU322" s="317"/>
    </row>
    <row r="323" spans="3:47" ht="13.15" customHeight="1" x14ac:dyDescent="0.2">
      <c r="C323" s="381"/>
      <c r="D323" s="895" t="str">
        <f>IF(op!D211=0,"",op!D211)</f>
        <v/>
      </c>
      <c r="E323" s="895" t="str">
        <f>IF(op!E211=0,"",op!E211)</f>
        <v/>
      </c>
      <c r="F323" s="390" t="str">
        <f>IF(op!F211="","",op!F211+1)</f>
        <v/>
      </c>
      <c r="G323" s="896" t="str">
        <f>IF(op!G211=0,"",op!G211)</f>
        <v/>
      </c>
      <c r="H323" s="390" t="str">
        <f>IF(op!H211="","",op!H211)</f>
        <v/>
      </c>
      <c r="I323" s="897" t="str">
        <f t="shared" si="148"/>
        <v/>
      </c>
      <c r="J323" s="898" t="str">
        <f>IF(op!J211="","",op!J211)</f>
        <v/>
      </c>
      <c r="K323" s="334"/>
      <c r="L323" s="1140" t="str">
        <f>IF(op!L211="","",op!L211)</f>
        <v/>
      </c>
      <c r="M323" s="1140" t="str">
        <f>IF(op!M211="","",op!M211)</f>
        <v/>
      </c>
      <c r="N323" s="899" t="str">
        <f t="shared" si="163"/>
        <v/>
      </c>
      <c r="O323" s="900" t="str">
        <f t="shared" si="164"/>
        <v/>
      </c>
      <c r="P323" s="901" t="str">
        <f t="shared" si="165"/>
        <v/>
      </c>
      <c r="Q323" s="568" t="str">
        <f t="shared" si="149"/>
        <v/>
      </c>
      <c r="R323" s="902" t="str">
        <f t="shared" si="166"/>
        <v/>
      </c>
      <c r="S323" s="903">
        <f t="shared" si="150"/>
        <v>0</v>
      </c>
      <c r="T323" s="334"/>
      <c r="X323" s="887" t="str">
        <f t="shared" si="151"/>
        <v/>
      </c>
      <c r="Y323" s="904">
        <f t="shared" si="152"/>
        <v>0.6</v>
      </c>
      <c r="Z323" s="905" t="e">
        <f t="shared" si="167"/>
        <v>#VALUE!</v>
      </c>
      <c r="AA323" s="905" t="e">
        <f t="shared" si="168"/>
        <v>#VALUE!</v>
      </c>
      <c r="AB323" s="905" t="e">
        <f t="shared" si="169"/>
        <v>#VALUE!</v>
      </c>
      <c r="AC323" s="906" t="e">
        <f t="shared" si="153"/>
        <v>#VALUE!</v>
      </c>
      <c r="AD323" s="907">
        <f t="shared" si="154"/>
        <v>0</v>
      </c>
      <c r="AE323" s="904">
        <f>IF(H323&gt;8,tab!C$194,tab!C$197)</f>
        <v>0.5</v>
      </c>
      <c r="AF323" s="907">
        <f t="shared" si="155"/>
        <v>0</v>
      </c>
      <c r="AG323" s="887">
        <f t="shared" si="156"/>
        <v>0</v>
      </c>
      <c r="AH323" s="908" t="e">
        <f t="shared" si="157"/>
        <v>#VALUE!</v>
      </c>
      <c r="AI323" s="815" t="e">
        <f t="shared" si="158"/>
        <v>#VALUE!</v>
      </c>
      <c r="AJ323" s="540">
        <f t="shared" si="159"/>
        <v>30</v>
      </c>
      <c r="AK323" s="540">
        <f t="shared" si="160"/>
        <v>30</v>
      </c>
      <c r="AL323" s="909">
        <f t="shared" si="161"/>
        <v>0</v>
      </c>
      <c r="AN323" s="539">
        <f t="shared" si="162"/>
        <v>0</v>
      </c>
      <c r="AR323" s="941"/>
      <c r="AT323" s="317"/>
      <c r="AU323" s="317"/>
    </row>
    <row r="324" spans="3:47" ht="13.15" customHeight="1" x14ac:dyDescent="0.2">
      <c r="C324" s="381"/>
      <c r="D324" s="895" t="str">
        <f>IF(op!D212=0,"",op!D212)</f>
        <v/>
      </c>
      <c r="E324" s="895" t="str">
        <f>IF(op!E212=0,"",op!E212)</f>
        <v/>
      </c>
      <c r="F324" s="390" t="str">
        <f>IF(op!F212="","",op!F212+1)</f>
        <v/>
      </c>
      <c r="G324" s="896" t="str">
        <f>IF(op!G212=0,"",op!G212)</f>
        <v/>
      </c>
      <c r="H324" s="390" t="str">
        <f>IF(op!H212="","",op!H212)</f>
        <v/>
      </c>
      <c r="I324" s="897" t="str">
        <f t="shared" si="148"/>
        <v/>
      </c>
      <c r="J324" s="898" t="str">
        <f>IF(op!J212="","",op!J212)</f>
        <v/>
      </c>
      <c r="K324" s="334"/>
      <c r="L324" s="1140" t="str">
        <f>IF(op!L212="","",op!L212)</f>
        <v/>
      </c>
      <c r="M324" s="1140" t="str">
        <f>IF(op!M212="","",op!M212)</f>
        <v/>
      </c>
      <c r="N324" s="899" t="str">
        <f t="shared" si="163"/>
        <v/>
      </c>
      <c r="O324" s="900" t="str">
        <f t="shared" si="164"/>
        <v/>
      </c>
      <c r="P324" s="901" t="str">
        <f t="shared" si="165"/>
        <v/>
      </c>
      <c r="Q324" s="568" t="str">
        <f t="shared" si="149"/>
        <v/>
      </c>
      <c r="R324" s="902" t="str">
        <f t="shared" si="166"/>
        <v/>
      </c>
      <c r="S324" s="903">
        <f t="shared" si="150"/>
        <v>0</v>
      </c>
      <c r="T324" s="334"/>
      <c r="X324" s="887" t="str">
        <f t="shared" si="151"/>
        <v/>
      </c>
      <c r="Y324" s="904">
        <f t="shared" si="152"/>
        <v>0.6</v>
      </c>
      <c r="Z324" s="905" t="e">
        <f t="shared" si="167"/>
        <v>#VALUE!</v>
      </c>
      <c r="AA324" s="905" t="e">
        <f t="shared" si="168"/>
        <v>#VALUE!</v>
      </c>
      <c r="AB324" s="905" t="e">
        <f t="shared" si="169"/>
        <v>#VALUE!</v>
      </c>
      <c r="AC324" s="906" t="e">
        <f t="shared" si="153"/>
        <v>#VALUE!</v>
      </c>
      <c r="AD324" s="907">
        <f t="shared" si="154"/>
        <v>0</v>
      </c>
      <c r="AE324" s="904">
        <f>IF(H324&gt;8,tab!C$194,tab!C$197)</f>
        <v>0.5</v>
      </c>
      <c r="AF324" s="907">
        <f t="shared" si="155"/>
        <v>0</v>
      </c>
      <c r="AG324" s="887">
        <f t="shared" si="156"/>
        <v>0</v>
      </c>
      <c r="AH324" s="908" t="e">
        <f t="shared" si="157"/>
        <v>#VALUE!</v>
      </c>
      <c r="AI324" s="815" t="e">
        <f t="shared" si="158"/>
        <v>#VALUE!</v>
      </c>
      <c r="AJ324" s="540">
        <f t="shared" si="159"/>
        <v>30</v>
      </c>
      <c r="AK324" s="540">
        <f t="shared" si="160"/>
        <v>30</v>
      </c>
      <c r="AL324" s="909">
        <f t="shared" si="161"/>
        <v>0</v>
      </c>
      <c r="AN324" s="539">
        <f t="shared" si="162"/>
        <v>0</v>
      </c>
      <c r="AR324" s="941"/>
      <c r="AT324" s="317"/>
      <c r="AU324" s="317"/>
    </row>
    <row r="325" spans="3:47" ht="13.15" customHeight="1" x14ac:dyDescent="0.2">
      <c r="C325" s="381"/>
      <c r="D325" s="895" t="str">
        <f>IF(op!D213=0,"",op!D213)</f>
        <v/>
      </c>
      <c r="E325" s="895" t="str">
        <f>IF(op!E213=0,"",op!E213)</f>
        <v/>
      </c>
      <c r="F325" s="390" t="str">
        <f>IF(op!F213="","",op!F213+1)</f>
        <v/>
      </c>
      <c r="G325" s="896" t="str">
        <f>IF(op!G213=0,"",op!G213)</f>
        <v/>
      </c>
      <c r="H325" s="390" t="str">
        <f>IF(op!H213="","",op!H213)</f>
        <v/>
      </c>
      <c r="I325" s="897" t="str">
        <f t="shared" si="148"/>
        <v/>
      </c>
      <c r="J325" s="898" t="str">
        <f>IF(op!J213="","",op!J213)</f>
        <v/>
      </c>
      <c r="K325" s="334"/>
      <c r="L325" s="1140" t="str">
        <f>IF(op!L213="","",op!L213)</f>
        <v/>
      </c>
      <c r="M325" s="1140" t="str">
        <f>IF(op!M213="","",op!M213)</f>
        <v/>
      </c>
      <c r="N325" s="899" t="str">
        <f t="shared" si="163"/>
        <v/>
      </c>
      <c r="O325" s="900" t="str">
        <f t="shared" si="164"/>
        <v/>
      </c>
      <c r="P325" s="901" t="str">
        <f t="shared" si="165"/>
        <v/>
      </c>
      <c r="Q325" s="568" t="str">
        <f t="shared" si="149"/>
        <v/>
      </c>
      <c r="R325" s="902" t="str">
        <f t="shared" si="166"/>
        <v/>
      </c>
      <c r="S325" s="903">
        <f t="shared" si="150"/>
        <v>0</v>
      </c>
      <c r="T325" s="334"/>
      <c r="X325" s="887" t="str">
        <f t="shared" si="151"/>
        <v/>
      </c>
      <c r="Y325" s="904">
        <f t="shared" si="152"/>
        <v>0.6</v>
      </c>
      <c r="Z325" s="905" t="e">
        <f t="shared" si="167"/>
        <v>#VALUE!</v>
      </c>
      <c r="AA325" s="905" t="e">
        <f t="shared" si="168"/>
        <v>#VALUE!</v>
      </c>
      <c r="AB325" s="905" t="e">
        <f t="shared" si="169"/>
        <v>#VALUE!</v>
      </c>
      <c r="AC325" s="906" t="e">
        <f t="shared" si="153"/>
        <v>#VALUE!</v>
      </c>
      <c r="AD325" s="907">
        <f t="shared" si="154"/>
        <v>0</v>
      </c>
      <c r="AE325" s="904">
        <f>IF(H325&gt;8,tab!C$194,tab!C$197)</f>
        <v>0.5</v>
      </c>
      <c r="AF325" s="907">
        <f t="shared" si="155"/>
        <v>0</v>
      </c>
      <c r="AG325" s="887">
        <f t="shared" si="156"/>
        <v>0</v>
      </c>
      <c r="AH325" s="908" t="e">
        <f t="shared" si="157"/>
        <v>#VALUE!</v>
      </c>
      <c r="AI325" s="815" t="e">
        <f t="shared" si="158"/>
        <v>#VALUE!</v>
      </c>
      <c r="AJ325" s="540">
        <f t="shared" si="159"/>
        <v>30</v>
      </c>
      <c r="AK325" s="540">
        <f t="shared" si="160"/>
        <v>30</v>
      </c>
      <c r="AL325" s="909">
        <f t="shared" si="161"/>
        <v>0</v>
      </c>
      <c r="AN325" s="539">
        <f t="shared" si="162"/>
        <v>0</v>
      </c>
      <c r="AR325" s="941"/>
      <c r="AT325" s="317"/>
      <c r="AU325" s="317"/>
    </row>
    <row r="326" spans="3:47" ht="13.15" customHeight="1" x14ac:dyDescent="0.2">
      <c r="C326" s="381"/>
      <c r="D326" s="895" t="str">
        <f>IF(op!D214=0,"",op!D214)</f>
        <v/>
      </c>
      <c r="E326" s="895" t="str">
        <f>IF(op!E214=0,"",op!E214)</f>
        <v/>
      </c>
      <c r="F326" s="390" t="str">
        <f>IF(op!F214="","",op!F214+1)</f>
        <v/>
      </c>
      <c r="G326" s="896" t="str">
        <f>IF(op!G214=0,"",op!G214)</f>
        <v/>
      </c>
      <c r="H326" s="390" t="str">
        <f>IF(op!H214="","",op!H214)</f>
        <v/>
      </c>
      <c r="I326" s="897" t="str">
        <f t="shared" si="148"/>
        <v/>
      </c>
      <c r="J326" s="898" t="str">
        <f>IF(op!J214="","",op!J214)</f>
        <v/>
      </c>
      <c r="K326" s="334"/>
      <c r="L326" s="1140" t="str">
        <f>IF(op!L214="","",op!L214)</f>
        <v/>
      </c>
      <c r="M326" s="1140" t="str">
        <f>IF(op!M214="","",op!M214)</f>
        <v/>
      </c>
      <c r="N326" s="899" t="str">
        <f t="shared" si="163"/>
        <v/>
      </c>
      <c r="O326" s="900" t="str">
        <f t="shared" si="164"/>
        <v/>
      </c>
      <c r="P326" s="901" t="str">
        <f t="shared" si="165"/>
        <v/>
      </c>
      <c r="Q326" s="568" t="str">
        <f t="shared" si="149"/>
        <v/>
      </c>
      <c r="R326" s="902" t="str">
        <f t="shared" si="166"/>
        <v/>
      </c>
      <c r="S326" s="903">
        <f t="shared" si="150"/>
        <v>0</v>
      </c>
      <c r="T326" s="334"/>
      <c r="X326" s="887" t="str">
        <f t="shared" si="151"/>
        <v/>
      </c>
      <c r="Y326" s="904">
        <f t="shared" si="152"/>
        <v>0.6</v>
      </c>
      <c r="Z326" s="905" t="e">
        <f t="shared" si="167"/>
        <v>#VALUE!</v>
      </c>
      <c r="AA326" s="905" t="e">
        <f t="shared" si="168"/>
        <v>#VALUE!</v>
      </c>
      <c r="AB326" s="905" t="e">
        <f t="shared" si="169"/>
        <v>#VALUE!</v>
      </c>
      <c r="AC326" s="906" t="e">
        <f t="shared" si="153"/>
        <v>#VALUE!</v>
      </c>
      <c r="AD326" s="907">
        <f t="shared" si="154"/>
        <v>0</v>
      </c>
      <c r="AE326" s="904">
        <f>IF(H326&gt;8,tab!C$194,tab!C$197)</f>
        <v>0.5</v>
      </c>
      <c r="AF326" s="907">
        <f t="shared" si="155"/>
        <v>0</v>
      </c>
      <c r="AG326" s="887">
        <f t="shared" si="156"/>
        <v>0</v>
      </c>
      <c r="AH326" s="908" t="e">
        <f t="shared" si="157"/>
        <v>#VALUE!</v>
      </c>
      <c r="AI326" s="815" t="e">
        <f t="shared" si="158"/>
        <v>#VALUE!</v>
      </c>
      <c r="AJ326" s="540">
        <f t="shared" si="159"/>
        <v>30</v>
      </c>
      <c r="AK326" s="540">
        <f t="shared" si="160"/>
        <v>30</v>
      </c>
      <c r="AL326" s="909">
        <f t="shared" si="161"/>
        <v>0</v>
      </c>
      <c r="AN326" s="539">
        <f t="shared" si="162"/>
        <v>0</v>
      </c>
      <c r="AR326" s="941"/>
      <c r="AT326" s="317"/>
      <c r="AU326" s="317"/>
    </row>
    <row r="327" spans="3:47" ht="13.15" customHeight="1" x14ac:dyDescent="0.2">
      <c r="C327" s="381"/>
      <c r="D327" s="895" t="str">
        <f>IF(op!D215=0,"",op!D215)</f>
        <v/>
      </c>
      <c r="E327" s="895" t="str">
        <f>IF(op!E215=0,"",op!E215)</f>
        <v/>
      </c>
      <c r="F327" s="390" t="str">
        <f>IF(op!F215="","",op!F215+1)</f>
        <v/>
      </c>
      <c r="G327" s="896" t="str">
        <f>IF(op!G215=0,"",op!G215)</f>
        <v/>
      </c>
      <c r="H327" s="390" t="str">
        <f>IF(op!H215="","",op!H215)</f>
        <v/>
      </c>
      <c r="I327" s="897" t="str">
        <f t="shared" si="148"/>
        <v/>
      </c>
      <c r="J327" s="898" t="str">
        <f>IF(op!J215="","",op!J215)</f>
        <v/>
      </c>
      <c r="K327" s="334"/>
      <c r="L327" s="1140" t="str">
        <f>IF(op!L215="","",op!L215)</f>
        <v/>
      </c>
      <c r="M327" s="1140" t="str">
        <f>IF(op!M215="","",op!M215)</f>
        <v/>
      </c>
      <c r="N327" s="899" t="str">
        <f t="shared" si="163"/>
        <v/>
      </c>
      <c r="O327" s="900" t="str">
        <f t="shared" si="164"/>
        <v/>
      </c>
      <c r="P327" s="901" t="str">
        <f t="shared" si="165"/>
        <v/>
      </c>
      <c r="Q327" s="568" t="str">
        <f t="shared" si="149"/>
        <v/>
      </c>
      <c r="R327" s="902" t="str">
        <f t="shared" si="166"/>
        <v/>
      </c>
      <c r="S327" s="903">
        <f t="shared" si="150"/>
        <v>0</v>
      </c>
      <c r="T327" s="334"/>
      <c r="X327" s="887" t="str">
        <f t="shared" si="151"/>
        <v/>
      </c>
      <c r="Y327" s="904">
        <f t="shared" si="152"/>
        <v>0.6</v>
      </c>
      <c r="Z327" s="905" t="e">
        <f t="shared" si="167"/>
        <v>#VALUE!</v>
      </c>
      <c r="AA327" s="905" t="e">
        <f t="shared" si="168"/>
        <v>#VALUE!</v>
      </c>
      <c r="AB327" s="905" t="e">
        <f t="shared" si="169"/>
        <v>#VALUE!</v>
      </c>
      <c r="AC327" s="906" t="e">
        <f t="shared" si="153"/>
        <v>#VALUE!</v>
      </c>
      <c r="AD327" s="907">
        <f t="shared" si="154"/>
        <v>0</v>
      </c>
      <c r="AE327" s="904">
        <f>IF(H327&gt;8,tab!C$194,tab!C$197)</f>
        <v>0.5</v>
      </c>
      <c r="AF327" s="907">
        <f t="shared" si="155"/>
        <v>0</v>
      </c>
      <c r="AG327" s="887">
        <f t="shared" si="156"/>
        <v>0</v>
      </c>
      <c r="AH327" s="908" t="e">
        <f t="shared" si="157"/>
        <v>#VALUE!</v>
      </c>
      <c r="AI327" s="815" t="e">
        <f t="shared" si="158"/>
        <v>#VALUE!</v>
      </c>
      <c r="AJ327" s="540">
        <f t="shared" si="159"/>
        <v>30</v>
      </c>
      <c r="AK327" s="540">
        <f t="shared" si="160"/>
        <v>30</v>
      </c>
      <c r="AL327" s="909">
        <f t="shared" si="161"/>
        <v>0</v>
      </c>
      <c r="AN327" s="539">
        <f t="shared" si="162"/>
        <v>0</v>
      </c>
      <c r="AR327" s="941"/>
      <c r="AT327" s="317"/>
      <c r="AU327" s="317"/>
    </row>
    <row r="328" spans="3:47" ht="13.15" customHeight="1" x14ac:dyDescent="0.2">
      <c r="C328" s="381"/>
      <c r="D328" s="895" t="str">
        <f>IF(op!D216=0,"",op!D216)</f>
        <v/>
      </c>
      <c r="E328" s="895" t="str">
        <f>IF(op!E216=0,"",op!E216)</f>
        <v/>
      </c>
      <c r="F328" s="390" t="str">
        <f>IF(op!F216="","",op!F216+1)</f>
        <v/>
      </c>
      <c r="G328" s="896" t="str">
        <f>IF(op!G216=0,"",op!G216)</f>
        <v/>
      </c>
      <c r="H328" s="390" t="str">
        <f>IF(op!H216="","",op!H216)</f>
        <v/>
      </c>
      <c r="I328" s="897" t="str">
        <f t="shared" si="148"/>
        <v/>
      </c>
      <c r="J328" s="898" t="str">
        <f>IF(op!J216="","",op!J216)</f>
        <v/>
      </c>
      <c r="K328" s="334"/>
      <c r="L328" s="1140" t="str">
        <f>IF(op!L216="","",op!L216)</f>
        <v/>
      </c>
      <c r="M328" s="1140" t="str">
        <f>IF(op!M216="","",op!M216)</f>
        <v/>
      </c>
      <c r="N328" s="899" t="str">
        <f t="shared" si="163"/>
        <v/>
      </c>
      <c r="O328" s="900" t="str">
        <f t="shared" si="164"/>
        <v/>
      </c>
      <c r="P328" s="901" t="str">
        <f t="shared" si="165"/>
        <v/>
      </c>
      <c r="Q328" s="568" t="str">
        <f t="shared" si="149"/>
        <v/>
      </c>
      <c r="R328" s="902" t="str">
        <f t="shared" si="166"/>
        <v/>
      </c>
      <c r="S328" s="903">
        <f t="shared" si="150"/>
        <v>0</v>
      </c>
      <c r="T328" s="334"/>
      <c r="X328" s="887" t="str">
        <f t="shared" si="151"/>
        <v/>
      </c>
      <c r="Y328" s="904">
        <f t="shared" si="152"/>
        <v>0.6</v>
      </c>
      <c r="Z328" s="905" t="e">
        <f t="shared" si="167"/>
        <v>#VALUE!</v>
      </c>
      <c r="AA328" s="905" t="e">
        <f t="shared" si="168"/>
        <v>#VALUE!</v>
      </c>
      <c r="AB328" s="905" t="e">
        <f t="shared" si="169"/>
        <v>#VALUE!</v>
      </c>
      <c r="AC328" s="906" t="e">
        <f t="shared" si="153"/>
        <v>#VALUE!</v>
      </c>
      <c r="AD328" s="907">
        <f t="shared" si="154"/>
        <v>0</v>
      </c>
      <c r="AE328" s="904">
        <f>IF(H328&gt;8,tab!C$194,tab!C$197)</f>
        <v>0.5</v>
      </c>
      <c r="AF328" s="907">
        <f t="shared" si="155"/>
        <v>0</v>
      </c>
      <c r="AG328" s="887">
        <f t="shared" si="156"/>
        <v>0</v>
      </c>
      <c r="AH328" s="908" t="e">
        <f t="shared" si="157"/>
        <v>#VALUE!</v>
      </c>
      <c r="AI328" s="815" t="e">
        <f t="shared" si="158"/>
        <v>#VALUE!</v>
      </c>
      <c r="AJ328" s="540">
        <f t="shared" si="159"/>
        <v>30</v>
      </c>
      <c r="AK328" s="540">
        <f t="shared" si="160"/>
        <v>30</v>
      </c>
      <c r="AL328" s="909">
        <f t="shared" si="161"/>
        <v>0</v>
      </c>
      <c r="AN328" s="539">
        <f t="shared" si="162"/>
        <v>0</v>
      </c>
      <c r="AR328" s="941"/>
      <c r="AT328" s="317"/>
      <c r="AU328" s="317"/>
    </row>
    <row r="329" spans="3:47" ht="13.15" customHeight="1" x14ac:dyDescent="0.2">
      <c r="C329" s="381"/>
      <c r="D329" s="895" t="str">
        <f>IF(op!D217=0,"",op!D217)</f>
        <v/>
      </c>
      <c r="E329" s="895" t="str">
        <f>IF(op!E217=0,"",op!E217)</f>
        <v/>
      </c>
      <c r="F329" s="390" t="str">
        <f>IF(op!F217="","",op!F217+1)</f>
        <v/>
      </c>
      <c r="G329" s="896" t="str">
        <f>IF(op!G217=0,"",op!G217)</f>
        <v/>
      </c>
      <c r="H329" s="390" t="str">
        <f>IF(op!H217="","",op!H217)</f>
        <v/>
      </c>
      <c r="I329" s="897" t="str">
        <f t="shared" si="148"/>
        <v/>
      </c>
      <c r="J329" s="898" t="str">
        <f>IF(op!J217="","",op!J217)</f>
        <v/>
      </c>
      <c r="K329" s="334"/>
      <c r="L329" s="1140" t="str">
        <f>IF(op!L217="","",op!L217)</f>
        <v/>
      </c>
      <c r="M329" s="1140" t="str">
        <f>IF(op!M217="","",op!M217)</f>
        <v/>
      </c>
      <c r="N329" s="899" t="str">
        <f t="shared" si="163"/>
        <v/>
      </c>
      <c r="O329" s="900" t="str">
        <f t="shared" si="164"/>
        <v/>
      </c>
      <c r="P329" s="901" t="str">
        <f t="shared" si="165"/>
        <v/>
      </c>
      <c r="Q329" s="568" t="str">
        <f t="shared" si="149"/>
        <v/>
      </c>
      <c r="R329" s="902" t="str">
        <f t="shared" si="166"/>
        <v/>
      </c>
      <c r="S329" s="903">
        <f t="shared" si="150"/>
        <v>0</v>
      </c>
      <c r="T329" s="334"/>
      <c r="X329" s="887" t="str">
        <f t="shared" si="151"/>
        <v/>
      </c>
      <c r="Y329" s="904">
        <f t="shared" si="152"/>
        <v>0.6</v>
      </c>
      <c r="Z329" s="905" t="e">
        <f t="shared" si="167"/>
        <v>#VALUE!</v>
      </c>
      <c r="AA329" s="905" t="e">
        <f t="shared" si="168"/>
        <v>#VALUE!</v>
      </c>
      <c r="AB329" s="905" t="e">
        <f t="shared" si="169"/>
        <v>#VALUE!</v>
      </c>
      <c r="AC329" s="906" t="e">
        <f t="shared" si="153"/>
        <v>#VALUE!</v>
      </c>
      <c r="AD329" s="907">
        <f t="shared" si="154"/>
        <v>0</v>
      </c>
      <c r="AE329" s="904">
        <f>IF(H329&gt;8,tab!C$194,tab!C$197)</f>
        <v>0.5</v>
      </c>
      <c r="AF329" s="907">
        <f t="shared" si="155"/>
        <v>0</v>
      </c>
      <c r="AG329" s="887">
        <f t="shared" si="156"/>
        <v>0</v>
      </c>
      <c r="AH329" s="908" t="e">
        <f t="shared" si="157"/>
        <v>#VALUE!</v>
      </c>
      <c r="AI329" s="815" t="e">
        <f t="shared" si="158"/>
        <v>#VALUE!</v>
      </c>
      <c r="AJ329" s="540">
        <f t="shared" si="159"/>
        <v>30</v>
      </c>
      <c r="AK329" s="540">
        <f t="shared" si="160"/>
        <v>30</v>
      </c>
      <c r="AL329" s="909">
        <f t="shared" si="161"/>
        <v>0</v>
      </c>
      <c r="AN329" s="539">
        <f t="shared" si="162"/>
        <v>0</v>
      </c>
      <c r="AR329" s="941"/>
      <c r="AT329" s="317"/>
      <c r="AU329" s="317"/>
    </row>
    <row r="330" spans="3:47" ht="13.15" customHeight="1" x14ac:dyDescent="0.2">
      <c r="C330" s="381"/>
      <c r="D330" s="895" t="str">
        <f>IF(op!D218=0,"",op!D218)</f>
        <v/>
      </c>
      <c r="E330" s="895" t="str">
        <f>IF(op!E218=0,"",op!E218)</f>
        <v/>
      </c>
      <c r="F330" s="390" t="str">
        <f>IF(op!F218="","",op!F218+1)</f>
        <v/>
      </c>
      <c r="G330" s="896" t="str">
        <f>IF(op!G218=0,"",op!G218)</f>
        <v/>
      </c>
      <c r="H330" s="390" t="str">
        <f>IF(op!H218="","",op!H218)</f>
        <v/>
      </c>
      <c r="I330" s="897" t="str">
        <f t="shared" si="148"/>
        <v/>
      </c>
      <c r="J330" s="898" t="str">
        <f>IF(op!J218="","",op!J218)</f>
        <v/>
      </c>
      <c r="K330" s="334"/>
      <c r="L330" s="1140" t="str">
        <f>IF(op!L218="","",op!L218)</f>
        <v/>
      </c>
      <c r="M330" s="1140" t="str">
        <f>IF(op!M218="","",op!M218)</f>
        <v/>
      </c>
      <c r="N330" s="899" t="str">
        <f t="shared" si="163"/>
        <v/>
      </c>
      <c r="O330" s="900" t="str">
        <f t="shared" si="164"/>
        <v/>
      </c>
      <c r="P330" s="901" t="str">
        <f t="shared" si="165"/>
        <v/>
      </c>
      <c r="Q330" s="568" t="str">
        <f t="shared" si="149"/>
        <v/>
      </c>
      <c r="R330" s="902" t="str">
        <f t="shared" si="166"/>
        <v/>
      </c>
      <c r="S330" s="903">
        <f t="shared" si="150"/>
        <v>0</v>
      </c>
      <c r="T330" s="334"/>
      <c r="X330" s="887" t="str">
        <f t="shared" si="151"/>
        <v/>
      </c>
      <c r="Y330" s="904">
        <f t="shared" si="152"/>
        <v>0.6</v>
      </c>
      <c r="Z330" s="905" t="e">
        <f t="shared" si="167"/>
        <v>#VALUE!</v>
      </c>
      <c r="AA330" s="905" t="e">
        <f t="shared" si="168"/>
        <v>#VALUE!</v>
      </c>
      <c r="AB330" s="905" t="e">
        <f t="shared" si="169"/>
        <v>#VALUE!</v>
      </c>
      <c r="AC330" s="906" t="e">
        <f t="shared" si="153"/>
        <v>#VALUE!</v>
      </c>
      <c r="AD330" s="907">
        <f t="shared" si="154"/>
        <v>0</v>
      </c>
      <c r="AE330" s="904">
        <f>IF(H330&gt;8,tab!C$194,tab!C$197)</f>
        <v>0.5</v>
      </c>
      <c r="AF330" s="907">
        <f t="shared" si="155"/>
        <v>0</v>
      </c>
      <c r="AG330" s="887">
        <f t="shared" si="156"/>
        <v>0</v>
      </c>
      <c r="AH330" s="908" t="e">
        <f t="shared" si="157"/>
        <v>#VALUE!</v>
      </c>
      <c r="AI330" s="815" t="e">
        <f t="shared" si="158"/>
        <v>#VALUE!</v>
      </c>
      <c r="AJ330" s="540">
        <f t="shared" si="159"/>
        <v>30</v>
      </c>
      <c r="AK330" s="540">
        <f t="shared" si="160"/>
        <v>30</v>
      </c>
      <c r="AL330" s="909">
        <f t="shared" si="161"/>
        <v>0</v>
      </c>
      <c r="AN330" s="539">
        <f t="shared" si="162"/>
        <v>0</v>
      </c>
      <c r="AR330" s="941"/>
      <c r="AT330" s="317"/>
      <c r="AU330" s="317"/>
    </row>
    <row r="331" spans="3:47" ht="13.15" customHeight="1" x14ac:dyDescent="0.2">
      <c r="C331" s="381"/>
      <c r="D331" s="895" t="str">
        <f>IF(op!D219=0,"",op!D219)</f>
        <v/>
      </c>
      <c r="E331" s="895" t="str">
        <f>IF(op!E219=0,"",op!E219)</f>
        <v/>
      </c>
      <c r="F331" s="390" t="str">
        <f>IF(op!F219="","",op!F219+1)</f>
        <v/>
      </c>
      <c r="G331" s="896" t="str">
        <f>IF(op!G219=0,"",op!G219)</f>
        <v/>
      </c>
      <c r="H331" s="390" t="str">
        <f>IF(op!H219="","",op!H219)</f>
        <v/>
      </c>
      <c r="I331" s="897" t="str">
        <f t="shared" si="148"/>
        <v/>
      </c>
      <c r="J331" s="898" t="str">
        <f>IF(op!J219="","",op!J219)</f>
        <v/>
      </c>
      <c r="K331" s="334"/>
      <c r="L331" s="1140" t="str">
        <f>IF(op!L219="","",op!L219)</f>
        <v/>
      </c>
      <c r="M331" s="1140" t="str">
        <f>IF(op!M219="","",op!M219)</f>
        <v/>
      </c>
      <c r="N331" s="899" t="str">
        <f t="shared" si="163"/>
        <v/>
      </c>
      <c r="O331" s="900" t="str">
        <f t="shared" si="164"/>
        <v/>
      </c>
      <c r="P331" s="901" t="str">
        <f t="shared" si="165"/>
        <v/>
      </c>
      <c r="Q331" s="568" t="str">
        <f t="shared" si="149"/>
        <v/>
      </c>
      <c r="R331" s="902" t="str">
        <f t="shared" si="166"/>
        <v/>
      </c>
      <c r="S331" s="903">
        <f t="shared" si="150"/>
        <v>0</v>
      </c>
      <c r="T331" s="334"/>
      <c r="X331" s="887" t="str">
        <f t="shared" si="151"/>
        <v/>
      </c>
      <c r="Y331" s="904">
        <f t="shared" si="152"/>
        <v>0.6</v>
      </c>
      <c r="Z331" s="905" t="e">
        <f t="shared" si="167"/>
        <v>#VALUE!</v>
      </c>
      <c r="AA331" s="905" t="e">
        <f t="shared" si="168"/>
        <v>#VALUE!</v>
      </c>
      <c r="AB331" s="905" t="e">
        <f t="shared" si="169"/>
        <v>#VALUE!</v>
      </c>
      <c r="AC331" s="906" t="e">
        <f t="shared" si="153"/>
        <v>#VALUE!</v>
      </c>
      <c r="AD331" s="907">
        <f t="shared" si="154"/>
        <v>0</v>
      </c>
      <c r="AE331" s="904">
        <f>IF(H331&gt;8,tab!C$194,tab!C$197)</f>
        <v>0.5</v>
      </c>
      <c r="AF331" s="907">
        <f t="shared" si="155"/>
        <v>0</v>
      </c>
      <c r="AG331" s="887">
        <f t="shared" si="156"/>
        <v>0</v>
      </c>
      <c r="AH331" s="908" t="e">
        <f t="shared" si="157"/>
        <v>#VALUE!</v>
      </c>
      <c r="AI331" s="815" t="e">
        <f t="shared" si="158"/>
        <v>#VALUE!</v>
      </c>
      <c r="AJ331" s="540">
        <f t="shared" si="159"/>
        <v>30</v>
      </c>
      <c r="AK331" s="540">
        <f t="shared" si="160"/>
        <v>30</v>
      </c>
      <c r="AL331" s="909">
        <f t="shared" si="161"/>
        <v>0</v>
      </c>
      <c r="AN331" s="539">
        <f t="shared" si="162"/>
        <v>0</v>
      </c>
      <c r="AR331" s="941"/>
      <c r="AT331" s="317"/>
      <c r="AU331" s="317"/>
    </row>
    <row r="332" spans="3:47" ht="13.15" customHeight="1" x14ac:dyDescent="0.2">
      <c r="C332" s="381"/>
      <c r="D332" s="895" t="str">
        <f>IF(op!D220=0,"",op!D220)</f>
        <v/>
      </c>
      <c r="E332" s="895" t="str">
        <f>IF(op!E220=0,"",op!E220)</f>
        <v/>
      </c>
      <c r="F332" s="390" t="str">
        <f>IF(op!F220="","",op!F220+1)</f>
        <v/>
      </c>
      <c r="G332" s="896" t="str">
        <f>IF(op!G220=0,"",op!G220)</f>
        <v/>
      </c>
      <c r="H332" s="390" t="str">
        <f>IF(op!H220="","",op!H220)</f>
        <v/>
      </c>
      <c r="I332" s="897" t="str">
        <f t="shared" si="148"/>
        <v/>
      </c>
      <c r="J332" s="898" t="str">
        <f>IF(op!J220="","",op!J220)</f>
        <v/>
      </c>
      <c r="K332" s="334"/>
      <c r="L332" s="1140" t="str">
        <f>IF(op!L220="","",op!L220)</f>
        <v/>
      </c>
      <c r="M332" s="1140" t="str">
        <f>IF(op!M220="","",op!M220)</f>
        <v/>
      </c>
      <c r="N332" s="899" t="str">
        <f t="shared" si="163"/>
        <v/>
      </c>
      <c r="O332" s="900" t="str">
        <f t="shared" si="164"/>
        <v/>
      </c>
      <c r="P332" s="901" t="str">
        <f t="shared" si="165"/>
        <v/>
      </c>
      <c r="Q332" s="568" t="str">
        <f t="shared" si="149"/>
        <v/>
      </c>
      <c r="R332" s="902" t="str">
        <f t="shared" si="166"/>
        <v/>
      </c>
      <c r="S332" s="903">
        <f t="shared" si="150"/>
        <v>0</v>
      </c>
      <c r="T332" s="334"/>
      <c r="X332" s="887" t="str">
        <f t="shared" si="151"/>
        <v/>
      </c>
      <c r="Y332" s="904">
        <f t="shared" si="152"/>
        <v>0.6</v>
      </c>
      <c r="Z332" s="905" t="e">
        <f t="shared" si="167"/>
        <v>#VALUE!</v>
      </c>
      <c r="AA332" s="905" t="e">
        <f t="shared" si="168"/>
        <v>#VALUE!</v>
      </c>
      <c r="AB332" s="905" t="e">
        <f t="shared" si="169"/>
        <v>#VALUE!</v>
      </c>
      <c r="AC332" s="906" t="e">
        <f t="shared" si="153"/>
        <v>#VALUE!</v>
      </c>
      <c r="AD332" s="907">
        <f t="shared" si="154"/>
        <v>0</v>
      </c>
      <c r="AE332" s="904">
        <f>IF(H332&gt;8,tab!C$194,tab!C$197)</f>
        <v>0.5</v>
      </c>
      <c r="AF332" s="907">
        <f t="shared" si="155"/>
        <v>0</v>
      </c>
      <c r="AG332" s="887">
        <f t="shared" si="156"/>
        <v>0</v>
      </c>
      <c r="AH332" s="908" t="e">
        <f t="shared" si="157"/>
        <v>#VALUE!</v>
      </c>
      <c r="AI332" s="815" t="e">
        <f t="shared" si="158"/>
        <v>#VALUE!</v>
      </c>
      <c r="AJ332" s="540">
        <f t="shared" si="159"/>
        <v>30</v>
      </c>
      <c r="AK332" s="540">
        <f t="shared" si="160"/>
        <v>30</v>
      </c>
      <c r="AL332" s="909">
        <f t="shared" si="161"/>
        <v>0</v>
      </c>
      <c r="AN332" s="539">
        <f t="shared" si="162"/>
        <v>0</v>
      </c>
      <c r="AR332" s="941"/>
      <c r="AT332" s="317"/>
      <c r="AU332" s="317"/>
    </row>
    <row r="333" spans="3:47" ht="13.15" customHeight="1" x14ac:dyDescent="0.2">
      <c r="C333" s="381"/>
      <c r="D333" s="895" t="str">
        <f>IF(op!D221=0,"",op!D221)</f>
        <v/>
      </c>
      <c r="E333" s="895" t="str">
        <f>IF(op!E221=0,"",op!E221)</f>
        <v/>
      </c>
      <c r="F333" s="390" t="str">
        <f>IF(op!F221="","",op!F221+1)</f>
        <v/>
      </c>
      <c r="G333" s="896" t="str">
        <f>IF(op!G221=0,"",op!G221)</f>
        <v/>
      </c>
      <c r="H333" s="390" t="str">
        <f>IF(op!H221="","",op!H221)</f>
        <v/>
      </c>
      <c r="I333" s="897" t="str">
        <f t="shared" si="148"/>
        <v/>
      </c>
      <c r="J333" s="898" t="str">
        <f>IF(op!J221="","",op!J221)</f>
        <v/>
      </c>
      <c r="K333" s="334"/>
      <c r="L333" s="1140" t="str">
        <f>IF(op!L221="","",op!L221)</f>
        <v/>
      </c>
      <c r="M333" s="1140" t="str">
        <f>IF(op!M221="","",op!M221)</f>
        <v/>
      </c>
      <c r="N333" s="899" t="str">
        <f t="shared" si="163"/>
        <v/>
      </c>
      <c r="O333" s="900" t="str">
        <f t="shared" si="164"/>
        <v/>
      </c>
      <c r="P333" s="901" t="str">
        <f t="shared" si="165"/>
        <v/>
      </c>
      <c r="Q333" s="568" t="str">
        <f t="shared" si="149"/>
        <v/>
      </c>
      <c r="R333" s="902" t="str">
        <f t="shared" si="166"/>
        <v/>
      </c>
      <c r="S333" s="903">
        <f t="shared" si="150"/>
        <v>0</v>
      </c>
      <c r="T333" s="334"/>
      <c r="X333" s="887" t="str">
        <f t="shared" si="151"/>
        <v/>
      </c>
      <c r="Y333" s="904">
        <f t="shared" si="152"/>
        <v>0.6</v>
      </c>
      <c r="Z333" s="905" t="e">
        <f t="shared" si="167"/>
        <v>#VALUE!</v>
      </c>
      <c r="AA333" s="905" t="e">
        <f t="shared" si="168"/>
        <v>#VALUE!</v>
      </c>
      <c r="AB333" s="905" t="e">
        <f t="shared" si="169"/>
        <v>#VALUE!</v>
      </c>
      <c r="AC333" s="906" t="e">
        <f t="shared" si="153"/>
        <v>#VALUE!</v>
      </c>
      <c r="AD333" s="907">
        <f t="shared" si="154"/>
        <v>0</v>
      </c>
      <c r="AE333" s="904">
        <f>IF(H333&gt;8,tab!C$194,tab!C$197)</f>
        <v>0.5</v>
      </c>
      <c r="AF333" s="907">
        <f t="shared" si="155"/>
        <v>0</v>
      </c>
      <c r="AG333" s="887">
        <f t="shared" si="156"/>
        <v>0</v>
      </c>
      <c r="AH333" s="908" t="e">
        <f t="shared" si="157"/>
        <v>#VALUE!</v>
      </c>
      <c r="AI333" s="815" t="e">
        <f t="shared" si="158"/>
        <v>#VALUE!</v>
      </c>
      <c r="AJ333" s="540">
        <f t="shared" si="159"/>
        <v>30</v>
      </c>
      <c r="AK333" s="540">
        <f t="shared" si="160"/>
        <v>30</v>
      </c>
      <c r="AL333" s="909">
        <f t="shared" si="161"/>
        <v>0</v>
      </c>
      <c r="AN333" s="539">
        <f t="shared" si="162"/>
        <v>0</v>
      </c>
      <c r="AR333" s="941"/>
      <c r="AT333" s="317"/>
      <c r="AU333" s="317"/>
    </row>
    <row r="334" spans="3:47" ht="13.15" customHeight="1" x14ac:dyDescent="0.2">
      <c r="C334" s="381"/>
      <c r="D334" s="895" t="str">
        <f>IF(op!D222=0,"",op!D222)</f>
        <v/>
      </c>
      <c r="E334" s="895" t="str">
        <f>IF(op!E222=0,"",op!E222)</f>
        <v/>
      </c>
      <c r="F334" s="390" t="str">
        <f>IF(op!F222="","",op!F222+1)</f>
        <v/>
      </c>
      <c r="G334" s="896" t="str">
        <f>IF(op!G222=0,"",op!G222)</f>
        <v/>
      </c>
      <c r="H334" s="390" t="str">
        <f>IF(op!H222="","",op!H222)</f>
        <v/>
      </c>
      <c r="I334" s="897" t="str">
        <f t="shared" si="148"/>
        <v/>
      </c>
      <c r="J334" s="898" t="str">
        <f>IF(op!J222="","",op!J222)</f>
        <v/>
      </c>
      <c r="K334" s="334"/>
      <c r="L334" s="1140" t="str">
        <f>IF(op!L222="","",op!L222)</f>
        <v/>
      </c>
      <c r="M334" s="1140" t="str">
        <f>IF(op!M222="","",op!M222)</f>
        <v/>
      </c>
      <c r="N334" s="899" t="str">
        <f t="shared" si="163"/>
        <v/>
      </c>
      <c r="O334" s="900" t="str">
        <f t="shared" si="164"/>
        <v/>
      </c>
      <c r="P334" s="901" t="str">
        <f t="shared" si="165"/>
        <v/>
      </c>
      <c r="Q334" s="568" t="str">
        <f t="shared" si="149"/>
        <v/>
      </c>
      <c r="R334" s="902" t="str">
        <f t="shared" si="166"/>
        <v/>
      </c>
      <c r="S334" s="903">
        <f t="shared" si="150"/>
        <v>0</v>
      </c>
      <c r="T334" s="334"/>
      <c r="X334" s="887" t="str">
        <f t="shared" si="151"/>
        <v/>
      </c>
      <c r="Y334" s="904">
        <f t="shared" si="152"/>
        <v>0.6</v>
      </c>
      <c r="Z334" s="905" t="e">
        <f t="shared" si="167"/>
        <v>#VALUE!</v>
      </c>
      <c r="AA334" s="905" t="e">
        <f t="shared" si="168"/>
        <v>#VALUE!</v>
      </c>
      <c r="AB334" s="905" t="e">
        <f t="shared" si="169"/>
        <v>#VALUE!</v>
      </c>
      <c r="AC334" s="906" t="e">
        <f t="shared" si="153"/>
        <v>#VALUE!</v>
      </c>
      <c r="AD334" s="907">
        <f t="shared" si="154"/>
        <v>0</v>
      </c>
      <c r="AE334" s="904">
        <f>IF(H334&gt;8,tab!C$194,tab!C$197)</f>
        <v>0.5</v>
      </c>
      <c r="AF334" s="907">
        <f t="shared" si="155"/>
        <v>0</v>
      </c>
      <c r="AG334" s="887">
        <f t="shared" si="156"/>
        <v>0</v>
      </c>
      <c r="AH334" s="908" t="e">
        <f t="shared" si="157"/>
        <v>#VALUE!</v>
      </c>
      <c r="AI334" s="815" t="e">
        <f t="shared" si="158"/>
        <v>#VALUE!</v>
      </c>
      <c r="AJ334" s="540">
        <f t="shared" si="159"/>
        <v>30</v>
      </c>
      <c r="AK334" s="540">
        <f t="shared" si="160"/>
        <v>30</v>
      </c>
      <c r="AL334" s="909">
        <f t="shared" si="161"/>
        <v>0</v>
      </c>
      <c r="AN334" s="539">
        <f t="shared" si="162"/>
        <v>0</v>
      </c>
      <c r="AR334" s="941"/>
      <c r="AT334" s="317"/>
      <c r="AU334" s="317"/>
    </row>
    <row r="335" spans="3:47" ht="13.15" customHeight="1" x14ac:dyDescent="0.2">
      <c r="C335" s="381"/>
      <c r="D335" s="895" t="str">
        <f>IF(op!D223=0,"",op!D223)</f>
        <v/>
      </c>
      <c r="E335" s="895" t="str">
        <f>IF(op!E223=0,"",op!E223)</f>
        <v/>
      </c>
      <c r="F335" s="390" t="str">
        <f>IF(op!F223="","",op!F223+1)</f>
        <v/>
      </c>
      <c r="G335" s="896" t="str">
        <f>IF(op!G223=0,"",op!G223)</f>
        <v/>
      </c>
      <c r="H335" s="390" t="str">
        <f>IF(op!H223="","",op!H223)</f>
        <v/>
      </c>
      <c r="I335" s="897" t="str">
        <f t="shared" si="148"/>
        <v/>
      </c>
      <c r="J335" s="898" t="str">
        <f>IF(op!J223="","",op!J223)</f>
        <v/>
      </c>
      <c r="K335" s="334"/>
      <c r="L335" s="1140" t="str">
        <f>IF(op!L223="","",op!L223)</f>
        <v/>
      </c>
      <c r="M335" s="1140" t="str">
        <f>IF(op!M223="","",op!M223)</f>
        <v/>
      </c>
      <c r="N335" s="899" t="str">
        <f t="shared" si="163"/>
        <v/>
      </c>
      <c r="O335" s="900" t="str">
        <f t="shared" si="164"/>
        <v/>
      </c>
      <c r="P335" s="901" t="str">
        <f t="shared" si="165"/>
        <v/>
      </c>
      <c r="Q335" s="568" t="str">
        <f t="shared" si="149"/>
        <v/>
      </c>
      <c r="R335" s="902" t="str">
        <f t="shared" si="166"/>
        <v/>
      </c>
      <c r="S335" s="903">
        <f t="shared" si="150"/>
        <v>0</v>
      </c>
      <c r="T335" s="334"/>
      <c r="X335" s="887" t="str">
        <f t="shared" si="151"/>
        <v/>
      </c>
      <c r="Y335" s="904">
        <f t="shared" si="152"/>
        <v>0.6</v>
      </c>
      <c r="Z335" s="905" t="e">
        <f t="shared" si="167"/>
        <v>#VALUE!</v>
      </c>
      <c r="AA335" s="905" t="e">
        <f t="shared" si="168"/>
        <v>#VALUE!</v>
      </c>
      <c r="AB335" s="905" t="e">
        <f t="shared" si="169"/>
        <v>#VALUE!</v>
      </c>
      <c r="AC335" s="906" t="e">
        <f t="shared" si="153"/>
        <v>#VALUE!</v>
      </c>
      <c r="AD335" s="907">
        <f t="shared" si="154"/>
        <v>0</v>
      </c>
      <c r="AE335" s="904">
        <f>IF(H335&gt;8,tab!C$194,tab!C$197)</f>
        <v>0.5</v>
      </c>
      <c r="AF335" s="907">
        <f t="shared" si="155"/>
        <v>0</v>
      </c>
      <c r="AG335" s="887">
        <f t="shared" si="156"/>
        <v>0</v>
      </c>
      <c r="AH335" s="908" t="e">
        <f t="shared" si="157"/>
        <v>#VALUE!</v>
      </c>
      <c r="AI335" s="815" t="e">
        <f t="shared" si="158"/>
        <v>#VALUE!</v>
      </c>
      <c r="AJ335" s="540">
        <f t="shared" si="159"/>
        <v>30</v>
      </c>
      <c r="AK335" s="540">
        <f t="shared" si="160"/>
        <v>30</v>
      </c>
      <c r="AL335" s="909">
        <f t="shared" si="161"/>
        <v>0</v>
      </c>
      <c r="AN335" s="539">
        <f t="shared" si="162"/>
        <v>0</v>
      </c>
      <c r="AR335" s="941"/>
      <c r="AT335" s="317"/>
      <c r="AU335" s="317"/>
    </row>
    <row r="336" spans="3:47" ht="13.15" customHeight="1" x14ac:dyDescent="0.2">
      <c r="C336" s="381"/>
      <c r="D336" s="895" t="str">
        <f>IF(op!D224=0,"",op!D224)</f>
        <v/>
      </c>
      <c r="E336" s="895" t="str">
        <f>IF(op!E224=0,"",op!E224)</f>
        <v/>
      </c>
      <c r="F336" s="390" t="str">
        <f>IF(op!F224="","",op!F224+1)</f>
        <v/>
      </c>
      <c r="G336" s="896" t="str">
        <f>IF(op!G224=0,"",op!G224)</f>
        <v/>
      </c>
      <c r="H336" s="390" t="str">
        <f>IF(op!H224="","",op!H224)</f>
        <v/>
      </c>
      <c r="I336" s="897" t="str">
        <f>IF(E336="","",IF(I224=VLOOKUP(H336,Salaris2021,22,FALSE),I224,I224+1))</f>
        <v/>
      </c>
      <c r="J336" s="898" t="str">
        <f>IF(op!J224="","",op!J224)</f>
        <v/>
      </c>
      <c r="K336" s="334"/>
      <c r="L336" s="1140" t="str">
        <f>IF(op!L224="","",op!L224)</f>
        <v/>
      </c>
      <c r="M336" s="1140" t="str">
        <f>IF(op!M224="","",op!M224)</f>
        <v/>
      </c>
      <c r="N336" s="899" t="str">
        <f t="shared" si="163"/>
        <v/>
      </c>
      <c r="O336" s="900" t="str">
        <f t="shared" si="164"/>
        <v/>
      </c>
      <c r="P336" s="901" t="str">
        <f t="shared" si="165"/>
        <v/>
      </c>
      <c r="Q336" s="568" t="str">
        <f>IF(J336="","",(1659*J336-P336)*AA336)</f>
        <v/>
      </c>
      <c r="R336" s="902" t="str">
        <f t="shared" si="166"/>
        <v/>
      </c>
      <c r="S336" s="903">
        <f>IF(E336=0,0,SUM(Q336:R336))</f>
        <v>0</v>
      </c>
      <c r="T336" s="334"/>
      <c r="X336" s="887" t="str">
        <f t="shared" si="151"/>
        <v/>
      </c>
      <c r="Y336" s="904">
        <f t="shared" si="152"/>
        <v>0.6</v>
      </c>
      <c r="Z336" s="905" t="e">
        <f t="shared" si="167"/>
        <v>#VALUE!</v>
      </c>
      <c r="AA336" s="905" t="e">
        <f t="shared" si="168"/>
        <v>#VALUE!</v>
      </c>
      <c r="AB336" s="905" t="e">
        <f t="shared" si="169"/>
        <v>#VALUE!</v>
      </c>
      <c r="AC336" s="906" t="e">
        <f t="shared" si="153"/>
        <v>#VALUE!</v>
      </c>
      <c r="AD336" s="907">
        <f t="shared" si="154"/>
        <v>0</v>
      </c>
      <c r="AE336" s="904">
        <f>IF(H336&gt;8,tab!C$194,tab!C$197)</f>
        <v>0.5</v>
      </c>
      <c r="AF336" s="907">
        <f t="shared" si="155"/>
        <v>0</v>
      </c>
      <c r="AG336" s="887">
        <f>IF(AF336=25,(X336*1.08*J336/2),IF(AF336=40,(Y336*1.08*J336),IF(AF336=0,0)))</f>
        <v>0</v>
      </c>
      <c r="AH336" s="908" t="e">
        <f t="shared" si="157"/>
        <v>#VALUE!</v>
      </c>
      <c r="AI336" s="815" t="e">
        <f>YEAR($E$233)-YEAR(G336)-AH336</f>
        <v>#VALUE!</v>
      </c>
      <c r="AJ336" s="540">
        <f>IF((G336=""),30,AI336)</f>
        <v>30</v>
      </c>
      <c r="AK336" s="540">
        <f t="shared" si="160"/>
        <v>30</v>
      </c>
      <c r="AL336" s="909">
        <f>(AK336*(SUM(J336:J336)))</f>
        <v>0</v>
      </c>
      <c r="AN336" s="539">
        <f t="shared" si="162"/>
        <v>0</v>
      </c>
      <c r="AR336" s="941"/>
      <c r="AT336" s="317"/>
      <c r="AU336" s="317"/>
    </row>
    <row r="337" spans="3:44" ht="13.15" customHeight="1" x14ac:dyDescent="0.2">
      <c r="C337" s="381"/>
      <c r="D337" s="895" t="str">
        <f>IF(op!D225=0,"",op!D225)</f>
        <v/>
      </c>
      <c r="E337" s="895" t="str">
        <f>IF(op!E225=0,"",op!E225)</f>
        <v/>
      </c>
      <c r="F337" s="390" t="str">
        <f>IF(op!F225="","",op!F225+1)</f>
        <v/>
      </c>
      <c r="G337" s="896" t="str">
        <f>IF(op!G225=0,"",op!G225)</f>
        <v/>
      </c>
      <c r="H337" s="390" t="str">
        <f>IF(op!H225="","",op!H225)</f>
        <v/>
      </c>
      <c r="I337" s="897" t="str">
        <f>IF(E337="","",IF(I225=VLOOKUP(H337,Salaris2021,22,FALSE),I225,I225+1))</f>
        <v/>
      </c>
      <c r="J337" s="898" t="str">
        <f>IF(op!J225="","",op!J225)</f>
        <v/>
      </c>
      <c r="K337" s="334"/>
      <c r="L337" s="1140" t="str">
        <f>IF(op!L225="","",op!L225)</f>
        <v/>
      </c>
      <c r="M337" s="1140" t="str">
        <f>IF(op!M225="","",op!M225)</f>
        <v/>
      </c>
      <c r="N337" s="899" t="str">
        <f t="shared" si="163"/>
        <v/>
      </c>
      <c r="O337" s="900" t="str">
        <f t="shared" si="164"/>
        <v/>
      </c>
      <c r="P337" s="901" t="str">
        <f t="shared" si="165"/>
        <v/>
      </c>
      <c r="Q337" s="568" t="str">
        <f>IF(J337="","",(1659*J337-P337)*AA337)</f>
        <v/>
      </c>
      <c r="R337" s="902" t="str">
        <f t="shared" si="166"/>
        <v/>
      </c>
      <c r="S337" s="903">
        <f>IF(E337=0,0,SUM(Q337:R337))</f>
        <v>0</v>
      </c>
      <c r="T337" s="334"/>
      <c r="X337" s="887" t="str">
        <f t="shared" si="151"/>
        <v/>
      </c>
      <c r="Y337" s="904">
        <f t="shared" si="152"/>
        <v>0.6</v>
      </c>
      <c r="Z337" s="905" t="e">
        <f t="shared" si="167"/>
        <v>#VALUE!</v>
      </c>
      <c r="AA337" s="905" t="e">
        <f t="shared" si="168"/>
        <v>#VALUE!</v>
      </c>
      <c r="AB337" s="905" t="e">
        <f t="shared" si="169"/>
        <v>#VALUE!</v>
      </c>
      <c r="AC337" s="906" t="e">
        <f t="shared" si="153"/>
        <v>#VALUE!</v>
      </c>
      <c r="AD337" s="907">
        <f t="shared" si="154"/>
        <v>0</v>
      </c>
      <c r="AE337" s="904">
        <f>IF(H337&gt;8,tab!C$194,tab!C$197)</f>
        <v>0.5</v>
      </c>
      <c r="AF337" s="907">
        <f t="shared" si="155"/>
        <v>0</v>
      </c>
      <c r="AG337" s="887">
        <f>IF(AF337=25,(X337*1.08*J337/2),IF(AF337=40,(Y337*1.08*J337),IF(AF337=0,0)))</f>
        <v>0</v>
      </c>
      <c r="AH337" s="908" t="e">
        <f t="shared" si="157"/>
        <v>#VALUE!</v>
      </c>
      <c r="AI337" s="815" t="e">
        <f>YEAR($E$233)-YEAR(G337)-AH337</f>
        <v>#VALUE!</v>
      </c>
      <c r="AJ337" s="540">
        <f>IF((G337=""),30,AI337)</f>
        <v>30</v>
      </c>
      <c r="AK337" s="540">
        <f t="shared" si="160"/>
        <v>30</v>
      </c>
      <c r="AL337" s="909">
        <f>(AK337*(SUM(J337:J337)))</f>
        <v>0</v>
      </c>
      <c r="AN337" s="539">
        <f t="shared" si="162"/>
        <v>0</v>
      </c>
      <c r="AR337" s="941"/>
    </row>
    <row r="338" spans="3:44" ht="13.15" customHeight="1" x14ac:dyDescent="0.2">
      <c r="C338" s="381"/>
      <c r="D338" s="895" t="str">
        <f>IF(op!D226=0,"",op!D226)</f>
        <v/>
      </c>
      <c r="E338" s="895" t="str">
        <f>IF(op!E226=0,"",op!E226)</f>
        <v/>
      </c>
      <c r="F338" s="390" t="str">
        <f>IF(op!F226="","",op!F226+1)</f>
        <v/>
      </c>
      <c r="G338" s="896" t="str">
        <f>IF(op!G226=0,"",op!G226)</f>
        <v/>
      </c>
      <c r="H338" s="390" t="str">
        <f>IF(op!H226="","",op!H226)</f>
        <v/>
      </c>
      <c r="I338" s="897" t="str">
        <f>IF(E338="","",IF(I226=VLOOKUP(H338,Salaris2021,22,FALSE),I226,I226+1))</f>
        <v/>
      </c>
      <c r="J338" s="898" t="str">
        <f>IF(op!J226="","",op!J226)</f>
        <v/>
      </c>
      <c r="K338" s="334"/>
      <c r="L338" s="1140" t="str">
        <f>IF(op!L226="","",op!L226)</f>
        <v/>
      </c>
      <c r="M338" s="1140" t="str">
        <f>IF(op!M226="","",op!M226)</f>
        <v/>
      </c>
      <c r="N338" s="899" t="str">
        <f t="shared" si="163"/>
        <v/>
      </c>
      <c r="O338" s="900" t="str">
        <f t="shared" si="164"/>
        <v/>
      </c>
      <c r="P338" s="901" t="str">
        <f t="shared" si="165"/>
        <v/>
      </c>
      <c r="Q338" s="568" t="str">
        <f>IF(J338="","",(1659*J338-P338)*AA338)</f>
        <v/>
      </c>
      <c r="R338" s="902" t="str">
        <f t="shared" si="166"/>
        <v/>
      </c>
      <c r="S338" s="903">
        <f>IF(E338=0,0,SUM(Q338:R338))</f>
        <v>0</v>
      </c>
      <c r="T338" s="334"/>
      <c r="X338" s="887" t="str">
        <f t="shared" si="151"/>
        <v/>
      </c>
      <c r="Y338" s="904">
        <f t="shared" si="152"/>
        <v>0.6</v>
      </c>
      <c r="Z338" s="905" t="e">
        <f t="shared" si="167"/>
        <v>#VALUE!</v>
      </c>
      <c r="AA338" s="905" t="e">
        <f t="shared" si="168"/>
        <v>#VALUE!</v>
      </c>
      <c r="AB338" s="905" t="e">
        <f t="shared" si="169"/>
        <v>#VALUE!</v>
      </c>
      <c r="AC338" s="906" t="e">
        <f t="shared" si="153"/>
        <v>#VALUE!</v>
      </c>
      <c r="AD338" s="907">
        <f t="shared" si="154"/>
        <v>0</v>
      </c>
      <c r="AE338" s="904">
        <f>IF(H338&gt;8,tab!C$194,tab!C$197)</f>
        <v>0.5</v>
      </c>
      <c r="AF338" s="907">
        <f t="shared" si="155"/>
        <v>0</v>
      </c>
      <c r="AG338" s="887">
        <f>IF(AF338=25,(X338*1.08*J338/2),IF(AF338=40,(Y338*1.08*J338),IF(AF338=0,0)))</f>
        <v>0</v>
      </c>
      <c r="AH338" s="908" t="e">
        <f t="shared" si="157"/>
        <v>#VALUE!</v>
      </c>
      <c r="AI338" s="815" t="e">
        <f>YEAR($E$233)-YEAR(G338)-AH338</f>
        <v>#VALUE!</v>
      </c>
      <c r="AJ338" s="540">
        <f>IF((G338=""),30,AI338)</f>
        <v>30</v>
      </c>
      <c r="AK338" s="540">
        <f t="shared" si="160"/>
        <v>30</v>
      </c>
      <c r="AL338" s="909">
        <f>(AK338*(SUM(J338:J338)))</f>
        <v>0</v>
      </c>
      <c r="AN338" s="539">
        <f t="shared" si="162"/>
        <v>0</v>
      </c>
      <c r="AR338" s="941"/>
    </row>
    <row r="339" spans="3:44" ht="13.15" customHeight="1" x14ac:dyDescent="0.2">
      <c r="C339" s="381"/>
      <c r="D339" s="895" t="str">
        <f>IF(op!D227=0,"",op!D227)</f>
        <v/>
      </c>
      <c r="E339" s="895" t="str">
        <f>IF(op!E227=0,"",op!E227)</f>
        <v/>
      </c>
      <c r="F339" s="390" t="str">
        <f>IF(op!F227="","",op!F227+1)</f>
        <v/>
      </c>
      <c r="G339" s="896" t="str">
        <f>IF(op!G227=0,"",op!G227)</f>
        <v/>
      </c>
      <c r="H339" s="390" t="str">
        <f>IF(op!H227="","",op!H227)</f>
        <v/>
      </c>
      <c r="I339" s="897" t="str">
        <f>IF(E339="","",IF(I227=VLOOKUP(H339,Salaris2021,22,FALSE),I227,I227+1))</f>
        <v/>
      </c>
      <c r="J339" s="898" t="str">
        <f>IF(op!J227="","",op!J227)</f>
        <v/>
      </c>
      <c r="K339" s="334"/>
      <c r="L339" s="1140" t="str">
        <f>IF(op!L227="","",op!L227)</f>
        <v/>
      </c>
      <c r="M339" s="1140" t="str">
        <f>IF(op!M227="","",op!M227)</f>
        <v/>
      </c>
      <c r="N339" s="899" t="str">
        <f t="shared" si="163"/>
        <v/>
      </c>
      <c r="O339" s="900" t="str">
        <f t="shared" si="164"/>
        <v/>
      </c>
      <c r="P339" s="901" t="str">
        <f t="shared" si="165"/>
        <v/>
      </c>
      <c r="Q339" s="568" t="str">
        <f>IF(J339="","",(1659*J339-P339)*AA339)</f>
        <v/>
      </c>
      <c r="R339" s="902" t="str">
        <f t="shared" si="166"/>
        <v/>
      </c>
      <c r="S339" s="903">
        <f>IF(E339=0,0,SUM(Q339:R339))</f>
        <v>0</v>
      </c>
      <c r="T339" s="334"/>
      <c r="X339" s="887" t="str">
        <f t="shared" si="151"/>
        <v/>
      </c>
      <c r="Y339" s="904">
        <f t="shared" si="152"/>
        <v>0.6</v>
      </c>
      <c r="Z339" s="905" t="e">
        <f t="shared" si="167"/>
        <v>#VALUE!</v>
      </c>
      <c r="AA339" s="905" t="e">
        <f t="shared" si="168"/>
        <v>#VALUE!</v>
      </c>
      <c r="AB339" s="905" t="e">
        <f t="shared" si="169"/>
        <v>#VALUE!</v>
      </c>
      <c r="AC339" s="906" t="e">
        <f t="shared" si="153"/>
        <v>#VALUE!</v>
      </c>
      <c r="AD339" s="907">
        <f t="shared" si="154"/>
        <v>0</v>
      </c>
      <c r="AE339" s="904">
        <f>IF(H339&gt;8,tab!C$194,tab!C$197)</f>
        <v>0.5</v>
      </c>
      <c r="AF339" s="907">
        <f t="shared" si="155"/>
        <v>0</v>
      </c>
      <c r="AG339" s="887">
        <f>IF(AF339=25,(X339*1.08*J339/2),IF(AF339=40,(Y339*1.08*J339),IF(AF339=0,0)))</f>
        <v>0</v>
      </c>
      <c r="AH339" s="908" t="e">
        <f t="shared" si="157"/>
        <v>#VALUE!</v>
      </c>
      <c r="AI339" s="815" t="e">
        <f>YEAR($E$233)-YEAR(G339)-AH339</f>
        <v>#VALUE!</v>
      </c>
      <c r="AJ339" s="540">
        <f>IF((G339=""),30,AI339)</f>
        <v>30</v>
      </c>
      <c r="AK339" s="540">
        <f t="shared" si="160"/>
        <v>30</v>
      </c>
      <c r="AL339" s="909">
        <f>(AK339*(SUM(J339:J339)))</f>
        <v>0</v>
      </c>
      <c r="AN339" s="539">
        <f t="shared" si="162"/>
        <v>0</v>
      </c>
      <c r="AR339" s="941"/>
    </row>
    <row r="340" spans="3:44" ht="13.15" customHeight="1" x14ac:dyDescent="0.2">
      <c r="C340" s="381"/>
      <c r="D340" s="319"/>
      <c r="E340" s="342"/>
      <c r="F340" s="319"/>
      <c r="G340" s="910"/>
      <c r="H340" s="342"/>
      <c r="I340" s="911"/>
      <c r="J340" s="912">
        <f>SUM(J240:J339)</f>
        <v>1</v>
      </c>
      <c r="K340" s="319"/>
      <c r="L340" s="913">
        <f t="shared" ref="L340:S340" si="170">SUM(L240:L339)</f>
        <v>0</v>
      </c>
      <c r="M340" s="913">
        <f t="shared" si="170"/>
        <v>0</v>
      </c>
      <c r="N340" s="913">
        <f t="shared" si="170"/>
        <v>40</v>
      </c>
      <c r="O340" s="913">
        <f t="shared" si="170"/>
        <v>0</v>
      </c>
      <c r="P340" s="914">
        <f t="shared" si="170"/>
        <v>40</v>
      </c>
      <c r="Q340" s="571">
        <f t="shared" si="170"/>
        <v>72044.036166365287</v>
      </c>
      <c r="R340" s="915">
        <f t="shared" si="170"/>
        <v>1779.9638336347198</v>
      </c>
      <c r="S340" s="571">
        <f t="shared" si="170"/>
        <v>73824</v>
      </c>
      <c r="T340" s="319"/>
      <c r="AG340" s="575">
        <f>SUM(AG240:AG339)</f>
        <v>0</v>
      </c>
      <c r="AH340" s="563"/>
      <c r="AI340" s="563"/>
      <c r="AL340" s="909">
        <f>ROUND(SUM(AL240:AL339)/AN340,2)</f>
        <v>44</v>
      </c>
      <c r="AN340" s="539">
        <f>SUM(AN240:AN339)</f>
        <v>1</v>
      </c>
      <c r="AR340" s="941"/>
    </row>
    <row r="341" spans="3:44" ht="13.15" customHeight="1" x14ac:dyDescent="0.2">
      <c r="C341" s="483"/>
      <c r="D341" s="916"/>
      <c r="E341" s="916"/>
      <c r="F341" s="916"/>
      <c r="G341" s="917"/>
      <c r="H341" s="373"/>
      <c r="I341" s="918"/>
      <c r="J341" s="919"/>
      <c r="K341" s="916"/>
      <c r="L341" s="918"/>
      <c r="M341" s="777"/>
      <c r="N341" s="777"/>
      <c r="O341" s="777"/>
      <c r="P341" s="920"/>
      <c r="Q341" s="553"/>
      <c r="R341" s="921"/>
      <c r="T341" s="916"/>
      <c r="AR341" s="941"/>
    </row>
    <row r="342" spans="3:44" ht="13.15" customHeight="1" x14ac:dyDescent="0.2"/>
    <row r="343" spans="3:44" ht="13.15" customHeight="1" x14ac:dyDescent="0.2"/>
    <row r="344" spans="3:44" ht="13.15" customHeight="1" x14ac:dyDescent="0.2">
      <c r="C344" s="317" t="s">
        <v>48</v>
      </c>
      <c r="E344" s="950" t="str">
        <f>tab!G2</f>
        <v>2022/23</v>
      </c>
    </row>
    <row r="345" spans="3:44" ht="13.15" customHeight="1" x14ac:dyDescent="0.2">
      <c r="C345" s="317" t="s">
        <v>125</v>
      </c>
      <c r="E345" s="950">
        <f>tab!H3</f>
        <v>44835</v>
      </c>
    </row>
    <row r="346" spans="3:44" ht="13.15" customHeight="1" x14ac:dyDescent="0.2"/>
    <row r="347" spans="3:44" ht="13.15" customHeight="1" x14ac:dyDescent="0.2">
      <c r="C347" s="928"/>
      <c r="D347" s="374"/>
      <c r="E347" s="562"/>
      <c r="F347" s="349"/>
      <c r="G347" s="929"/>
      <c r="H347" s="930"/>
      <c r="I347" s="930"/>
      <c r="J347" s="931"/>
      <c r="K347" s="347"/>
      <c r="L347" s="930"/>
      <c r="M347" s="349"/>
      <c r="N347" s="349"/>
      <c r="O347" s="349"/>
      <c r="P347" s="932"/>
      <c r="Q347" s="933"/>
      <c r="R347" s="954"/>
      <c r="T347" s="347"/>
    </row>
    <row r="348" spans="3:44" ht="13.15" customHeight="1" x14ac:dyDescent="0.2">
      <c r="C348" s="935"/>
      <c r="D348" s="1346" t="s">
        <v>126</v>
      </c>
      <c r="E348" s="1347"/>
      <c r="F348" s="1347"/>
      <c r="G348" s="1347"/>
      <c r="H348" s="1347"/>
      <c r="I348" s="1347"/>
      <c r="J348" s="1347"/>
      <c r="K348" s="868"/>
      <c r="L348" s="579" t="s">
        <v>440</v>
      </c>
      <c r="M348" s="869"/>
      <c r="N348" s="869"/>
      <c r="O348" s="869"/>
      <c r="P348" s="870"/>
      <c r="Q348" s="579" t="s">
        <v>450</v>
      </c>
      <c r="R348" s="869"/>
      <c r="S348" s="869"/>
      <c r="T348" s="936"/>
      <c r="AH348" s="540"/>
      <c r="AI348" s="540"/>
      <c r="AL348" s="540"/>
    </row>
    <row r="349" spans="3:44" ht="13.15" customHeight="1" x14ac:dyDescent="0.2">
      <c r="C349" s="406"/>
      <c r="D349" s="871" t="s">
        <v>529</v>
      </c>
      <c r="E349" s="871" t="s">
        <v>88</v>
      </c>
      <c r="F349" s="872" t="s">
        <v>128</v>
      </c>
      <c r="G349" s="873" t="s">
        <v>129</v>
      </c>
      <c r="H349" s="872" t="s">
        <v>130</v>
      </c>
      <c r="I349" s="872" t="s">
        <v>131</v>
      </c>
      <c r="J349" s="874" t="s">
        <v>132</v>
      </c>
      <c r="K349" s="871"/>
      <c r="L349" s="775" t="s">
        <v>441</v>
      </c>
      <c r="M349" s="775" t="s">
        <v>444</v>
      </c>
      <c r="N349" s="775" t="s">
        <v>446</v>
      </c>
      <c r="O349" s="775" t="s">
        <v>443</v>
      </c>
      <c r="P349" s="875" t="s">
        <v>449</v>
      </c>
      <c r="Q349" s="775" t="s">
        <v>133</v>
      </c>
      <c r="R349" s="876" t="s">
        <v>453</v>
      </c>
      <c r="S349" s="877" t="s">
        <v>133</v>
      </c>
      <c r="T349" s="321"/>
      <c r="X349" s="879" t="s">
        <v>139</v>
      </c>
      <c r="Y349" s="880" t="s">
        <v>454</v>
      </c>
      <c r="Z349" s="586" t="s">
        <v>455</v>
      </c>
      <c r="AA349" s="586" t="s">
        <v>455</v>
      </c>
      <c r="AB349" s="586" t="s">
        <v>456</v>
      </c>
      <c r="AC349" s="878" t="s">
        <v>457</v>
      </c>
      <c r="AD349" s="586" t="s">
        <v>458</v>
      </c>
      <c r="AE349" s="586" t="s">
        <v>459</v>
      </c>
      <c r="AF349" s="586" t="s">
        <v>134</v>
      </c>
      <c r="AG349" s="877" t="s">
        <v>135</v>
      </c>
      <c r="AH349" s="881" t="s">
        <v>143</v>
      </c>
      <c r="AI349" s="881" t="s">
        <v>144</v>
      </c>
      <c r="AJ349" s="881" t="s">
        <v>145</v>
      </c>
      <c r="AK349" s="586" t="s">
        <v>146</v>
      </c>
      <c r="AL349" s="879" t="s">
        <v>1</v>
      </c>
    </row>
    <row r="350" spans="3:44" ht="13.15" customHeight="1" x14ac:dyDescent="0.2">
      <c r="C350" s="381"/>
      <c r="D350" s="883"/>
      <c r="E350" s="871"/>
      <c r="F350" s="872" t="s">
        <v>136</v>
      </c>
      <c r="G350" s="873" t="s">
        <v>137</v>
      </c>
      <c r="H350" s="872"/>
      <c r="I350" s="872"/>
      <c r="J350" s="874" t="s">
        <v>138</v>
      </c>
      <c r="K350" s="871"/>
      <c r="L350" s="775" t="s">
        <v>442</v>
      </c>
      <c r="M350" s="775" t="s">
        <v>445</v>
      </c>
      <c r="N350" s="775" t="s">
        <v>447</v>
      </c>
      <c r="O350" s="775" t="s">
        <v>448</v>
      </c>
      <c r="P350" s="875" t="s">
        <v>141</v>
      </c>
      <c r="Q350" s="586" t="s">
        <v>451</v>
      </c>
      <c r="R350" s="876" t="s">
        <v>452</v>
      </c>
      <c r="S350" s="884" t="s">
        <v>141</v>
      </c>
      <c r="T350" s="321"/>
      <c r="X350" s="586" t="s">
        <v>460</v>
      </c>
      <c r="Y350" s="885">
        <f>tab!C$193</f>
        <v>0.6</v>
      </c>
      <c r="Z350" s="586" t="s">
        <v>461</v>
      </c>
      <c r="AA350" s="586" t="s">
        <v>462</v>
      </c>
      <c r="AB350" s="586" t="s">
        <v>463</v>
      </c>
      <c r="AC350" s="878" t="s">
        <v>464</v>
      </c>
      <c r="AD350" s="586" t="s">
        <v>464</v>
      </c>
      <c r="AE350" s="586" t="s">
        <v>465</v>
      </c>
      <c r="AF350" s="586"/>
      <c r="AG350" s="586" t="s">
        <v>140</v>
      </c>
      <c r="AH350" s="886" t="s">
        <v>147</v>
      </c>
      <c r="AI350" s="886" t="s">
        <v>147</v>
      </c>
      <c r="AJ350" s="881"/>
      <c r="AK350" s="586" t="s">
        <v>1</v>
      </c>
      <c r="AL350" s="879"/>
    </row>
    <row r="351" spans="3:44" ht="13.15" customHeight="1" x14ac:dyDescent="0.2">
      <c r="C351" s="381"/>
      <c r="D351" s="334"/>
      <c r="E351" s="334"/>
      <c r="F351" s="334"/>
      <c r="G351" s="888"/>
      <c r="H351" s="889"/>
      <c r="I351" s="889"/>
      <c r="J351" s="890"/>
      <c r="K351" s="334"/>
      <c r="L351" s="891"/>
      <c r="M351" s="776"/>
      <c r="N351" s="776"/>
      <c r="O351" s="776"/>
      <c r="P351" s="892"/>
      <c r="Q351" s="893"/>
      <c r="R351" s="776"/>
      <c r="S351" s="776"/>
      <c r="T351" s="334"/>
      <c r="X351" s="878"/>
      <c r="Y351" s="878"/>
      <c r="Z351" s="878"/>
      <c r="AA351" s="878"/>
      <c r="AB351" s="878"/>
      <c r="AC351" s="878"/>
      <c r="AD351" s="878"/>
      <c r="AE351" s="878"/>
      <c r="AF351" s="878"/>
      <c r="AG351" s="878"/>
      <c r="AL351" s="879"/>
    </row>
    <row r="352" spans="3:44" ht="13.15" customHeight="1" x14ac:dyDescent="0.2">
      <c r="C352" s="381"/>
      <c r="D352" s="895" t="str">
        <f>IF(op!D240=0,"",op!D240)</f>
        <v/>
      </c>
      <c r="E352" s="895" t="str">
        <f>IF(op!E240=0,"",op!E240)</f>
        <v>piet</v>
      </c>
      <c r="F352" s="390" t="str">
        <f>IF(op!F240="","",op!F240+1)</f>
        <v/>
      </c>
      <c r="G352" s="896">
        <f>IF(op!G240=0,"",op!G240)</f>
        <v>28140</v>
      </c>
      <c r="H352" s="390" t="str">
        <f>IF(op!H240="","",op!H240)</f>
        <v>L11</v>
      </c>
      <c r="I352" s="897">
        <f t="shared" ref="I352:I383" si="171">IF(E352="","",IF(I240=VLOOKUP(H352,Salaris2021,22,FALSE),I240,I240+1))</f>
        <v>12</v>
      </c>
      <c r="J352" s="898">
        <f>IF(op!J240="","",op!J240)</f>
        <v>1</v>
      </c>
      <c r="K352" s="334"/>
      <c r="L352" s="1140" t="str">
        <f>IF(op!L240="","",op!L240)</f>
        <v/>
      </c>
      <c r="M352" s="1140" t="str">
        <f>IF(op!M240="","",op!M240)</f>
        <v/>
      </c>
      <c r="N352" s="899">
        <f>IF(J352="","",IF(J352*40&gt;40,40,J352*40))</f>
        <v>40</v>
      </c>
      <c r="O352" s="900">
        <f>IF(H352="","",IF(I352&lt;4,IF(40*J352&gt;40,40,40*J352),0))</f>
        <v>0</v>
      </c>
      <c r="P352" s="901">
        <f>IF(J352="","",SUM(L352:O352))</f>
        <v>40</v>
      </c>
      <c r="Q352" s="568">
        <f t="shared" ref="Q352:Q383" si="172">IF(J352="","",(1659*J352-P352)*AA352)</f>
        <v>74498.592405063289</v>
      </c>
      <c r="R352" s="902">
        <f>IF(J352="","",(P352*AB352)+Z352*(AC352+AD352*(1-AE352)))</f>
        <v>1840.6075949367087</v>
      </c>
      <c r="S352" s="903">
        <f t="shared" ref="S352:S383" si="173">IF(E352=0,0,SUM(Q352:R352))</f>
        <v>76339.199999999997</v>
      </c>
      <c r="T352" s="334"/>
      <c r="X352" s="887">
        <f t="shared" ref="X352:X383" si="174">IF(H352="","",VLOOKUP(H352,Salaris2021,I352+1,FALSE))</f>
        <v>3976</v>
      </c>
      <c r="Y352" s="904">
        <f t="shared" ref="Y352:Y383" si="175">$Y$14</f>
        <v>0.6</v>
      </c>
      <c r="Z352" s="905">
        <f>X352*12/1659</f>
        <v>28.759493670886076</v>
      </c>
      <c r="AA352" s="905">
        <f>X352*12*(1+Y352)/1659</f>
        <v>46.015189873417718</v>
      </c>
      <c r="AB352" s="905">
        <f>AA352-Z352</f>
        <v>17.255696202531642</v>
      </c>
      <c r="AC352" s="906">
        <f t="shared" ref="AC352:AC383" si="176">N352+O352</f>
        <v>40</v>
      </c>
      <c r="AD352" s="907">
        <f t="shared" ref="AD352:AD383" si="177">SUM(L352:M352)</f>
        <v>0</v>
      </c>
      <c r="AE352" s="904">
        <f>IF(H352&gt;8,tab!C$194,tab!C$197)</f>
        <v>0.5</v>
      </c>
      <c r="AF352" s="907">
        <f t="shared" ref="AF352:AF383" si="178">IF(F352&lt;25,0,IF(F352=25,25,IF(F352&lt;40,0,IF(F352=40,40,IF(F352&gt;=40,0)))))</f>
        <v>0</v>
      </c>
      <c r="AG352" s="887">
        <f t="shared" ref="AG352:AG383" si="179">IF(AF352=25,(X352*1.08*J352/2),IF(AF352=40,(Y352*1.08*J352),IF(AF352=0,0)))</f>
        <v>0</v>
      </c>
      <c r="AH352" s="908" t="b">
        <f t="shared" ref="AH352:AH383" si="180">DATE(YEAR($E$233),MONTH(G352),DAY(G352))&gt;$E$233</f>
        <v>0</v>
      </c>
      <c r="AI352" s="815">
        <f t="shared" ref="AI352:AI383" si="181">YEAR($E$345)-YEAR(G352)-AH352</f>
        <v>45</v>
      </c>
      <c r="AJ352" s="540">
        <f t="shared" ref="AJ352:AJ383" si="182">IF((G352=""),30,AI352)</f>
        <v>45</v>
      </c>
      <c r="AK352" s="540">
        <f t="shared" ref="AK352:AK451" si="183">IF((AJ352)&gt;50,50,(AJ352))</f>
        <v>45</v>
      </c>
      <c r="AL352" s="909">
        <f t="shared" ref="AL352:AL383" si="184">(AK352*(SUM(J352:J352)))</f>
        <v>45</v>
      </c>
      <c r="AN352" s="539">
        <f t="shared" ref="AN352:AN415" si="185">IF(AND(AL352&gt;0.01,AL352&lt;50.01),1,0)</f>
        <v>1</v>
      </c>
    </row>
    <row r="353" spans="3:47" ht="13.15" customHeight="1" x14ac:dyDescent="0.2">
      <c r="C353" s="381"/>
      <c r="D353" s="895" t="str">
        <f>IF(op!D241=0,"",op!D241)</f>
        <v/>
      </c>
      <c r="E353" s="895" t="str">
        <f>IF(op!E241=0,"",op!E241)</f>
        <v/>
      </c>
      <c r="F353" s="390" t="str">
        <f>IF(op!F241="","",op!F241+1)</f>
        <v/>
      </c>
      <c r="G353" s="896" t="str">
        <f>IF(op!G241=0,"",op!G241)</f>
        <v/>
      </c>
      <c r="H353" s="390" t="str">
        <f>IF(op!H241="","",op!H241)</f>
        <v/>
      </c>
      <c r="I353" s="897" t="str">
        <f t="shared" si="171"/>
        <v/>
      </c>
      <c r="J353" s="898" t="str">
        <f>IF(op!J241="","",op!J241)</f>
        <v/>
      </c>
      <c r="K353" s="334"/>
      <c r="L353" s="1140" t="str">
        <f>IF(op!L241="","",op!L241)</f>
        <v/>
      </c>
      <c r="M353" s="1140" t="str">
        <f>IF(op!M241="","",op!M241)</f>
        <v/>
      </c>
      <c r="N353" s="899" t="str">
        <f t="shared" ref="N353:N416" si="186">IF(J353="","",IF(J353*40&gt;40,40,J353*40))</f>
        <v/>
      </c>
      <c r="O353" s="900" t="str">
        <f t="shared" ref="O353:O416" si="187">IF(H353="","",IF(I353&lt;4,IF(40*J353&gt;40,40,40*J353),0))</f>
        <v/>
      </c>
      <c r="P353" s="901" t="str">
        <f t="shared" ref="P353:P416" si="188">IF(J353="","",SUM(L353:O353))</f>
        <v/>
      </c>
      <c r="Q353" s="568" t="str">
        <f t="shared" si="172"/>
        <v/>
      </c>
      <c r="R353" s="902" t="str">
        <f t="shared" ref="R353:R416" si="189">IF(J353="","",(P353*AB353)+Z353*(AC353+AD353*(1-AE353)))</f>
        <v/>
      </c>
      <c r="S353" s="903">
        <f t="shared" si="173"/>
        <v>0</v>
      </c>
      <c r="T353" s="334"/>
      <c r="X353" s="887" t="str">
        <f t="shared" si="174"/>
        <v/>
      </c>
      <c r="Y353" s="904">
        <f t="shared" si="175"/>
        <v>0.6</v>
      </c>
      <c r="Z353" s="905" t="e">
        <f t="shared" ref="Z353:Z416" si="190">X353*12/1659</f>
        <v>#VALUE!</v>
      </c>
      <c r="AA353" s="905" t="e">
        <f t="shared" ref="AA353:AA416" si="191">X353*12*(1+Y353)/1659</f>
        <v>#VALUE!</v>
      </c>
      <c r="AB353" s="905" t="e">
        <f t="shared" ref="AB353:AB416" si="192">AA353-Z353</f>
        <v>#VALUE!</v>
      </c>
      <c r="AC353" s="906" t="e">
        <f t="shared" si="176"/>
        <v>#VALUE!</v>
      </c>
      <c r="AD353" s="907">
        <f t="shared" si="177"/>
        <v>0</v>
      </c>
      <c r="AE353" s="904">
        <f>IF(H353&gt;8,tab!C$194,tab!C$197)</f>
        <v>0.5</v>
      </c>
      <c r="AF353" s="907">
        <f t="shared" si="178"/>
        <v>0</v>
      </c>
      <c r="AG353" s="887">
        <f t="shared" si="179"/>
        <v>0</v>
      </c>
      <c r="AH353" s="908" t="e">
        <f t="shared" si="180"/>
        <v>#VALUE!</v>
      </c>
      <c r="AI353" s="815" t="e">
        <f t="shared" si="181"/>
        <v>#VALUE!</v>
      </c>
      <c r="AJ353" s="540">
        <f t="shared" si="182"/>
        <v>30</v>
      </c>
      <c r="AK353" s="540">
        <f t="shared" si="183"/>
        <v>30</v>
      </c>
      <c r="AL353" s="909">
        <f t="shared" si="184"/>
        <v>0</v>
      </c>
      <c r="AN353" s="539">
        <f t="shared" si="185"/>
        <v>0</v>
      </c>
      <c r="AT353" s="317"/>
      <c r="AU353" s="317"/>
    </row>
    <row r="354" spans="3:47" ht="13.15" customHeight="1" x14ac:dyDescent="0.2">
      <c r="C354" s="381"/>
      <c r="D354" s="895" t="str">
        <f>IF(op!D242=0,"",op!D242)</f>
        <v/>
      </c>
      <c r="E354" s="895" t="str">
        <f>IF(op!E242=0,"",op!E242)</f>
        <v/>
      </c>
      <c r="F354" s="390" t="str">
        <f>IF(op!F242="","",op!F242+1)</f>
        <v/>
      </c>
      <c r="G354" s="896" t="str">
        <f>IF(op!G242=0,"",op!G242)</f>
        <v/>
      </c>
      <c r="H354" s="390" t="str">
        <f>IF(op!H242="","",op!H242)</f>
        <v/>
      </c>
      <c r="I354" s="897" t="str">
        <f t="shared" si="171"/>
        <v/>
      </c>
      <c r="J354" s="898" t="str">
        <f>IF(op!J242="","",op!J242)</f>
        <v/>
      </c>
      <c r="K354" s="334"/>
      <c r="L354" s="1140" t="str">
        <f>IF(op!L242="","",op!L242)</f>
        <v/>
      </c>
      <c r="M354" s="1140" t="str">
        <f>IF(op!M242="","",op!M242)</f>
        <v/>
      </c>
      <c r="N354" s="899" t="str">
        <f t="shared" si="186"/>
        <v/>
      </c>
      <c r="O354" s="900" t="str">
        <f t="shared" si="187"/>
        <v/>
      </c>
      <c r="P354" s="901" t="str">
        <f t="shared" si="188"/>
        <v/>
      </c>
      <c r="Q354" s="568" t="str">
        <f t="shared" si="172"/>
        <v/>
      </c>
      <c r="R354" s="902" t="str">
        <f t="shared" si="189"/>
        <v/>
      </c>
      <c r="S354" s="903">
        <f t="shared" si="173"/>
        <v>0</v>
      </c>
      <c r="T354" s="334"/>
      <c r="X354" s="887" t="str">
        <f t="shared" si="174"/>
        <v/>
      </c>
      <c r="Y354" s="904">
        <f t="shared" si="175"/>
        <v>0.6</v>
      </c>
      <c r="Z354" s="905" t="e">
        <f t="shared" si="190"/>
        <v>#VALUE!</v>
      </c>
      <c r="AA354" s="905" t="e">
        <f t="shared" si="191"/>
        <v>#VALUE!</v>
      </c>
      <c r="AB354" s="905" t="e">
        <f t="shared" si="192"/>
        <v>#VALUE!</v>
      </c>
      <c r="AC354" s="906" t="e">
        <f t="shared" si="176"/>
        <v>#VALUE!</v>
      </c>
      <c r="AD354" s="907">
        <f t="shared" si="177"/>
        <v>0</v>
      </c>
      <c r="AE354" s="904">
        <f>IF(H354&gt;8,tab!C$194,tab!C$197)</f>
        <v>0.5</v>
      </c>
      <c r="AF354" s="907">
        <f t="shared" si="178"/>
        <v>0</v>
      </c>
      <c r="AG354" s="887">
        <f t="shared" si="179"/>
        <v>0</v>
      </c>
      <c r="AH354" s="908" t="e">
        <f t="shared" si="180"/>
        <v>#VALUE!</v>
      </c>
      <c r="AI354" s="815" t="e">
        <f t="shared" si="181"/>
        <v>#VALUE!</v>
      </c>
      <c r="AJ354" s="540">
        <f t="shared" si="182"/>
        <v>30</v>
      </c>
      <c r="AK354" s="540">
        <f t="shared" si="183"/>
        <v>30</v>
      </c>
      <c r="AL354" s="909">
        <f t="shared" si="184"/>
        <v>0</v>
      </c>
      <c r="AN354" s="539">
        <f t="shared" si="185"/>
        <v>0</v>
      </c>
      <c r="AT354" s="317"/>
      <c r="AU354" s="317"/>
    </row>
    <row r="355" spans="3:47" ht="13.15" customHeight="1" x14ac:dyDescent="0.2">
      <c r="C355" s="381"/>
      <c r="D355" s="895" t="str">
        <f>IF(op!D243=0,"",op!D243)</f>
        <v/>
      </c>
      <c r="E355" s="895" t="str">
        <f>IF(op!E243=0,"",op!E243)</f>
        <v/>
      </c>
      <c r="F355" s="390" t="str">
        <f>IF(op!F243="","",op!F243+1)</f>
        <v/>
      </c>
      <c r="G355" s="896" t="str">
        <f>IF(op!G243=0,"",op!G243)</f>
        <v/>
      </c>
      <c r="H355" s="390" t="str">
        <f>IF(op!H243="","",op!H243)</f>
        <v/>
      </c>
      <c r="I355" s="897" t="str">
        <f t="shared" si="171"/>
        <v/>
      </c>
      <c r="J355" s="898" t="str">
        <f>IF(op!J243="","",op!J243)</f>
        <v/>
      </c>
      <c r="K355" s="334"/>
      <c r="L355" s="1140" t="str">
        <f>IF(op!L243="","",op!L243)</f>
        <v/>
      </c>
      <c r="M355" s="1140" t="str">
        <f>IF(op!M243="","",op!M243)</f>
        <v/>
      </c>
      <c r="N355" s="899" t="str">
        <f t="shared" si="186"/>
        <v/>
      </c>
      <c r="O355" s="900" t="str">
        <f t="shared" si="187"/>
        <v/>
      </c>
      <c r="P355" s="901" t="str">
        <f t="shared" si="188"/>
        <v/>
      </c>
      <c r="Q355" s="568" t="str">
        <f t="shared" si="172"/>
        <v/>
      </c>
      <c r="R355" s="902" t="str">
        <f t="shared" si="189"/>
        <v/>
      </c>
      <c r="S355" s="903">
        <f t="shared" si="173"/>
        <v>0</v>
      </c>
      <c r="T355" s="334"/>
      <c r="X355" s="887" t="str">
        <f t="shared" si="174"/>
        <v/>
      </c>
      <c r="Y355" s="904">
        <f t="shared" si="175"/>
        <v>0.6</v>
      </c>
      <c r="Z355" s="905" t="e">
        <f t="shared" si="190"/>
        <v>#VALUE!</v>
      </c>
      <c r="AA355" s="905" t="e">
        <f t="shared" si="191"/>
        <v>#VALUE!</v>
      </c>
      <c r="AB355" s="905" t="e">
        <f t="shared" si="192"/>
        <v>#VALUE!</v>
      </c>
      <c r="AC355" s="906" t="e">
        <f t="shared" si="176"/>
        <v>#VALUE!</v>
      </c>
      <c r="AD355" s="907">
        <f t="shared" si="177"/>
        <v>0</v>
      </c>
      <c r="AE355" s="904">
        <f>IF(H355&gt;8,tab!C$194,tab!C$197)</f>
        <v>0.5</v>
      </c>
      <c r="AF355" s="907">
        <f t="shared" si="178"/>
        <v>0</v>
      </c>
      <c r="AG355" s="887">
        <f t="shared" si="179"/>
        <v>0</v>
      </c>
      <c r="AH355" s="908" t="e">
        <f t="shared" si="180"/>
        <v>#VALUE!</v>
      </c>
      <c r="AI355" s="815" t="e">
        <f t="shared" si="181"/>
        <v>#VALUE!</v>
      </c>
      <c r="AJ355" s="540">
        <f t="shared" si="182"/>
        <v>30</v>
      </c>
      <c r="AK355" s="540">
        <f t="shared" si="183"/>
        <v>30</v>
      </c>
      <c r="AL355" s="909">
        <f t="shared" si="184"/>
        <v>0</v>
      </c>
      <c r="AN355" s="539">
        <f t="shared" si="185"/>
        <v>0</v>
      </c>
      <c r="AT355" s="317"/>
      <c r="AU355" s="317"/>
    </row>
    <row r="356" spans="3:47" ht="13.15" customHeight="1" x14ac:dyDescent="0.2">
      <c r="C356" s="381"/>
      <c r="D356" s="895" t="str">
        <f>IF(op!D244=0,"",op!D244)</f>
        <v/>
      </c>
      <c r="E356" s="895" t="str">
        <f>IF(op!E244=0,"",op!E244)</f>
        <v/>
      </c>
      <c r="F356" s="390" t="str">
        <f>IF(op!F244="","",op!F244+1)</f>
        <v/>
      </c>
      <c r="G356" s="896" t="str">
        <f>IF(op!G244=0,"",op!G244)</f>
        <v/>
      </c>
      <c r="H356" s="390" t="str">
        <f>IF(op!H244="","",op!H244)</f>
        <v/>
      </c>
      <c r="I356" s="897" t="str">
        <f t="shared" si="171"/>
        <v/>
      </c>
      <c r="J356" s="898" t="str">
        <f>IF(op!J244="","",op!J244)</f>
        <v/>
      </c>
      <c r="K356" s="334"/>
      <c r="L356" s="1140" t="str">
        <f>IF(op!L244="","",op!L244)</f>
        <v/>
      </c>
      <c r="M356" s="1140" t="str">
        <f>IF(op!M244="","",op!M244)</f>
        <v/>
      </c>
      <c r="N356" s="899" t="str">
        <f t="shared" si="186"/>
        <v/>
      </c>
      <c r="O356" s="900" t="str">
        <f t="shared" si="187"/>
        <v/>
      </c>
      <c r="P356" s="901" t="str">
        <f t="shared" si="188"/>
        <v/>
      </c>
      <c r="Q356" s="568" t="str">
        <f t="shared" si="172"/>
        <v/>
      </c>
      <c r="R356" s="902" t="str">
        <f t="shared" si="189"/>
        <v/>
      </c>
      <c r="S356" s="903">
        <f t="shared" si="173"/>
        <v>0</v>
      </c>
      <c r="T356" s="334"/>
      <c r="X356" s="887" t="str">
        <f t="shared" si="174"/>
        <v/>
      </c>
      <c r="Y356" s="904">
        <f t="shared" si="175"/>
        <v>0.6</v>
      </c>
      <c r="Z356" s="905" t="e">
        <f t="shared" si="190"/>
        <v>#VALUE!</v>
      </c>
      <c r="AA356" s="905" t="e">
        <f t="shared" si="191"/>
        <v>#VALUE!</v>
      </c>
      <c r="AB356" s="905" t="e">
        <f t="shared" si="192"/>
        <v>#VALUE!</v>
      </c>
      <c r="AC356" s="906" t="e">
        <f t="shared" si="176"/>
        <v>#VALUE!</v>
      </c>
      <c r="AD356" s="907">
        <f t="shared" si="177"/>
        <v>0</v>
      </c>
      <c r="AE356" s="904">
        <f>IF(H356&gt;8,tab!C$194,tab!C$197)</f>
        <v>0.5</v>
      </c>
      <c r="AF356" s="907">
        <f t="shared" si="178"/>
        <v>0</v>
      </c>
      <c r="AG356" s="887">
        <f t="shared" si="179"/>
        <v>0</v>
      </c>
      <c r="AH356" s="908" t="e">
        <f t="shared" si="180"/>
        <v>#VALUE!</v>
      </c>
      <c r="AI356" s="815" t="e">
        <f t="shared" si="181"/>
        <v>#VALUE!</v>
      </c>
      <c r="AJ356" s="540">
        <f t="shared" si="182"/>
        <v>30</v>
      </c>
      <c r="AK356" s="540">
        <f t="shared" si="183"/>
        <v>30</v>
      </c>
      <c r="AL356" s="909">
        <f t="shared" si="184"/>
        <v>0</v>
      </c>
      <c r="AN356" s="539">
        <f t="shared" si="185"/>
        <v>0</v>
      </c>
      <c r="AT356" s="317"/>
      <c r="AU356" s="317"/>
    </row>
    <row r="357" spans="3:47" ht="13.15" customHeight="1" x14ac:dyDescent="0.2">
      <c r="C357" s="381"/>
      <c r="D357" s="895" t="str">
        <f>IF(op!D245=0,"",op!D245)</f>
        <v/>
      </c>
      <c r="E357" s="895" t="str">
        <f>IF(op!E245=0,"",op!E245)</f>
        <v/>
      </c>
      <c r="F357" s="390" t="str">
        <f>IF(op!F245="","",op!F245+1)</f>
        <v/>
      </c>
      <c r="G357" s="896" t="str">
        <f>IF(op!G245=0,"",op!G245)</f>
        <v/>
      </c>
      <c r="H357" s="390" t="str">
        <f>IF(op!H245="","",op!H245)</f>
        <v/>
      </c>
      <c r="I357" s="897" t="str">
        <f t="shared" si="171"/>
        <v/>
      </c>
      <c r="J357" s="898" t="str">
        <f>IF(op!J245="","",op!J245)</f>
        <v/>
      </c>
      <c r="K357" s="334"/>
      <c r="L357" s="1140" t="str">
        <f>IF(op!L245="","",op!L245)</f>
        <v/>
      </c>
      <c r="M357" s="1140" t="str">
        <f>IF(op!M245="","",op!M245)</f>
        <v/>
      </c>
      <c r="N357" s="899" t="str">
        <f t="shared" si="186"/>
        <v/>
      </c>
      <c r="O357" s="900" t="str">
        <f t="shared" si="187"/>
        <v/>
      </c>
      <c r="P357" s="901" t="str">
        <f t="shared" si="188"/>
        <v/>
      </c>
      <c r="Q357" s="568" t="str">
        <f t="shared" si="172"/>
        <v/>
      </c>
      <c r="R357" s="902" t="str">
        <f t="shared" si="189"/>
        <v/>
      </c>
      <c r="S357" s="903">
        <f t="shared" si="173"/>
        <v>0</v>
      </c>
      <c r="T357" s="334"/>
      <c r="X357" s="887" t="str">
        <f t="shared" si="174"/>
        <v/>
      </c>
      <c r="Y357" s="904">
        <f t="shared" si="175"/>
        <v>0.6</v>
      </c>
      <c r="Z357" s="905" t="e">
        <f t="shared" si="190"/>
        <v>#VALUE!</v>
      </c>
      <c r="AA357" s="905" t="e">
        <f t="shared" si="191"/>
        <v>#VALUE!</v>
      </c>
      <c r="AB357" s="905" t="e">
        <f t="shared" si="192"/>
        <v>#VALUE!</v>
      </c>
      <c r="AC357" s="906" t="e">
        <f t="shared" si="176"/>
        <v>#VALUE!</v>
      </c>
      <c r="AD357" s="907">
        <f t="shared" si="177"/>
        <v>0</v>
      </c>
      <c r="AE357" s="904">
        <f>IF(H357&gt;8,tab!C$194,tab!C$197)</f>
        <v>0.5</v>
      </c>
      <c r="AF357" s="907">
        <f t="shared" si="178"/>
        <v>0</v>
      </c>
      <c r="AG357" s="887">
        <f t="shared" si="179"/>
        <v>0</v>
      </c>
      <c r="AH357" s="908" t="e">
        <f t="shared" si="180"/>
        <v>#VALUE!</v>
      </c>
      <c r="AI357" s="815" t="e">
        <f t="shared" si="181"/>
        <v>#VALUE!</v>
      </c>
      <c r="AJ357" s="540">
        <f t="shared" si="182"/>
        <v>30</v>
      </c>
      <c r="AK357" s="540">
        <f t="shared" si="183"/>
        <v>30</v>
      </c>
      <c r="AL357" s="909">
        <f t="shared" si="184"/>
        <v>0</v>
      </c>
      <c r="AN357" s="539">
        <f t="shared" si="185"/>
        <v>0</v>
      </c>
      <c r="AT357" s="317"/>
      <c r="AU357" s="317"/>
    </row>
    <row r="358" spans="3:47" ht="13.15" customHeight="1" x14ac:dyDescent="0.2">
      <c r="C358" s="381"/>
      <c r="D358" s="895" t="str">
        <f>IF(op!D246=0,"",op!D246)</f>
        <v/>
      </c>
      <c r="E358" s="895" t="str">
        <f>IF(op!E246=0,"",op!E246)</f>
        <v/>
      </c>
      <c r="F358" s="390" t="str">
        <f>IF(op!F246="","",op!F246+1)</f>
        <v/>
      </c>
      <c r="G358" s="896" t="str">
        <f>IF(op!G246=0,"",op!G246)</f>
        <v/>
      </c>
      <c r="H358" s="390" t="str">
        <f>IF(op!H246="","",op!H246)</f>
        <v/>
      </c>
      <c r="I358" s="897" t="str">
        <f t="shared" si="171"/>
        <v/>
      </c>
      <c r="J358" s="898" t="str">
        <f>IF(op!J246="","",op!J246)</f>
        <v/>
      </c>
      <c r="K358" s="334"/>
      <c r="L358" s="1140" t="str">
        <f>IF(op!L246="","",op!L246)</f>
        <v/>
      </c>
      <c r="M358" s="1140" t="str">
        <f>IF(op!M246="","",op!M246)</f>
        <v/>
      </c>
      <c r="N358" s="899" t="str">
        <f t="shared" si="186"/>
        <v/>
      </c>
      <c r="O358" s="900" t="str">
        <f t="shared" si="187"/>
        <v/>
      </c>
      <c r="P358" s="901" t="str">
        <f t="shared" si="188"/>
        <v/>
      </c>
      <c r="Q358" s="568" t="str">
        <f t="shared" si="172"/>
        <v/>
      </c>
      <c r="R358" s="902" t="str">
        <f t="shared" si="189"/>
        <v/>
      </c>
      <c r="S358" s="903">
        <f t="shared" si="173"/>
        <v>0</v>
      </c>
      <c r="T358" s="334"/>
      <c r="X358" s="887" t="str">
        <f t="shared" si="174"/>
        <v/>
      </c>
      <c r="Y358" s="904">
        <f t="shared" si="175"/>
        <v>0.6</v>
      </c>
      <c r="Z358" s="905" t="e">
        <f t="shared" si="190"/>
        <v>#VALUE!</v>
      </c>
      <c r="AA358" s="905" t="e">
        <f t="shared" si="191"/>
        <v>#VALUE!</v>
      </c>
      <c r="AB358" s="905" t="e">
        <f t="shared" si="192"/>
        <v>#VALUE!</v>
      </c>
      <c r="AC358" s="906" t="e">
        <f t="shared" si="176"/>
        <v>#VALUE!</v>
      </c>
      <c r="AD358" s="907">
        <f t="shared" si="177"/>
        <v>0</v>
      </c>
      <c r="AE358" s="904">
        <f>IF(H358&gt;8,tab!C$194,tab!C$197)</f>
        <v>0.5</v>
      </c>
      <c r="AF358" s="907">
        <f t="shared" si="178"/>
        <v>0</v>
      </c>
      <c r="AG358" s="887">
        <f t="shared" si="179"/>
        <v>0</v>
      </c>
      <c r="AH358" s="908" t="e">
        <f t="shared" si="180"/>
        <v>#VALUE!</v>
      </c>
      <c r="AI358" s="815" t="e">
        <f t="shared" si="181"/>
        <v>#VALUE!</v>
      </c>
      <c r="AJ358" s="540">
        <f t="shared" si="182"/>
        <v>30</v>
      </c>
      <c r="AK358" s="540">
        <f t="shared" si="183"/>
        <v>30</v>
      </c>
      <c r="AL358" s="909">
        <f t="shared" si="184"/>
        <v>0</v>
      </c>
      <c r="AN358" s="539">
        <f t="shared" si="185"/>
        <v>0</v>
      </c>
      <c r="AT358" s="317"/>
      <c r="AU358" s="317"/>
    </row>
    <row r="359" spans="3:47" ht="13.15" customHeight="1" x14ac:dyDescent="0.2">
      <c r="C359" s="381"/>
      <c r="D359" s="895" t="str">
        <f>IF(op!D247=0,"",op!D247)</f>
        <v/>
      </c>
      <c r="E359" s="895" t="str">
        <f>IF(op!E247=0,"",op!E247)</f>
        <v/>
      </c>
      <c r="F359" s="390" t="str">
        <f>IF(op!F247="","",op!F247+1)</f>
        <v/>
      </c>
      <c r="G359" s="896" t="str">
        <f>IF(op!G247=0,"",op!G247)</f>
        <v/>
      </c>
      <c r="H359" s="390" t="str">
        <f>IF(op!H247="","",op!H247)</f>
        <v/>
      </c>
      <c r="I359" s="897" t="str">
        <f t="shared" si="171"/>
        <v/>
      </c>
      <c r="J359" s="898" t="str">
        <f>IF(op!J247="","",op!J247)</f>
        <v/>
      </c>
      <c r="K359" s="334"/>
      <c r="L359" s="1140" t="str">
        <f>IF(op!L247="","",op!L247)</f>
        <v/>
      </c>
      <c r="M359" s="1140" t="str">
        <f>IF(op!M247="","",op!M247)</f>
        <v/>
      </c>
      <c r="N359" s="899" t="str">
        <f t="shared" si="186"/>
        <v/>
      </c>
      <c r="O359" s="900" t="str">
        <f t="shared" si="187"/>
        <v/>
      </c>
      <c r="P359" s="901" t="str">
        <f t="shared" si="188"/>
        <v/>
      </c>
      <c r="Q359" s="568" t="str">
        <f t="shared" si="172"/>
        <v/>
      </c>
      <c r="R359" s="902" t="str">
        <f t="shared" si="189"/>
        <v/>
      </c>
      <c r="S359" s="903">
        <f t="shared" si="173"/>
        <v>0</v>
      </c>
      <c r="T359" s="334"/>
      <c r="X359" s="887" t="str">
        <f t="shared" si="174"/>
        <v/>
      </c>
      <c r="Y359" s="904">
        <f t="shared" si="175"/>
        <v>0.6</v>
      </c>
      <c r="Z359" s="905" t="e">
        <f t="shared" si="190"/>
        <v>#VALUE!</v>
      </c>
      <c r="AA359" s="905" t="e">
        <f t="shared" si="191"/>
        <v>#VALUE!</v>
      </c>
      <c r="AB359" s="905" t="e">
        <f t="shared" si="192"/>
        <v>#VALUE!</v>
      </c>
      <c r="AC359" s="906" t="e">
        <f t="shared" si="176"/>
        <v>#VALUE!</v>
      </c>
      <c r="AD359" s="907">
        <f t="shared" si="177"/>
        <v>0</v>
      </c>
      <c r="AE359" s="904">
        <f>IF(H359&gt;8,tab!C$194,tab!C$197)</f>
        <v>0.5</v>
      </c>
      <c r="AF359" s="907">
        <f t="shared" si="178"/>
        <v>0</v>
      </c>
      <c r="AG359" s="887">
        <f t="shared" si="179"/>
        <v>0</v>
      </c>
      <c r="AH359" s="908" t="e">
        <f t="shared" si="180"/>
        <v>#VALUE!</v>
      </c>
      <c r="AI359" s="815" t="e">
        <f t="shared" si="181"/>
        <v>#VALUE!</v>
      </c>
      <c r="AJ359" s="540">
        <f t="shared" si="182"/>
        <v>30</v>
      </c>
      <c r="AK359" s="540">
        <f t="shared" si="183"/>
        <v>30</v>
      </c>
      <c r="AL359" s="909">
        <f t="shared" si="184"/>
        <v>0</v>
      </c>
      <c r="AN359" s="539">
        <f t="shared" si="185"/>
        <v>0</v>
      </c>
      <c r="AT359" s="317"/>
      <c r="AU359" s="317"/>
    </row>
    <row r="360" spans="3:47" ht="13.15" customHeight="1" x14ac:dyDescent="0.2">
      <c r="C360" s="381"/>
      <c r="D360" s="895" t="str">
        <f>IF(op!D248=0,"",op!D248)</f>
        <v/>
      </c>
      <c r="E360" s="895" t="str">
        <f>IF(op!E248=0,"",op!E248)</f>
        <v/>
      </c>
      <c r="F360" s="390" t="str">
        <f>IF(op!F248="","",op!F248+1)</f>
        <v/>
      </c>
      <c r="G360" s="896" t="str">
        <f>IF(op!G248=0,"",op!G248)</f>
        <v/>
      </c>
      <c r="H360" s="390" t="str">
        <f>IF(op!H248="","",op!H248)</f>
        <v/>
      </c>
      <c r="I360" s="897" t="str">
        <f t="shared" si="171"/>
        <v/>
      </c>
      <c r="J360" s="898" t="str">
        <f>IF(op!J248="","",op!J248)</f>
        <v/>
      </c>
      <c r="K360" s="334"/>
      <c r="L360" s="1140" t="str">
        <f>IF(op!L248="","",op!L248)</f>
        <v/>
      </c>
      <c r="M360" s="1140" t="str">
        <f>IF(op!M248="","",op!M248)</f>
        <v/>
      </c>
      <c r="N360" s="899" t="str">
        <f t="shared" si="186"/>
        <v/>
      </c>
      <c r="O360" s="900" t="str">
        <f t="shared" si="187"/>
        <v/>
      </c>
      <c r="P360" s="901" t="str">
        <f t="shared" si="188"/>
        <v/>
      </c>
      <c r="Q360" s="568" t="str">
        <f t="shared" si="172"/>
        <v/>
      </c>
      <c r="R360" s="902" t="str">
        <f t="shared" si="189"/>
        <v/>
      </c>
      <c r="S360" s="903">
        <f t="shared" si="173"/>
        <v>0</v>
      </c>
      <c r="T360" s="334"/>
      <c r="X360" s="887" t="str">
        <f t="shared" si="174"/>
        <v/>
      </c>
      <c r="Y360" s="904">
        <f t="shared" si="175"/>
        <v>0.6</v>
      </c>
      <c r="Z360" s="905" t="e">
        <f t="shared" si="190"/>
        <v>#VALUE!</v>
      </c>
      <c r="AA360" s="905" t="e">
        <f t="shared" si="191"/>
        <v>#VALUE!</v>
      </c>
      <c r="AB360" s="905" t="e">
        <f t="shared" si="192"/>
        <v>#VALUE!</v>
      </c>
      <c r="AC360" s="906" t="e">
        <f t="shared" si="176"/>
        <v>#VALUE!</v>
      </c>
      <c r="AD360" s="907">
        <f t="shared" si="177"/>
        <v>0</v>
      </c>
      <c r="AE360" s="904">
        <f>IF(H360&gt;8,tab!C$194,tab!C$197)</f>
        <v>0.5</v>
      </c>
      <c r="AF360" s="907">
        <f t="shared" si="178"/>
        <v>0</v>
      </c>
      <c r="AG360" s="887">
        <f t="shared" si="179"/>
        <v>0</v>
      </c>
      <c r="AH360" s="908" t="e">
        <f t="shared" si="180"/>
        <v>#VALUE!</v>
      </c>
      <c r="AI360" s="815" t="e">
        <f t="shared" si="181"/>
        <v>#VALUE!</v>
      </c>
      <c r="AJ360" s="540">
        <f t="shared" si="182"/>
        <v>30</v>
      </c>
      <c r="AK360" s="540">
        <f t="shared" si="183"/>
        <v>30</v>
      </c>
      <c r="AL360" s="909">
        <f t="shared" si="184"/>
        <v>0</v>
      </c>
      <c r="AN360" s="539">
        <f t="shared" si="185"/>
        <v>0</v>
      </c>
      <c r="AT360" s="317"/>
      <c r="AU360" s="317"/>
    </row>
    <row r="361" spans="3:47" ht="13.15" customHeight="1" x14ac:dyDescent="0.2">
      <c r="C361" s="381"/>
      <c r="D361" s="895" t="str">
        <f>IF(op!D249=0,"",op!D249)</f>
        <v/>
      </c>
      <c r="E361" s="895" t="str">
        <f>IF(op!E249=0,"",op!E249)</f>
        <v/>
      </c>
      <c r="F361" s="390" t="str">
        <f>IF(op!F249="","",op!F249+1)</f>
        <v/>
      </c>
      <c r="G361" s="896" t="str">
        <f>IF(op!G249=0,"",op!G249)</f>
        <v/>
      </c>
      <c r="H361" s="390" t="str">
        <f>IF(op!H249="","",op!H249)</f>
        <v/>
      </c>
      <c r="I361" s="897" t="str">
        <f t="shared" si="171"/>
        <v/>
      </c>
      <c r="J361" s="898" t="str">
        <f>IF(op!J249="","",op!J249)</f>
        <v/>
      </c>
      <c r="K361" s="334"/>
      <c r="L361" s="1140" t="str">
        <f>IF(op!L249="","",op!L249)</f>
        <v/>
      </c>
      <c r="M361" s="1140" t="str">
        <f>IF(op!M249="","",op!M249)</f>
        <v/>
      </c>
      <c r="N361" s="899" t="str">
        <f t="shared" si="186"/>
        <v/>
      </c>
      <c r="O361" s="900" t="str">
        <f t="shared" si="187"/>
        <v/>
      </c>
      <c r="P361" s="901" t="str">
        <f t="shared" si="188"/>
        <v/>
      </c>
      <c r="Q361" s="568" t="str">
        <f t="shared" si="172"/>
        <v/>
      </c>
      <c r="R361" s="902" t="str">
        <f t="shared" si="189"/>
        <v/>
      </c>
      <c r="S361" s="903">
        <f t="shared" si="173"/>
        <v>0</v>
      </c>
      <c r="T361" s="334"/>
      <c r="X361" s="887" t="str">
        <f t="shared" si="174"/>
        <v/>
      </c>
      <c r="Y361" s="904">
        <f t="shared" si="175"/>
        <v>0.6</v>
      </c>
      <c r="Z361" s="905" t="e">
        <f t="shared" si="190"/>
        <v>#VALUE!</v>
      </c>
      <c r="AA361" s="905" t="e">
        <f t="shared" si="191"/>
        <v>#VALUE!</v>
      </c>
      <c r="AB361" s="905" t="e">
        <f t="shared" si="192"/>
        <v>#VALUE!</v>
      </c>
      <c r="AC361" s="906" t="e">
        <f t="shared" si="176"/>
        <v>#VALUE!</v>
      </c>
      <c r="AD361" s="907">
        <f t="shared" si="177"/>
        <v>0</v>
      </c>
      <c r="AE361" s="904">
        <f>IF(H361&gt;8,tab!C$194,tab!C$197)</f>
        <v>0.5</v>
      </c>
      <c r="AF361" s="907">
        <f t="shared" si="178"/>
        <v>0</v>
      </c>
      <c r="AG361" s="887">
        <f t="shared" si="179"/>
        <v>0</v>
      </c>
      <c r="AH361" s="908" t="e">
        <f t="shared" si="180"/>
        <v>#VALUE!</v>
      </c>
      <c r="AI361" s="815" t="e">
        <f t="shared" si="181"/>
        <v>#VALUE!</v>
      </c>
      <c r="AJ361" s="540">
        <f t="shared" si="182"/>
        <v>30</v>
      </c>
      <c r="AK361" s="540">
        <f t="shared" si="183"/>
        <v>30</v>
      </c>
      <c r="AL361" s="909">
        <f t="shared" si="184"/>
        <v>0</v>
      </c>
      <c r="AN361" s="539">
        <f t="shared" si="185"/>
        <v>0</v>
      </c>
      <c r="AT361" s="317"/>
      <c r="AU361" s="317"/>
    </row>
    <row r="362" spans="3:47" ht="13.15" customHeight="1" x14ac:dyDescent="0.2">
      <c r="C362" s="381"/>
      <c r="D362" s="895" t="str">
        <f>IF(op!D250=0,"",op!D250)</f>
        <v/>
      </c>
      <c r="E362" s="895" t="str">
        <f>IF(op!E250=0,"",op!E250)</f>
        <v/>
      </c>
      <c r="F362" s="390" t="str">
        <f>IF(op!F250="","",op!F250+1)</f>
        <v/>
      </c>
      <c r="G362" s="896" t="str">
        <f>IF(op!G250=0,"",op!G250)</f>
        <v/>
      </c>
      <c r="H362" s="390" t="str">
        <f>IF(op!H250="","",op!H250)</f>
        <v/>
      </c>
      <c r="I362" s="897" t="str">
        <f t="shared" si="171"/>
        <v/>
      </c>
      <c r="J362" s="898" t="str">
        <f>IF(op!J250="","",op!J250)</f>
        <v/>
      </c>
      <c r="K362" s="334"/>
      <c r="L362" s="1140" t="str">
        <f>IF(op!L250="","",op!L250)</f>
        <v/>
      </c>
      <c r="M362" s="1140" t="str">
        <f>IF(op!M250="","",op!M250)</f>
        <v/>
      </c>
      <c r="N362" s="899" t="str">
        <f t="shared" si="186"/>
        <v/>
      </c>
      <c r="O362" s="900" t="str">
        <f t="shared" si="187"/>
        <v/>
      </c>
      <c r="P362" s="901" t="str">
        <f t="shared" si="188"/>
        <v/>
      </c>
      <c r="Q362" s="568" t="str">
        <f t="shared" si="172"/>
        <v/>
      </c>
      <c r="R362" s="902" t="str">
        <f t="shared" si="189"/>
        <v/>
      </c>
      <c r="S362" s="903">
        <f t="shared" si="173"/>
        <v>0</v>
      </c>
      <c r="T362" s="334"/>
      <c r="X362" s="887" t="str">
        <f t="shared" si="174"/>
        <v/>
      </c>
      <c r="Y362" s="904">
        <f t="shared" si="175"/>
        <v>0.6</v>
      </c>
      <c r="Z362" s="905" t="e">
        <f t="shared" si="190"/>
        <v>#VALUE!</v>
      </c>
      <c r="AA362" s="905" t="e">
        <f t="shared" si="191"/>
        <v>#VALUE!</v>
      </c>
      <c r="AB362" s="905" t="e">
        <f t="shared" si="192"/>
        <v>#VALUE!</v>
      </c>
      <c r="AC362" s="906" t="e">
        <f t="shared" si="176"/>
        <v>#VALUE!</v>
      </c>
      <c r="AD362" s="907">
        <f t="shared" si="177"/>
        <v>0</v>
      </c>
      <c r="AE362" s="904">
        <f>IF(H362&gt;8,tab!C$194,tab!C$197)</f>
        <v>0.5</v>
      </c>
      <c r="AF362" s="907">
        <f t="shared" si="178"/>
        <v>0</v>
      </c>
      <c r="AG362" s="887">
        <f t="shared" si="179"/>
        <v>0</v>
      </c>
      <c r="AH362" s="908" t="e">
        <f t="shared" si="180"/>
        <v>#VALUE!</v>
      </c>
      <c r="AI362" s="815" t="e">
        <f t="shared" si="181"/>
        <v>#VALUE!</v>
      </c>
      <c r="AJ362" s="540">
        <f t="shared" si="182"/>
        <v>30</v>
      </c>
      <c r="AK362" s="540">
        <f t="shared" si="183"/>
        <v>30</v>
      </c>
      <c r="AL362" s="909">
        <f t="shared" si="184"/>
        <v>0</v>
      </c>
      <c r="AN362" s="539">
        <f t="shared" si="185"/>
        <v>0</v>
      </c>
      <c r="AT362" s="317"/>
      <c r="AU362" s="317"/>
    </row>
    <row r="363" spans="3:47" ht="13.15" customHeight="1" x14ac:dyDescent="0.2">
      <c r="C363" s="381"/>
      <c r="D363" s="895" t="str">
        <f>IF(op!D251=0,"",op!D251)</f>
        <v/>
      </c>
      <c r="E363" s="895" t="str">
        <f>IF(op!E251=0,"",op!E251)</f>
        <v/>
      </c>
      <c r="F363" s="390" t="str">
        <f>IF(op!F251="","",op!F251+1)</f>
        <v/>
      </c>
      <c r="G363" s="896" t="str">
        <f>IF(op!G251=0,"",op!G251)</f>
        <v/>
      </c>
      <c r="H363" s="390" t="str">
        <f>IF(op!H251="","",op!H251)</f>
        <v/>
      </c>
      <c r="I363" s="897" t="str">
        <f t="shared" si="171"/>
        <v/>
      </c>
      <c r="J363" s="898" t="str">
        <f>IF(op!J251="","",op!J251)</f>
        <v/>
      </c>
      <c r="K363" s="334"/>
      <c r="L363" s="1140" t="str">
        <f>IF(op!L251="","",op!L251)</f>
        <v/>
      </c>
      <c r="M363" s="1140" t="str">
        <f>IF(op!M251="","",op!M251)</f>
        <v/>
      </c>
      <c r="N363" s="899" t="str">
        <f t="shared" si="186"/>
        <v/>
      </c>
      <c r="O363" s="900" t="str">
        <f t="shared" si="187"/>
        <v/>
      </c>
      <c r="P363" s="901" t="str">
        <f t="shared" si="188"/>
        <v/>
      </c>
      <c r="Q363" s="568" t="str">
        <f t="shared" si="172"/>
        <v/>
      </c>
      <c r="R363" s="902" t="str">
        <f t="shared" si="189"/>
        <v/>
      </c>
      <c r="S363" s="903">
        <f t="shared" si="173"/>
        <v>0</v>
      </c>
      <c r="T363" s="334"/>
      <c r="X363" s="887" t="str">
        <f t="shared" si="174"/>
        <v/>
      </c>
      <c r="Y363" s="904">
        <f t="shared" si="175"/>
        <v>0.6</v>
      </c>
      <c r="Z363" s="905" t="e">
        <f t="shared" si="190"/>
        <v>#VALUE!</v>
      </c>
      <c r="AA363" s="905" t="e">
        <f t="shared" si="191"/>
        <v>#VALUE!</v>
      </c>
      <c r="AB363" s="905" t="e">
        <f t="shared" si="192"/>
        <v>#VALUE!</v>
      </c>
      <c r="AC363" s="906" t="e">
        <f t="shared" si="176"/>
        <v>#VALUE!</v>
      </c>
      <c r="AD363" s="907">
        <f t="shared" si="177"/>
        <v>0</v>
      </c>
      <c r="AE363" s="904">
        <f>IF(H363&gt;8,tab!C$194,tab!C$197)</f>
        <v>0.5</v>
      </c>
      <c r="AF363" s="907">
        <f t="shared" si="178"/>
        <v>0</v>
      </c>
      <c r="AG363" s="887">
        <f t="shared" si="179"/>
        <v>0</v>
      </c>
      <c r="AH363" s="908" t="e">
        <f t="shared" si="180"/>
        <v>#VALUE!</v>
      </c>
      <c r="AI363" s="815" t="e">
        <f t="shared" si="181"/>
        <v>#VALUE!</v>
      </c>
      <c r="AJ363" s="540">
        <f t="shared" si="182"/>
        <v>30</v>
      </c>
      <c r="AK363" s="540">
        <f t="shared" si="183"/>
        <v>30</v>
      </c>
      <c r="AL363" s="909">
        <f t="shared" si="184"/>
        <v>0</v>
      </c>
      <c r="AN363" s="539">
        <f t="shared" si="185"/>
        <v>0</v>
      </c>
      <c r="AT363" s="317"/>
      <c r="AU363" s="317"/>
    </row>
    <row r="364" spans="3:47" ht="13.15" customHeight="1" x14ac:dyDescent="0.2">
      <c r="C364" s="381"/>
      <c r="D364" s="895" t="str">
        <f>IF(op!D252=0,"",op!D252)</f>
        <v/>
      </c>
      <c r="E364" s="895" t="str">
        <f>IF(op!E252=0,"",op!E252)</f>
        <v/>
      </c>
      <c r="F364" s="390" t="str">
        <f>IF(op!F252="","",op!F252+1)</f>
        <v/>
      </c>
      <c r="G364" s="896" t="str">
        <f>IF(op!G252=0,"",op!G252)</f>
        <v/>
      </c>
      <c r="H364" s="390" t="str">
        <f>IF(op!H252="","",op!H252)</f>
        <v/>
      </c>
      <c r="I364" s="897" t="str">
        <f t="shared" si="171"/>
        <v/>
      </c>
      <c r="J364" s="898" t="str">
        <f>IF(op!J252="","",op!J252)</f>
        <v/>
      </c>
      <c r="K364" s="334"/>
      <c r="L364" s="1140" t="str">
        <f>IF(op!L252="","",op!L252)</f>
        <v/>
      </c>
      <c r="M364" s="1140" t="str">
        <f>IF(op!M252="","",op!M252)</f>
        <v/>
      </c>
      <c r="N364" s="899" t="str">
        <f t="shared" si="186"/>
        <v/>
      </c>
      <c r="O364" s="900" t="str">
        <f t="shared" si="187"/>
        <v/>
      </c>
      <c r="P364" s="901" t="str">
        <f t="shared" si="188"/>
        <v/>
      </c>
      <c r="Q364" s="568" t="str">
        <f t="shared" si="172"/>
        <v/>
      </c>
      <c r="R364" s="902" t="str">
        <f t="shared" si="189"/>
        <v/>
      </c>
      <c r="S364" s="903">
        <f t="shared" si="173"/>
        <v>0</v>
      </c>
      <c r="T364" s="334"/>
      <c r="X364" s="887" t="str">
        <f t="shared" si="174"/>
        <v/>
      </c>
      <c r="Y364" s="904">
        <f t="shared" si="175"/>
        <v>0.6</v>
      </c>
      <c r="Z364" s="905" t="e">
        <f t="shared" si="190"/>
        <v>#VALUE!</v>
      </c>
      <c r="AA364" s="905" t="e">
        <f t="shared" si="191"/>
        <v>#VALUE!</v>
      </c>
      <c r="AB364" s="905" t="e">
        <f t="shared" si="192"/>
        <v>#VALUE!</v>
      </c>
      <c r="AC364" s="906" t="e">
        <f t="shared" si="176"/>
        <v>#VALUE!</v>
      </c>
      <c r="AD364" s="907">
        <f t="shared" si="177"/>
        <v>0</v>
      </c>
      <c r="AE364" s="904">
        <f>IF(H364&gt;8,tab!C$194,tab!C$197)</f>
        <v>0.5</v>
      </c>
      <c r="AF364" s="907">
        <f t="shared" si="178"/>
        <v>0</v>
      </c>
      <c r="AG364" s="887">
        <f t="shared" si="179"/>
        <v>0</v>
      </c>
      <c r="AH364" s="908" t="e">
        <f t="shared" si="180"/>
        <v>#VALUE!</v>
      </c>
      <c r="AI364" s="815" t="e">
        <f t="shared" si="181"/>
        <v>#VALUE!</v>
      </c>
      <c r="AJ364" s="540">
        <f t="shared" si="182"/>
        <v>30</v>
      </c>
      <c r="AK364" s="540">
        <f t="shared" si="183"/>
        <v>30</v>
      </c>
      <c r="AL364" s="909">
        <f t="shared" si="184"/>
        <v>0</v>
      </c>
      <c r="AN364" s="539">
        <f t="shared" si="185"/>
        <v>0</v>
      </c>
      <c r="AT364" s="317"/>
      <c r="AU364" s="317"/>
    </row>
    <row r="365" spans="3:47" ht="13.15" customHeight="1" x14ac:dyDescent="0.2">
      <c r="C365" s="381"/>
      <c r="D365" s="895" t="str">
        <f>IF(op!D253=0,"",op!D253)</f>
        <v/>
      </c>
      <c r="E365" s="895" t="str">
        <f>IF(op!E253=0,"",op!E253)</f>
        <v/>
      </c>
      <c r="F365" s="390" t="str">
        <f>IF(op!F253="","",op!F253+1)</f>
        <v/>
      </c>
      <c r="G365" s="896" t="str">
        <f>IF(op!G253=0,"",op!G253)</f>
        <v/>
      </c>
      <c r="H365" s="390" t="str">
        <f>IF(op!H253="","",op!H253)</f>
        <v/>
      </c>
      <c r="I365" s="897" t="str">
        <f t="shared" si="171"/>
        <v/>
      </c>
      <c r="J365" s="898" t="str">
        <f>IF(op!J253="","",op!J253)</f>
        <v/>
      </c>
      <c r="K365" s="334"/>
      <c r="L365" s="1140" t="str">
        <f>IF(op!L253="","",op!L253)</f>
        <v/>
      </c>
      <c r="M365" s="1140" t="str">
        <f>IF(op!M253="","",op!M253)</f>
        <v/>
      </c>
      <c r="N365" s="899" t="str">
        <f t="shared" si="186"/>
        <v/>
      </c>
      <c r="O365" s="900" t="str">
        <f t="shared" si="187"/>
        <v/>
      </c>
      <c r="P365" s="901" t="str">
        <f t="shared" si="188"/>
        <v/>
      </c>
      <c r="Q365" s="568" t="str">
        <f t="shared" si="172"/>
        <v/>
      </c>
      <c r="R365" s="902" t="str">
        <f t="shared" si="189"/>
        <v/>
      </c>
      <c r="S365" s="903">
        <f t="shared" si="173"/>
        <v>0</v>
      </c>
      <c r="T365" s="334"/>
      <c r="X365" s="887" t="str">
        <f t="shared" si="174"/>
        <v/>
      </c>
      <c r="Y365" s="904">
        <f t="shared" si="175"/>
        <v>0.6</v>
      </c>
      <c r="Z365" s="905" t="e">
        <f t="shared" si="190"/>
        <v>#VALUE!</v>
      </c>
      <c r="AA365" s="905" t="e">
        <f t="shared" si="191"/>
        <v>#VALUE!</v>
      </c>
      <c r="AB365" s="905" t="e">
        <f t="shared" si="192"/>
        <v>#VALUE!</v>
      </c>
      <c r="AC365" s="906" t="e">
        <f t="shared" si="176"/>
        <v>#VALUE!</v>
      </c>
      <c r="AD365" s="907">
        <f t="shared" si="177"/>
        <v>0</v>
      </c>
      <c r="AE365" s="904">
        <f>IF(H365&gt;8,tab!C$194,tab!C$197)</f>
        <v>0.5</v>
      </c>
      <c r="AF365" s="907">
        <f t="shared" si="178"/>
        <v>0</v>
      </c>
      <c r="AG365" s="887">
        <f t="shared" si="179"/>
        <v>0</v>
      </c>
      <c r="AH365" s="908" t="e">
        <f t="shared" si="180"/>
        <v>#VALUE!</v>
      </c>
      <c r="AI365" s="815" t="e">
        <f t="shared" si="181"/>
        <v>#VALUE!</v>
      </c>
      <c r="AJ365" s="540">
        <f t="shared" si="182"/>
        <v>30</v>
      </c>
      <c r="AK365" s="540">
        <f t="shared" si="183"/>
        <v>30</v>
      </c>
      <c r="AL365" s="909">
        <f t="shared" si="184"/>
        <v>0</v>
      </c>
      <c r="AN365" s="539">
        <f t="shared" si="185"/>
        <v>0</v>
      </c>
      <c r="AT365" s="317"/>
      <c r="AU365" s="317"/>
    </row>
    <row r="366" spans="3:47" ht="13.15" customHeight="1" x14ac:dyDescent="0.2">
      <c r="C366" s="381"/>
      <c r="D366" s="895" t="str">
        <f>IF(op!D254=0,"",op!D254)</f>
        <v/>
      </c>
      <c r="E366" s="895" t="str">
        <f>IF(op!E254=0,"",op!E254)</f>
        <v/>
      </c>
      <c r="F366" s="390" t="str">
        <f>IF(op!F254="","",op!F254+1)</f>
        <v/>
      </c>
      <c r="G366" s="896" t="str">
        <f>IF(op!G254=0,"",op!G254)</f>
        <v/>
      </c>
      <c r="H366" s="390" t="str">
        <f>IF(op!H254="","",op!H254)</f>
        <v/>
      </c>
      <c r="I366" s="897" t="str">
        <f t="shared" si="171"/>
        <v/>
      </c>
      <c r="J366" s="898" t="str">
        <f>IF(op!J254="","",op!J254)</f>
        <v/>
      </c>
      <c r="K366" s="334"/>
      <c r="L366" s="1140" t="str">
        <f>IF(op!L254="","",op!L254)</f>
        <v/>
      </c>
      <c r="M366" s="1140" t="str">
        <f>IF(op!M254="","",op!M254)</f>
        <v/>
      </c>
      <c r="N366" s="899" t="str">
        <f t="shared" si="186"/>
        <v/>
      </c>
      <c r="O366" s="900" t="str">
        <f t="shared" si="187"/>
        <v/>
      </c>
      <c r="P366" s="901" t="str">
        <f t="shared" si="188"/>
        <v/>
      </c>
      <c r="Q366" s="568" t="str">
        <f t="shared" si="172"/>
        <v/>
      </c>
      <c r="R366" s="902" t="str">
        <f t="shared" si="189"/>
        <v/>
      </c>
      <c r="S366" s="903">
        <f t="shared" si="173"/>
        <v>0</v>
      </c>
      <c r="T366" s="334"/>
      <c r="X366" s="887" t="str">
        <f t="shared" si="174"/>
        <v/>
      </c>
      <c r="Y366" s="904">
        <f t="shared" si="175"/>
        <v>0.6</v>
      </c>
      <c r="Z366" s="905" t="e">
        <f t="shared" si="190"/>
        <v>#VALUE!</v>
      </c>
      <c r="AA366" s="905" t="e">
        <f t="shared" si="191"/>
        <v>#VALUE!</v>
      </c>
      <c r="AB366" s="905" t="e">
        <f t="shared" si="192"/>
        <v>#VALUE!</v>
      </c>
      <c r="AC366" s="906" t="e">
        <f t="shared" si="176"/>
        <v>#VALUE!</v>
      </c>
      <c r="AD366" s="907">
        <f t="shared" si="177"/>
        <v>0</v>
      </c>
      <c r="AE366" s="904">
        <f>IF(H366&gt;8,tab!C$194,tab!C$197)</f>
        <v>0.5</v>
      </c>
      <c r="AF366" s="907">
        <f t="shared" si="178"/>
        <v>0</v>
      </c>
      <c r="AG366" s="887">
        <f t="shared" si="179"/>
        <v>0</v>
      </c>
      <c r="AH366" s="908" t="e">
        <f t="shared" si="180"/>
        <v>#VALUE!</v>
      </c>
      <c r="AI366" s="815" t="e">
        <f t="shared" si="181"/>
        <v>#VALUE!</v>
      </c>
      <c r="AJ366" s="540">
        <f t="shared" si="182"/>
        <v>30</v>
      </c>
      <c r="AK366" s="540">
        <f t="shared" si="183"/>
        <v>30</v>
      </c>
      <c r="AL366" s="909">
        <f t="shared" si="184"/>
        <v>0</v>
      </c>
      <c r="AN366" s="539">
        <f t="shared" si="185"/>
        <v>0</v>
      </c>
      <c r="AT366" s="317"/>
      <c r="AU366" s="317"/>
    </row>
    <row r="367" spans="3:47" ht="13.15" customHeight="1" x14ac:dyDescent="0.2">
      <c r="C367" s="381"/>
      <c r="D367" s="895" t="str">
        <f>IF(op!D255=0,"",op!D255)</f>
        <v/>
      </c>
      <c r="E367" s="895" t="str">
        <f>IF(op!E255=0,"",op!E255)</f>
        <v/>
      </c>
      <c r="F367" s="390" t="str">
        <f>IF(op!F255="","",op!F255+1)</f>
        <v/>
      </c>
      <c r="G367" s="896" t="str">
        <f>IF(op!G255=0,"",op!G255)</f>
        <v/>
      </c>
      <c r="H367" s="390" t="str">
        <f>IF(op!H255="","",op!H255)</f>
        <v/>
      </c>
      <c r="I367" s="897" t="str">
        <f t="shared" si="171"/>
        <v/>
      </c>
      <c r="J367" s="898" t="str">
        <f>IF(op!J255="","",op!J255)</f>
        <v/>
      </c>
      <c r="K367" s="334"/>
      <c r="L367" s="1140" t="str">
        <f>IF(op!L255="","",op!L255)</f>
        <v/>
      </c>
      <c r="M367" s="1140" t="str">
        <f>IF(op!M255="","",op!M255)</f>
        <v/>
      </c>
      <c r="N367" s="899" t="str">
        <f t="shared" si="186"/>
        <v/>
      </c>
      <c r="O367" s="900" t="str">
        <f t="shared" si="187"/>
        <v/>
      </c>
      <c r="P367" s="901" t="str">
        <f t="shared" si="188"/>
        <v/>
      </c>
      <c r="Q367" s="568" t="str">
        <f t="shared" si="172"/>
        <v/>
      </c>
      <c r="R367" s="902" t="str">
        <f t="shared" si="189"/>
        <v/>
      </c>
      <c r="S367" s="903">
        <f t="shared" si="173"/>
        <v>0</v>
      </c>
      <c r="T367" s="334"/>
      <c r="X367" s="887" t="str">
        <f t="shared" si="174"/>
        <v/>
      </c>
      <c r="Y367" s="904">
        <f t="shared" si="175"/>
        <v>0.6</v>
      </c>
      <c r="Z367" s="905" t="e">
        <f t="shared" si="190"/>
        <v>#VALUE!</v>
      </c>
      <c r="AA367" s="905" t="e">
        <f t="shared" si="191"/>
        <v>#VALUE!</v>
      </c>
      <c r="AB367" s="905" t="e">
        <f t="shared" si="192"/>
        <v>#VALUE!</v>
      </c>
      <c r="AC367" s="906" t="e">
        <f t="shared" si="176"/>
        <v>#VALUE!</v>
      </c>
      <c r="AD367" s="907">
        <f t="shared" si="177"/>
        <v>0</v>
      </c>
      <c r="AE367" s="904">
        <f>IF(H367&gt;8,tab!C$194,tab!C$197)</f>
        <v>0.5</v>
      </c>
      <c r="AF367" s="907">
        <f t="shared" si="178"/>
        <v>0</v>
      </c>
      <c r="AG367" s="887">
        <f t="shared" si="179"/>
        <v>0</v>
      </c>
      <c r="AH367" s="908" t="e">
        <f t="shared" si="180"/>
        <v>#VALUE!</v>
      </c>
      <c r="AI367" s="815" t="e">
        <f t="shared" si="181"/>
        <v>#VALUE!</v>
      </c>
      <c r="AJ367" s="540">
        <f t="shared" si="182"/>
        <v>30</v>
      </c>
      <c r="AK367" s="540">
        <f t="shared" si="183"/>
        <v>30</v>
      </c>
      <c r="AL367" s="909">
        <f t="shared" si="184"/>
        <v>0</v>
      </c>
      <c r="AN367" s="539">
        <f t="shared" si="185"/>
        <v>0</v>
      </c>
      <c r="AT367" s="317"/>
      <c r="AU367" s="317"/>
    </row>
    <row r="368" spans="3:47" ht="13.15" customHeight="1" x14ac:dyDescent="0.2">
      <c r="C368" s="381"/>
      <c r="D368" s="895" t="str">
        <f>IF(op!D256=0,"",op!D256)</f>
        <v/>
      </c>
      <c r="E368" s="895" t="str">
        <f>IF(op!E256=0,"",op!E256)</f>
        <v/>
      </c>
      <c r="F368" s="390" t="str">
        <f>IF(op!F256="","",op!F256+1)</f>
        <v/>
      </c>
      <c r="G368" s="896" t="str">
        <f>IF(op!G256=0,"",op!G256)</f>
        <v/>
      </c>
      <c r="H368" s="390" t="str">
        <f>IF(op!H256="","",op!H256)</f>
        <v/>
      </c>
      <c r="I368" s="897" t="str">
        <f t="shared" si="171"/>
        <v/>
      </c>
      <c r="J368" s="898" t="str">
        <f>IF(op!J256="","",op!J256)</f>
        <v/>
      </c>
      <c r="K368" s="334"/>
      <c r="L368" s="1140" t="str">
        <f>IF(op!L256="","",op!L256)</f>
        <v/>
      </c>
      <c r="M368" s="1140" t="str">
        <f>IF(op!M256="","",op!M256)</f>
        <v/>
      </c>
      <c r="N368" s="899" t="str">
        <f t="shared" si="186"/>
        <v/>
      </c>
      <c r="O368" s="900" t="str">
        <f t="shared" si="187"/>
        <v/>
      </c>
      <c r="P368" s="901" t="str">
        <f t="shared" si="188"/>
        <v/>
      </c>
      <c r="Q368" s="568" t="str">
        <f t="shared" si="172"/>
        <v/>
      </c>
      <c r="R368" s="902" t="str">
        <f t="shared" si="189"/>
        <v/>
      </c>
      <c r="S368" s="903">
        <f t="shared" si="173"/>
        <v>0</v>
      </c>
      <c r="T368" s="334"/>
      <c r="X368" s="887" t="str">
        <f t="shared" si="174"/>
        <v/>
      </c>
      <c r="Y368" s="904">
        <f t="shared" si="175"/>
        <v>0.6</v>
      </c>
      <c r="Z368" s="905" t="e">
        <f t="shared" si="190"/>
        <v>#VALUE!</v>
      </c>
      <c r="AA368" s="905" t="e">
        <f t="shared" si="191"/>
        <v>#VALUE!</v>
      </c>
      <c r="AB368" s="905" t="e">
        <f t="shared" si="192"/>
        <v>#VALUE!</v>
      </c>
      <c r="AC368" s="906" t="e">
        <f t="shared" si="176"/>
        <v>#VALUE!</v>
      </c>
      <c r="AD368" s="907">
        <f t="shared" si="177"/>
        <v>0</v>
      </c>
      <c r="AE368" s="904">
        <f>IF(H368&gt;8,tab!C$194,tab!C$197)</f>
        <v>0.5</v>
      </c>
      <c r="AF368" s="907">
        <f t="shared" si="178"/>
        <v>0</v>
      </c>
      <c r="AG368" s="887">
        <f t="shared" si="179"/>
        <v>0</v>
      </c>
      <c r="AH368" s="908" t="e">
        <f t="shared" si="180"/>
        <v>#VALUE!</v>
      </c>
      <c r="AI368" s="815" t="e">
        <f t="shared" si="181"/>
        <v>#VALUE!</v>
      </c>
      <c r="AJ368" s="540">
        <f t="shared" si="182"/>
        <v>30</v>
      </c>
      <c r="AK368" s="540">
        <f t="shared" si="183"/>
        <v>30</v>
      </c>
      <c r="AL368" s="909">
        <f t="shared" si="184"/>
        <v>0</v>
      </c>
      <c r="AN368" s="539">
        <f t="shared" si="185"/>
        <v>0</v>
      </c>
      <c r="AT368" s="317"/>
      <c r="AU368" s="317"/>
    </row>
    <row r="369" spans="3:47" ht="13.15" customHeight="1" x14ac:dyDescent="0.2">
      <c r="C369" s="381"/>
      <c r="D369" s="895" t="str">
        <f>IF(op!D257=0,"",op!D257)</f>
        <v/>
      </c>
      <c r="E369" s="895" t="str">
        <f>IF(op!E257=0,"",op!E257)</f>
        <v/>
      </c>
      <c r="F369" s="390" t="str">
        <f>IF(op!F257="","",op!F257+1)</f>
        <v/>
      </c>
      <c r="G369" s="896" t="str">
        <f>IF(op!G257=0,"",op!G257)</f>
        <v/>
      </c>
      <c r="H369" s="390" t="str">
        <f>IF(op!H257="","",op!H257)</f>
        <v/>
      </c>
      <c r="I369" s="897" t="str">
        <f t="shared" si="171"/>
        <v/>
      </c>
      <c r="J369" s="898" t="str">
        <f>IF(op!J257="","",op!J257)</f>
        <v/>
      </c>
      <c r="K369" s="334"/>
      <c r="L369" s="1140" t="str">
        <f>IF(op!L257="","",op!L257)</f>
        <v/>
      </c>
      <c r="M369" s="1140" t="str">
        <f>IF(op!M257="","",op!M257)</f>
        <v/>
      </c>
      <c r="N369" s="899" t="str">
        <f t="shared" si="186"/>
        <v/>
      </c>
      <c r="O369" s="900" t="str">
        <f t="shared" si="187"/>
        <v/>
      </c>
      <c r="P369" s="901" t="str">
        <f t="shared" si="188"/>
        <v/>
      </c>
      <c r="Q369" s="568" t="str">
        <f t="shared" si="172"/>
        <v/>
      </c>
      <c r="R369" s="902" t="str">
        <f t="shared" si="189"/>
        <v/>
      </c>
      <c r="S369" s="903">
        <f t="shared" si="173"/>
        <v>0</v>
      </c>
      <c r="T369" s="334"/>
      <c r="X369" s="887" t="str">
        <f t="shared" si="174"/>
        <v/>
      </c>
      <c r="Y369" s="904">
        <f t="shared" si="175"/>
        <v>0.6</v>
      </c>
      <c r="Z369" s="905" t="e">
        <f t="shared" si="190"/>
        <v>#VALUE!</v>
      </c>
      <c r="AA369" s="905" t="e">
        <f t="shared" si="191"/>
        <v>#VALUE!</v>
      </c>
      <c r="AB369" s="905" t="e">
        <f t="shared" si="192"/>
        <v>#VALUE!</v>
      </c>
      <c r="AC369" s="906" t="e">
        <f t="shared" si="176"/>
        <v>#VALUE!</v>
      </c>
      <c r="AD369" s="907">
        <f t="shared" si="177"/>
        <v>0</v>
      </c>
      <c r="AE369" s="904">
        <f>IF(H369&gt;8,tab!C$194,tab!C$197)</f>
        <v>0.5</v>
      </c>
      <c r="AF369" s="907">
        <f t="shared" si="178"/>
        <v>0</v>
      </c>
      <c r="AG369" s="887">
        <f t="shared" si="179"/>
        <v>0</v>
      </c>
      <c r="AH369" s="908" t="e">
        <f t="shared" si="180"/>
        <v>#VALUE!</v>
      </c>
      <c r="AI369" s="815" t="e">
        <f t="shared" si="181"/>
        <v>#VALUE!</v>
      </c>
      <c r="AJ369" s="540">
        <f t="shared" si="182"/>
        <v>30</v>
      </c>
      <c r="AK369" s="540">
        <f t="shared" si="183"/>
        <v>30</v>
      </c>
      <c r="AL369" s="909">
        <f t="shared" si="184"/>
        <v>0</v>
      </c>
      <c r="AN369" s="539">
        <f t="shared" si="185"/>
        <v>0</v>
      </c>
      <c r="AT369" s="317"/>
      <c r="AU369" s="317"/>
    </row>
    <row r="370" spans="3:47" ht="13.15" customHeight="1" x14ac:dyDescent="0.2">
      <c r="C370" s="381"/>
      <c r="D370" s="895" t="str">
        <f>IF(op!D258=0,"",op!D258)</f>
        <v/>
      </c>
      <c r="E370" s="895" t="str">
        <f>IF(op!E258=0,"",op!E258)</f>
        <v/>
      </c>
      <c r="F370" s="390" t="str">
        <f>IF(op!F258="","",op!F258+1)</f>
        <v/>
      </c>
      <c r="G370" s="896" t="str">
        <f>IF(op!G258=0,"",op!G258)</f>
        <v/>
      </c>
      <c r="H370" s="390" t="str">
        <f>IF(op!H258="","",op!H258)</f>
        <v/>
      </c>
      <c r="I370" s="897" t="str">
        <f t="shared" si="171"/>
        <v/>
      </c>
      <c r="J370" s="898" t="str">
        <f>IF(op!J258="","",op!J258)</f>
        <v/>
      </c>
      <c r="K370" s="334"/>
      <c r="L370" s="1140" t="str">
        <f>IF(op!L258="","",op!L258)</f>
        <v/>
      </c>
      <c r="M370" s="1140" t="str">
        <f>IF(op!M258="","",op!M258)</f>
        <v/>
      </c>
      <c r="N370" s="899" t="str">
        <f t="shared" si="186"/>
        <v/>
      </c>
      <c r="O370" s="900" t="str">
        <f t="shared" si="187"/>
        <v/>
      </c>
      <c r="P370" s="901" t="str">
        <f t="shared" si="188"/>
        <v/>
      </c>
      <c r="Q370" s="568" t="str">
        <f t="shared" si="172"/>
        <v/>
      </c>
      <c r="R370" s="902" t="str">
        <f t="shared" si="189"/>
        <v/>
      </c>
      <c r="S370" s="903">
        <f t="shared" si="173"/>
        <v>0</v>
      </c>
      <c r="T370" s="334"/>
      <c r="X370" s="887" t="str">
        <f t="shared" si="174"/>
        <v/>
      </c>
      <c r="Y370" s="904">
        <f t="shared" si="175"/>
        <v>0.6</v>
      </c>
      <c r="Z370" s="905" t="e">
        <f t="shared" si="190"/>
        <v>#VALUE!</v>
      </c>
      <c r="AA370" s="905" t="e">
        <f t="shared" si="191"/>
        <v>#VALUE!</v>
      </c>
      <c r="AB370" s="905" t="e">
        <f t="shared" si="192"/>
        <v>#VALUE!</v>
      </c>
      <c r="AC370" s="906" t="e">
        <f t="shared" si="176"/>
        <v>#VALUE!</v>
      </c>
      <c r="AD370" s="907">
        <f t="shared" si="177"/>
        <v>0</v>
      </c>
      <c r="AE370" s="904">
        <f>IF(H370&gt;8,tab!C$194,tab!C$197)</f>
        <v>0.5</v>
      </c>
      <c r="AF370" s="907">
        <f t="shared" si="178"/>
        <v>0</v>
      </c>
      <c r="AG370" s="887">
        <f t="shared" si="179"/>
        <v>0</v>
      </c>
      <c r="AH370" s="908" t="e">
        <f t="shared" si="180"/>
        <v>#VALUE!</v>
      </c>
      <c r="AI370" s="815" t="e">
        <f t="shared" si="181"/>
        <v>#VALUE!</v>
      </c>
      <c r="AJ370" s="540">
        <f t="shared" si="182"/>
        <v>30</v>
      </c>
      <c r="AK370" s="540">
        <f t="shared" si="183"/>
        <v>30</v>
      </c>
      <c r="AL370" s="909">
        <f t="shared" si="184"/>
        <v>0</v>
      </c>
      <c r="AN370" s="539">
        <f t="shared" si="185"/>
        <v>0</v>
      </c>
      <c r="AT370" s="317"/>
      <c r="AU370" s="317"/>
    </row>
    <row r="371" spans="3:47" ht="13.15" customHeight="1" x14ac:dyDescent="0.2">
      <c r="C371" s="381"/>
      <c r="D371" s="895" t="str">
        <f>IF(op!D259=0,"",op!D259)</f>
        <v/>
      </c>
      <c r="E371" s="895" t="str">
        <f>IF(op!E259=0,"",op!E259)</f>
        <v/>
      </c>
      <c r="F371" s="390" t="str">
        <f>IF(op!F259="","",op!F259+1)</f>
        <v/>
      </c>
      <c r="G371" s="896" t="str">
        <f>IF(op!G259=0,"",op!G259)</f>
        <v/>
      </c>
      <c r="H371" s="390" t="str">
        <f>IF(op!H259="","",op!H259)</f>
        <v/>
      </c>
      <c r="I371" s="897" t="str">
        <f t="shared" si="171"/>
        <v/>
      </c>
      <c r="J371" s="898" t="str">
        <f>IF(op!J259="","",op!J259)</f>
        <v/>
      </c>
      <c r="K371" s="334"/>
      <c r="L371" s="1140" t="str">
        <f>IF(op!L259="","",op!L259)</f>
        <v/>
      </c>
      <c r="M371" s="1140" t="str">
        <f>IF(op!M259="","",op!M259)</f>
        <v/>
      </c>
      <c r="N371" s="899" t="str">
        <f t="shared" si="186"/>
        <v/>
      </c>
      <c r="O371" s="900" t="str">
        <f t="shared" si="187"/>
        <v/>
      </c>
      <c r="P371" s="901" t="str">
        <f t="shared" si="188"/>
        <v/>
      </c>
      <c r="Q371" s="568" t="str">
        <f t="shared" si="172"/>
        <v/>
      </c>
      <c r="R371" s="902" t="str">
        <f t="shared" si="189"/>
        <v/>
      </c>
      <c r="S371" s="903">
        <f t="shared" si="173"/>
        <v>0</v>
      </c>
      <c r="T371" s="334"/>
      <c r="X371" s="887" t="str">
        <f t="shared" si="174"/>
        <v/>
      </c>
      <c r="Y371" s="904">
        <f t="shared" si="175"/>
        <v>0.6</v>
      </c>
      <c r="Z371" s="905" t="e">
        <f t="shared" si="190"/>
        <v>#VALUE!</v>
      </c>
      <c r="AA371" s="905" t="e">
        <f t="shared" si="191"/>
        <v>#VALUE!</v>
      </c>
      <c r="AB371" s="905" t="e">
        <f t="shared" si="192"/>
        <v>#VALUE!</v>
      </c>
      <c r="AC371" s="906" t="e">
        <f t="shared" si="176"/>
        <v>#VALUE!</v>
      </c>
      <c r="AD371" s="907">
        <f t="shared" si="177"/>
        <v>0</v>
      </c>
      <c r="AE371" s="904">
        <f>IF(H371&gt;8,tab!C$194,tab!C$197)</f>
        <v>0.5</v>
      </c>
      <c r="AF371" s="907">
        <f t="shared" si="178"/>
        <v>0</v>
      </c>
      <c r="AG371" s="887">
        <f t="shared" si="179"/>
        <v>0</v>
      </c>
      <c r="AH371" s="908" t="e">
        <f t="shared" si="180"/>
        <v>#VALUE!</v>
      </c>
      <c r="AI371" s="815" t="e">
        <f t="shared" si="181"/>
        <v>#VALUE!</v>
      </c>
      <c r="AJ371" s="540">
        <f t="shared" si="182"/>
        <v>30</v>
      </c>
      <c r="AK371" s="540">
        <f t="shared" si="183"/>
        <v>30</v>
      </c>
      <c r="AL371" s="909">
        <f t="shared" si="184"/>
        <v>0</v>
      </c>
      <c r="AN371" s="539">
        <f t="shared" si="185"/>
        <v>0</v>
      </c>
      <c r="AT371" s="317"/>
      <c r="AU371" s="317"/>
    </row>
    <row r="372" spans="3:47" ht="13.15" customHeight="1" x14ac:dyDescent="0.2">
      <c r="C372" s="381"/>
      <c r="D372" s="895" t="str">
        <f>IF(op!D260=0,"",op!D260)</f>
        <v/>
      </c>
      <c r="E372" s="895" t="str">
        <f>IF(op!E260=0,"",op!E260)</f>
        <v/>
      </c>
      <c r="F372" s="390" t="str">
        <f>IF(op!F260="","",op!F260+1)</f>
        <v/>
      </c>
      <c r="G372" s="896" t="str">
        <f>IF(op!G260=0,"",op!G260)</f>
        <v/>
      </c>
      <c r="H372" s="390" t="str">
        <f>IF(op!H260="","",op!H260)</f>
        <v/>
      </c>
      <c r="I372" s="897" t="str">
        <f t="shared" si="171"/>
        <v/>
      </c>
      <c r="J372" s="898" t="str">
        <f>IF(op!J260="","",op!J260)</f>
        <v/>
      </c>
      <c r="K372" s="334"/>
      <c r="L372" s="1140" t="str">
        <f>IF(op!L260="","",op!L260)</f>
        <v/>
      </c>
      <c r="M372" s="1140" t="str">
        <f>IF(op!M260="","",op!M260)</f>
        <v/>
      </c>
      <c r="N372" s="899" t="str">
        <f t="shared" si="186"/>
        <v/>
      </c>
      <c r="O372" s="900" t="str">
        <f t="shared" si="187"/>
        <v/>
      </c>
      <c r="P372" s="901" t="str">
        <f t="shared" si="188"/>
        <v/>
      </c>
      <c r="Q372" s="568" t="str">
        <f t="shared" si="172"/>
        <v/>
      </c>
      <c r="R372" s="902" t="str">
        <f t="shared" si="189"/>
        <v/>
      </c>
      <c r="S372" s="903">
        <f t="shared" si="173"/>
        <v>0</v>
      </c>
      <c r="T372" s="334"/>
      <c r="X372" s="887" t="str">
        <f t="shared" si="174"/>
        <v/>
      </c>
      <c r="Y372" s="904">
        <f t="shared" si="175"/>
        <v>0.6</v>
      </c>
      <c r="Z372" s="905" t="e">
        <f t="shared" si="190"/>
        <v>#VALUE!</v>
      </c>
      <c r="AA372" s="905" t="e">
        <f t="shared" si="191"/>
        <v>#VALUE!</v>
      </c>
      <c r="AB372" s="905" t="e">
        <f t="shared" si="192"/>
        <v>#VALUE!</v>
      </c>
      <c r="AC372" s="906" t="e">
        <f t="shared" si="176"/>
        <v>#VALUE!</v>
      </c>
      <c r="AD372" s="907">
        <f t="shared" si="177"/>
        <v>0</v>
      </c>
      <c r="AE372" s="904">
        <f>IF(H372&gt;8,tab!C$194,tab!C$197)</f>
        <v>0.5</v>
      </c>
      <c r="AF372" s="907">
        <f t="shared" si="178"/>
        <v>0</v>
      </c>
      <c r="AG372" s="887">
        <f t="shared" si="179"/>
        <v>0</v>
      </c>
      <c r="AH372" s="908" t="e">
        <f t="shared" si="180"/>
        <v>#VALUE!</v>
      </c>
      <c r="AI372" s="815" t="e">
        <f t="shared" si="181"/>
        <v>#VALUE!</v>
      </c>
      <c r="AJ372" s="540">
        <f t="shared" si="182"/>
        <v>30</v>
      </c>
      <c r="AK372" s="540">
        <f t="shared" si="183"/>
        <v>30</v>
      </c>
      <c r="AL372" s="909">
        <f t="shared" si="184"/>
        <v>0</v>
      </c>
      <c r="AN372" s="539">
        <f t="shared" si="185"/>
        <v>0</v>
      </c>
      <c r="AT372" s="317"/>
      <c r="AU372" s="317"/>
    </row>
    <row r="373" spans="3:47" ht="13.15" customHeight="1" x14ac:dyDescent="0.2">
      <c r="C373" s="381"/>
      <c r="D373" s="895" t="str">
        <f>IF(op!D261=0,"",op!D261)</f>
        <v/>
      </c>
      <c r="E373" s="895" t="str">
        <f>IF(op!E261=0,"",op!E261)</f>
        <v/>
      </c>
      <c r="F373" s="390" t="str">
        <f>IF(op!F261="","",op!F261+1)</f>
        <v/>
      </c>
      <c r="G373" s="896" t="str">
        <f>IF(op!G261=0,"",op!G261)</f>
        <v/>
      </c>
      <c r="H373" s="390" t="str">
        <f>IF(op!H261="","",op!H261)</f>
        <v/>
      </c>
      <c r="I373" s="897" t="str">
        <f t="shared" si="171"/>
        <v/>
      </c>
      <c r="J373" s="898" t="str">
        <f>IF(op!J261="","",op!J261)</f>
        <v/>
      </c>
      <c r="K373" s="334"/>
      <c r="L373" s="1140" t="str">
        <f>IF(op!L261="","",op!L261)</f>
        <v/>
      </c>
      <c r="M373" s="1140" t="str">
        <f>IF(op!M261="","",op!M261)</f>
        <v/>
      </c>
      <c r="N373" s="899" t="str">
        <f t="shared" si="186"/>
        <v/>
      </c>
      <c r="O373" s="900" t="str">
        <f t="shared" si="187"/>
        <v/>
      </c>
      <c r="P373" s="901" t="str">
        <f t="shared" si="188"/>
        <v/>
      </c>
      <c r="Q373" s="568" t="str">
        <f t="shared" si="172"/>
        <v/>
      </c>
      <c r="R373" s="902" t="str">
        <f t="shared" si="189"/>
        <v/>
      </c>
      <c r="S373" s="903">
        <f t="shared" si="173"/>
        <v>0</v>
      </c>
      <c r="T373" s="334"/>
      <c r="X373" s="887" t="str">
        <f t="shared" si="174"/>
        <v/>
      </c>
      <c r="Y373" s="904">
        <f t="shared" si="175"/>
        <v>0.6</v>
      </c>
      <c r="Z373" s="905" t="e">
        <f t="shared" si="190"/>
        <v>#VALUE!</v>
      </c>
      <c r="AA373" s="905" t="e">
        <f t="shared" si="191"/>
        <v>#VALUE!</v>
      </c>
      <c r="AB373" s="905" t="e">
        <f t="shared" si="192"/>
        <v>#VALUE!</v>
      </c>
      <c r="AC373" s="906" t="e">
        <f t="shared" si="176"/>
        <v>#VALUE!</v>
      </c>
      <c r="AD373" s="907">
        <f t="shared" si="177"/>
        <v>0</v>
      </c>
      <c r="AE373" s="904">
        <f>IF(H373&gt;8,tab!C$194,tab!C$197)</f>
        <v>0.5</v>
      </c>
      <c r="AF373" s="907">
        <f t="shared" si="178"/>
        <v>0</v>
      </c>
      <c r="AG373" s="887">
        <f t="shared" si="179"/>
        <v>0</v>
      </c>
      <c r="AH373" s="908" t="e">
        <f t="shared" si="180"/>
        <v>#VALUE!</v>
      </c>
      <c r="AI373" s="815" t="e">
        <f t="shared" si="181"/>
        <v>#VALUE!</v>
      </c>
      <c r="AJ373" s="540">
        <f t="shared" si="182"/>
        <v>30</v>
      </c>
      <c r="AK373" s="540">
        <f t="shared" si="183"/>
        <v>30</v>
      </c>
      <c r="AL373" s="909">
        <f t="shared" si="184"/>
        <v>0</v>
      </c>
      <c r="AN373" s="539">
        <f t="shared" si="185"/>
        <v>0</v>
      </c>
      <c r="AT373" s="317"/>
      <c r="AU373" s="317"/>
    </row>
    <row r="374" spans="3:47" ht="13.15" customHeight="1" x14ac:dyDescent="0.2">
      <c r="C374" s="381"/>
      <c r="D374" s="895" t="str">
        <f>IF(op!D262=0,"",op!D262)</f>
        <v/>
      </c>
      <c r="E374" s="895" t="str">
        <f>IF(op!E262=0,"",op!E262)</f>
        <v/>
      </c>
      <c r="F374" s="390" t="str">
        <f>IF(op!F262="","",op!F262+1)</f>
        <v/>
      </c>
      <c r="G374" s="896" t="str">
        <f>IF(op!G262=0,"",op!G262)</f>
        <v/>
      </c>
      <c r="H374" s="390" t="str">
        <f>IF(op!H262="","",op!H262)</f>
        <v/>
      </c>
      <c r="I374" s="897" t="str">
        <f t="shared" si="171"/>
        <v/>
      </c>
      <c r="J374" s="898" t="str">
        <f>IF(op!J262="","",op!J262)</f>
        <v/>
      </c>
      <c r="K374" s="334"/>
      <c r="L374" s="1140" t="str">
        <f>IF(op!L262="","",op!L262)</f>
        <v/>
      </c>
      <c r="M374" s="1140" t="str">
        <f>IF(op!M262="","",op!M262)</f>
        <v/>
      </c>
      <c r="N374" s="899" t="str">
        <f t="shared" si="186"/>
        <v/>
      </c>
      <c r="O374" s="900" t="str">
        <f t="shared" si="187"/>
        <v/>
      </c>
      <c r="P374" s="901" t="str">
        <f t="shared" si="188"/>
        <v/>
      </c>
      <c r="Q374" s="568" t="str">
        <f t="shared" si="172"/>
        <v/>
      </c>
      <c r="R374" s="902" t="str">
        <f t="shared" si="189"/>
        <v/>
      </c>
      <c r="S374" s="903">
        <f t="shared" si="173"/>
        <v>0</v>
      </c>
      <c r="T374" s="334"/>
      <c r="X374" s="887" t="str">
        <f t="shared" si="174"/>
        <v/>
      </c>
      <c r="Y374" s="904">
        <f t="shared" si="175"/>
        <v>0.6</v>
      </c>
      <c r="Z374" s="905" t="e">
        <f t="shared" si="190"/>
        <v>#VALUE!</v>
      </c>
      <c r="AA374" s="905" t="e">
        <f t="shared" si="191"/>
        <v>#VALUE!</v>
      </c>
      <c r="AB374" s="905" t="e">
        <f t="shared" si="192"/>
        <v>#VALUE!</v>
      </c>
      <c r="AC374" s="906" t="e">
        <f t="shared" si="176"/>
        <v>#VALUE!</v>
      </c>
      <c r="AD374" s="907">
        <f t="shared" si="177"/>
        <v>0</v>
      </c>
      <c r="AE374" s="904">
        <f>IF(H374&gt;8,tab!C$194,tab!C$197)</f>
        <v>0.5</v>
      </c>
      <c r="AF374" s="907">
        <f t="shared" si="178"/>
        <v>0</v>
      </c>
      <c r="AG374" s="887">
        <f t="shared" si="179"/>
        <v>0</v>
      </c>
      <c r="AH374" s="908" t="e">
        <f t="shared" si="180"/>
        <v>#VALUE!</v>
      </c>
      <c r="AI374" s="815" t="e">
        <f t="shared" si="181"/>
        <v>#VALUE!</v>
      </c>
      <c r="AJ374" s="540">
        <f t="shared" si="182"/>
        <v>30</v>
      </c>
      <c r="AK374" s="540">
        <f t="shared" si="183"/>
        <v>30</v>
      </c>
      <c r="AL374" s="909">
        <f t="shared" si="184"/>
        <v>0</v>
      </c>
      <c r="AN374" s="539">
        <f t="shared" si="185"/>
        <v>0</v>
      </c>
      <c r="AT374" s="317"/>
      <c r="AU374" s="317"/>
    </row>
    <row r="375" spans="3:47" ht="13.15" customHeight="1" x14ac:dyDescent="0.2">
      <c r="C375" s="381"/>
      <c r="D375" s="895" t="str">
        <f>IF(op!D263=0,"",op!D263)</f>
        <v/>
      </c>
      <c r="E375" s="895" t="str">
        <f>IF(op!E263=0,"",op!E263)</f>
        <v/>
      </c>
      <c r="F375" s="390" t="str">
        <f>IF(op!F263="","",op!F263+1)</f>
        <v/>
      </c>
      <c r="G375" s="896" t="str">
        <f>IF(op!G263=0,"",op!G263)</f>
        <v/>
      </c>
      <c r="H375" s="390" t="str">
        <f>IF(op!H263="","",op!H263)</f>
        <v/>
      </c>
      <c r="I375" s="897" t="str">
        <f t="shared" si="171"/>
        <v/>
      </c>
      <c r="J375" s="898" t="str">
        <f>IF(op!J263="","",op!J263)</f>
        <v/>
      </c>
      <c r="K375" s="334"/>
      <c r="L375" s="1140" t="str">
        <f>IF(op!L263="","",op!L263)</f>
        <v/>
      </c>
      <c r="M375" s="1140" t="str">
        <f>IF(op!M263="","",op!M263)</f>
        <v/>
      </c>
      <c r="N375" s="899" t="str">
        <f t="shared" si="186"/>
        <v/>
      </c>
      <c r="O375" s="900" t="str">
        <f t="shared" si="187"/>
        <v/>
      </c>
      <c r="P375" s="901" t="str">
        <f t="shared" si="188"/>
        <v/>
      </c>
      <c r="Q375" s="568" t="str">
        <f t="shared" si="172"/>
        <v/>
      </c>
      <c r="R375" s="902" t="str">
        <f t="shared" si="189"/>
        <v/>
      </c>
      <c r="S375" s="903">
        <f t="shared" si="173"/>
        <v>0</v>
      </c>
      <c r="T375" s="334"/>
      <c r="X375" s="887" t="str">
        <f t="shared" si="174"/>
        <v/>
      </c>
      <c r="Y375" s="904">
        <f t="shared" si="175"/>
        <v>0.6</v>
      </c>
      <c r="Z375" s="905" t="e">
        <f t="shared" si="190"/>
        <v>#VALUE!</v>
      </c>
      <c r="AA375" s="905" t="e">
        <f t="shared" si="191"/>
        <v>#VALUE!</v>
      </c>
      <c r="AB375" s="905" t="e">
        <f t="shared" si="192"/>
        <v>#VALUE!</v>
      </c>
      <c r="AC375" s="906" t="e">
        <f t="shared" si="176"/>
        <v>#VALUE!</v>
      </c>
      <c r="AD375" s="907">
        <f t="shared" si="177"/>
        <v>0</v>
      </c>
      <c r="AE375" s="904">
        <f>IF(H375&gt;8,tab!C$194,tab!C$197)</f>
        <v>0.5</v>
      </c>
      <c r="AF375" s="907">
        <f t="shared" si="178"/>
        <v>0</v>
      </c>
      <c r="AG375" s="887">
        <f t="shared" si="179"/>
        <v>0</v>
      </c>
      <c r="AH375" s="908" t="e">
        <f t="shared" si="180"/>
        <v>#VALUE!</v>
      </c>
      <c r="AI375" s="815" t="e">
        <f t="shared" si="181"/>
        <v>#VALUE!</v>
      </c>
      <c r="AJ375" s="540">
        <f t="shared" si="182"/>
        <v>30</v>
      </c>
      <c r="AK375" s="540">
        <f t="shared" si="183"/>
        <v>30</v>
      </c>
      <c r="AL375" s="909">
        <f t="shared" si="184"/>
        <v>0</v>
      </c>
      <c r="AN375" s="539">
        <f t="shared" si="185"/>
        <v>0</v>
      </c>
      <c r="AT375" s="317"/>
      <c r="AU375" s="317"/>
    </row>
    <row r="376" spans="3:47" ht="13.15" customHeight="1" x14ac:dyDescent="0.2">
      <c r="C376" s="381"/>
      <c r="D376" s="895" t="str">
        <f>IF(op!D264=0,"",op!D264)</f>
        <v/>
      </c>
      <c r="E376" s="895" t="str">
        <f>IF(op!E264=0,"",op!E264)</f>
        <v/>
      </c>
      <c r="F376" s="390" t="str">
        <f>IF(op!F264="","",op!F264+1)</f>
        <v/>
      </c>
      <c r="G376" s="896" t="str">
        <f>IF(op!G264=0,"",op!G264)</f>
        <v/>
      </c>
      <c r="H376" s="390" t="str">
        <f>IF(op!H264="","",op!H264)</f>
        <v/>
      </c>
      <c r="I376" s="897" t="str">
        <f t="shared" si="171"/>
        <v/>
      </c>
      <c r="J376" s="898" t="str">
        <f>IF(op!J264="","",op!J264)</f>
        <v/>
      </c>
      <c r="K376" s="334"/>
      <c r="L376" s="1140" t="str">
        <f>IF(op!L264="","",op!L264)</f>
        <v/>
      </c>
      <c r="M376" s="1140" t="str">
        <f>IF(op!M264="","",op!M264)</f>
        <v/>
      </c>
      <c r="N376" s="899" t="str">
        <f t="shared" si="186"/>
        <v/>
      </c>
      <c r="O376" s="900" t="str">
        <f t="shared" si="187"/>
        <v/>
      </c>
      <c r="P376" s="901" t="str">
        <f t="shared" si="188"/>
        <v/>
      </c>
      <c r="Q376" s="568" t="str">
        <f t="shared" si="172"/>
        <v/>
      </c>
      <c r="R376" s="902" t="str">
        <f t="shared" si="189"/>
        <v/>
      </c>
      <c r="S376" s="903">
        <f t="shared" si="173"/>
        <v>0</v>
      </c>
      <c r="T376" s="334"/>
      <c r="X376" s="887" t="str">
        <f t="shared" si="174"/>
        <v/>
      </c>
      <c r="Y376" s="904">
        <f t="shared" si="175"/>
        <v>0.6</v>
      </c>
      <c r="Z376" s="905" t="e">
        <f t="shared" si="190"/>
        <v>#VALUE!</v>
      </c>
      <c r="AA376" s="905" t="e">
        <f t="shared" si="191"/>
        <v>#VALUE!</v>
      </c>
      <c r="AB376" s="905" t="e">
        <f t="shared" si="192"/>
        <v>#VALUE!</v>
      </c>
      <c r="AC376" s="906" t="e">
        <f t="shared" si="176"/>
        <v>#VALUE!</v>
      </c>
      <c r="AD376" s="907">
        <f t="shared" si="177"/>
        <v>0</v>
      </c>
      <c r="AE376" s="904">
        <f>IF(H376&gt;8,tab!C$194,tab!C$197)</f>
        <v>0.5</v>
      </c>
      <c r="AF376" s="907">
        <f t="shared" si="178"/>
        <v>0</v>
      </c>
      <c r="AG376" s="887">
        <f t="shared" si="179"/>
        <v>0</v>
      </c>
      <c r="AH376" s="908" t="e">
        <f t="shared" si="180"/>
        <v>#VALUE!</v>
      </c>
      <c r="AI376" s="815" t="e">
        <f t="shared" si="181"/>
        <v>#VALUE!</v>
      </c>
      <c r="AJ376" s="540">
        <f t="shared" si="182"/>
        <v>30</v>
      </c>
      <c r="AK376" s="540">
        <f t="shared" si="183"/>
        <v>30</v>
      </c>
      <c r="AL376" s="909">
        <f t="shared" si="184"/>
        <v>0</v>
      </c>
      <c r="AN376" s="539">
        <f t="shared" si="185"/>
        <v>0</v>
      </c>
      <c r="AT376" s="317"/>
      <c r="AU376" s="317"/>
    </row>
    <row r="377" spans="3:47" ht="13.15" customHeight="1" x14ac:dyDescent="0.2">
      <c r="C377" s="381"/>
      <c r="D377" s="895" t="str">
        <f>IF(op!D265=0,"",op!D265)</f>
        <v/>
      </c>
      <c r="E377" s="895" t="str">
        <f>IF(op!E265=0,"",op!E265)</f>
        <v/>
      </c>
      <c r="F377" s="390" t="str">
        <f>IF(op!F265="","",op!F265+1)</f>
        <v/>
      </c>
      <c r="G377" s="896" t="str">
        <f>IF(op!G265=0,"",op!G265)</f>
        <v/>
      </c>
      <c r="H377" s="390" t="str">
        <f>IF(op!H265="","",op!H265)</f>
        <v/>
      </c>
      <c r="I377" s="897" t="str">
        <f t="shared" si="171"/>
        <v/>
      </c>
      <c r="J377" s="898" t="str">
        <f>IF(op!J265="","",op!J265)</f>
        <v/>
      </c>
      <c r="K377" s="334"/>
      <c r="L377" s="1140" t="str">
        <f>IF(op!L265="","",op!L265)</f>
        <v/>
      </c>
      <c r="M377" s="1140" t="str">
        <f>IF(op!M265="","",op!M265)</f>
        <v/>
      </c>
      <c r="N377" s="899" t="str">
        <f t="shared" si="186"/>
        <v/>
      </c>
      <c r="O377" s="900" t="str">
        <f t="shared" si="187"/>
        <v/>
      </c>
      <c r="P377" s="901" t="str">
        <f t="shared" si="188"/>
        <v/>
      </c>
      <c r="Q377" s="568" t="str">
        <f t="shared" si="172"/>
        <v/>
      </c>
      <c r="R377" s="902" t="str">
        <f t="shared" si="189"/>
        <v/>
      </c>
      <c r="S377" s="903">
        <f t="shared" si="173"/>
        <v>0</v>
      </c>
      <c r="T377" s="334"/>
      <c r="X377" s="887" t="str">
        <f t="shared" si="174"/>
        <v/>
      </c>
      <c r="Y377" s="904">
        <f t="shared" si="175"/>
        <v>0.6</v>
      </c>
      <c r="Z377" s="905" t="e">
        <f t="shared" si="190"/>
        <v>#VALUE!</v>
      </c>
      <c r="AA377" s="905" t="e">
        <f t="shared" si="191"/>
        <v>#VALUE!</v>
      </c>
      <c r="AB377" s="905" t="e">
        <f t="shared" si="192"/>
        <v>#VALUE!</v>
      </c>
      <c r="AC377" s="906" t="e">
        <f t="shared" si="176"/>
        <v>#VALUE!</v>
      </c>
      <c r="AD377" s="907">
        <f t="shared" si="177"/>
        <v>0</v>
      </c>
      <c r="AE377" s="904">
        <f>IF(H377&gt;8,tab!C$194,tab!C$197)</f>
        <v>0.5</v>
      </c>
      <c r="AF377" s="907">
        <f t="shared" si="178"/>
        <v>0</v>
      </c>
      <c r="AG377" s="887">
        <f t="shared" si="179"/>
        <v>0</v>
      </c>
      <c r="AH377" s="908" t="e">
        <f t="shared" si="180"/>
        <v>#VALUE!</v>
      </c>
      <c r="AI377" s="815" t="e">
        <f t="shared" si="181"/>
        <v>#VALUE!</v>
      </c>
      <c r="AJ377" s="540">
        <f t="shared" si="182"/>
        <v>30</v>
      </c>
      <c r="AK377" s="540">
        <f t="shared" si="183"/>
        <v>30</v>
      </c>
      <c r="AL377" s="909">
        <f t="shared" si="184"/>
        <v>0</v>
      </c>
      <c r="AN377" s="539">
        <f t="shared" si="185"/>
        <v>0</v>
      </c>
      <c r="AT377" s="317"/>
      <c r="AU377" s="317"/>
    </row>
    <row r="378" spans="3:47" ht="13.15" customHeight="1" x14ac:dyDescent="0.2">
      <c r="C378" s="381"/>
      <c r="D378" s="895" t="str">
        <f>IF(op!D266=0,"",op!D266)</f>
        <v/>
      </c>
      <c r="E378" s="895" t="str">
        <f>IF(op!E266=0,"",op!E266)</f>
        <v/>
      </c>
      <c r="F378" s="390" t="str">
        <f>IF(op!F266="","",op!F266+1)</f>
        <v/>
      </c>
      <c r="G378" s="896" t="str">
        <f>IF(op!G266=0,"",op!G266)</f>
        <v/>
      </c>
      <c r="H378" s="390" t="str">
        <f>IF(op!H266="","",op!H266)</f>
        <v/>
      </c>
      <c r="I378" s="897" t="str">
        <f t="shared" si="171"/>
        <v/>
      </c>
      <c r="J378" s="898" t="str">
        <f>IF(op!J266="","",op!J266)</f>
        <v/>
      </c>
      <c r="K378" s="334"/>
      <c r="L378" s="1140" t="str">
        <f>IF(op!L266="","",op!L266)</f>
        <v/>
      </c>
      <c r="M378" s="1140" t="str">
        <f>IF(op!M266="","",op!M266)</f>
        <v/>
      </c>
      <c r="N378" s="899" t="str">
        <f t="shared" si="186"/>
        <v/>
      </c>
      <c r="O378" s="900" t="str">
        <f t="shared" si="187"/>
        <v/>
      </c>
      <c r="P378" s="901" t="str">
        <f t="shared" si="188"/>
        <v/>
      </c>
      <c r="Q378" s="568" t="str">
        <f t="shared" si="172"/>
        <v/>
      </c>
      <c r="R378" s="902" t="str">
        <f t="shared" si="189"/>
        <v/>
      </c>
      <c r="S378" s="903">
        <f t="shared" si="173"/>
        <v>0</v>
      </c>
      <c r="T378" s="334"/>
      <c r="X378" s="887" t="str">
        <f t="shared" si="174"/>
        <v/>
      </c>
      <c r="Y378" s="904">
        <f t="shared" si="175"/>
        <v>0.6</v>
      </c>
      <c r="Z378" s="905" t="e">
        <f t="shared" si="190"/>
        <v>#VALUE!</v>
      </c>
      <c r="AA378" s="905" t="e">
        <f t="shared" si="191"/>
        <v>#VALUE!</v>
      </c>
      <c r="AB378" s="905" t="e">
        <f t="shared" si="192"/>
        <v>#VALUE!</v>
      </c>
      <c r="AC378" s="906" t="e">
        <f t="shared" si="176"/>
        <v>#VALUE!</v>
      </c>
      <c r="AD378" s="907">
        <f t="shared" si="177"/>
        <v>0</v>
      </c>
      <c r="AE378" s="904">
        <f>IF(H378&gt;8,tab!C$194,tab!C$197)</f>
        <v>0.5</v>
      </c>
      <c r="AF378" s="907">
        <f t="shared" si="178"/>
        <v>0</v>
      </c>
      <c r="AG378" s="887">
        <f t="shared" si="179"/>
        <v>0</v>
      </c>
      <c r="AH378" s="908" t="e">
        <f t="shared" si="180"/>
        <v>#VALUE!</v>
      </c>
      <c r="AI378" s="815" t="e">
        <f t="shared" si="181"/>
        <v>#VALUE!</v>
      </c>
      <c r="AJ378" s="540">
        <f t="shared" si="182"/>
        <v>30</v>
      </c>
      <c r="AK378" s="540">
        <f t="shared" si="183"/>
        <v>30</v>
      </c>
      <c r="AL378" s="909">
        <f t="shared" si="184"/>
        <v>0</v>
      </c>
      <c r="AN378" s="539">
        <f t="shared" si="185"/>
        <v>0</v>
      </c>
      <c r="AT378" s="317"/>
      <c r="AU378" s="317"/>
    </row>
    <row r="379" spans="3:47" ht="13.15" customHeight="1" x14ac:dyDescent="0.2">
      <c r="C379" s="381"/>
      <c r="D379" s="895" t="str">
        <f>IF(op!D267=0,"",op!D267)</f>
        <v/>
      </c>
      <c r="E379" s="895" t="str">
        <f>IF(op!E267=0,"",op!E267)</f>
        <v/>
      </c>
      <c r="F379" s="390" t="str">
        <f>IF(op!F267="","",op!F267+1)</f>
        <v/>
      </c>
      <c r="G379" s="896" t="str">
        <f>IF(op!G267=0,"",op!G267)</f>
        <v/>
      </c>
      <c r="H379" s="390" t="str">
        <f>IF(op!H267="","",op!H267)</f>
        <v/>
      </c>
      <c r="I379" s="897" t="str">
        <f t="shared" si="171"/>
        <v/>
      </c>
      <c r="J379" s="898" t="str">
        <f>IF(op!J267="","",op!J267)</f>
        <v/>
      </c>
      <c r="K379" s="334"/>
      <c r="L379" s="1140" t="str">
        <f>IF(op!L267="","",op!L267)</f>
        <v/>
      </c>
      <c r="M379" s="1140" t="str">
        <f>IF(op!M267="","",op!M267)</f>
        <v/>
      </c>
      <c r="N379" s="899" t="str">
        <f t="shared" si="186"/>
        <v/>
      </c>
      <c r="O379" s="900" t="str">
        <f t="shared" si="187"/>
        <v/>
      </c>
      <c r="P379" s="901" t="str">
        <f t="shared" si="188"/>
        <v/>
      </c>
      <c r="Q379" s="568" t="str">
        <f t="shared" si="172"/>
        <v/>
      </c>
      <c r="R379" s="902" t="str">
        <f t="shared" si="189"/>
        <v/>
      </c>
      <c r="S379" s="903">
        <f t="shared" si="173"/>
        <v>0</v>
      </c>
      <c r="T379" s="334"/>
      <c r="X379" s="887" t="str">
        <f t="shared" si="174"/>
        <v/>
      </c>
      <c r="Y379" s="904">
        <f t="shared" si="175"/>
        <v>0.6</v>
      </c>
      <c r="Z379" s="905" t="e">
        <f t="shared" si="190"/>
        <v>#VALUE!</v>
      </c>
      <c r="AA379" s="905" t="e">
        <f t="shared" si="191"/>
        <v>#VALUE!</v>
      </c>
      <c r="AB379" s="905" t="e">
        <f t="shared" si="192"/>
        <v>#VALUE!</v>
      </c>
      <c r="AC379" s="906" t="e">
        <f t="shared" si="176"/>
        <v>#VALUE!</v>
      </c>
      <c r="AD379" s="907">
        <f t="shared" si="177"/>
        <v>0</v>
      </c>
      <c r="AE379" s="904">
        <f>IF(H379&gt;8,tab!C$194,tab!C$197)</f>
        <v>0.5</v>
      </c>
      <c r="AF379" s="907">
        <f t="shared" si="178"/>
        <v>0</v>
      </c>
      <c r="AG379" s="887">
        <f t="shared" si="179"/>
        <v>0</v>
      </c>
      <c r="AH379" s="908" t="e">
        <f t="shared" si="180"/>
        <v>#VALUE!</v>
      </c>
      <c r="AI379" s="815" t="e">
        <f t="shared" si="181"/>
        <v>#VALUE!</v>
      </c>
      <c r="AJ379" s="540">
        <f t="shared" si="182"/>
        <v>30</v>
      </c>
      <c r="AK379" s="540">
        <f t="shared" si="183"/>
        <v>30</v>
      </c>
      <c r="AL379" s="909">
        <f t="shared" si="184"/>
        <v>0</v>
      </c>
      <c r="AN379" s="539">
        <f t="shared" si="185"/>
        <v>0</v>
      </c>
      <c r="AT379" s="317"/>
      <c r="AU379" s="317"/>
    </row>
    <row r="380" spans="3:47" ht="13.15" customHeight="1" x14ac:dyDescent="0.2">
      <c r="C380" s="381"/>
      <c r="D380" s="895" t="str">
        <f>IF(op!D268=0,"",op!D268)</f>
        <v/>
      </c>
      <c r="E380" s="895" t="str">
        <f>IF(op!E268=0,"",op!E268)</f>
        <v/>
      </c>
      <c r="F380" s="390" t="str">
        <f>IF(op!F268="","",op!F268+1)</f>
        <v/>
      </c>
      <c r="G380" s="896" t="str">
        <f>IF(op!G268=0,"",op!G268)</f>
        <v/>
      </c>
      <c r="H380" s="390" t="str">
        <f>IF(op!H268="","",op!H268)</f>
        <v/>
      </c>
      <c r="I380" s="897" t="str">
        <f t="shared" si="171"/>
        <v/>
      </c>
      <c r="J380" s="898" t="str">
        <f>IF(op!J268="","",op!J268)</f>
        <v/>
      </c>
      <c r="K380" s="334"/>
      <c r="L380" s="1140" t="str">
        <f>IF(op!L268="","",op!L268)</f>
        <v/>
      </c>
      <c r="M380" s="1140" t="str">
        <f>IF(op!M268="","",op!M268)</f>
        <v/>
      </c>
      <c r="N380" s="899" t="str">
        <f t="shared" si="186"/>
        <v/>
      </c>
      <c r="O380" s="900" t="str">
        <f t="shared" si="187"/>
        <v/>
      </c>
      <c r="P380" s="901" t="str">
        <f t="shared" si="188"/>
        <v/>
      </c>
      <c r="Q380" s="568" t="str">
        <f t="shared" si="172"/>
        <v/>
      </c>
      <c r="R380" s="902" t="str">
        <f t="shared" si="189"/>
        <v/>
      </c>
      <c r="S380" s="903">
        <f t="shared" si="173"/>
        <v>0</v>
      </c>
      <c r="T380" s="334"/>
      <c r="X380" s="887" t="str">
        <f t="shared" si="174"/>
        <v/>
      </c>
      <c r="Y380" s="904">
        <f t="shared" si="175"/>
        <v>0.6</v>
      </c>
      <c r="Z380" s="905" t="e">
        <f t="shared" si="190"/>
        <v>#VALUE!</v>
      </c>
      <c r="AA380" s="905" t="e">
        <f t="shared" si="191"/>
        <v>#VALUE!</v>
      </c>
      <c r="AB380" s="905" t="e">
        <f t="shared" si="192"/>
        <v>#VALUE!</v>
      </c>
      <c r="AC380" s="906" t="e">
        <f t="shared" si="176"/>
        <v>#VALUE!</v>
      </c>
      <c r="AD380" s="907">
        <f t="shared" si="177"/>
        <v>0</v>
      </c>
      <c r="AE380" s="904">
        <f>IF(H380&gt;8,tab!C$194,tab!C$197)</f>
        <v>0.5</v>
      </c>
      <c r="AF380" s="907">
        <f t="shared" si="178"/>
        <v>0</v>
      </c>
      <c r="AG380" s="887">
        <f t="shared" si="179"/>
        <v>0</v>
      </c>
      <c r="AH380" s="908" t="e">
        <f t="shared" si="180"/>
        <v>#VALUE!</v>
      </c>
      <c r="AI380" s="815" t="e">
        <f t="shared" si="181"/>
        <v>#VALUE!</v>
      </c>
      <c r="AJ380" s="540">
        <f t="shared" si="182"/>
        <v>30</v>
      </c>
      <c r="AK380" s="540">
        <f t="shared" si="183"/>
        <v>30</v>
      </c>
      <c r="AL380" s="909">
        <f t="shared" si="184"/>
        <v>0</v>
      </c>
      <c r="AN380" s="539">
        <f t="shared" si="185"/>
        <v>0</v>
      </c>
      <c r="AT380" s="317"/>
      <c r="AU380" s="317"/>
    </row>
    <row r="381" spans="3:47" ht="13.15" customHeight="1" x14ac:dyDescent="0.2">
      <c r="C381" s="381"/>
      <c r="D381" s="895" t="str">
        <f>IF(op!D269=0,"",op!D269)</f>
        <v/>
      </c>
      <c r="E381" s="895" t="str">
        <f>IF(op!E269=0,"",op!E269)</f>
        <v/>
      </c>
      <c r="F381" s="390" t="str">
        <f>IF(op!F269="","",op!F269+1)</f>
        <v/>
      </c>
      <c r="G381" s="896" t="str">
        <f>IF(op!G269=0,"",op!G269)</f>
        <v/>
      </c>
      <c r="H381" s="390" t="str">
        <f>IF(op!H269="","",op!H269)</f>
        <v/>
      </c>
      <c r="I381" s="897" t="str">
        <f t="shared" si="171"/>
        <v/>
      </c>
      <c r="J381" s="898" t="str">
        <f>IF(op!J269="","",op!J269)</f>
        <v/>
      </c>
      <c r="K381" s="334"/>
      <c r="L381" s="1140" t="str">
        <f>IF(op!L269="","",op!L269)</f>
        <v/>
      </c>
      <c r="M381" s="1140" t="str">
        <f>IF(op!M269="","",op!M269)</f>
        <v/>
      </c>
      <c r="N381" s="899" t="str">
        <f t="shared" si="186"/>
        <v/>
      </c>
      <c r="O381" s="900" t="str">
        <f t="shared" si="187"/>
        <v/>
      </c>
      <c r="P381" s="901" t="str">
        <f t="shared" si="188"/>
        <v/>
      </c>
      <c r="Q381" s="568" t="str">
        <f t="shared" si="172"/>
        <v/>
      </c>
      <c r="R381" s="902" t="str">
        <f t="shared" si="189"/>
        <v/>
      </c>
      <c r="S381" s="903">
        <f t="shared" si="173"/>
        <v>0</v>
      </c>
      <c r="T381" s="334"/>
      <c r="X381" s="887" t="str">
        <f t="shared" si="174"/>
        <v/>
      </c>
      <c r="Y381" s="904">
        <f t="shared" si="175"/>
        <v>0.6</v>
      </c>
      <c r="Z381" s="905" t="e">
        <f t="shared" si="190"/>
        <v>#VALUE!</v>
      </c>
      <c r="AA381" s="905" t="e">
        <f t="shared" si="191"/>
        <v>#VALUE!</v>
      </c>
      <c r="AB381" s="905" t="e">
        <f t="shared" si="192"/>
        <v>#VALUE!</v>
      </c>
      <c r="AC381" s="906" t="e">
        <f t="shared" si="176"/>
        <v>#VALUE!</v>
      </c>
      <c r="AD381" s="907">
        <f t="shared" si="177"/>
        <v>0</v>
      </c>
      <c r="AE381" s="904">
        <f>IF(H381&gt;8,tab!C$194,tab!C$197)</f>
        <v>0.5</v>
      </c>
      <c r="AF381" s="907">
        <f t="shared" si="178"/>
        <v>0</v>
      </c>
      <c r="AG381" s="887">
        <f t="shared" si="179"/>
        <v>0</v>
      </c>
      <c r="AH381" s="908" t="e">
        <f t="shared" si="180"/>
        <v>#VALUE!</v>
      </c>
      <c r="AI381" s="815" t="e">
        <f t="shared" si="181"/>
        <v>#VALUE!</v>
      </c>
      <c r="AJ381" s="540">
        <f t="shared" si="182"/>
        <v>30</v>
      </c>
      <c r="AK381" s="540">
        <f t="shared" si="183"/>
        <v>30</v>
      </c>
      <c r="AL381" s="909">
        <f t="shared" si="184"/>
        <v>0</v>
      </c>
      <c r="AN381" s="539">
        <f t="shared" si="185"/>
        <v>0</v>
      </c>
      <c r="AT381" s="317"/>
      <c r="AU381" s="317"/>
    </row>
    <row r="382" spans="3:47" ht="13.15" customHeight="1" x14ac:dyDescent="0.2">
      <c r="C382" s="381"/>
      <c r="D382" s="895" t="str">
        <f>IF(op!D270=0,"",op!D270)</f>
        <v/>
      </c>
      <c r="E382" s="895" t="str">
        <f>IF(op!E270=0,"",op!E270)</f>
        <v/>
      </c>
      <c r="F382" s="390" t="str">
        <f>IF(op!F270="","",op!F270+1)</f>
        <v/>
      </c>
      <c r="G382" s="896" t="str">
        <f>IF(op!G270=0,"",op!G270)</f>
        <v/>
      </c>
      <c r="H382" s="390" t="str">
        <f>IF(op!H270="","",op!H270)</f>
        <v/>
      </c>
      <c r="I382" s="897" t="str">
        <f t="shared" si="171"/>
        <v/>
      </c>
      <c r="J382" s="898" t="str">
        <f>IF(op!J270="","",op!J270)</f>
        <v/>
      </c>
      <c r="K382" s="334"/>
      <c r="L382" s="1140" t="str">
        <f>IF(op!L270="","",op!L270)</f>
        <v/>
      </c>
      <c r="M382" s="1140" t="str">
        <f>IF(op!M270="","",op!M270)</f>
        <v/>
      </c>
      <c r="N382" s="899" t="str">
        <f t="shared" si="186"/>
        <v/>
      </c>
      <c r="O382" s="900" t="str">
        <f t="shared" si="187"/>
        <v/>
      </c>
      <c r="P382" s="901" t="str">
        <f t="shared" si="188"/>
        <v/>
      </c>
      <c r="Q382" s="568" t="str">
        <f t="shared" si="172"/>
        <v/>
      </c>
      <c r="R382" s="902" t="str">
        <f t="shared" si="189"/>
        <v/>
      </c>
      <c r="S382" s="903">
        <f t="shared" si="173"/>
        <v>0</v>
      </c>
      <c r="T382" s="334"/>
      <c r="X382" s="887" t="str">
        <f t="shared" si="174"/>
        <v/>
      </c>
      <c r="Y382" s="904">
        <f t="shared" si="175"/>
        <v>0.6</v>
      </c>
      <c r="Z382" s="905" t="e">
        <f t="shared" si="190"/>
        <v>#VALUE!</v>
      </c>
      <c r="AA382" s="905" t="e">
        <f t="shared" si="191"/>
        <v>#VALUE!</v>
      </c>
      <c r="AB382" s="905" t="e">
        <f t="shared" si="192"/>
        <v>#VALUE!</v>
      </c>
      <c r="AC382" s="906" t="e">
        <f t="shared" si="176"/>
        <v>#VALUE!</v>
      </c>
      <c r="AD382" s="907">
        <f t="shared" si="177"/>
        <v>0</v>
      </c>
      <c r="AE382" s="904">
        <f>IF(H382&gt;8,tab!C$194,tab!C$197)</f>
        <v>0.5</v>
      </c>
      <c r="AF382" s="907">
        <f t="shared" si="178"/>
        <v>0</v>
      </c>
      <c r="AG382" s="887">
        <f t="shared" si="179"/>
        <v>0</v>
      </c>
      <c r="AH382" s="908" t="e">
        <f t="shared" si="180"/>
        <v>#VALUE!</v>
      </c>
      <c r="AI382" s="815" t="e">
        <f t="shared" si="181"/>
        <v>#VALUE!</v>
      </c>
      <c r="AJ382" s="540">
        <f t="shared" si="182"/>
        <v>30</v>
      </c>
      <c r="AK382" s="540">
        <f t="shared" si="183"/>
        <v>30</v>
      </c>
      <c r="AL382" s="909">
        <f t="shared" si="184"/>
        <v>0</v>
      </c>
      <c r="AN382" s="539">
        <f t="shared" si="185"/>
        <v>0</v>
      </c>
      <c r="AT382" s="317"/>
      <c r="AU382" s="317"/>
    </row>
    <row r="383" spans="3:47" ht="13.15" customHeight="1" x14ac:dyDescent="0.2">
      <c r="C383" s="381"/>
      <c r="D383" s="895" t="str">
        <f>IF(op!D271=0,"",op!D271)</f>
        <v/>
      </c>
      <c r="E383" s="895" t="str">
        <f>IF(op!E271=0,"",op!E271)</f>
        <v/>
      </c>
      <c r="F383" s="390" t="str">
        <f>IF(op!F271="","",op!F271+1)</f>
        <v/>
      </c>
      <c r="G383" s="896" t="str">
        <f>IF(op!G271=0,"",op!G271)</f>
        <v/>
      </c>
      <c r="H383" s="390" t="str">
        <f>IF(op!H271="","",op!H271)</f>
        <v/>
      </c>
      <c r="I383" s="897" t="str">
        <f t="shared" si="171"/>
        <v/>
      </c>
      <c r="J383" s="898" t="str">
        <f>IF(op!J271="","",op!J271)</f>
        <v/>
      </c>
      <c r="K383" s="334"/>
      <c r="L383" s="1140" t="str">
        <f>IF(op!L271="","",op!L271)</f>
        <v/>
      </c>
      <c r="M383" s="1140" t="str">
        <f>IF(op!M271="","",op!M271)</f>
        <v/>
      </c>
      <c r="N383" s="899" t="str">
        <f t="shared" si="186"/>
        <v/>
      </c>
      <c r="O383" s="900" t="str">
        <f t="shared" si="187"/>
        <v/>
      </c>
      <c r="P383" s="901" t="str">
        <f t="shared" si="188"/>
        <v/>
      </c>
      <c r="Q383" s="568" t="str">
        <f t="shared" si="172"/>
        <v/>
      </c>
      <c r="R383" s="902" t="str">
        <f t="shared" si="189"/>
        <v/>
      </c>
      <c r="S383" s="903">
        <f t="shared" si="173"/>
        <v>0</v>
      </c>
      <c r="T383" s="334"/>
      <c r="X383" s="887" t="str">
        <f t="shared" si="174"/>
        <v/>
      </c>
      <c r="Y383" s="904">
        <f t="shared" si="175"/>
        <v>0.6</v>
      </c>
      <c r="Z383" s="905" t="e">
        <f t="shared" si="190"/>
        <v>#VALUE!</v>
      </c>
      <c r="AA383" s="905" t="e">
        <f t="shared" si="191"/>
        <v>#VALUE!</v>
      </c>
      <c r="AB383" s="905" t="e">
        <f t="shared" si="192"/>
        <v>#VALUE!</v>
      </c>
      <c r="AC383" s="906" t="e">
        <f t="shared" si="176"/>
        <v>#VALUE!</v>
      </c>
      <c r="AD383" s="907">
        <f t="shared" si="177"/>
        <v>0</v>
      </c>
      <c r="AE383" s="904">
        <f>IF(H383&gt;8,tab!C$194,tab!C$197)</f>
        <v>0.5</v>
      </c>
      <c r="AF383" s="907">
        <f t="shared" si="178"/>
        <v>0</v>
      </c>
      <c r="AG383" s="887">
        <f t="shared" si="179"/>
        <v>0</v>
      </c>
      <c r="AH383" s="908" t="e">
        <f t="shared" si="180"/>
        <v>#VALUE!</v>
      </c>
      <c r="AI383" s="815" t="e">
        <f t="shared" si="181"/>
        <v>#VALUE!</v>
      </c>
      <c r="AJ383" s="540">
        <f t="shared" si="182"/>
        <v>30</v>
      </c>
      <c r="AK383" s="540">
        <f t="shared" si="183"/>
        <v>30</v>
      </c>
      <c r="AL383" s="909">
        <f t="shared" si="184"/>
        <v>0</v>
      </c>
      <c r="AN383" s="539">
        <f t="shared" si="185"/>
        <v>0</v>
      </c>
      <c r="AT383" s="317"/>
      <c r="AU383" s="317"/>
    </row>
    <row r="384" spans="3:47" ht="13.15" customHeight="1" x14ac:dyDescent="0.2">
      <c r="C384" s="381"/>
      <c r="D384" s="895" t="str">
        <f>IF(op!D272=0,"",op!D272)</f>
        <v/>
      </c>
      <c r="E384" s="895" t="str">
        <f>IF(op!E272=0,"",op!E272)</f>
        <v/>
      </c>
      <c r="F384" s="390" t="str">
        <f>IF(op!F272="","",op!F272+1)</f>
        <v/>
      </c>
      <c r="G384" s="896" t="str">
        <f>IF(op!G272=0,"",op!G272)</f>
        <v/>
      </c>
      <c r="H384" s="390" t="str">
        <f>IF(op!H272="","",op!H272)</f>
        <v/>
      </c>
      <c r="I384" s="897" t="str">
        <f t="shared" ref="I384:I415" si="193">IF(E384="","",IF(I272=VLOOKUP(H384,Salaris2021,22,FALSE),I272,I272+1))</f>
        <v/>
      </c>
      <c r="J384" s="898" t="str">
        <f>IF(op!J272="","",op!J272)</f>
        <v/>
      </c>
      <c r="K384" s="334"/>
      <c r="L384" s="1140" t="str">
        <f>IF(op!L272="","",op!L272)</f>
        <v/>
      </c>
      <c r="M384" s="1140" t="str">
        <f>IF(op!M272="","",op!M272)</f>
        <v/>
      </c>
      <c r="N384" s="899" t="str">
        <f t="shared" si="186"/>
        <v/>
      </c>
      <c r="O384" s="900" t="str">
        <f t="shared" si="187"/>
        <v/>
      </c>
      <c r="P384" s="901" t="str">
        <f t="shared" si="188"/>
        <v/>
      </c>
      <c r="Q384" s="568" t="str">
        <f t="shared" ref="Q384:Q415" si="194">IF(J384="","",(1659*J384-P384)*AA384)</f>
        <v/>
      </c>
      <c r="R384" s="902" t="str">
        <f t="shared" si="189"/>
        <v/>
      </c>
      <c r="S384" s="903">
        <f t="shared" ref="S384:S415" si="195">IF(E384=0,0,SUM(Q384:R384))</f>
        <v>0</v>
      </c>
      <c r="T384" s="334"/>
      <c r="X384" s="887" t="str">
        <f t="shared" ref="X384:X415" si="196">IF(H384="","",VLOOKUP(H384,Salaris2021,I384+1,FALSE))</f>
        <v/>
      </c>
      <c r="Y384" s="904">
        <f t="shared" ref="Y384:Y415" si="197">$Y$14</f>
        <v>0.6</v>
      </c>
      <c r="Z384" s="905" t="e">
        <f t="shared" si="190"/>
        <v>#VALUE!</v>
      </c>
      <c r="AA384" s="905" t="e">
        <f t="shared" si="191"/>
        <v>#VALUE!</v>
      </c>
      <c r="AB384" s="905" t="e">
        <f t="shared" si="192"/>
        <v>#VALUE!</v>
      </c>
      <c r="AC384" s="906" t="e">
        <f t="shared" ref="AC384:AC415" si="198">N384+O384</f>
        <v>#VALUE!</v>
      </c>
      <c r="AD384" s="907">
        <f t="shared" ref="AD384:AD415" si="199">SUM(L384:M384)</f>
        <v>0</v>
      </c>
      <c r="AE384" s="904">
        <f>IF(H384&gt;8,tab!C$194,tab!C$197)</f>
        <v>0.5</v>
      </c>
      <c r="AF384" s="907">
        <f t="shared" ref="AF384:AF415" si="200">IF(F384&lt;25,0,IF(F384=25,25,IF(F384&lt;40,0,IF(F384=40,40,IF(F384&gt;=40,0)))))</f>
        <v>0</v>
      </c>
      <c r="AG384" s="887">
        <f t="shared" ref="AG384:AG415" si="201">IF(AF384=25,(X384*1.08*J384/2),IF(AF384=40,(Y384*1.08*J384),IF(AF384=0,0)))</f>
        <v>0</v>
      </c>
      <c r="AH384" s="908" t="e">
        <f t="shared" ref="AH384:AH415" si="202">DATE(YEAR($E$233),MONTH(G384),DAY(G384))&gt;$E$233</f>
        <v>#VALUE!</v>
      </c>
      <c r="AI384" s="815" t="e">
        <f t="shared" ref="AI384:AI415" si="203">YEAR($E$345)-YEAR(G384)-AH384</f>
        <v>#VALUE!</v>
      </c>
      <c r="AJ384" s="540">
        <f t="shared" ref="AJ384:AJ415" si="204">IF((G384=""),30,AI384)</f>
        <v>30</v>
      </c>
      <c r="AK384" s="540">
        <f t="shared" si="183"/>
        <v>30</v>
      </c>
      <c r="AL384" s="909">
        <f t="shared" ref="AL384:AL415" si="205">(AK384*(SUM(J384:J384)))</f>
        <v>0</v>
      </c>
      <c r="AN384" s="539">
        <f t="shared" si="185"/>
        <v>0</v>
      </c>
      <c r="AT384" s="317"/>
      <c r="AU384" s="317"/>
    </row>
    <row r="385" spans="3:47" ht="13.15" customHeight="1" x14ac:dyDescent="0.2">
      <c r="C385" s="381"/>
      <c r="D385" s="895" t="str">
        <f>IF(op!D273=0,"",op!D273)</f>
        <v/>
      </c>
      <c r="E385" s="895" t="str">
        <f>IF(op!E273=0,"",op!E273)</f>
        <v/>
      </c>
      <c r="F385" s="390" t="str">
        <f>IF(op!F273="","",op!F273+1)</f>
        <v/>
      </c>
      <c r="G385" s="896" t="str">
        <f>IF(op!G273=0,"",op!G273)</f>
        <v/>
      </c>
      <c r="H385" s="390" t="str">
        <f>IF(op!H273="","",op!H273)</f>
        <v/>
      </c>
      <c r="I385" s="897" t="str">
        <f t="shared" si="193"/>
        <v/>
      </c>
      <c r="J385" s="898" t="str">
        <f>IF(op!J273="","",op!J273)</f>
        <v/>
      </c>
      <c r="K385" s="334"/>
      <c r="L385" s="1140" t="str">
        <f>IF(op!L273="","",op!L273)</f>
        <v/>
      </c>
      <c r="M385" s="1140" t="str">
        <f>IF(op!M273="","",op!M273)</f>
        <v/>
      </c>
      <c r="N385" s="899" t="str">
        <f t="shared" si="186"/>
        <v/>
      </c>
      <c r="O385" s="900" t="str">
        <f t="shared" si="187"/>
        <v/>
      </c>
      <c r="P385" s="901" t="str">
        <f t="shared" si="188"/>
        <v/>
      </c>
      <c r="Q385" s="568" t="str">
        <f t="shared" si="194"/>
        <v/>
      </c>
      <c r="R385" s="902" t="str">
        <f t="shared" si="189"/>
        <v/>
      </c>
      <c r="S385" s="903">
        <f t="shared" si="195"/>
        <v>0</v>
      </c>
      <c r="T385" s="334"/>
      <c r="X385" s="887" t="str">
        <f t="shared" si="196"/>
        <v/>
      </c>
      <c r="Y385" s="904">
        <f t="shared" si="197"/>
        <v>0.6</v>
      </c>
      <c r="Z385" s="905" t="e">
        <f t="shared" si="190"/>
        <v>#VALUE!</v>
      </c>
      <c r="AA385" s="905" t="e">
        <f t="shared" si="191"/>
        <v>#VALUE!</v>
      </c>
      <c r="AB385" s="905" t="e">
        <f t="shared" si="192"/>
        <v>#VALUE!</v>
      </c>
      <c r="AC385" s="906" t="e">
        <f t="shared" si="198"/>
        <v>#VALUE!</v>
      </c>
      <c r="AD385" s="907">
        <f t="shared" si="199"/>
        <v>0</v>
      </c>
      <c r="AE385" s="904">
        <f>IF(H385&gt;8,tab!C$194,tab!C$197)</f>
        <v>0.5</v>
      </c>
      <c r="AF385" s="907">
        <f t="shared" si="200"/>
        <v>0</v>
      </c>
      <c r="AG385" s="887">
        <f t="shared" si="201"/>
        <v>0</v>
      </c>
      <c r="AH385" s="908" t="e">
        <f t="shared" si="202"/>
        <v>#VALUE!</v>
      </c>
      <c r="AI385" s="815" t="e">
        <f t="shared" si="203"/>
        <v>#VALUE!</v>
      </c>
      <c r="AJ385" s="540">
        <f t="shared" si="204"/>
        <v>30</v>
      </c>
      <c r="AK385" s="540">
        <f t="shared" si="183"/>
        <v>30</v>
      </c>
      <c r="AL385" s="909">
        <f t="shared" si="205"/>
        <v>0</v>
      </c>
      <c r="AN385" s="539">
        <f t="shared" si="185"/>
        <v>0</v>
      </c>
      <c r="AT385" s="317"/>
      <c r="AU385" s="317"/>
    </row>
    <row r="386" spans="3:47" ht="13.15" customHeight="1" x14ac:dyDescent="0.2">
      <c r="C386" s="381"/>
      <c r="D386" s="895" t="str">
        <f>IF(op!D274=0,"",op!D274)</f>
        <v/>
      </c>
      <c r="E386" s="895" t="str">
        <f>IF(op!E274=0,"",op!E274)</f>
        <v/>
      </c>
      <c r="F386" s="390" t="str">
        <f>IF(op!F274="","",op!F274+1)</f>
        <v/>
      </c>
      <c r="G386" s="896" t="str">
        <f>IF(op!G274=0,"",op!G274)</f>
        <v/>
      </c>
      <c r="H386" s="390" t="str">
        <f>IF(op!H274="","",op!H274)</f>
        <v/>
      </c>
      <c r="I386" s="897" t="str">
        <f t="shared" si="193"/>
        <v/>
      </c>
      <c r="J386" s="898" t="str">
        <f>IF(op!J274="","",op!J274)</f>
        <v/>
      </c>
      <c r="K386" s="334"/>
      <c r="L386" s="1140" t="str">
        <f>IF(op!L274="","",op!L274)</f>
        <v/>
      </c>
      <c r="M386" s="1140" t="str">
        <f>IF(op!M274="","",op!M274)</f>
        <v/>
      </c>
      <c r="N386" s="899" t="str">
        <f t="shared" si="186"/>
        <v/>
      </c>
      <c r="O386" s="900" t="str">
        <f t="shared" si="187"/>
        <v/>
      </c>
      <c r="P386" s="901" t="str">
        <f t="shared" si="188"/>
        <v/>
      </c>
      <c r="Q386" s="568" t="str">
        <f t="shared" si="194"/>
        <v/>
      </c>
      <c r="R386" s="902" t="str">
        <f t="shared" si="189"/>
        <v/>
      </c>
      <c r="S386" s="903">
        <f t="shared" si="195"/>
        <v>0</v>
      </c>
      <c r="T386" s="334"/>
      <c r="X386" s="887" t="str">
        <f t="shared" si="196"/>
        <v/>
      </c>
      <c r="Y386" s="904">
        <f t="shared" si="197"/>
        <v>0.6</v>
      </c>
      <c r="Z386" s="905" t="e">
        <f t="shared" si="190"/>
        <v>#VALUE!</v>
      </c>
      <c r="AA386" s="905" t="e">
        <f t="shared" si="191"/>
        <v>#VALUE!</v>
      </c>
      <c r="AB386" s="905" t="e">
        <f t="shared" si="192"/>
        <v>#VALUE!</v>
      </c>
      <c r="AC386" s="906" t="e">
        <f t="shared" si="198"/>
        <v>#VALUE!</v>
      </c>
      <c r="AD386" s="907">
        <f t="shared" si="199"/>
        <v>0</v>
      </c>
      <c r="AE386" s="904">
        <f>IF(H386&gt;8,tab!C$194,tab!C$197)</f>
        <v>0.5</v>
      </c>
      <c r="AF386" s="907">
        <f t="shared" si="200"/>
        <v>0</v>
      </c>
      <c r="AG386" s="887">
        <f t="shared" si="201"/>
        <v>0</v>
      </c>
      <c r="AH386" s="908" t="e">
        <f t="shared" si="202"/>
        <v>#VALUE!</v>
      </c>
      <c r="AI386" s="815" t="e">
        <f t="shared" si="203"/>
        <v>#VALUE!</v>
      </c>
      <c r="AJ386" s="540">
        <f t="shared" si="204"/>
        <v>30</v>
      </c>
      <c r="AK386" s="540">
        <f t="shared" si="183"/>
        <v>30</v>
      </c>
      <c r="AL386" s="909">
        <f t="shared" si="205"/>
        <v>0</v>
      </c>
      <c r="AN386" s="539">
        <f t="shared" si="185"/>
        <v>0</v>
      </c>
      <c r="AT386" s="317"/>
      <c r="AU386" s="317"/>
    </row>
    <row r="387" spans="3:47" ht="13.15" customHeight="1" x14ac:dyDescent="0.2">
      <c r="C387" s="381"/>
      <c r="D387" s="895" t="str">
        <f>IF(op!D275=0,"",op!D275)</f>
        <v/>
      </c>
      <c r="E387" s="895" t="str">
        <f>IF(op!E275=0,"",op!E275)</f>
        <v/>
      </c>
      <c r="F387" s="390" t="str">
        <f>IF(op!F275="","",op!F275+1)</f>
        <v/>
      </c>
      <c r="G387" s="896" t="str">
        <f>IF(op!G275=0,"",op!G275)</f>
        <v/>
      </c>
      <c r="H387" s="390" t="str">
        <f>IF(op!H275="","",op!H275)</f>
        <v/>
      </c>
      <c r="I387" s="897" t="str">
        <f t="shared" si="193"/>
        <v/>
      </c>
      <c r="J387" s="898" t="str">
        <f>IF(op!J275="","",op!J275)</f>
        <v/>
      </c>
      <c r="K387" s="334"/>
      <c r="L387" s="1140" t="str">
        <f>IF(op!L275="","",op!L275)</f>
        <v/>
      </c>
      <c r="M387" s="1140" t="str">
        <f>IF(op!M275="","",op!M275)</f>
        <v/>
      </c>
      <c r="N387" s="899" t="str">
        <f t="shared" si="186"/>
        <v/>
      </c>
      <c r="O387" s="900" t="str">
        <f t="shared" si="187"/>
        <v/>
      </c>
      <c r="P387" s="901" t="str">
        <f t="shared" si="188"/>
        <v/>
      </c>
      <c r="Q387" s="568" t="str">
        <f t="shared" si="194"/>
        <v/>
      </c>
      <c r="R387" s="902" t="str">
        <f t="shared" si="189"/>
        <v/>
      </c>
      <c r="S387" s="903">
        <f t="shared" si="195"/>
        <v>0</v>
      </c>
      <c r="T387" s="334"/>
      <c r="X387" s="887" t="str">
        <f t="shared" si="196"/>
        <v/>
      </c>
      <c r="Y387" s="904">
        <f t="shared" si="197"/>
        <v>0.6</v>
      </c>
      <c r="Z387" s="905" t="e">
        <f t="shared" si="190"/>
        <v>#VALUE!</v>
      </c>
      <c r="AA387" s="905" t="e">
        <f t="shared" si="191"/>
        <v>#VALUE!</v>
      </c>
      <c r="AB387" s="905" t="e">
        <f t="shared" si="192"/>
        <v>#VALUE!</v>
      </c>
      <c r="AC387" s="906" t="e">
        <f t="shared" si="198"/>
        <v>#VALUE!</v>
      </c>
      <c r="AD387" s="907">
        <f t="shared" si="199"/>
        <v>0</v>
      </c>
      <c r="AE387" s="904">
        <f>IF(H387&gt;8,tab!C$194,tab!C$197)</f>
        <v>0.5</v>
      </c>
      <c r="AF387" s="907">
        <f t="shared" si="200"/>
        <v>0</v>
      </c>
      <c r="AG387" s="887">
        <f t="shared" si="201"/>
        <v>0</v>
      </c>
      <c r="AH387" s="908" t="e">
        <f t="shared" si="202"/>
        <v>#VALUE!</v>
      </c>
      <c r="AI387" s="815" t="e">
        <f t="shared" si="203"/>
        <v>#VALUE!</v>
      </c>
      <c r="AJ387" s="540">
        <f t="shared" si="204"/>
        <v>30</v>
      </c>
      <c r="AK387" s="540">
        <f t="shared" si="183"/>
        <v>30</v>
      </c>
      <c r="AL387" s="909">
        <f t="shared" si="205"/>
        <v>0</v>
      </c>
      <c r="AN387" s="539">
        <f t="shared" si="185"/>
        <v>0</v>
      </c>
      <c r="AT387" s="317"/>
      <c r="AU387" s="317"/>
    </row>
    <row r="388" spans="3:47" ht="13.15" customHeight="1" x14ac:dyDescent="0.2">
      <c r="C388" s="381"/>
      <c r="D388" s="895" t="str">
        <f>IF(op!D276=0,"",op!D276)</f>
        <v/>
      </c>
      <c r="E388" s="895" t="str">
        <f>IF(op!E276=0,"",op!E276)</f>
        <v/>
      </c>
      <c r="F388" s="390" t="str">
        <f>IF(op!F276="","",op!F276+1)</f>
        <v/>
      </c>
      <c r="G388" s="896" t="str">
        <f>IF(op!G276=0,"",op!G276)</f>
        <v/>
      </c>
      <c r="H388" s="390" t="str">
        <f>IF(op!H276="","",op!H276)</f>
        <v/>
      </c>
      <c r="I388" s="897" t="str">
        <f t="shared" si="193"/>
        <v/>
      </c>
      <c r="J388" s="898" t="str">
        <f>IF(op!J276="","",op!J276)</f>
        <v/>
      </c>
      <c r="K388" s="334"/>
      <c r="L388" s="1140" t="str">
        <f>IF(op!L276="","",op!L276)</f>
        <v/>
      </c>
      <c r="M388" s="1140" t="str">
        <f>IF(op!M276="","",op!M276)</f>
        <v/>
      </c>
      <c r="N388" s="899" t="str">
        <f t="shared" si="186"/>
        <v/>
      </c>
      <c r="O388" s="900" t="str">
        <f t="shared" si="187"/>
        <v/>
      </c>
      <c r="P388" s="901" t="str">
        <f t="shared" si="188"/>
        <v/>
      </c>
      <c r="Q388" s="568" t="str">
        <f t="shared" si="194"/>
        <v/>
      </c>
      <c r="R388" s="902" t="str">
        <f t="shared" si="189"/>
        <v/>
      </c>
      <c r="S388" s="903">
        <f t="shared" si="195"/>
        <v>0</v>
      </c>
      <c r="T388" s="334"/>
      <c r="X388" s="887" t="str">
        <f t="shared" si="196"/>
        <v/>
      </c>
      <c r="Y388" s="904">
        <f t="shared" si="197"/>
        <v>0.6</v>
      </c>
      <c r="Z388" s="905" t="e">
        <f t="shared" si="190"/>
        <v>#VALUE!</v>
      </c>
      <c r="AA388" s="905" t="e">
        <f t="shared" si="191"/>
        <v>#VALUE!</v>
      </c>
      <c r="AB388" s="905" t="e">
        <f t="shared" si="192"/>
        <v>#VALUE!</v>
      </c>
      <c r="AC388" s="906" t="e">
        <f t="shared" si="198"/>
        <v>#VALUE!</v>
      </c>
      <c r="AD388" s="907">
        <f t="shared" si="199"/>
        <v>0</v>
      </c>
      <c r="AE388" s="904">
        <f>IF(H388&gt;8,tab!C$194,tab!C$197)</f>
        <v>0.5</v>
      </c>
      <c r="AF388" s="907">
        <f t="shared" si="200"/>
        <v>0</v>
      </c>
      <c r="AG388" s="887">
        <f t="shared" si="201"/>
        <v>0</v>
      </c>
      <c r="AH388" s="908" t="e">
        <f t="shared" si="202"/>
        <v>#VALUE!</v>
      </c>
      <c r="AI388" s="815" t="e">
        <f t="shared" si="203"/>
        <v>#VALUE!</v>
      </c>
      <c r="AJ388" s="540">
        <f t="shared" si="204"/>
        <v>30</v>
      </c>
      <c r="AK388" s="540">
        <f t="shared" si="183"/>
        <v>30</v>
      </c>
      <c r="AL388" s="909">
        <f t="shared" si="205"/>
        <v>0</v>
      </c>
      <c r="AN388" s="539">
        <f t="shared" si="185"/>
        <v>0</v>
      </c>
      <c r="AT388" s="317"/>
      <c r="AU388" s="317"/>
    </row>
    <row r="389" spans="3:47" ht="13.15" customHeight="1" x14ac:dyDescent="0.2">
      <c r="C389" s="381"/>
      <c r="D389" s="895" t="str">
        <f>IF(op!D277=0,"",op!D277)</f>
        <v/>
      </c>
      <c r="E389" s="895" t="str">
        <f>IF(op!E277=0,"",op!E277)</f>
        <v/>
      </c>
      <c r="F389" s="390" t="str">
        <f>IF(op!F277="","",op!F277+1)</f>
        <v/>
      </c>
      <c r="G389" s="896" t="str">
        <f>IF(op!G277=0,"",op!G277)</f>
        <v/>
      </c>
      <c r="H389" s="390" t="str">
        <f>IF(op!H277="","",op!H277)</f>
        <v/>
      </c>
      <c r="I389" s="897" t="str">
        <f t="shared" si="193"/>
        <v/>
      </c>
      <c r="J389" s="898" t="str">
        <f>IF(op!J277="","",op!J277)</f>
        <v/>
      </c>
      <c r="K389" s="334"/>
      <c r="L389" s="1140" t="str">
        <f>IF(op!L277="","",op!L277)</f>
        <v/>
      </c>
      <c r="M389" s="1140" t="str">
        <f>IF(op!M277="","",op!M277)</f>
        <v/>
      </c>
      <c r="N389" s="899" t="str">
        <f t="shared" si="186"/>
        <v/>
      </c>
      <c r="O389" s="900" t="str">
        <f t="shared" si="187"/>
        <v/>
      </c>
      <c r="P389" s="901" t="str">
        <f t="shared" si="188"/>
        <v/>
      </c>
      <c r="Q389" s="568" t="str">
        <f t="shared" si="194"/>
        <v/>
      </c>
      <c r="R389" s="902" t="str">
        <f t="shared" si="189"/>
        <v/>
      </c>
      <c r="S389" s="903">
        <f t="shared" si="195"/>
        <v>0</v>
      </c>
      <c r="T389" s="334"/>
      <c r="X389" s="887" t="str">
        <f t="shared" si="196"/>
        <v/>
      </c>
      <c r="Y389" s="904">
        <f t="shared" si="197"/>
        <v>0.6</v>
      </c>
      <c r="Z389" s="905" t="e">
        <f t="shared" si="190"/>
        <v>#VALUE!</v>
      </c>
      <c r="AA389" s="905" t="e">
        <f t="shared" si="191"/>
        <v>#VALUE!</v>
      </c>
      <c r="AB389" s="905" t="e">
        <f t="shared" si="192"/>
        <v>#VALUE!</v>
      </c>
      <c r="AC389" s="906" t="e">
        <f t="shared" si="198"/>
        <v>#VALUE!</v>
      </c>
      <c r="AD389" s="907">
        <f t="shared" si="199"/>
        <v>0</v>
      </c>
      <c r="AE389" s="904">
        <f>IF(H389&gt;8,tab!C$194,tab!C$197)</f>
        <v>0.5</v>
      </c>
      <c r="AF389" s="907">
        <f t="shared" si="200"/>
        <v>0</v>
      </c>
      <c r="AG389" s="887">
        <f t="shared" si="201"/>
        <v>0</v>
      </c>
      <c r="AH389" s="908" t="e">
        <f t="shared" si="202"/>
        <v>#VALUE!</v>
      </c>
      <c r="AI389" s="815" t="e">
        <f t="shared" si="203"/>
        <v>#VALUE!</v>
      </c>
      <c r="AJ389" s="540">
        <f t="shared" si="204"/>
        <v>30</v>
      </c>
      <c r="AK389" s="540">
        <f t="shared" si="183"/>
        <v>30</v>
      </c>
      <c r="AL389" s="909">
        <f t="shared" si="205"/>
        <v>0</v>
      </c>
      <c r="AN389" s="539">
        <f t="shared" si="185"/>
        <v>0</v>
      </c>
      <c r="AT389" s="317"/>
      <c r="AU389" s="317"/>
    </row>
    <row r="390" spans="3:47" ht="13.15" customHeight="1" x14ac:dyDescent="0.2">
      <c r="C390" s="381"/>
      <c r="D390" s="895" t="str">
        <f>IF(op!D278=0,"",op!D278)</f>
        <v/>
      </c>
      <c r="E390" s="895" t="str">
        <f>IF(op!E278=0,"",op!E278)</f>
        <v/>
      </c>
      <c r="F390" s="390" t="str">
        <f>IF(op!F278="","",op!F278+1)</f>
        <v/>
      </c>
      <c r="G390" s="896" t="str">
        <f>IF(op!G278=0,"",op!G278)</f>
        <v/>
      </c>
      <c r="H390" s="390" t="str">
        <f>IF(op!H278="","",op!H278)</f>
        <v/>
      </c>
      <c r="I390" s="897" t="str">
        <f t="shared" si="193"/>
        <v/>
      </c>
      <c r="J390" s="898" t="str">
        <f>IF(op!J278="","",op!J278)</f>
        <v/>
      </c>
      <c r="K390" s="334"/>
      <c r="L390" s="1140" t="str">
        <f>IF(op!L278="","",op!L278)</f>
        <v/>
      </c>
      <c r="M390" s="1140" t="str">
        <f>IF(op!M278="","",op!M278)</f>
        <v/>
      </c>
      <c r="N390" s="899" t="str">
        <f t="shared" si="186"/>
        <v/>
      </c>
      <c r="O390" s="900" t="str">
        <f t="shared" si="187"/>
        <v/>
      </c>
      <c r="P390" s="901" t="str">
        <f t="shared" si="188"/>
        <v/>
      </c>
      <c r="Q390" s="568" t="str">
        <f t="shared" si="194"/>
        <v/>
      </c>
      <c r="R390" s="902" t="str">
        <f t="shared" si="189"/>
        <v/>
      </c>
      <c r="S390" s="903">
        <f t="shared" si="195"/>
        <v>0</v>
      </c>
      <c r="T390" s="334"/>
      <c r="X390" s="887" t="str">
        <f t="shared" si="196"/>
        <v/>
      </c>
      <c r="Y390" s="904">
        <f t="shared" si="197"/>
        <v>0.6</v>
      </c>
      <c r="Z390" s="905" t="e">
        <f t="shared" si="190"/>
        <v>#VALUE!</v>
      </c>
      <c r="AA390" s="905" t="e">
        <f t="shared" si="191"/>
        <v>#VALUE!</v>
      </c>
      <c r="AB390" s="905" t="e">
        <f t="shared" si="192"/>
        <v>#VALUE!</v>
      </c>
      <c r="AC390" s="906" t="e">
        <f t="shared" si="198"/>
        <v>#VALUE!</v>
      </c>
      <c r="AD390" s="907">
        <f t="shared" si="199"/>
        <v>0</v>
      </c>
      <c r="AE390" s="904">
        <f>IF(H390&gt;8,tab!C$194,tab!C$197)</f>
        <v>0.5</v>
      </c>
      <c r="AF390" s="907">
        <f t="shared" si="200"/>
        <v>0</v>
      </c>
      <c r="AG390" s="887">
        <f t="shared" si="201"/>
        <v>0</v>
      </c>
      <c r="AH390" s="908" t="e">
        <f t="shared" si="202"/>
        <v>#VALUE!</v>
      </c>
      <c r="AI390" s="815" t="e">
        <f t="shared" si="203"/>
        <v>#VALUE!</v>
      </c>
      <c r="AJ390" s="540">
        <f t="shared" si="204"/>
        <v>30</v>
      </c>
      <c r="AK390" s="540">
        <f t="shared" si="183"/>
        <v>30</v>
      </c>
      <c r="AL390" s="909">
        <f t="shared" si="205"/>
        <v>0</v>
      </c>
      <c r="AN390" s="539">
        <f t="shared" si="185"/>
        <v>0</v>
      </c>
      <c r="AT390" s="317"/>
      <c r="AU390" s="317"/>
    </row>
    <row r="391" spans="3:47" ht="13.15" customHeight="1" x14ac:dyDescent="0.2">
      <c r="C391" s="381"/>
      <c r="D391" s="895" t="str">
        <f>IF(op!D279=0,"",op!D279)</f>
        <v/>
      </c>
      <c r="E391" s="895" t="str">
        <f>IF(op!E279=0,"",op!E279)</f>
        <v/>
      </c>
      <c r="F391" s="390" t="str">
        <f>IF(op!F279="","",op!F279+1)</f>
        <v/>
      </c>
      <c r="G391" s="896" t="str">
        <f>IF(op!G279=0,"",op!G279)</f>
        <v/>
      </c>
      <c r="H391" s="390" t="str">
        <f>IF(op!H279="","",op!H279)</f>
        <v/>
      </c>
      <c r="I391" s="897" t="str">
        <f t="shared" si="193"/>
        <v/>
      </c>
      <c r="J391" s="898" t="str">
        <f>IF(op!J279="","",op!J279)</f>
        <v/>
      </c>
      <c r="K391" s="334"/>
      <c r="L391" s="1140" t="str">
        <f>IF(op!L279="","",op!L279)</f>
        <v/>
      </c>
      <c r="M391" s="1140" t="str">
        <f>IF(op!M279="","",op!M279)</f>
        <v/>
      </c>
      <c r="N391" s="899" t="str">
        <f t="shared" si="186"/>
        <v/>
      </c>
      <c r="O391" s="900" t="str">
        <f t="shared" si="187"/>
        <v/>
      </c>
      <c r="P391" s="901" t="str">
        <f t="shared" si="188"/>
        <v/>
      </c>
      <c r="Q391" s="568" t="str">
        <f t="shared" si="194"/>
        <v/>
      </c>
      <c r="R391" s="902" t="str">
        <f t="shared" si="189"/>
        <v/>
      </c>
      <c r="S391" s="903">
        <f t="shared" si="195"/>
        <v>0</v>
      </c>
      <c r="T391" s="334"/>
      <c r="X391" s="887" t="str">
        <f t="shared" si="196"/>
        <v/>
      </c>
      <c r="Y391" s="904">
        <f t="shared" si="197"/>
        <v>0.6</v>
      </c>
      <c r="Z391" s="905" t="e">
        <f t="shared" si="190"/>
        <v>#VALUE!</v>
      </c>
      <c r="AA391" s="905" t="e">
        <f t="shared" si="191"/>
        <v>#VALUE!</v>
      </c>
      <c r="AB391" s="905" t="e">
        <f t="shared" si="192"/>
        <v>#VALUE!</v>
      </c>
      <c r="AC391" s="906" t="e">
        <f t="shared" si="198"/>
        <v>#VALUE!</v>
      </c>
      <c r="AD391" s="907">
        <f t="shared" si="199"/>
        <v>0</v>
      </c>
      <c r="AE391" s="904">
        <f>IF(H391&gt;8,tab!C$194,tab!C$197)</f>
        <v>0.5</v>
      </c>
      <c r="AF391" s="907">
        <f t="shared" si="200"/>
        <v>0</v>
      </c>
      <c r="AG391" s="887">
        <f t="shared" si="201"/>
        <v>0</v>
      </c>
      <c r="AH391" s="908" t="e">
        <f t="shared" si="202"/>
        <v>#VALUE!</v>
      </c>
      <c r="AI391" s="815" t="e">
        <f t="shared" si="203"/>
        <v>#VALUE!</v>
      </c>
      <c r="AJ391" s="540">
        <f t="shared" si="204"/>
        <v>30</v>
      </c>
      <c r="AK391" s="540">
        <f t="shared" si="183"/>
        <v>30</v>
      </c>
      <c r="AL391" s="909">
        <f t="shared" si="205"/>
        <v>0</v>
      </c>
      <c r="AN391" s="539">
        <f t="shared" si="185"/>
        <v>0</v>
      </c>
      <c r="AT391" s="317"/>
      <c r="AU391" s="317"/>
    </row>
    <row r="392" spans="3:47" ht="13.15" customHeight="1" x14ac:dyDescent="0.2">
      <c r="C392" s="381"/>
      <c r="D392" s="895" t="str">
        <f>IF(op!D280=0,"",op!D280)</f>
        <v/>
      </c>
      <c r="E392" s="895" t="str">
        <f>IF(op!E280=0,"",op!E280)</f>
        <v/>
      </c>
      <c r="F392" s="390" t="str">
        <f>IF(op!F280="","",op!F280+1)</f>
        <v/>
      </c>
      <c r="G392" s="896" t="str">
        <f>IF(op!G280=0,"",op!G280)</f>
        <v/>
      </c>
      <c r="H392" s="390" t="str">
        <f>IF(op!H280="","",op!H280)</f>
        <v/>
      </c>
      <c r="I392" s="897" t="str">
        <f t="shared" si="193"/>
        <v/>
      </c>
      <c r="J392" s="898" t="str">
        <f>IF(op!J280="","",op!J280)</f>
        <v/>
      </c>
      <c r="K392" s="334"/>
      <c r="L392" s="1140" t="str">
        <f>IF(op!L280="","",op!L280)</f>
        <v/>
      </c>
      <c r="M392" s="1140" t="str">
        <f>IF(op!M280="","",op!M280)</f>
        <v/>
      </c>
      <c r="N392" s="899" t="str">
        <f t="shared" si="186"/>
        <v/>
      </c>
      <c r="O392" s="900" t="str">
        <f t="shared" si="187"/>
        <v/>
      </c>
      <c r="P392" s="901" t="str">
        <f t="shared" si="188"/>
        <v/>
      </c>
      <c r="Q392" s="568" t="str">
        <f t="shared" si="194"/>
        <v/>
      </c>
      <c r="R392" s="902" t="str">
        <f t="shared" si="189"/>
        <v/>
      </c>
      <c r="S392" s="903">
        <f t="shared" si="195"/>
        <v>0</v>
      </c>
      <c r="T392" s="334"/>
      <c r="X392" s="887" t="str">
        <f t="shared" si="196"/>
        <v/>
      </c>
      <c r="Y392" s="904">
        <f t="shared" si="197"/>
        <v>0.6</v>
      </c>
      <c r="Z392" s="905" t="e">
        <f t="shared" si="190"/>
        <v>#VALUE!</v>
      </c>
      <c r="AA392" s="905" t="e">
        <f t="shared" si="191"/>
        <v>#VALUE!</v>
      </c>
      <c r="AB392" s="905" t="e">
        <f t="shared" si="192"/>
        <v>#VALUE!</v>
      </c>
      <c r="AC392" s="906" t="e">
        <f t="shared" si="198"/>
        <v>#VALUE!</v>
      </c>
      <c r="AD392" s="907">
        <f t="shared" si="199"/>
        <v>0</v>
      </c>
      <c r="AE392" s="904">
        <f>IF(H392&gt;8,tab!C$194,tab!C$197)</f>
        <v>0.5</v>
      </c>
      <c r="AF392" s="907">
        <f t="shared" si="200"/>
        <v>0</v>
      </c>
      <c r="AG392" s="887">
        <f t="shared" si="201"/>
        <v>0</v>
      </c>
      <c r="AH392" s="908" t="e">
        <f t="shared" si="202"/>
        <v>#VALUE!</v>
      </c>
      <c r="AI392" s="815" t="e">
        <f t="shared" si="203"/>
        <v>#VALUE!</v>
      </c>
      <c r="AJ392" s="540">
        <f t="shared" si="204"/>
        <v>30</v>
      </c>
      <c r="AK392" s="540">
        <f t="shared" si="183"/>
        <v>30</v>
      </c>
      <c r="AL392" s="909">
        <f t="shared" si="205"/>
        <v>0</v>
      </c>
      <c r="AN392" s="539">
        <f t="shared" si="185"/>
        <v>0</v>
      </c>
      <c r="AT392" s="317"/>
      <c r="AU392" s="317"/>
    </row>
    <row r="393" spans="3:47" ht="13.15" customHeight="1" x14ac:dyDescent="0.2">
      <c r="C393" s="381"/>
      <c r="D393" s="895" t="str">
        <f>IF(op!D281=0,"",op!D281)</f>
        <v/>
      </c>
      <c r="E393" s="895" t="str">
        <f>IF(op!E281=0,"",op!E281)</f>
        <v/>
      </c>
      <c r="F393" s="390" t="str">
        <f>IF(op!F281="","",op!F281+1)</f>
        <v/>
      </c>
      <c r="G393" s="896" t="str">
        <f>IF(op!G281=0,"",op!G281)</f>
        <v/>
      </c>
      <c r="H393" s="390" t="str">
        <f>IF(op!H281="","",op!H281)</f>
        <v/>
      </c>
      <c r="I393" s="897" t="str">
        <f t="shared" si="193"/>
        <v/>
      </c>
      <c r="J393" s="898" t="str">
        <f>IF(op!J281="","",op!J281)</f>
        <v/>
      </c>
      <c r="K393" s="334"/>
      <c r="L393" s="1140" t="str">
        <f>IF(op!L281="","",op!L281)</f>
        <v/>
      </c>
      <c r="M393" s="1140" t="str">
        <f>IF(op!M281="","",op!M281)</f>
        <v/>
      </c>
      <c r="N393" s="899" t="str">
        <f t="shared" si="186"/>
        <v/>
      </c>
      <c r="O393" s="900" t="str">
        <f t="shared" si="187"/>
        <v/>
      </c>
      <c r="P393" s="901" t="str">
        <f t="shared" si="188"/>
        <v/>
      </c>
      <c r="Q393" s="568" t="str">
        <f t="shared" si="194"/>
        <v/>
      </c>
      <c r="R393" s="902" t="str">
        <f t="shared" si="189"/>
        <v/>
      </c>
      <c r="S393" s="903">
        <f t="shared" si="195"/>
        <v>0</v>
      </c>
      <c r="T393" s="334"/>
      <c r="X393" s="887" t="str">
        <f t="shared" si="196"/>
        <v/>
      </c>
      <c r="Y393" s="904">
        <f t="shared" si="197"/>
        <v>0.6</v>
      </c>
      <c r="Z393" s="905" t="e">
        <f t="shared" si="190"/>
        <v>#VALUE!</v>
      </c>
      <c r="AA393" s="905" t="e">
        <f t="shared" si="191"/>
        <v>#VALUE!</v>
      </c>
      <c r="AB393" s="905" t="e">
        <f t="shared" si="192"/>
        <v>#VALUE!</v>
      </c>
      <c r="AC393" s="906" t="e">
        <f t="shared" si="198"/>
        <v>#VALUE!</v>
      </c>
      <c r="AD393" s="907">
        <f t="shared" si="199"/>
        <v>0</v>
      </c>
      <c r="AE393" s="904">
        <f>IF(H393&gt;8,tab!C$194,tab!C$197)</f>
        <v>0.5</v>
      </c>
      <c r="AF393" s="907">
        <f t="shared" si="200"/>
        <v>0</v>
      </c>
      <c r="AG393" s="887">
        <f t="shared" si="201"/>
        <v>0</v>
      </c>
      <c r="AH393" s="908" t="e">
        <f t="shared" si="202"/>
        <v>#VALUE!</v>
      </c>
      <c r="AI393" s="815" t="e">
        <f t="shared" si="203"/>
        <v>#VALUE!</v>
      </c>
      <c r="AJ393" s="540">
        <f t="shared" si="204"/>
        <v>30</v>
      </c>
      <c r="AK393" s="540">
        <f t="shared" si="183"/>
        <v>30</v>
      </c>
      <c r="AL393" s="909">
        <f t="shared" si="205"/>
        <v>0</v>
      </c>
      <c r="AN393" s="539">
        <f t="shared" si="185"/>
        <v>0</v>
      </c>
      <c r="AT393" s="317"/>
      <c r="AU393" s="317"/>
    </row>
    <row r="394" spans="3:47" ht="13.15" customHeight="1" x14ac:dyDescent="0.2">
      <c r="C394" s="381"/>
      <c r="D394" s="895" t="str">
        <f>IF(op!D282=0,"",op!D282)</f>
        <v/>
      </c>
      <c r="E394" s="895" t="str">
        <f>IF(op!E282=0,"",op!E282)</f>
        <v/>
      </c>
      <c r="F394" s="390" t="str">
        <f>IF(op!F282="","",op!F282+1)</f>
        <v/>
      </c>
      <c r="G394" s="896" t="str">
        <f>IF(op!G282=0,"",op!G282)</f>
        <v/>
      </c>
      <c r="H394" s="390" t="str">
        <f>IF(op!H282="","",op!H282)</f>
        <v/>
      </c>
      <c r="I394" s="897" t="str">
        <f t="shared" si="193"/>
        <v/>
      </c>
      <c r="J394" s="898" t="str">
        <f>IF(op!J282="","",op!J282)</f>
        <v/>
      </c>
      <c r="K394" s="334"/>
      <c r="L394" s="1140" t="str">
        <f>IF(op!L282="","",op!L282)</f>
        <v/>
      </c>
      <c r="M394" s="1140" t="str">
        <f>IF(op!M282="","",op!M282)</f>
        <v/>
      </c>
      <c r="N394" s="899" t="str">
        <f t="shared" si="186"/>
        <v/>
      </c>
      <c r="O394" s="900" t="str">
        <f t="shared" si="187"/>
        <v/>
      </c>
      <c r="P394" s="901" t="str">
        <f t="shared" si="188"/>
        <v/>
      </c>
      <c r="Q394" s="568" t="str">
        <f t="shared" si="194"/>
        <v/>
      </c>
      <c r="R394" s="902" t="str">
        <f t="shared" si="189"/>
        <v/>
      </c>
      <c r="S394" s="903">
        <f t="shared" si="195"/>
        <v>0</v>
      </c>
      <c r="T394" s="334"/>
      <c r="X394" s="887" t="str">
        <f t="shared" si="196"/>
        <v/>
      </c>
      <c r="Y394" s="904">
        <f t="shared" si="197"/>
        <v>0.6</v>
      </c>
      <c r="Z394" s="905" t="e">
        <f t="shared" si="190"/>
        <v>#VALUE!</v>
      </c>
      <c r="AA394" s="905" t="e">
        <f t="shared" si="191"/>
        <v>#VALUE!</v>
      </c>
      <c r="AB394" s="905" t="e">
        <f t="shared" si="192"/>
        <v>#VALUE!</v>
      </c>
      <c r="AC394" s="906" t="e">
        <f t="shared" si="198"/>
        <v>#VALUE!</v>
      </c>
      <c r="AD394" s="907">
        <f t="shared" si="199"/>
        <v>0</v>
      </c>
      <c r="AE394" s="904">
        <f>IF(H394&gt;8,tab!C$194,tab!C$197)</f>
        <v>0.5</v>
      </c>
      <c r="AF394" s="907">
        <f t="shared" si="200"/>
        <v>0</v>
      </c>
      <c r="AG394" s="887">
        <f t="shared" si="201"/>
        <v>0</v>
      </c>
      <c r="AH394" s="908" t="e">
        <f t="shared" si="202"/>
        <v>#VALUE!</v>
      </c>
      <c r="AI394" s="815" t="e">
        <f t="shared" si="203"/>
        <v>#VALUE!</v>
      </c>
      <c r="AJ394" s="540">
        <f t="shared" si="204"/>
        <v>30</v>
      </c>
      <c r="AK394" s="540">
        <f t="shared" si="183"/>
        <v>30</v>
      </c>
      <c r="AL394" s="909">
        <f t="shared" si="205"/>
        <v>0</v>
      </c>
      <c r="AN394" s="539">
        <f t="shared" si="185"/>
        <v>0</v>
      </c>
      <c r="AT394" s="317"/>
      <c r="AU394" s="317"/>
    </row>
    <row r="395" spans="3:47" ht="13.15" customHeight="1" x14ac:dyDescent="0.2">
      <c r="C395" s="381"/>
      <c r="D395" s="895" t="str">
        <f>IF(op!D283=0,"",op!D283)</f>
        <v/>
      </c>
      <c r="E395" s="895" t="str">
        <f>IF(op!E283=0,"",op!E283)</f>
        <v/>
      </c>
      <c r="F395" s="390" t="str">
        <f>IF(op!F283="","",op!F283+1)</f>
        <v/>
      </c>
      <c r="G395" s="896" t="str">
        <f>IF(op!G283=0,"",op!G283)</f>
        <v/>
      </c>
      <c r="H395" s="390" t="str">
        <f>IF(op!H283="","",op!H283)</f>
        <v/>
      </c>
      <c r="I395" s="897" t="str">
        <f t="shared" si="193"/>
        <v/>
      </c>
      <c r="J395" s="898" t="str">
        <f>IF(op!J283="","",op!J283)</f>
        <v/>
      </c>
      <c r="K395" s="334"/>
      <c r="L395" s="1140" t="str">
        <f>IF(op!L283="","",op!L283)</f>
        <v/>
      </c>
      <c r="M395" s="1140" t="str">
        <f>IF(op!M283="","",op!M283)</f>
        <v/>
      </c>
      <c r="N395" s="899" t="str">
        <f t="shared" si="186"/>
        <v/>
      </c>
      <c r="O395" s="900" t="str">
        <f t="shared" si="187"/>
        <v/>
      </c>
      <c r="P395" s="901" t="str">
        <f t="shared" si="188"/>
        <v/>
      </c>
      <c r="Q395" s="568" t="str">
        <f t="shared" si="194"/>
        <v/>
      </c>
      <c r="R395" s="902" t="str">
        <f t="shared" si="189"/>
        <v/>
      </c>
      <c r="S395" s="903">
        <f t="shared" si="195"/>
        <v>0</v>
      </c>
      <c r="T395" s="334"/>
      <c r="X395" s="887" t="str">
        <f t="shared" si="196"/>
        <v/>
      </c>
      <c r="Y395" s="904">
        <f t="shared" si="197"/>
        <v>0.6</v>
      </c>
      <c r="Z395" s="905" t="e">
        <f t="shared" si="190"/>
        <v>#VALUE!</v>
      </c>
      <c r="AA395" s="905" t="e">
        <f t="shared" si="191"/>
        <v>#VALUE!</v>
      </c>
      <c r="AB395" s="905" t="e">
        <f t="shared" si="192"/>
        <v>#VALUE!</v>
      </c>
      <c r="AC395" s="906" t="e">
        <f t="shared" si="198"/>
        <v>#VALUE!</v>
      </c>
      <c r="AD395" s="907">
        <f t="shared" si="199"/>
        <v>0</v>
      </c>
      <c r="AE395" s="904">
        <f>IF(H395&gt;8,tab!C$194,tab!C$197)</f>
        <v>0.5</v>
      </c>
      <c r="AF395" s="907">
        <f t="shared" si="200"/>
        <v>0</v>
      </c>
      <c r="AG395" s="887">
        <f t="shared" si="201"/>
        <v>0</v>
      </c>
      <c r="AH395" s="908" t="e">
        <f t="shared" si="202"/>
        <v>#VALUE!</v>
      </c>
      <c r="AI395" s="815" t="e">
        <f t="shared" si="203"/>
        <v>#VALUE!</v>
      </c>
      <c r="AJ395" s="540">
        <f t="shared" si="204"/>
        <v>30</v>
      </c>
      <c r="AK395" s="540">
        <f t="shared" si="183"/>
        <v>30</v>
      </c>
      <c r="AL395" s="909">
        <f t="shared" si="205"/>
        <v>0</v>
      </c>
      <c r="AN395" s="539">
        <f t="shared" si="185"/>
        <v>0</v>
      </c>
      <c r="AT395" s="317"/>
      <c r="AU395" s="317"/>
    </row>
    <row r="396" spans="3:47" ht="13.15" customHeight="1" x14ac:dyDescent="0.2">
      <c r="C396" s="381"/>
      <c r="D396" s="895" t="str">
        <f>IF(op!D284=0,"",op!D284)</f>
        <v/>
      </c>
      <c r="E396" s="895" t="str">
        <f>IF(op!E284=0,"",op!E284)</f>
        <v/>
      </c>
      <c r="F396" s="390" t="str">
        <f>IF(op!F284="","",op!F284+1)</f>
        <v/>
      </c>
      <c r="G396" s="896" t="str">
        <f>IF(op!G284=0,"",op!G284)</f>
        <v/>
      </c>
      <c r="H396" s="390" t="str">
        <f>IF(op!H284="","",op!H284)</f>
        <v/>
      </c>
      <c r="I396" s="897" t="str">
        <f t="shared" si="193"/>
        <v/>
      </c>
      <c r="J396" s="898" t="str">
        <f>IF(op!J284="","",op!J284)</f>
        <v/>
      </c>
      <c r="K396" s="334"/>
      <c r="L396" s="1140" t="str">
        <f>IF(op!L284="","",op!L284)</f>
        <v/>
      </c>
      <c r="M396" s="1140" t="str">
        <f>IF(op!M284="","",op!M284)</f>
        <v/>
      </c>
      <c r="N396" s="899" t="str">
        <f t="shared" si="186"/>
        <v/>
      </c>
      <c r="O396" s="900" t="str">
        <f t="shared" si="187"/>
        <v/>
      </c>
      <c r="P396" s="901" t="str">
        <f t="shared" si="188"/>
        <v/>
      </c>
      <c r="Q396" s="568" t="str">
        <f t="shared" si="194"/>
        <v/>
      </c>
      <c r="R396" s="902" t="str">
        <f t="shared" si="189"/>
        <v/>
      </c>
      <c r="S396" s="903">
        <f t="shared" si="195"/>
        <v>0</v>
      </c>
      <c r="T396" s="334"/>
      <c r="X396" s="887" t="str">
        <f t="shared" si="196"/>
        <v/>
      </c>
      <c r="Y396" s="904">
        <f t="shared" si="197"/>
        <v>0.6</v>
      </c>
      <c r="Z396" s="905" t="e">
        <f t="shared" si="190"/>
        <v>#VALUE!</v>
      </c>
      <c r="AA396" s="905" t="e">
        <f t="shared" si="191"/>
        <v>#VALUE!</v>
      </c>
      <c r="AB396" s="905" t="e">
        <f t="shared" si="192"/>
        <v>#VALUE!</v>
      </c>
      <c r="AC396" s="906" t="e">
        <f t="shared" si="198"/>
        <v>#VALUE!</v>
      </c>
      <c r="AD396" s="907">
        <f t="shared" si="199"/>
        <v>0</v>
      </c>
      <c r="AE396" s="904">
        <f>IF(H396&gt;8,tab!C$194,tab!C$197)</f>
        <v>0.5</v>
      </c>
      <c r="AF396" s="907">
        <f t="shared" si="200"/>
        <v>0</v>
      </c>
      <c r="AG396" s="887">
        <f t="shared" si="201"/>
        <v>0</v>
      </c>
      <c r="AH396" s="908" t="e">
        <f t="shared" si="202"/>
        <v>#VALUE!</v>
      </c>
      <c r="AI396" s="815" t="e">
        <f t="shared" si="203"/>
        <v>#VALUE!</v>
      </c>
      <c r="AJ396" s="540">
        <f t="shared" si="204"/>
        <v>30</v>
      </c>
      <c r="AK396" s="540">
        <f t="shared" si="183"/>
        <v>30</v>
      </c>
      <c r="AL396" s="909">
        <f t="shared" si="205"/>
        <v>0</v>
      </c>
      <c r="AN396" s="539">
        <f t="shared" si="185"/>
        <v>0</v>
      </c>
      <c r="AT396" s="317"/>
      <c r="AU396" s="317"/>
    </row>
    <row r="397" spans="3:47" ht="13.15" customHeight="1" x14ac:dyDescent="0.2">
      <c r="C397" s="381"/>
      <c r="D397" s="895" t="str">
        <f>IF(op!D285=0,"",op!D285)</f>
        <v/>
      </c>
      <c r="E397" s="895" t="str">
        <f>IF(op!E285=0,"",op!E285)</f>
        <v/>
      </c>
      <c r="F397" s="390" t="str">
        <f>IF(op!F285="","",op!F285+1)</f>
        <v/>
      </c>
      <c r="G397" s="896" t="str">
        <f>IF(op!G285=0,"",op!G285)</f>
        <v/>
      </c>
      <c r="H397" s="390" t="str">
        <f>IF(op!H285="","",op!H285)</f>
        <v/>
      </c>
      <c r="I397" s="897" t="str">
        <f t="shared" si="193"/>
        <v/>
      </c>
      <c r="J397" s="898" t="str">
        <f>IF(op!J285="","",op!J285)</f>
        <v/>
      </c>
      <c r="K397" s="334"/>
      <c r="L397" s="1140" t="str">
        <f>IF(op!L285="","",op!L285)</f>
        <v/>
      </c>
      <c r="M397" s="1140" t="str">
        <f>IF(op!M285="","",op!M285)</f>
        <v/>
      </c>
      <c r="N397" s="899" t="str">
        <f t="shared" si="186"/>
        <v/>
      </c>
      <c r="O397" s="900" t="str">
        <f t="shared" si="187"/>
        <v/>
      </c>
      <c r="P397" s="901" t="str">
        <f t="shared" si="188"/>
        <v/>
      </c>
      <c r="Q397" s="568" t="str">
        <f t="shared" si="194"/>
        <v/>
      </c>
      <c r="R397" s="902" t="str">
        <f t="shared" si="189"/>
        <v/>
      </c>
      <c r="S397" s="903">
        <f t="shared" si="195"/>
        <v>0</v>
      </c>
      <c r="T397" s="334"/>
      <c r="X397" s="887" t="str">
        <f t="shared" si="196"/>
        <v/>
      </c>
      <c r="Y397" s="904">
        <f t="shared" si="197"/>
        <v>0.6</v>
      </c>
      <c r="Z397" s="905" t="e">
        <f t="shared" si="190"/>
        <v>#VALUE!</v>
      </c>
      <c r="AA397" s="905" t="e">
        <f t="shared" si="191"/>
        <v>#VALUE!</v>
      </c>
      <c r="AB397" s="905" t="e">
        <f t="shared" si="192"/>
        <v>#VALUE!</v>
      </c>
      <c r="AC397" s="906" t="e">
        <f t="shared" si="198"/>
        <v>#VALUE!</v>
      </c>
      <c r="AD397" s="907">
        <f t="shared" si="199"/>
        <v>0</v>
      </c>
      <c r="AE397" s="904">
        <f>IF(H397&gt;8,tab!C$194,tab!C$197)</f>
        <v>0.5</v>
      </c>
      <c r="AF397" s="907">
        <f t="shared" si="200"/>
        <v>0</v>
      </c>
      <c r="AG397" s="887">
        <f t="shared" si="201"/>
        <v>0</v>
      </c>
      <c r="AH397" s="908" t="e">
        <f t="shared" si="202"/>
        <v>#VALUE!</v>
      </c>
      <c r="AI397" s="815" t="e">
        <f t="shared" si="203"/>
        <v>#VALUE!</v>
      </c>
      <c r="AJ397" s="540">
        <f t="shared" si="204"/>
        <v>30</v>
      </c>
      <c r="AK397" s="540">
        <f t="shared" si="183"/>
        <v>30</v>
      </c>
      <c r="AL397" s="909">
        <f t="shared" si="205"/>
        <v>0</v>
      </c>
      <c r="AN397" s="539">
        <f t="shared" si="185"/>
        <v>0</v>
      </c>
      <c r="AT397" s="317"/>
      <c r="AU397" s="317"/>
    </row>
    <row r="398" spans="3:47" ht="13.15" customHeight="1" x14ac:dyDescent="0.2">
      <c r="C398" s="381"/>
      <c r="D398" s="895" t="str">
        <f>IF(op!D286=0,"",op!D286)</f>
        <v/>
      </c>
      <c r="E398" s="895" t="str">
        <f>IF(op!E286=0,"",op!E286)</f>
        <v/>
      </c>
      <c r="F398" s="390" t="str">
        <f>IF(op!F286="","",op!F286+1)</f>
        <v/>
      </c>
      <c r="G398" s="896" t="str">
        <f>IF(op!G286=0,"",op!G286)</f>
        <v/>
      </c>
      <c r="H398" s="390" t="str">
        <f>IF(op!H286="","",op!H286)</f>
        <v/>
      </c>
      <c r="I398" s="897" t="str">
        <f t="shared" si="193"/>
        <v/>
      </c>
      <c r="J398" s="898" t="str">
        <f>IF(op!J286="","",op!J286)</f>
        <v/>
      </c>
      <c r="K398" s="334"/>
      <c r="L398" s="1140" t="str">
        <f>IF(op!L286="","",op!L286)</f>
        <v/>
      </c>
      <c r="M398" s="1140" t="str">
        <f>IF(op!M286="","",op!M286)</f>
        <v/>
      </c>
      <c r="N398" s="899" t="str">
        <f t="shared" si="186"/>
        <v/>
      </c>
      <c r="O398" s="900" t="str">
        <f t="shared" si="187"/>
        <v/>
      </c>
      <c r="P398" s="901" t="str">
        <f t="shared" si="188"/>
        <v/>
      </c>
      <c r="Q398" s="568" t="str">
        <f t="shared" si="194"/>
        <v/>
      </c>
      <c r="R398" s="902" t="str">
        <f t="shared" si="189"/>
        <v/>
      </c>
      <c r="S398" s="903">
        <f t="shared" si="195"/>
        <v>0</v>
      </c>
      <c r="T398" s="334"/>
      <c r="X398" s="887" t="str">
        <f t="shared" si="196"/>
        <v/>
      </c>
      <c r="Y398" s="904">
        <f t="shared" si="197"/>
        <v>0.6</v>
      </c>
      <c r="Z398" s="905" t="e">
        <f t="shared" si="190"/>
        <v>#VALUE!</v>
      </c>
      <c r="AA398" s="905" t="e">
        <f t="shared" si="191"/>
        <v>#VALUE!</v>
      </c>
      <c r="AB398" s="905" t="e">
        <f t="shared" si="192"/>
        <v>#VALUE!</v>
      </c>
      <c r="AC398" s="906" t="e">
        <f t="shared" si="198"/>
        <v>#VALUE!</v>
      </c>
      <c r="AD398" s="907">
        <f t="shared" si="199"/>
        <v>0</v>
      </c>
      <c r="AE398" s="904">
        <f>IF(H398&gt;8,tab!C$194,tab!C$197)</f>
        <v>0.5</v>
      </c>
      <c r="AF398" s="907">
        <f t="shared" si="200"/>
        <v>0</v>
      </c>
      <c r="AG398" s="887">
        <f t="shared" si="201"/>
        <v>0</v>
      </c>
      <c r="AH398" s="908" t="e">
        <f t="shared" si="202"/>
        <v>#VALUE!</v>
      </c>
      <c r="AI398" s="815" t="e">
        <f t="shared" si="203"/>
        <v>#VALUE!</v>
      </c>
      <c r="AJ398" s="540">
        <f t="shared" si="204"/>
        <v>30</v>
      </c>
      <c r="AK398" s="540">
        <f t="shared" si="183"/>
        <v>30</v>
      </c>
      <c r="AL398" s="909">
        <f t="shared" si="205"/>
        <v>0</v>
      </c>
      <c r="AN398" s="539">
        <f t="shared" si="185"/>
        <v>0</v>
      </c>
      <c r="AT398" s="317"/>
      <c r="AU398" s="317"/>
    </row>
    <row r="399" spans="3:47" ht="13.15" customHeight="1" x14ac:dyDescent="0.2">
      <c r="C399" s="381"/>
      <c r="D399" s="895" t="str">
        <f>IF(op!D287=0,"",op!D287)</f>
        <v/>
      </c>
      <c r="E399" s="895" t="str">
        <f>IF(op!E287=0,"",op!E287)</f>
        <v/>
      </c>
      <c r="F399" s="390" t="str">
        <f>IF(op!F287="","",op!F287+1)</f>
        <v/>
      </c>
      <c r="G399" s="896" t="str">
        <f>IF(op!G287=0,"",op!G287)</f>
        <v/>
      </c>
      <c r="H399" s="390" t="str">
        <f>IF(op!H287="","",op!H287)</f>
        <v/>
      </c>
      <c r="I399" s="897" t="str">
        <f t="shared" si="193"/>
        <v/>
      </c>
      <c r="J399" s="898" t="str">
        <f>IF(op!J287="","",op!J287)</f>
        <v/>
      </c>
      <c r="K399" s="334"/>
      <c r="L399" s="1140" t="str">
        <f>IF(op!L287="","",op!L287)</f>
        <v/>
      </c>
      <c r="M399" s="1140" t="str">
        <f>IF(op!M287="","",op!M287)</f>
        <v/>
      </c>
      <c r="N399" s="899" t="str">
        <f t="shared" si="186"/>
        <v/>
      </c>
      <c r="O399" s="900" t="str">
        <f t="shared" si="187"/>
        <v/>
      </c>
      <c r="P399" s="901" t="str">
        <f t="shared" si="188"/>
        <v/>
      </c>
      <c r="Q399" s="568" t="str">
        <f t="shared" si="194"/>
        <v/>
      </c>
      <c r="R399" s="902" t="str">
        <f t="shared" si="189"/>
        <v/>
      </c>
      <c r="S399" s="903">
        <f t="shared" si="195"/>
        <v>0</v>
      </c>
      <c r="T399" s="334"/>
      <c r="X399" s="887" t="str">
        <f t="shared" si="196"/>
        <v/>
      </c>
      <c r="Y399" s="904">
        <f t="shared" si="197"/>
        <v>0.6</v>
      </c>
      <c r="Z399" s="905" t="e">
        <f t="shared" si="190"/>
        <v>#VALUE!</v>
      </c>
      <c r="AA399" s="905" t="e">
        <f t="shared" si="191"/>
        <v>#VALUE!</v>
      </c>
      <c r="AB399" s="905" t="e">
        <f t="shared" si="192"/>
        <v>#VALUE!</v>
      </c>
      <c r="AC399" s="906" t="e">
        <f t="shared" si="198"/>
        <v>#VALUE!</v>
      </c>
      <c r="AD399" s="907">
        <f t="shared" si="199"/>
        <v>0</v>
      </c>
      <c r="AE399" s="904">
        <f>IF(H399&gt;8,tab!C$194,tab!C$197)</f>
        <v>0.5</v>
      </c>
      <c r="AF399" s="907">
        <f t="shared" si="200"/>
        <v>0</v>
      </c>
      <c r="AG399" s="887">
        <f t="shared" si="201"/>
        <v>0</v>
      </c>
      <c r="AH399" s="908" t="e">
        <f t="shared" si="202"/>
        <v>#VALUE!</v>
      </c>
      <c r="AI399" s="815" t="e">
        <f t="shared" si="203"/>
        <v>#VALUE!</v>
      </c>
      <c r="AJ399" s="540">
        <f t="shared" si="204"/>
        <v>30</v>
      </c>
      <c r="AK399" s="540">
        <f t="shared" si="183"/>
        <v>30</v>
      </c>
      <c r="AL399" s="909">
        <f t="shared" si="205"/>
        <v>0</v>
      </c>
      <c r="AN399" s="539">
        <f t="shared" si="185"/>
        <v>0</v>
      </c>
      <c r="AT399" s="317"/>
      <c r="AU399" s="317"/>
    </row>
    <row r="400" spans="3:47" ht="13.15" customHeight="1" x14ac:dyDescent="0.2">
      <c r="C400" s="381"/>
      <c r="D400" s="895" t="str">
        <f>IF(op!D288=0,"",op!D288)</f>
        <v/>
      </c>
      <c r="E400" s="895" t="str">
        <f>IF(op!E288=0,"",op!E288)</f>
        <v/>
      </c>
      <c r="F400" s="390" t="str">
        <f>IF(op!F288="","",op!F288+1)</f>
        <v/>
      </c>
      <c r="G400" s="896" t="str">
        <f>IF(op!G288=0,"",op!G288)</f>
        <v/>
      </c>
      <c r="H400" s="390" t="str">
        <f>IF(op!H288="","",op!H288)</f>
        <v/>
      </c>
      <c r="I400" s="897" t="str">
        <f t="shared" si="193"/>
        <v/>
      </c>
      <c r="J400" s="898" t="str">
        <f>IF(op!J288="","",op!J288)</f>
        <v/>
      </c>
      <c r="K400" s="334"/>
      <c r="L400" s="1140" t="str">
        <f>IF(op!L288="","",op!L288)</f>
        <v/>
      </c>
      <c r="M400" s="1140" t="str">
        <f>IF(op!M288="","",op!M288)</f>
        <v/>
      </c>
      <c r="N400" s="899" t="str">
        <f t="shared" si="186"/>
        <v/>
      </c>
      <c r="O400" s="900" t="str">
        <f t="shared" si="187"/>
        <v/>
      </c>
      <c r="P400" s="901" t="str">
        <f t="shared" si="188"/>
        <v/>
      </c>
      <c r="Q400" s="568" t="str">
        <f t="shared" si="194"/>
        <v/>
      </c>
      <c r="R400" s="902" t="str">
        <f t="shared" si="189"/>
        <v/>
      </c>
      <c r="S400" s="903">
        <f t="shared" si="195"/>
        <v>0</v>
      </c>
      <c r="T400" s="334"/>
      <c r="X400" s="887" t="str">
        <f t="shared" si="196"/>
        <v/>
      </c>
      <c r="Y400" s="904">
        <f t="shared" si="197"/>
        <v>0.6</v>
      </c>
      <c r="Z400" s="905" t="e">
        <f t="shared" si="190"/>
        <v>#VALUE!</v>
      </c>
      <c r="AA400" s="905" t="e">
        <f t="shared" si="191"/>
        <v>#VALUE!</v>
      </c>
      <c r="AB400" s="905" t="e">
        <f t="shared" si="192"/>
        <v>#VALUE!</v>
      </c>
      <c r="AC400" s="906" t="e">
        <f t="shared" si="198"/>
        <v>#VALUE!</v>
      </c>
      <c r="AD400" s="907">
        <f t="shared" si="199"/>
        <v>0</v>
      </c>
      <c r="AE400" s="904">
        <f>IF(H400&gt;8,tab!C$194,tab!C$197)</f>
        <v>0.5</v>
      </c>
      <c r="AF400" s="907">
        <f t="shared" si="200"/>
        <v>0</v>
      </c>
      <c r="AG400" s="887">
        <f t="shared" si="201"/>
        <v>0</v>
      </c>
      <c r="AH400" s="908" t="e">
        <f t="shared" si="202"/>
        <v>#VALUE!</v>
      </c>
      <c r="AI400" s="815" t="e">
        <f t="shared" si="203"/>
        <v>#VALUE!</v>
      </c>
      <c r="AJ400" s="540">
        <f t="shared" si="204"/>
        <v>30</v>
      </c>
      <c r="AK400" s="540">
        <f t="shared" si="183"/>
        <v>30</v>
      </c>
      <c r="AL400" s="909">
        <f t="shared" si="205"/>
        <v>0</v>
      </c>
      <c r="AN400" s="539">
        <f t="shared" si="185"/>
        <v>0</v>
      </c>
      <c r="AT400" s="317"/>
      <c r="AU400" s="317"/>
    </row>
    <row r="401" spans="3:47" ht="13.15" customHeight="1" x14ac:dyDescent="0.2">
      <c r="C401" s="381"/>
      <c r="D401" s="895" t="str">
        <f>IF(op!D289=0,"",op!D289)</f>
        <v/>
      </c>
      <c r="E401" s="895" t="str">
        <f>IF(op!E289=0,"",op!E289)</f>
        <v/>
      </c>
      <c r="F401" s="390" t="str">
        <f>IF(op!F289="","",op!F289+1)</f>
        <v/>
      </c>
      <c r="G401" s="896" t="str">
        <f>IF(op!G289=0,"",op!G289)</f>
        <v/>
      </c>
      <c r="H401" s="390" t="str">
        <f>IF(op!H289="","",op!H289)</f>
        <v/>
      </c>
      <c r="I401" s="897" t="str">
        <f t="shared" si="193"/>
        <v/>
      </c>
      <c r="J401" s="898" t="str">
        <f>IF(op!J289="","",op!J289)</f>
        <v/>
      </c>
      <c r="K401" s="334"/>
      <c r="L401" s="1140" t="str">
        <f>IF(op!L289="","",op!L289)</f>
        <v/>
      </c>
      <c r="M401" s="1140" t="str">
        <f>IF(op!M289="","",op!M289)</f>
        <v/>
      </c>
      <c r="N401" s="899" t="str">
        <f t="shared" si="186"/>
        <v/>
      </c>
      <c r="O401" s="900" t="str">
        <f t="shared" si="187"/>
        <v/>
      </c>
      <c r="P401" s="901" t="str">
        <f t="shared" si="188"/>
        <v/>
      </c>
      <c r="Q401" s="568" t="str">
        <f t="shared" si="194"/>
        <v/>
      </c>
      <c r="R401" s="902" t="str">
        <f t="shared" si="189"/>
        <v/>
      </c>
      <c r="S401" s="903">
        <f t="shared" si="195"/>
        <v>0</v>
      </c>
      <c r="T401" s="334"/>
      <c r="X401" s="887" t="str">
        <f t="shared" si="196"/>
        <v/>
      </c>
      <c r="Y401" s="904">
        <f t="shared" si="197"/>
        <v>0.6</v>
      </c>
      <c r="Z401" s="905" t="e">
        <f t="shared" si="190"/>
        <v>#VALUE!</v>
      </c>
      <c r="AA401" s="905" t="e">
        <f t="shared" si="191"/>
        <v>#VALUE!</v>
      </c>
      <c r="AB401" s="905" t="e">
        <f t="shared" si="192"/>
        <v>#VALUE!</v>
      </c>
      <c r="AC401" s="906" t="e">
        <f t="shared" si="198"/>
        <v>#VALUE!</v>
      </c>
      <c r="AD401" s="907">
        <f t="shared" si="199"/>
        <v>0</v>
      </c>
      <c r="AE401" s="904">
        <f>IF(H401&gt;8,tab!C$194,tab!C$197)</f>
        <v>0.5</v>
      </c>
      <c r="AF401" s="907">
        <f t="shared" si="200"/>
        <v>0</v>
      </c>
      <c r="AG401" s="887">
        <f t="shared" si="201"/>
        <v>0</v>
      </c>
      <c r="AH401" s="908" t="e">
        <f t="shared" si="202"/>
        <v>#VALUE!</v>
      </c>
      <c r="AI401" s="815" t="e">
        <f t="shared" si="203"/>
        <v>#VALUE!</v>
      </c>
      <c r="AJ401" s="540">
        <f t="shared" si="204"/>
        <v>30</v>
      </c>
      <c r="AK401" s="540">
        <f t="shared" si="183"/>
        <v>30</v>
      </c>
      <c r="AL401" s="909">
        <f t="shared" si="205"/>
        <v>0</v>
      </c>
      <c r="AN401" s="539">
        <f t="shared" si="185"/>
        <v>0</v>
      </c>
      <c r="AT401" s="317"/>
      <c r="AU401" s="317"/>
    </row>
    <row r="402" spans="3:47" ht="13.15" customHeight="1" x14ac:dyDescent="0.2">
      <c r="C402" s="381"/>
      <c r="D402" s="895" t="str">
        <f>IF(op!D290=0,"",op!D290)</f>
        <v/>
      </c>
      <c r="E402" s="895" t="str">
        <f>IF(op!E290=0,"",op!E290)</f>
        <v/>
      </c>
      <c r="F402" s="390" t="str">
        <f>IF(op!F290="","",op!F290+1)</f>
        <v/>
      </c>
      <c r="G402" s="896" t="str">
        <f>IF(op!G290=0,"",op!G290)</f>
        <v/>
      </c>
      <c r="H402" s="390" t="str">
        <f>IF(op!H290="","",op!H290)</f>
        <v/>
      </c>
      <c r="I402" s="897" t="str">
        <f t="shared" si="193"/>
        <v/>
      </c>
      <c r="J402" s="898" t="str">
        <f>IF(op!J290="","",op!J290)</f>
        <v/>
      </c>
      <c r="K402" s="334"/>
      <c r="L402" s="1140" t="str">
        <f>IF(op!L290="","",op!L290)</f>
        <v/>
      </c>
      <c r="M402" s="1140" t="str">
        <f>IF(op!M290="","",op!M290)</f>
        <v/>
      </c>
      <c r="N402" s="899" t="str">
        <f t="shared" si="186"/>
        <v/>
      </c>
      <c r="O402" s="900" t="str">
        <f t="shared" si="187"/>
        <v/>
      </c>
      <c r="P402" s="901" t="str">
        <f t="shared" si="188"/>
        <v/>
      </c>
      <c r="Q402" s="568" t="str">
        <f t="shared" si="194"/>
        <v/>
      </c>
      <c r="R402" s="902" t="str">
        <f t="shared" si="189"/>
        <v/>
      </c>
      <c r="S402" s="903">
        <f t="shared" si="195"/>
        <v>0</v>
      </c>
      <c r="T402" s="334"/>
      <c r="X402" s="887" t="str">
        <f t="shared" si="196"/>
        <v/>
      </c>
      <c r="Y402" s="904">
        <f t="shared" si="197"/>
        <v>0.6</v>
      </c>
      <c r="Z402" s="905" t="e">
        <f t="shared" si="190"/>
        <v>#VALUE!</v>
      </c>
      <c r="AA402" s="905" t="e">
        <f t="shared" si="191"/>
        <v>#VALUE!</v>
      </c>
      <c r="AB402" s="905" t="e">
        <f t="shared" si="192"/>
        <v>#VALUE!</v>
      </c>
      <c r="AC402" s="906" t="e">
        <f t="shared" si="198"/>
        <v>#VALUE!</v>
      </c>
      <c r="AD402" s="907">
        <f t="shared" si="199"/>
        <v>0</v>
      </c>
      <c r="AE402" s="904">
        <f>IF(H402&gt;8,tab!C$194,tab!C$197)</f>
        <v>0.5</v>
      </c>
      <c r="AF402" s="907">
        <f t="shared" si="200"/>
        <v>0</v>
      </c>
      <c r="AG402" s="887">
        <f t="shared" si="201"/>
        <v>0</v>
      </c>
      <c r="AH402" s="908" t="e">
        <f t="shared" si="202"/>
        <v>#VALUE!</v>
      </c>
      <c r="AI402" s="815" t="e">
        <f t="shared" si="203"/>
        <v>#VALUE!</v>
      </c>
      <c r="AJ402" s="540">
        <f t="shared" si="204"/>
        <v>30</v>
      </c>
      <c r="AK402" s="540">
        <f t="shared" si="183"/>
        <v>30</v>
      </c>
      <c r="AL402" s="909">
        <f t="shared" si="205"/>
        <v>0</v>
      </c>
      <c r="AN402" s="539">
        <f t="shared" si="185"/>
        <v>0</v>
      </c>
      <c r="AT402" s="317"/>
      <c r="AU402" s="317"/>
    </row>
    <row r="403" spans="3:47" ht="13.15" customHeight="1" x14ac:dyDescent="0.2">
      <c r="C403" s="381"/>
      <c r="D403" s="895" t="str">
        <f>IF(op!D291=0,"",op!D291)</f>
        <v/>
      </c>
      <c r="E403" s="895" t="str">
        <f>IF(op!E291=0,"",op!E291)</f>
        <v/>
      </c>
      <c r="F403" s="390" t="str">
        <f>IF(op!F291="","",op!F291+1)</f>
        <v/>
      </c>
      <c r="G403" s="896" t="str">
        <f>IF(op!G291=0,"",op!G291)</f>
        <v/>
      </c>
      <c r="H403" s="390" t="str">
        <f>IF(op!H291="","",op!H291)</f>
        <v/>
      </c>
      <c r="I403" s="897" t="str">
        <f t="shared" si="193"/>
        <v/>
      </c>
      <c r="J403" s="898" t="str">
        <f>IF(op!J291="","",op!J291)</f>
        <v/>
      </c>
      <c r="K403" s="334"/>
      <c r="L403" s="1140" t="str">
        <f>IF(op!L291="","",op!L291)</f>
        <v/>
      </c>
      <c r="M403" s="1140" t="str">
        <f>IF(op!M291="","",op!M291)</f>
        <v/>
      </c>
      <c r="N403" s="899" t="str">
        <f t="shared" si="186"/>
        <v/>
      </c>
      <c r="O403" s="900" t="str">
        <f t="shared" si="187"/>
        <v/>
      </c>
      <c r="P403" s="901" t="str">
        <f t="shared" si="188"/>
        <v/>
      </c>
      <c r="Q403" s="568" t="str">
        <f t="shared" si="194"/>
        <v/>
      </c>
      <c r="R403" s="902" t="str">
        <f t="shared" si="189"/>
        <v/>
      </c>
      <c r="S403" s="903">
        <f t="shared" si="195"/>
        <v>0</v>
      </c>
      <c r="T403" s="334"/>
      <c r="X403" s="887" t="str">
        <f t="shared" si="196"/>
        <v/>
      </c>
      <c r="Y403" s="904">
        <f t="shared" si="197"/>
        <v>0.6</v>
      </c>
      <c r="Z403" s="905" t="e">
        <f t="shared" si="190"/>
        <v>#VALUE!</v>
      </c>
      <c r="AA403" s="905" t="e">
        <f t="shared" si="191"/>
        <v>#VALUE!</v>
      </c>
      <c r="AB403" s="905" t="e">
        <f t="shared" si="192"/>
        <v>#VALUE!</v>
      </c>
      <c r="AC403" s="906" t="e">
        <f t="shared" si="198"/>
        <v>#VALUE!</v>
      </c>
      <c r="AD403" s="907">
        <f t="shared" si="199"/>
        <v>0</v>
      </c>
      <c r="AE403" s="904">
        <f>IF(H403&gt;8,tab!C$194,tab!C$197)</f>
        <v>0.5</v>
      </c>
      <c r="AF403" s="907">
        <f t="shared" si="200"/>
        <v>0</v>
      </c>
      <c r="AG403" s="887">
        <f t="shared" si="201"/>
        <v>0</v>
      </c>
      <c r="AH403" s="908" t="e">
        <f t="shared" si="202"/>
        <v>#VALUE!</v>
      </c>
      <c r="AI403" s="815" t="e">
        <f t="shared" si="203"/>
        <v>#VALUE!</v>
      </c>
      <c r="AJ403" s="540">
        <f t="shared" si="204"/>
        <v>30</v>
      </c>
      <c r="AK403" s="540">
        <f t="shared" si="183"/>
        <v>30</v>
      </c>
      <c r="AL403" s="909">
        <f t="shared" si="205"/>
        <v>0</v>
      </c>
      <c r="AN403" s="539">
        <f t="shared" si="185"/>
        <v>0</v>
      </c>
      <c r="AT403" s="317"/>
      <c r="AU403" s="317"/>
    </row>
    <row r="404" spans="3:47" ht="13.15" customHeight="1" x14ac:dyDescent="0.2">
      <c r="C404" s="381"/>
      <c r="D404" s="895" t="str">
        <f>IF(op!D292=0,"",op!D292)</f>
        <v/>
      </c>
      <c r="E404" s="895" t="str">
        <f>IF(op!E292=0,"",op!E292)</f>
        <v/>
      </c>
      <c r="F404" s="390" t="str">
        <f>IF(op!F292="","",op!F292+1)</f>
        <v/>
      </c>
      <c r="G404" s="896" t="str">
        <f>IF(op!G292=0,"",op!G292)</f>
        <v/>
      </c>
      <c r="H404" s="390" t="str">
        <f>IF(op!H292="","",op!H292)</f>
        <v/>
      </c>
      <c r="I404" s="897" t="str">
        <f t="shared" si="193"/>
        <v/>
      </c>
      <c r="J404" s="898" t="str">
        <f>IF(op!J292="","",op!J292)</f>
        <v/>
      </c>
      <c r="K404" s="334"/>
      <c r="L404" s="1140" t="str">
        <f>IF(op!L292="","",op!L292)</f>
        <v/>
      </c>
      <c r="M404" s="1140" t="str">
        <f>IF(op!M292="","",op!M292)</f>
        <v/>
      </c>
      <c r="N404" s="899" t="str">
        <f t="shared" si="186"/>
        <v/>
      </c>
      <c r="O404" s="900" t="str">
        <f t="shared" si="187"/>
        <v/>
      </c>
      <c r="P404" s="901" t="str">
        <f t="shared" si="188"/>
        <v/>
      </c>
      <c r="Q404" s="568" t="str">
        <f t="shared" si="194"/>
        <v/>
      </c>
      <c r="R404" s="902" t="str">
        <f t="shared" si="189"/>
        <v/>
      </c>
      <c r="S404" s="903">
        <f t="shared" si="195"/>
        <v>0</v>
      </c>
      <c r="T404" s="334"/>
      <c r="X404" s="887" t="str">
        <f t="shared" si="196"/>
        <v/>
      </c>
      <c r="Y404" s="904">
        <f t="shared" si="197"/>
        <v>0.6</v>
      </c>
      <c r="Z404" s="905" t="e">
        <f t="shared" si="190"/>
        <v>#VALUE!</v>
      </c>
      <c r="AA404" s="905" t="e">
        <f t="shared" si="191"/>
        <v>#VALUE!</v>
      </c>
      <c r="AB404" s="905" t="e">
        <f t="shared" si="192"/>
        <v>#VALUE!</v>
      </c>
      <c r="AC404" s="906" t="e">
        <f t="shared" si="198"/>
        <v>#VALUE!</v>
      </c>
      <c r="AD404" s="907">
        <f t="shared" si="199"/>
        <v>0</v>
      </c>
      <c r="AE404" s="904">
        <f>IF(H404&gt;8,tab!C$194,tab!C$197)</f>
        <v>0.5</v>
      </c>
      <c r="AF404" s="907">
        <f t="shared" si="200"/>
        <v>0</v>
      </c>
      <c r="AG404" s="887">
        <f t="shared" si="201"/>
        <v>0</v>
      </c>
      <c r="AH404" s="908" t="e">
        <f t="shared" si="202"/>
        <v>#VALUE!</v>
      </c>
      <c r="AI404" s="815" t="e">
        <f t="shared" si="203"/>
        <v>#VALUE!</v>
      </c>
      <c r="AJ404" s="540">
        <f t="shared" si="204"/>
        <v>30</v>
      </c>
      <c r="AK404" s="540">
        <f t="shared" si="183"/>
        <v>30</v>
      </c>
      <c r="AL404" s="909">
        <f t="shared" si="205"/>
        <v>0</v>
      </c>
      <c r="AN404" s="539">
        <f t="shared" si="185"/>
        <v>0</v>
      </c>
      <c r="AT404" s="317"/>
      <c r="AU404" s="317"/>
    </row>
    <row r="405" spans="3:47" ht="13.15" customHeight="1" x14ac:dyDescent="0.2">
      <c r="C405" s="381"/>
      <c r="D405" s="895" t="str">
        <f>IF(op!D293=0,"",op!D293)</f>
        <v/>
      </c>
      <c r="E405" s="895" t="str">
        <f>IF(op!E293=0,"",op!E293)</f>
        <v/>
      </c>
      <c r="F405" s="390" t="str">
        <f>IF(op!F293="","",op!F293+1)</f>
        <v/>
      </c>
      <c r="G405" s="896" t="str">
        <f>IF(op!G293=0,"",op!G293)</f>
        <v/>
      </c>
      <c r="H405" s="390" t="str">
        <f>IF(op!H293="","",op!H293)</f>
        <v/>
      </c>
      <c r="I405" s="897" t="str">
        <f t="shared" si="193"/>
        <v/>
      </c>
      <c r="J405" s="898" t="str">
        <f>IF(op!J293="","",op!J293)</f>
        <v/>
      </c>
      <c r="K405" s="334"/>
      <c r="L405" s="1140" t="str">
        <f>IF(op!L293="","",op!L293)</f>
        <v/>
      </c>
      <c r="M405" s="1140" t="str">
        <f>IF(op!M293="","",op!M293)</f>
        <v/>
      </c>
      <c r="N405" s="899" t="str">
        <f t="shared" si="186"/>
        <v/>
      </c>
      <c r="O405" s="900" t="str">
        <f t="shared" si="187"/>
        <v/>
      </c>
      <c r="P405" s="901" t="str">
        <f t="shared" si="188"/>
        <v/>
      </c>
      <c r="Q405" s="568" t="str">
        <f t="shared" si="194"/>
        <v/>
      </c>
      <c r="R405" s="902" t="str">
        <f t="shared" si="189"/>
        <v/>
      </c>
      <c r="S405" s="903">
        <f t="shared" si="195"/>
        <v>0</v>
      </c>
      <c r="T405" s="334"/>
      <c r="X405" s="887" t="str">
        <f t="shared" si="196"/>
        <v/>
      </c>
      <c r="Y405" s="904">
        <f t="shared" si="197"/>
        <v>0.6</v>
      </c>
      <c r="Z405" s="905" t="e">
        <f t="shared" si="190"/>
        <v>#VALUE!</v>
      </c>
      <c r="AA405" s="905" t="e">
        <f t="shared" si="191"/>
        <v>#VALUE!</v>
      </c>
      <c r="AB405" s="905" t="e">
        <f t="shared" si="192"/>
        <v>#VALUE!</v>
      </c>
      <c r="AC405" s="906" t="e">
        <f t="shared" si="198"/>
        <v>#VALUE!</v>
      </c>
      <c r="AD405" s="907">
        <f t="shared" si="199"/>
        <v>0</v>
      </c>
      <c r="AE405" s="904">
        <f>IF(H405&gt;8,tab!C$194,tab!C$197)</f>
        <v>0.5</v>
      </c>
      <c r="AF405" s="907">
        <f t="shared" si="200"/>
        <v>0</v>
      </c>
      <c r="AG405" s="887">
        <f t="shared" si="201"/>
        <v>0</v>
      </c>
      <c r="AH405" s="908" t="e">
        <f t="shared" si="202"/>
        <v>#VALUE!</v>
      </c>
      <c r="AI405" s="815" t="e">
        <f t="shared" si="203"/>
        <v>#VALUE!</v>
      </c>
      <c r="AJ405" s="540">
        <f t="shared" si="204"/>
        <v>30</v>
      </c>
      <c r="AK405" s="540">
        <f t="shared" si="183"/>
        <v>30</v>
      </c>
      <c r="AL405" s="909">
        <f t="shared" si="205"/>
        <v>0</v>
      </c>
      <c r="AN405" s="539">
        <f t="shared" si="185"/>
        <v>0</v>
      </c>
      <c r="AT405" s="317"/>
      <c r="AU405" s="317"/>
    </row>
    <row r="406" spans="3:47" ht="13.15" customHeight="1" x14ac:dyDescent="0.2">
      <c r="C406" s="381"/>
      <c r="D406" s="895" t="str">
        <f>IF(op!D294=0,"",op!D294)</f>
        <v/>
      </c>
      <c r="E406" s="895" t="str">
        <f>IF(op!E294=0,"",op!E294)</f>
        <v/>
      </c>
      <c r="F406" s="390" t="str">
        <f>IF(op!F294="","",op!F294+1)</f>
        <v/>
      </c>
      <c r="G406" s="896" t="str">
        <f>IF(op!G294=0,"",op!G294)</f>
        <v/>
      </c>
      <c r="H406" s="390" t="str">
        <f>IF(op!H294="","",op!H294)</f>
        <v/>
      </c>
      <c r="I406" s="897" t="str">
        <f t="shared" si="193"/>
        <v/>
      </c>
      <c r="J406" s="898" t="str">
        <f>IF(op!J294="","",op!J294)</f>
        <v/>
      </c>
      <c r="K406" s="334"/>
      <c r="L406" s="1140" t="str">
        <f>IF(op!L294="","",op!L294)</f>
        <v/>
      </c>
      <c r="M406" s="1140" t="str">
        <f>IF(op!M294="","",op!M294)</f>
        <v/>
      </c>
      <c r="N406" s="899" t="str">
        <f t="shared" si="186"/>
        <v/>
      </c>
      <c r="O406" s="900" t="str">
        <f t="shared" si="187"/>
        <v/>
      </c>
      <c r="P406" s="901" t="str">
        <f t="shared" si="188"/>
        <v/>
      </c>
      <c r="Q406" s="568" t="str">
        <f t="shared" si="194"/>
        <v/>
      </c>
      <c r="R406" s="902" t="str">
        <f t="shared" si="189"/>
        <v/>
      </c>
      <c r="S406" s="903">
        <f t="shared" si="195"/>
        <v>0</v>
      </c>
      <c r="T406" s="334"/>
      <c r="X406" s="887" t="str">
        <f t="shared" si="196"/>
        <v/>
      </c>
      <c r="Y406" s="904">
        <f t="shared" si="197"/>
        <v>0.6</v>
      </c>
      <c r="Z406" s="905" t="e">
        <f t="shared" si="190"/>
        <v>#VALUE!</v>
      </c>
      <c r="AA406" s="905" t="e">
        <f t="shared" si="191"/>
        <v>#VALUE!</v>
      </c>
      <c r="AB406" s="905" t="e">
        <f t="shared" si="192"/>
        <v>#VALUE!</v>
      </c>
      <c r="AC406" s="906" t="e">
        <f t="shared" si="198"/>
        <v>#VALUE!</v>
      </c>
      <c r="AD406" s="907">
        <f t="shared" si="199"/>
        <v>0</v>
      </c>
      <c r="AE406" s="904">
        <f>IF(H406&gt;8,tab!C$194,tab!C$197)</f>
        <v>0.5</v>
      </c>
      <c r="AF406" s="907">
        <f t="shared" si="200"/>
        <v>0</v>
      </c>
      <c r="AG406" s="887">
        <f t="shared" si="201"/>
        <v>0</v>
      </c>
      <c r="AH406" s="908" t="e">
        <f t="shared" si="202"/>
        <v>#VALUE!</v>
      </c>
      <c r="AI406" s="815" t="e">
        <f t="shared" si="203"/>
        <v>#VALUE!</v>
      </c>
      <c r="AJ406" s="540">
        <f t="shared" si="204"/>
        <v>30</v>
      </c>
      <c r="AK406" s="540">
        <f t="shared" si="183"/>
        <v>30</v>
      </c>
      <c r="AL406" s="909">
        <f t="shared" si="205"/>
        <v>0</v>
      </c>
      <c r="AN406" s="539">
        <f t="shared" si="185"/>
        <v>0</v>
      </c>
      <c r="AT406" s="317"/>
      <c r="AU406" s="317"/>
    </row>
    <row r="407" spans="3:47" ht="13.15" customHeight="1" x14ac:dyDescent="0.2">
      <c r="C407" s="381"/>
      <c r="D407" s="895" t="str">
        <f>IF(op!D295=0,"",op!D295)</f>
        <v/>
      </c>
      <c r="E407" s="895" t="str">
        <f>IF(op!E295=0,"",op!E295)</f>
        <v/>
      </c>
      <c r="F407" s="390" t="str">
        <f>IF(op!F295="","",op!F295+1)</f>
        <v/>
      </c>
      <c r="G407" s="896" t="str">
        <f>IF(op!G295=0,"",op!G295)</f>
        <v/>
      </c>
      <c r="H407" s="390" t="str">
        <f>IF(op!H295="","",op!H295)</f>
        <v/>
      </c>
      <c r="I407" s="897" t="str">
        <f t="shared" si="193"/>
        <v/>
      </c>
      <c r="J407" s="898" t="str">
        <f>IF(op!J295="","",op!J295)</f>
        <v/>
      </c>
      <c r="K407" s="334"/>
      <c r="L407" s="1140" t="str">
        <f>IF(op!L295="","",op!L295)</f>
        <v/>
      </c>
      <c r="M407" s="1140" t="str">
        <f>IF(op!M295="","",op!M295)</f>
        <v/>
      </c>
      <c r="N407" s="899" t="str">
        <f t="shared" si="186"/>
        <v/>
      </c>
      <c r="O407" s="900" t="str">
        <f t="shared" si="187"/>
        <v/>
      </c>
      <c r="P407" s="901" t="str">
        <f t="shared" si="188"/>
        <v/>
      </c>
      <c r="Q407" s="568" t="str">
        <f t="shared" si="194"/>
        <v/>
      </c>
      <c r="R407" s="902" t="str">
        <f t="shared" si="189"/>
        <v/>
      </c>
      <c r="S407" s="903">
        <f t="shared" si="195"/>
        <v>0</v>
      </c>
      <c r="T407" s="334"/>
      <c r="X407" s="887" t="str">
        <f t="shared" si="196"/>
        <v/>
      </c>
      <c r="Y407" s="904">
        <f t="shared" si="197"/>
        <v>0.6</v>
      </c>
      <c r="Z407" s="905" t="e">
        <f t="shared" si="190"/>
        <v>#VALUE!</v>
      </c>
      <c r="AA407" s="905" t="e">
        <f t="shared" si="191"/>
        <v>#VALUE!</v>
      </c>
      <c r="AB407" s="905" t="e">
        <f t="shared" si="192"/>
        <v>#VALUE!</v>
      </c>
      <c r="AC407" s="906" t="e">
        <f t="shared" si="198"/>
        <v>#VALUE!</v>
      </c>
      <c r="AD407" s="907">
        <f t="shared" si="199"/>
        <v>0</v>
      </c>
      <c r="AE407" s="904">
        <f>IF(H407&gt;8,tab!C$194,tab!C$197)</f>
        <v>0.5</v>
      </c>
      <c r="AF407" s="907">
        <f t="shared" si="200"/>
        <v>0</v>
      </c>
      <c r="AG407" s="887">
        <f t="shared" si="201"/>
        <v>0</v>
      </c>
      <c r="AH407" s="908" t="e">
        <f t="shared" si="202"/>
        <v>#VALUE!</v>
      </c>
      <c r="AI407" s="815" t="e">
        <f t="shared" si="203"/>
        <v>#VALUE!</v>
      </c>
      <c r="AJ407" s="540">
        <f t="shared" si="204"/>
        <v>30</v>
      </c>
      <c r="AK407" s="540">
        <f t="shared" si="183"/>
        <v>30</v>
      </c>
      <c r="AL407" s="909">
        <f t="shared" si="205"/>
        <v>0</v>
      </c>
      <c r="AN407" s="539">
        <f t="shared" si="185"/>
        <v>0</v>
      </c>
      <c r="AT407" s="317"/>
      <c r="AU407" s="317"/>
    </row>
    <row r="408" spans="3:47" ht="13.15" customHeight="1" x14ac:dyDescent="0.2">
      <c r="C408" s="381"/>
      <c r="D408" s="895" t="str">
        <f>IF(op!D296=0,"",op!D296)</f>
        <v/>
      </c>
      <c r="E408" s="895" t="str">
        <f>IF(op!E296=0,"",op!E296)</f>
        <v/>
      </c>
      <c r="F408" s="390" t="str">
        <f>IF(op!F296="","",op!F296+1)</f>
        <v/>
      </c>
      <c r="G408" s="896" t="str">
        <f>IF(op!G296=0,"",op!G296)</f>
        <v/>
      </c>
      <c r="H408" s="390" t="str">
        <f>IF(op!H296="","",op!H296)</f>
        <v/>
      </c>
      <c r="I408" s="897" t="str">
        <f t="shared" si="193"/>
        <v/>
      </c>
      <c r="J408" s="898" t="str">
        <f>IF(op!J296="","",op!J296)</f>
        <v/>
      </c>
      <c r="K408" s="334"/>
      <c r="L408" s="1140" t="str">
        <f>IF(op!L296="","",op!L296)</f>
        <v/>
      </c>
      <c r="M408" s="1140" t="str">
        <f>IF(op!M296="","",op!M296)</f>
        <v/>
      </c>
      <c r="N408" s="899" t="str">
        <f t="shared" si="186"/>
        <v/>
      </c>
      <c r="O408" s="900" t="str">
        <f t="shared" si="187"/>
        <v/>
      </c>
      <c r="P408" s="901" t="str">
        <f t="shared" si="188"/>
        <v/>
      </c>
      <c r="Q408" s="568" t="str">
        <f t="shared" si="194"/>
        <v/>
      </c>
      <c r="R408" s="902" t="str">
        <f t="shared" si="189"/>
        <v/>
      </c>
      <c r="S408" s="903">
        <f t="shared" si="195"/>
        <v>0</v>
      </c>
      <c r="T408" s="334"/>
      <c r="X408" s="887" t="str">
        <f t="shared" si="196"/>
        <v/>
      </c>
      <c r="Y408" s="904">
        <f t="shared" si="197"/>
        <v>0.6</v>
      </c>
      <c r="Z408" s="905" t="e">
        <f t="shared" si="190"/>
        <v>#VALUE!</v>
      </c>
      <c r="AA408" s="905" t="e">
        <f t="shared" si="191"/>
        <v>#VALUE!</v>
      </c>
      <c r="AB408" s="905" t="e">
        <f t="shared" si="192"/>
        <v>#VALUE!</v>
      </c>
      <c r="AC408" s="906" t="e">
        <f t="shared" si="198"/>
        <v>#VALUE!</v>
      </c>
      <c r="AD408" s="907">
        <f t="shared" si="199"/>
        <v>0</v>
      </c>
      <c r="AE408" s="904">
        <f>IF(H408&gt;8,tab!C$194,tab!C$197)</f>
        <v>0.5</v>
      </c>
      <c r="AF408" s="907">
        <f t="shared" si="200"/>
        <v>0</v>
      </c>
      <c r="AG408" s="887">
        <f t="shared" si="201"/>
        <v>0</v>
      </c>
      <c r="AH408" s="908" t="e">
        <f t="shared" si="202"/>
        <v>#VALUE!</v>
      </c>
      <c r="AI408" s="815" t="e">
        <f t="shared" si="203"/>
        <v>#VALUE!</v>
      </c>
      <c r="AJ408" s="540">
        <f t="shared" si="204"/>
        <v>30</v>
      </c>
      <c r="AK408" s="540">
        <f t="shared" si="183"/>
        <v>30</v>
      </c>
      <c r="AL408" s="909">
        <f t="shared" si="205"/>
        <v>0</v>
      </c>
      <c r="AN408" s="539">
        <f t="shared" si="185"/>
        <v>0</v>
      </c>
      <c r="AT408" s="317"/>
      <c r="AU408" s="317"/>
    </row>
    <row r="409" spans="3:47" ht="13.15" customHeight="1" x14ac:dyDescent="0.2">
      <c r="C409" s="381"/>
      <c r="D409" s="895" t="str">
        <f>IF(op!D297=0,"",op!D297)</f>
        <v/>
      </c>
      <c r="E409" s="895" t="str">
        <f>IF(op!E297=0,"",op!E297)</f>
        <v/>
      </c>
      <c r="F409" s="390" t="str">
        <f>IF(op!F297="","",op!F297+1)</f>
        <v/>
      </c>
      <c r="G409" s="896" t="str">
        <f>IF(op!G297=0,"",op!G297)</f>
        <v/>
      </c>
      <c r="H409" s="390" t="str">
        <f>IF(op!H297="","",op!H297)</f>
        <v/>
      </c>
      <c r="I409" s="897" t="str">
        <f t="shared" si="193"/>
        <v/>
      </c>
      <c r="J409" s="898" t="str">
        <f>IF(op!J297="","",op!J297)</f>
        <v/>
      </c>
      <c r="K409" s="334"/>
      <c r="L409" s="1140" t="str">
        <f>IF(op!L297="","",op!L297)</f>
        <v/>
      </c>
      <c r="M409" s="1140" t="str">
        <f>IF(op!M297="","",op!M297)</f>
        <v/>
      </c>
      <c r="N409" s="899" t="str">
        <f t="shared" si="186"/>
        <v/>
      </c>
      <c r="O409" s="900" t="str">
        <f t="shared" si="187"/>
        <v/>
      </c>
      <c r="P409" s="901" t="str">
        <f t="shared" si="188"/>
        <v/>
      </c>
      <c r="Q409" s="568" t="str">
        <f t="shared" si="194"/>
        <v/>
      </c>
      <c r="R409" s="902" t="str">
        <f t="shared" si="189"/>
        <v/>
      </c>
      <c r="S409" s="903">
        <f t="shared" si="195"/>
        <v>0</v>
      </c>
      <c r="T409" s="334"/>
      <c r="X409" s="887" t="str">
        <f t="shared" si="196"/>
        <v/>
      </c>
      <c r="Y409" s="904">
        <f t="shared" si="197"/>
        <v>0.6</v>
      </c>
      <c r="Z409" s="905" t="e">
        <f t="shared" si="190"/>
        <v>#VALUE!</v>
      </c>
      <c r="AA409" s="905" t="e">
        <f t="shared" si="191"/>
        <v>#VALUE!</v>
      </c>
      <c r="AB409" s="905" t="e">
        <f t="shared" si="192"/>
        <v>#VALUE!</v>
      </c>
      <c r="AC409" s="906" t="e">
        <f t="shared" si="198"/>
        <v>#VALUE!</v>
      </c>
      <c r="AD409" s="907">
        <f t="shared" si="199"/>
        <v>0</v>
      </c>
      <c r="AE409" s="904">
        <f>IF(H409&gt;8,tab!C$194,tab!C$197)</f>
        <v>0.5</v>
      </c>
      <c r="AF409" s="907">
        <f t="shared" si="200"/>
        <v>0</v>
      </c>
      <c r="AG409" s="887">
        <f t="shared" si="201"/>
        <v>0</v>
      </c>
      <c r="AH409" s="908" t="e">
        <f t="shared" si="202"/>
        <v>#VALUE!</v>
      </c>
      <c r="AI409" s="815" t="e">
        <f t="shared" si="203"/>
        <v>#VALUE!</v>
      </c>
      <c r="AJ409" s="540">
        <f t="shared" si="204"/>
        <v>30</v>
      </c>
      <c r="AK409" s="540">
        <f t="shared" si="183"/>
        <v>30</v>
      </c>
      <c r="AL409" s="909">
        <f t="shared" si="205"/>
        <v>0</v>
      </c>
      <c r="AN409" s="539">
        <f t="shared" si="185"/>
        <v>0</v>
      </c>
      <c r="AT409" s="317"/>
      <c r="AU409" s="317"/>
    </row>
    <row r="410" spans="3:47" ht="13.15" customHeight="1" x14ac:dyDescent="0.2">
      <c r="C410" s="381"/>
      <c r="D410" s="895" t="str">
        <f>IF(op!D298=0,"",op!D298)</f>
        <v/>
      </c>
      <c r="E410" s="895" t="str">
        <f>IF(op!E298=0,"",op!E298)</f>
        <v/>
      </c>
      <c r="F410" s="390" t="str">
        <f>IF(op!F298="","",op!F298+1)</f>
        <v/>
      </c>
      <c r="G410" s="896" t="str">
        <f>IF(op!G298=0,"",op!G298)</f>
        <v/>
      </c>
      <c r="H410" s="390" t="str">
        <f>IF(op!H298="","",op!H298)</f>
        <v/>
      </c>
      <c r="I410" s="897" t="str">
        <f t="shared" si="193"/>
        <v/>
      </c>
      <c r="J410" s="898" t="str">
        <f>IF(op!J298="","",op!J298)</f>
        <v/>
      </c>
      <c r="K410" s="334"/>
      <c r="L410" s="1140" t="str">
        <f>IF(op!L298="","",op!L298)</f>
        <v/>
      </c>
      <c r="M410" s="1140" t="str">
        <f>IF(op!M298="","",op!M298)</f>
        <v/>
      </c>
      <c r="N410" s="899" t="str">
        <f t="shared" si="186"/>
        <v/>
      </c>
      <c r="O410" s="900" t="str">
        <f t="shared" si="187"/>
        <v/>
      </c>
      <c r="P410" s="901" t="str">
        <f t="shared" si="188"/>
        <v/>
      </c>
      <c r="Q410" s="568" t="str">
        <f t="shared" si="194"/>
        <v/>
      </c>
      <c r="R410" s="902" t="str">
        <f t="shared" si="189"/>
        <v/>
      </c>
      <c r="S410" s="903">
        <f t="shared" si="195"/>
        <v>0</v>
      </c>
      <c r="T410" s="334"/>
      <c r="X410" s="887" t="str">
        <f t="shared" si="196"/>
        <v/>
      </c>
      <c r="Y410" s="904">
        <f t="shared" si="197"/>
        <v>0.6</v>
      </c>
      <c r="Z410" s="905" t="e">
        <f t="shared" si="190"/>
        <v>#VALUE!</v>
      </c>
      <c r="AA410" s="905" t="e">
        <f t="shared" si="191"/>
        <v>#VALUE!</v>
      </c>
      <c r="AB410" s="905" t="e">
        <f t="shared" si="192"/>
        <v>#VALUE!</v>
      </c>
      <c r="AC410" s="906" t="e">
        <f t="shared" si="198"/>
        <v>#VALUE!</v>
      </c>
      <c r="AD410" s="907">
        <f t="shared" si="199"/>
        <v>0</v>
      </c>
      <c r="AE410" s="904">
        <f>IF(H410&gt;8,tab!C$194,tab!C$197)</f>
        <v>0.5</v>
      </c>
      <c r="AF410" s="907">
        <f t="shared" si="200"/>
        <v>0</v>
      </c>
      <c r="AG410" s="887">
        <f t="shared" si="201"/>
        <v>0</v>
      </c>
      <c r="AH410" s="908" t="e">
        <f t="shared" si="202"/>
        <v>#VALUE!</v>
      </c>
      <c r="AI410" s="815" t="e">
        <f t="shared" si="203"/>
        <v>#VALUE!</v>
      </c>
      <c r="AJ410" s="540">
        <f t="shared" si="204"/>
        <v>30</v>
      </c>
      <c r="AK410" s="540">
        <f t="shared" si="183"/>
        <v>30</v>
      </c>
      <c r="AL410" s="909">
        <f t="shared" si="205"/>
        <v>0</v>
      </c>
      <c r="AN410" s="539">
        <f t="shared" si="185"/>
        <v>0</v>
      </c>
      <c r="AT410" s="317"/>
      <c r="AU410" s="317"/>
    </row>
    <row r="411" spans="3:47" ht="13.15" customHeight="1" x14ac:dyDescent="0.2">
      <c r="C411" s="381"/>
      <c r="D411" s="895" t="str">
        <f>IF(op!D299=0,"",op!D299)</f>
        <v/>
      </c>
      <c r="E411" s="895" t="str">
        <f>IF(op!E299=0,"",op!E299)</f>
        <v/>
      </c>
      <c r="F411" s="390" t="str">
        <f>IF(op!F299="","",op!F299+1)</f>
        <v/>
      </c>
      <c r="G411" s="896" t="str">
        <f>IF(op!G299=0,"",op!G299)</f>
        <v/>
      </c>
      <c r="H411" s="390" t="str">
        <f>IF(op!H299="","",op!H299)</f>
        <v/>
      </c>
      <c r="I411" s="897" t="str">
        <f t="shared" si="193"/>
        <v/>
      </c>
      <c r="J411" s="898" t="str">
        <f>IF(op!J299="","",op!J299)</f>
        <v/>
      </c>
      <c r="K411" s="334"/>
      <c r="L411" s="1140" t="str">
        <f>IF(op!L299="","",op!L299)</f>
        <v/>
      </c>
      <c r="M411" s="1140" t="str">
        <f>IF(op!M299="","",op!M299)</f>
        <v/>
      </c>
      <c r="N411" s="899" t="str">
        <f t="shared" si="186"/>
        <v/>
      </c>
      <c r="O411" s="900" t="str">
        <f t="shared" si="187"/>
        <v/>
      </c>
      <c r="P411" s="901" t="str">
        <f t="shared" si="188"/>
        <v/>
      </c>
      <c r="Q411" s="568" t="str">
        <f t="shared" si="194"/>
        <v/>
      </c>
      <c r="R411" s="902" t="str">
        <f t="shared" si="189"/>
        <v/>
      </c>
      <c r="S411" s="903">
        <f t="shared" si="195"/>
        <v>0</v>
      </c>
      <c r="T411" s="334"/>
      <c r="X411" s="887" t="str">
        <f t="shared" si="196"/>
        <v/>
      </c>
      <c r="Y411" s="904">
        <f t="shared" si="197"/>
        <v>0.6</v>
      </c>
      <c r="Z411" s="905" t="e">
        <f t="shared" si="190"/>
        <v>#VALUE!</v>
      </c>
      <c r="AA411" s="905" t="e">
        <f t="shared" si="191"/>
        <v>#VALUE!</v>
      </c>
      <c r="AB411" s="905" t="e">
        <f t="shared" si="192"/>
        <v>#VALUE!</v>
      </c>
      <c r="AC411" s="906" t="e">
        <f t="shared" si="198"/>
        <v>#VALUE!</v>
      </c>
      <c r="AD411" s="907">
        <f t="shared" si="199"/>
        <v>0</v>
      </c>
      <c r="AE411" s="904">
        <f>IF(H411&gt;8,tab!C$194,tab!C$197)</f>
        <v>0.5</v>
      </c>
      <c r="AF411" s="907">
        <f t="shared" si="200"/>
        <v>0</v>
      </c>
      <c r="AG411" s="887">
        <f t="shared" si="201"/>
        <v>0</v>
      </c>
      <c r="AH411" s="908" t="e">
        <f t="shared" si="202"/>
        <v>#VALUE!</v>
      </c>
      <c r="AI411" s="815" t="e">
        <f t="shared" si="203"/>
        <v>#VALUE!</v>
      </c>
      <c r="AJ411" s="540">
        <f t="shared" si="204"/>
        <v>30</v>
      </c>
      <c r="AK411" s="540">
        <f t="shared" si="183"/>
        <v>30</v>
      </c>
      <c r="AL411" s="909">
        <f t="shared" si="205"/>
        <v>0</v>
      </c>
      <c r="AN411" s="539">
        <f t="shared" si="185"/>
        <v>0</v>
      </c>
      <c r="AT411" s="317"/>
      <c r="AU411" s="317"/>
    </row>
    <row r="412" spans="3:47" ht="13.15" customHeight="1" x14ac:dyDescent="0.2">
      <c r="C412" s="381"/>
      <c r="D412" s="895" t="str">
        <f>IF(op!D300=0,"",op!D300)</f>
        <v/>
      </c>
      <c r="E412" s="895" t="str">
        <f>IF(op!E300=0,"",op!E300)</f>
        <v/>
      </c>
      <c r="F412" s="390" t="str">
        <f>IF(op!F300="","",op!F300+1)</f>
        <v/>
      </c>
      <c r="G412" s="896" t="str">
        <f>IF(op!G300=0,"",op!G300)</f>
        <v/>
      </c>
      <c r="H412" s="390" t="str">
        <f>IF(op!H300="","",op!H300)</f>
        <v/>
      </c>
      <c r="I412" s="897" t="str">
        <f t="shared" si="193"/>
        <v/>
      </c>
      <c r="J412" s="898" t="str">
        <f>IF(op!J300="","",op!J300)</f>
        <v/>
      </c>
      <c r="K412" s="334"/>
      <c r="L412" s="1140" t="str">
        <f>IF(op!L300="","",op!L300)</f>
        <v/>
      </c>
      <c r="M412" s="1140" t="str">
        <f>IF(op!M300="","",op!M300)</f>
        <v/>
      </c>
      <c r="N412" s="899" t="str">
        <f t="shared" si="186"/>
        <v/>
      </c>
      <c r="O412" s="900" t="str">
        <f t="shared" si="187"/>
        <v/>
      </c>
      <c r="P412" s="901" t="str">
        <f t="shared" si="188"/>
        <v/>
      </c>
      <c r="Q412" s="568" t="str">
        <f t="shared" si="194"/>
        <v/>
      </c>
      <c r="R412" s="902" t="str">
        <f t="shared" si="189"/>
        <v/>
      </c>
      <c r="S412" s="903">
        <f t="shared" si="195"/>
        <v>0</v>
      </c>
      <c r="T412" s="334"/>
      <c r="X412" s="887" t="str">
        <f t="shared" si="196"/>
        <v/>
      </c>
      <c r="Y412" s="904">
        <f t="shared" si="197"/>
        <v>0.6</v>
      </c>
      <c r="Z412" s="905" t="e">
        <f t="shared" si="190"/>
        <v>#VALUE!</v>
      </c>
      <c r="AA412" s="905" t="e">
        <f t="shared" si="191"/>
        <v>#VALUE!</v>
      </c>
      <c r="AB412" s="905" t="e">
        <f t="shared" si="192"/>
        <v>#VALUE!</v>
      </c>
      <c r="AC412" s="906" t="e">
        <f t="shared" si="198"/>
        <v>#VALUE!</v>
      </c>
      <c r="AD412" s="907">
        <f t="shared" si="199"/>
        <v>0</v>
      </c>
      <c r="AE412" s="904">
        <f>IF(H412&gt;8,tab!C$194,tab!C$197)</f>
        <v>0.5</v>
      </c>
      <c r="AF412" s="907">
        <f t="shared" si="200"/>
        <v>0</v>
      </c>
      <c r="AG412" s="887">
        <f t="shared" si="201"/>
        <v>0</v>
      </c>
      <c r="AH412" s="908" t="e">
        <f t="shared" si="202"/>
        <v>#VALUE!</v>
      </c>
      <c r="AI412" s="815" t="e">
        <f t="shared" si="203"/>
        <v>#VALUE!</v>
      </c>
      <c r="AJ412" s="540">
        <f t="shared" si="204"/>
        <v>30</v>
      </c>
      <c r="AK412" s="540">
        <f t="shared" si="183"/>
        <v>30</v>
      </c>
      <c r="AL412" s="909">
        <f t="shared" si="205"/>
        <v>0</v>
      </c>
      <c r="AN412" s="539">
        <f t="shared" si="185"/>
        <v>0</v>
      </c>
      <c r="AT412" s="317"/>
      <c r="AU412" s="317"/>
    </row>
    <row r="413" spans="3:47" ht="13.15" customHeight="1" x14ac:dyDescent="0.2">
      <c r="C413" s="381"/>
      <c r="D413" s="895" t="str">
        <f>IF(op!D301=0,"",op!D301)</f>
        <v/>
      </c>
      <c r="E413" s="895" t="str">
        <f>IF(op!E301=0,"",op!E301)</f>
        <v/>
      </c>
      <c r="F413" s="390" t="str">
        <f>IF(op!F301="","",op!F301+1)</f>
        <v/>
      </c>
      <c r="G413" s="896" t="str">
        <f>IF(op!G301=0,"",op!G301)</f>
        <v/>
      </c>
      <c r="H413" s="390" t="str">
        <f>IF(op!H301="","",op!H301)</f>
        <v/>
      </c>
      <c r="I413" s="897" t="str">
        <f t="shared" si="193"/>
        <v/>
      </c>
      <c r="J413" s="898" t="str">
        <f>IF(op!J301="","",op!J301)</f>
        <v/>
      </c>
      <c r="K413" s="334"/>
      <c r="L413" s="1140" t="str">
        <f>IF(op!L301="","",op!L301)</f>
        <v/>
      </c>
      <c r="M413" s="1140" t="str">
        <f>IF(op!M301="","",op!M301)</f>
        <v/>
      </c>
      <c r="N413" s="899" t="str">
        <f t="shared" si="186"/>
        <v/>
      </c>
      <c r="O413" s="900" t="str">
        <f t="shared" si="187"/>
        <v/>
      </c>
      <c r="P413" s="901" t="str">
        <f t="shared" si="188"/>
        <v/>
      </c>
      <c r="Q413" s="568" t="str">
        <f t="shared" si="194"/>
        <v/>
      </c>
      <c r="R413" s="902" t="str">
        <f t="shared" si="189"/>
        <v/>
      </c>
      <c r="S413" s="903">
        <f t="shared" si="195"/>
        <v>0</v>
      </c>
      <c r="T413" s="334"/>
      <c r="X413" s="887" t="str">
        <f t="shared" si="196"/>
        <v/>
      </c>
      <c r="Y413" s="904">
        <f t="shared" si="197"/>
        <v>0.6</v>
      </c>
      <c r="Z413" s="905" t="e">
        <f t="shared" si="190"/>
        <v>#VALUE!</v>
      </c>
      <c r="AA413" s="905" t="e">
        <f t="shared" si="191"/>
        <v>#VALUE!</v>
      </c>
      <c r="AB413" s="905" t="e">
        <f t="shared" si="192"/>
        <v>#VALUE!</v>
      </c>
      <c r="AC413" s="906" t="e">
        <f t="shared" si="198"/>
        <v>#VALUE!</v>
      </c>
      <c r="AD413" s="907">
        <f t="shared" si="199"/>
        <v>0</v>
      </c>
      <c r="AE413" s="904">
        <f>IF(H413&gt;8,tab!C$194,tab!C$197)</f>
        <v>0.5</v>
      </c>
      <c r="AF413" s="907">
        <f t="shared" si="200"/>
        <v>0</v>
      </c>
      <c r="AG413" s="887">
        <f t="shared" si="201"/>
        <v>0</v>
      </c>
      <c r="AH413" s="908" t="e">
        <f t="shared" si="202"/>
        <v>#VALUE!</v>
      </c>
      <c r="AI413" s="815" t="e">
        <f t="shared" si="203"/>
        <v>#VALUE!</v>
      </c>
      <c r="AJ413" s="540">
        <f t="shared" si="204"/>
        <v>30</v>
      </c>
      <c r="AK413" s="540">
        <f t="shared" si="183"/>
        <v>30</v>
      </c>
      <c r="AL413" s="909">
        <f t="shared" si="205"/>
        <v>0</v>
      </c>
      <c r="AN413" s="539">
        <f t="shared" si="185"/>
        <v>0</v>
      </c>
      <c r="AT413" s="317"/>
      <c r="AU413" s="317"/>
    </row>
    <row r="414" spans="3:47" ht="13.15" customHeight="1" x14ac:dyDescent="0.2">
      <c r="C414" s="381"/>
      <c r="D414" s="895" t="str">
        <f>IF(op!D302=0,"",op!D302)</f>
        <v/>
      </c>
      <c r="E414" s="895" t="str">
        <f>IF(op!E302=0,"",op!E302)</f>
        <v/>
      </c>
      <c r="F414" s="390" t="str">
        <f>IF(op!F302="","",op!F302+1)</f>
        <v/>
      </c>
      <c r="G414" s="896" t="str">
        <f>IF(op!G302=0,"",op!G302)</f>
        <v/>
      </c>
      <c r="H414" s="390" t="str">
        <f>IF(op!H302="","",op!H302)</f>
        <v/>
      </c>
      <c r="I414" s="897" t="str">
        <f t="shared" si="193"/>
        <v/>
      </c>
      <c r="J414" s="898" t="str">
        <f>IF(op!J302="","",op!J302)</f>
        <v/>
      </c>
      <c r="K414" s="334"/>
      <c r="L414" s="1140" t="str">
        <f>IF(op!L302="","",op!L302)</f>
        <v/>
      </c>
      <c r="M414" s="1140" t="str">
        <f>IF(op!M302="","",op!M302)</f>
        <v/>
      </c>
      <c r="N414" s="899" t="str">
        <f t="shared" si="186"/>
        <v/>
      </c>
      <c r="O414" s="900" t="str">
        <f t="shared" si="187"/>
        <v/>
      </c>
      <c r="P414" s="901" t="str">
        <f t="shared" si="188"/>
        <v/>
      </c>
      <c r="Q414" s="568" t="str">
        <f t="shared" si="194"/>
        <v/>
      </c>
      <c r="R414" s="902" t="str">
        <f t="shared" si="189"/>
        <v/>
      </c>
      <c r="S414" s="903">
        <f t="shared" si="195"/>
        <v>0</v>
      </c>
      <c r="T414" s="334"/>
      <c r="X414" s="887" t="str">
        <f t="shared" si="196"/>
        <v/>
      </c>
      <c r="Y414" s="904">
        <f t="shared" si="197"/>
        <v>0.6</v>
      </c>
      <c r="Z414" s="905" t="e">
        <f t="shared" si="190"/>
        <v>#VALUE!</v>
      </c>
      <c r="AA414" s="905" t="e">
        <f t="shared" si="191"/>
        <v>#VALUE!</v>
      </c>
      <c r="AB414" s="905" t="e">
        <f t="shared" si="192"/>
        <v>#VALUE!</v>
      </c>
      <c r="AC414" s="906" t="e">
        <f t="shared" si="198"/>
        <v>#VALUE!</v>
      </c>
      <c r="AD414" s="907">
        <f t="shared" si="199"/>
        <v>0</v>
      </c>
      <c r="AE414" s="904">
        <f>IF(H414&gt;8,tab!C$194,tab!C$197)</f>
        <v>0.5</v>
      </c>
      <c r="AF414" s="907">
        <f t="shared" si="200"/>
        <v>0</v>
      </c>
      <c r="AG414" s="887">
        <f t="shared" si="201"/>
        <v>0</v>
      </c>
      <c r="AH414" s="908" t="e">
        <f t="shared" si="202"/>
        <v>#VALUE!</v>
      </c>
      <c r="AI414" s="815" t="e">
        <f t="shared" si="203"/>
        <v>#VALUE!</v>
      </c>
      <c r="AJ414" s="540">
        <f t="shared" si="204"/>
        <v>30</v>
      </c>
      <c r="AK414" s="540">
        <f t="shared" si="183"/>
        <v>30</v>
      </c>
      <c r="AL414" s="909">
        <f t="shared" si="205"/>
        <v>0</v>
      </c>
      <c r="AN414" s="539">
        <f t="shared" si="185"/>
        <v>0</v>
      </c>
      <c r="AT414" s="317"/>
      <c r="AU414" s="317"/>
    </row>
    <row r="415" spans="3:47" ht="13.15" customHeight="1" x14ac:dyDescent="0.2">
      <c r="C415" s="381"/>
      <c r="D415" s="895" t="str">
        <f>IF(op!D303=0,"",op!D303)</f>
        <v/>
      </c>
      <c r="E415" s="895" t="str">
        <f>IF(op!E303=0,"",op!E303)</f>
        <v/>
      </c>
      <c r="F415" s="390" t="str">
        <f>IF(op!F303="","",op!F303+1)</f>
        <v/>
      </c>
      <c r="G415" s="896" t="str">
        <f>IF(op!G303=0,"",op!G303)</f>
        <v/>
      </c>
      <c r="H415" s="390" t="str">
        <f>IF(op!H303="","",op!H303)</f>
        <v/>
      </c>
      <c r="I415" s="897" t="str">
        <f t="shared" si="193"/>
        <v/>
      </c>
      <c r="J415" s="898" t="str">
        <f>IF(op!J303="","",op!J303)</f>
        <v/>
      </c>
      <c r="K415" s="334"/>
      <c r="L415" s="1140" t="str">
        <f>IF(op!L303="","",op!L303)</f>
        <v/>
      </c>
      <c r="M415" s="1140" t="str">
        <f>IF(op!M303="","",op!M303)</f>
        <v/>
      </c>
      <c r="N415" s="899" t="str">
        <f t="shared" si="186"/>
        <v/>
      </c>
      <c r="O415" s="900" t="str">
        <f t="shared" si="187"/>
        <v/>
      </c>
      <c r="P415" s="901" t="str">
        <f t="shared" si="188"/>
        <v/>
      </c>
      <c r="Q415" s="568" t="str">
        <f t="shared" si="194"/>
        <v/>
      </c>
      <c r="R415" s="902" t="str">
        <f t="shared" si="189"/>
        <v/>
      </c>
      <c r="S415" s="903">
        <f t="shared" si="195"/>
        <v>0</v>
      </c>
      <c r="T415" s="334"/>
      <c r="X415" s="887" t="str">
        <f t="shared" si="196"/>
        <v/>
      </c>
      <c r="Y415" s="904">
        <f t="shared" si="197"/>
        <v>0.6</v>
      </c>
      <c r="Z415" s="905" t="e">
        <f t="shared" si="190"/>
        <v>#VALUE!</v>
      </c>
      <c r="AA415" s="905" t="e">
        <f t="shared" si="191"/>
        <v>#VALUE!</v>
      </c>
      <c r="AB415" s="905" t="e">
        <f t="shared" si="192"/>
        <v>#VALUE!</v>
      </c>
      <c r="AC415" s="906" t="e">
        <f t="shared" si="198"/>
        <v>#VALUE!</v>
      </c>
      <c r="AD415" s="907">
        <f t="shared" si="199"/>
        <v>0</v>
      </c>
      <c r="AE415" s="904">
        <f>IF(H415&gt;8,tab!C$194,tab!C$197)</f>
        <v>0.5</v>
      </c>
      <c r="AF415" s="907">
        <f t="shared" si="200"/>
        <v>0</v>
      </c>
      <c r="AG415" s="887">
        <f t="shared" si="201"/>
        <v>0</v>
      </c>
      <c r="AH415" s="908" t="e">
        <f t="shared" si="202"/>
        <v>#VALUE!</v>
      </c>
      <c r="AI415" s="815" t="e">
        <f t="shared" si="203"/>
        <v>#VALUE!</v>
      </c>
      <c r="AJ415" s="540">
        <f t="shared" si="204"/>
        <v>30</v>
      </c>
      <c r="AK415" s="540">
        <f t="shared" si="183"/>
        <v>30</v>
      </c>
      <c r="AL415" s="909">
        <f t="shared" si="205"/>
        <v>0</v>
      </c>
      <c r="AN415" s="539">
        <f t="shared" si="185"/>
        <v>0</v>
      </c>
      <c r="AT415" s="317"/>
      <c r="AU415" s="317"/>
    </row>
    <row r="416" spans="3:47" ht="13.15" customHeight="1" x14ac:dyDescent="0.2">
      <c r="C416" s="381"/>
      <c r="D416" s="895" t="str">
        <f>IF(op!D304=0,"",op!D304)</f>
        <v/>
      </c>
      <c r="E416" s="895" t="str">
        <f>IF(op!E304=0,"",op!E304)</f>
        <v/>
      </c>
      <c r="F416" s="390" t="str">
        <f>IF(op!F304="","",op!F304+1)</f>
        <v/>
      </c>
      <c r="G416" s="896" t="str">
        <f>IF(op!G304=0,"",op!G304)</f>
        <v/>
      </c>
      <c r="H416" s="390" t="str">
        <f>IF(op!H304="","",op!H304)</f>
        <v/>
      </c>
      <c r="I416" s="897" t="str">
        <f t="shared" ref="I416:I447" si="206">IF(E416="","",IF(I304=VLOOKUP(H416,Salaris2021,22,FALSE),I304,I304+1))</f>
        <v/>
      </c>
      <c r="J416" s="898" t="str">
        <f>IF(op!J304="","",op!J304)</f>
        <v/>
      </c>
      <c r="K416" s="334"/>
      <c r="L416" s="1140" t="str">
        <f>IF(op!L304="","",op!L304)</f>
        <v/>
      </c>
      <c r="M416" s="1140" t="str">
        <f>IF(op!M304="","",op!M304)</f>
        <v/>
      </c>
      <c r="N416" s="899" t="str">
        <f t="shared" si="186"/>
        <v/>
      </c>
      <c r="O416" s="900" t="str">
        <f t="shared" si="187"/>
        <v/>
      </c>
      <c r="P416" s="901" t="str">
        <f t="shared" si="188"/>
        <v/>
      </c>
      <c r="Q416" s="568" t="str">
        <f t="shared" ref="Q416:Q447" si="207">IF(J416="","",(1659*J416-P416)*AA416)</f>
        <v/>
      </c>
      <c r="R416" s="902" t="str">
        <f t="shared" si="189"/>
        <v/>
      </c>
      <c r="S416" s="903">
        <f t="shared" ref="S416:S447" si="208">IF(E416=0,0,SUM(Q416:R416))</f>
        <v>0</v>
      </c>
      <c r="T416" s="334"/>
      <c r="X416" s="887" t="str">
        <f t="shared" ref="X416:X451" si="209">IF(H416="","",VLOOKUP(H416,Salaris2021,I416+1,FALSE))</f>
        <v/>
      </c>
      <c r="Y416" s="904">
        <f t="shared" ref="Y416:Y451" si="210">$Y$14</f>
        <v>0.6</v>
      </c>
      <c r="Z416" s="905" t="e">
        <f t="shared" si="190"/>
        <v>#VALUE!</v>
      </c>
      <c r="AA416" s="905" t="e">
        <f t="shared" si="191"/>
        <v>#VALUE!</v>
      </c>
      <c r="AB416" s="905" t="e">
        <f t="shared" si="192"/>
        <v>#VALUE!</v>
      </c>
      <c r="AC416" s="906" t="e">
        <f t="shared" ref="AC416:AC451" si="211">N416+O416</f>
        <v>#VALUE!</v>
      </c>
      <c r="AD416" s="907">
        <f t="shared" ref="AD416:AD451" si="212">SUM(L416:M416)</f>
        <v>0</v>
      </c>
      <c r="AE416" s="904">
        <f>IF(H416&gt;8,tab!C$194,tab!C$197)</f>
        <v>0.5</v>
      </c>
      <c r="AF416" s="907">
        <f t="shared" ref="AF416:AF451" si="213">IF(F416&lt;25,0,IF(F416=25,25,IF(F416&lt;40,0,IF(F416=40,40,IF(F416&gt;=40,0)))))</f>
        <v>0</v>
      </c>
      <c r="AG416" s="887">
        <f t="shared" ref="AG416:AG447" si="214">IF(AF416=25,(X416*1.08*J416/2),IF(AF416=40,(Y416*1.08*J416),IF(AF416=0,0)))</f>
        <v>0</v>
      </c>
      <c r="AH416" s="908" t="e">
        <f t="shared" ref="AH416:AH451" si="215">DATE(YEAR($E$233),MONTH(G416),DAY(G416))&gt;$E$233</f>
        <v>#VALUE!</v>
      </c>
      <c r="AI416" s="815" t="e">
        <f t="shared" ref="AI416:AI447" si="216">YEAR($E$345)-YEAR(G416)-AH416</f>
        <v>#VALUE!</v>
      </c>
      <c r="AJ416" s="540">
        <f t="shared" ref="AJ416:AJ447" si="217">IF((G416=""),30,AI416)</f>
        <v>30</v>
      </c>
      <c r="AK416" s="540">
        <f t="shared" si="183"/>
        <v>30</v>
      </c>
      <c r="AL416" s="909">
        <f t="shared" ref="AL416:AL447" si="218">(AK416*(SUM(J416:J416)))</f>
        <v>0</v>
      </c>
      <c r="AN416" s="539">
        <f t="shared" ref="AN416:AN479" si="219">IF(AND(AL416&gt;0.01,AL416&lt;50.01),1,0)</f>
        <v>0</v>
      </c>
      <c r="AT416" s="317"/>
      <c r="AU416" s="317"/>
    </row>
    <row r="417" spans="3:47" ht="13.15" customHeight="1" x14ac:dyDescent="0.2">
      <c r="C417" s="381"/>
      <c r="D417" s="895" t="str">
        <f>IF(op!D305=0,"",op!D305)</f>
        <v/>
      </c>
      <c r="E417" s="895" t="str">
        <f>IF(op!E305=0,"",op!E305)</f>
        <v/>
      </c>
      <c r="F417" s="390" t="str">
        <f>IF(op!F305="","",op!F305+1)</f>
        <v/>
      </c>
      <c r="G417" s="896" t="str">
        <f>IF(op!G305=0,"",op!G305)</f>
        <v/>
      </c>
      <c r="H417" s="390" t="str">
        <f>IF(op!H305="","",op!H305)</f>
        <v/>
      </c>
      <c r="I417" s="897" t="str">
        <f t="shared" si="206"/>
        <v/>
      </c>
      <c r="J417" s="898" t="str">
        <f>IF(op!J305="","",op!J305)</f>
        <v/>
      </c>
      <c r="K417" s="334"/>
      <c r="L417" s="1140" t="str">
        <f>IF(op!L305="","",op!L305)</f>
        <v/>
      </c>
      <c r="M417" s="1140" t="str">
        <f>IF(op!M305="","",op!M305)</f>
        <v/>
      </c>
      <c r="N417" s="899" t="str">
        <f t="shared" ref="N417:N451" si="220">IF(J417="","",IF(J417*40&gt;40,40,J417*40))</f>
        <v/>
      </c>
      <c r="O417" s="900" t="str">
        <f t="shared" ref="O417:O451" si="221">IF(H417="","",IF(I417&lt;4,IF(40*J417&gt;40,40,40*J417),0))</f>
        <v/>
      </c>
      <c r="P417" s="901" t="str">
        <f t="shared" ref="P417:P451" si="222">IF(J417="","",SUM(L417:O417))</f>
        <v/>
      </c>
      <c r="Q417" s="568" t="str">
        <f t="shared" si="207"/>
        <v/>
      </c>
      <c r="R417" s="902" t="str">
        <f t="shared" ref="R417:R451" si="223">IF(J417="","",(P417*AB417)+Z417*(AC417+AD417*(1-AE417)))</f>
        <v/>
      </c>
      <c r="S417" s="903">
        <f t="shared" si="208"/>
        <v>0</v>
      </c>
      <c r="T417" s="334"/>
      <c r="X417" s="887" t="str">
        <f t="shared" si="209"/>
        <v/>
      </c>
      <c r="Y417" s="904">
        <f t="shared" si="210"/>
        <v>0.6</v>
      </c>
      <c r="Z417" s="905" t="e">
        <f t="shared" ref="Z417:Z451" si="224">X417*12/1659</f>
        <v>#VALUE!</v>
      </c>
      <c r="AA417" s="905" t="e">
        <f t="shared" ref="AA417:AA451" si="225">X417*12*(1+Y417)/1659</f>
        <v>#VALUE!</v>
      </c>
      <c r="AB417" s="905" t="e">
        <f t="shared" ref="AB417:AB451" si="226">AA417-Z417</f>
        <v>#VALUE!</v>
      </c>
      <c r="AC417" s="906" t="e">
        <f t="shared" si="211"/>
        <v>#VALUE!</v>
      </c>
      <c r="AD417" s="907">
        <f t="shared" si="212"/>
        <v>0</v>
      </c>
      <c r="AE417" s="904">
        <f>IF(H417&gt;8,tab!C$194,tab!C$197)</f>
        <v>0.5</v>
      </c>
      <c r="AF417" s="907">
        <f t="shared" si="213"/>
        <v>0</v>
      </c>
      <c r="AG417" s="887">
        <f t="shared" si="214"/>
        <v>0</v>
      </c>
      <c r="AH417" s="908" t="e">
        <f t="shared" si="215"/>
        <v>#VALUE!</v>
      </c>
      <c r="AI417" s="815" t="e">
        <f t="shared" si="216"/>
        <v>#VALUE!</v>
      </c>
      <c r="AJ417" s="540">
        <f t="shared" si="217"/>
        <v>30</v>
      </c>
      <c r="AK417" s="540">
        <f t="shared" si="183"/>
        <v>30</v>
      </c>
      <c r="AL417" s="909">
        <f t="shared" si="218"/>
        <v>0</v>
      </c>
      <c r="AN417" s="539">
        <f t="shared" si="219"/>
        <v>0</v>
      </c>
      <c r="AT417" s="317"/>
      <c r="AU417" s="317"/>
    </row>
    <row r="418" spans="3:47" ht="13.15" customHeight="1" x14ac:dyDescent="0.2">
      <c r="C418" s="381"/>
      <c r="D418" s="895" t="str">
        <f>IF(op!D306=0,"",op!D306)</f>
        <v/>
      </c>
      <c r="E418" s="895" t="str">
        <f>IF(op!E306=0,"",op!E306)</f>
        <v/>
      </c>
      <c r="F418" s="390" t="str">
        <f>IF(op!F306="","",op!F306+1)</f>
        <v/>
      </c>
      <c r="G418" s="896" t="str">
        <f>IF(op!G306=0,"",op!G306)</f>
        <v/>
      </c>
      <c r="H418" s="390" t="str">
        <f>IF(op!H306="","",op!H306)</f>
        <v/>
      </c>
      <c r="I418" s="897" t="str">
        <f t="shared" si="206"/>
        <v/>
      </c>
      <c r="J418" s="898" t="str">
        <f>IF(op!J306="","",op!J306)</f>
        <v/>
      </c>
      <c r="K418" s="334"/>
      <c r="L418" s="1140" t="str">
        <f>IF(op!L306="","",op!L306)</f>
        <v/>
      </c>
      <c r="M418" s="1140" t="str">
        <f>IF(op!M306="","",op!M306)</f>
        <v/>
      </c>
      <c r="N418" s="899" t="str">
        <f t="shared" si="220"/>
        <v/>
      </c>
      <c r="O418" s="900" t="str">
        <f t="shared" si="221"/>
        <v/>
      </c>
      <c r="P418" s="901" t="str">
        <f t="shared" si="222"/>
        <v/>
      </c>
      <c r="Q418" s="568" t="str">
        <f t="shared" si="207"/>
        <v/>
      </c>
      <c r="R418" s="902" t="str">
        <f t="shared" si="223"/>
        <v/>
      </c>
      <c r="S418" s="903">
        <f t="shared" si="208"/>
        <v>0</v>
      </c>
      <c r="T418" s="334"/>
      <c r="X418" s="887" t="str">
        <f t="shared" si="209"/>
        <v/>
      </c>
      <c r="Y418" s="904">
        <f t="shared" si="210"/>
        <v>0.6</v>
      </c>
      <c r="Z418" s="905" t="e">
        <f t="shared" si="224"/>
        <v>#VALUE!</v>
      </c>
      <c r="AA418" s="905" t="e">
        <f t="shared" si="225"/>
        <v>#VALUE!</v>
      </c>
      <c r="AB418" s="905" t="e">
        <f t="shared" si="226"/>
        <v>#VALUE!</v>
      </c>
      <c r="AC418" s="906" t="e">
        <f t="shared" si="211"/>
        <v>#VALUE!</v>
      </c>
      <c r="AD418" s="907">
        <f t="shared" si="212"/>
        <v>0</v>
      </c>
      <c r="AE418" s="904">
        <f>IF(H418&gt;8,tab!C$194,tab!C$197)</f>
        <v>0.5</v>
      </c>
      <c r="AF418" s="907">
        <f t="shared" si="213"/>
        <v>0</v>
      </c>
      <c r="AG418" s="887">
        <f t="shared" si="214"/>
        <v>0</v>
      </c>
      <c r="AH418" s="908" t="e">
        <f t="shared" si="215"/>
        <v>#VALUE!</v>
      </c>
      <c r="AI418" s="815" t="e">
        <f t="shared" si="216"/>
        <v>#VALUE!</v>
      </c>
      <c r="AJ418" s="540">
        <f t="shared" si="217"/>
        <v>30</v>
      </c>
      <c r="AK418" s="540">
        <f t="shared" si="183"/>
        <v>30</v>
      </c>
      <c r="AL418" s="909">
        <f t="shared" si="218"/>
        <v>0</v>
      </c>
      <c r="AN418" s="539">
        <f t="shared" si="219"/>
        <v>0</v>
      </c>
      <c r="AT418" s="317"/>
      <c r="AU418" s="317"/>
    </row>
    <row r="419" spans="3:47" ht="13.15" customHeight="1" x14ac:dyDescent="0.2">
      <c r="C419" s="381"/>
      <c r="D419" s="895" t="str">
        <f>IF(op!D307=0,"",op!D307)</f>
        <v/>
      </c>
      <c r="E419" s="895" t="str">
        <f>IF(op!E307=0,"",op!E307)</f>
        <v/>
      </c>
      <c r="F419" s="390" t="str">
        <f>IF(op!F307="","",op!F307+1)</f>
        <v/>
      </c>
      <c r="G419" s="896" t="str">
        <f>IF(op!G307=0,"",op!G307)</f>
        <v/>
      </c>
      <c r="H419" s="390" t="str">
        <f>IF(op!H307="","",op!H307)</f>
        <v/>
      </c>
      <c r="I419" s="897" t="str">
        <f t="shared" si="206"/>
        <v/>
      </c>
      <c r="J419" s="898" t="str">
        <f>IF(op!J307="","",op!J307)</f>
        <v/>
      </c>
      <c r="K419" s="334"/>
      <c r="L419" s="1140" t="str">
        <f>IF(op!L307="","",op!L307)</f>
        <v/>
      </c>
      <c r="M419" s="1140" t="str">
        <f>IF(op!M307="","",op!M307)</f>
        <v/>
      </c>
      <c r="N419" s="899" t="str">
        <f t="shared" si="220"/>
        <v/>
      </c>
      <c r="O419" s="900" t="str">
        <f t="shared" si="221"/>
        <v/>
      </c>
      <c r="P419" s="901" t="str">
        <f t="shared" si="222"/>
        <v/>
      </c>
      <c r="Q419" s="568" t="str">
        <f t="shared" si="207"/>
        <v/>
      </c>
      <c r="R419" s="902" t="str">
        <f t="shared" si="223"/>
        <v/>
      </c>
      <c r="S419" s="903">
        <f t="shared" si="208"/>
        <v>0</v>
      </c>
      <c r="T419" s="334"/>
      <c r="X419" s="887" t="str">
        <f t="shared" si="209"/>
        <v/>
      </c>
      <c r="Y419" s="904">
        <f t="shared" si="210"/>
        <v>0.6</v>
      </c>
      <c r="Z419" s="905" t="e">
        <f t="shared" si="224"/>
        <v>#VALUE!</v>
      </c>
      <c r="AA419" s="905" t="e">
        <f t="shared" si="225"/>
        <v>#VALUE!</v>
      </c>
      <c r="AB419" s="905" t="e">
        <f t="shared" si="226"/>
        <v>#VALUE!</v>
      </c>
      <c r="AC419" s="906" t="e">
        <f t="shared" si="211"/>
        <v>#VALUE!</v>
      </c>
      <c r="AD419" s="907">
        <f t="shared" si="212"/>
        <v>0</v>
      </c>
      <c r="AE419" s="904">
        <f>IF(H419&gt;8,tab!C$194,tab!C$197)</f>
        <v>0.5</v>
      </c>
      <c r="AF419" s="907">
        <f t="shared" si="213"/>
        <v>0</v>
      </c>
      <c r="AG419" s="887">
        <f t="shared" si="214"/>
        <v>0</v>
      </c>
      <c r="AH419" s="908" t="e">
        <f t="shared" si="215"/>
        <v>#VALUE!</v>
      </c>
      <c r="AI419" s="815" t="e">
        <f t="shared" si="216"/>
        <v>#VALUE!</v>
      </c>
      <c r="AJ419" s="540">
        <f t="shared" si="217"/>
        <v>30</v>
      </c>
      <c r="AK419" s="540">
        <f t="shared" si="183"/>
        <v>30</v>
      </c>
      <c r="AL419" s="909">
        <f t="shared" si="218"/>
        <v>0</v>
      </c>
      <c r="AN419" s="539">
        <f t="shared" si="219"/>
        <v>0</v>
      </c>
      <c r="AT419" s="317"/>
      <c r="AU419" s="317"/>
    </row>
    <row r="420" spans="3:47" ht="13.15" customHeight="1" x14ac:dyDescent="0.2">
      <c r="C420" s="381"/>
      <c r="D420" s="895" t="str">
        <f>IF(op!D308=0,"",op!D308)</f>
        <v/>
      </c>
      <c r="E420" s="895" t="str">
        <f>IF(op!E308=0,"",op!E308)</f>
        <v/>
      </c>
      <c r="F420" s="390" t="str">
        <f>IF(op!F308="","",op!F308+1)</f>
        <v/>
      </c>
      <c r="G420" s="896" t="str">
        <f>IF(op!G308=0,"",op!G308)</f>
        <v/>
      </c>
      <c r="H420" s="390" t="str">
        <f>IF(op!H308="","",op!H308)</f>
        <v/>
      </c>
      <c r="I420" s="897" t="str">
        <f t="shared" si="206"/>
        <v/>
      </c>
      <c r="J420" s="898" t="str">
        <f>IF(op!J308="","",op!J308)</f>
        <v/>
      </c>
      <c r="K420" s="334"/>
      <c r="L420" s="1140" t="str">
        <f>IF(op!L308="","",op!L308)</f>
        <v/>
      </c>
      <c r="M420" s="1140" t="str">
        <f>IF(op!M308="","",op!M308)</f>
        <v/>
      </c>
      <c r="N420" s="899" t="str">
        <f t="shared" si="220"/>
        <v/>
      </c>
      <c r="O420" s="900" t="str">
        <f t="shared" si="221"/>
        <v/>
      </c>
      <c r="P420" s="901" t="str">
        <f t="shared" si="222"/>
        <v/>
      </c>
      <c r="Q420" s="568" t="str">
        <f t="shared" si="207"/>
        <v/>
      </c>
      <c r="R420" s="902" t="str">
        <f t="shared" si="223"/>
        <v/>
      </c>
      <c r="S420" s="903">
        <f t="shared" si="208"/>
        <v>0</v>
      </c>
      <c r="T420" s="334"/>
      <c r="X420" s="887" t="str">
        <f t="shared" si="209"/>
        <v/>
      </c>
      <c r="Y420" s="904">
        <f t="shared" si="210"/>
        <v>0.6</v>
      </c>
      <c r="Z420" s="905" t="e">
        <f t="shared" si="224"/>
        <v>#VALUE!</v>
      </c>
      <c r="AA420" s="905" t="e">
        <f t="shared" si="225"/>
        <v>#VALUE!</v>
      </c>
      <c r="AB420" s="905" t="e">
        <f t="shared" si="226"/>
        <v>#VALUE!</v>
      </c>
      <c r="AC420" s="906" t="e">
        <f t="shared" si="211"/>
        <v>#VALUE!</v>
      </c>
      <c r="AD420" s="907">
        <f t="shared" si="212"/>
        <v>0</v>
      </c>
      <c r="AE420" s="904">
        <f>IF(H420&gt;8,tab!C$194,tab!C$197)</f>
        <v>0.5</v>
      </c>
      <c r="AF420" s="907">
        <f t="shared" si="213"/>
        <v>0</v>
      </c>
      <c r="AG420" s="887">
        <f t="shared" si="214"/>
        <v>0</v>
      </c>
      <c r="AH420" s="908" t="e">
        <f t="shared" si="215"/>
        <v>#VALUE!</v>
      </c>
      <c r="AI420" s="815" t="e">
        <f t="shared" si="216"/>
        <v>#VALUE!</v>
      </c>
      <c r="AJ420" s="540">
        <f t="shared" si="217"/>
        <v>30</v>
      </c>
      <c r="AK420" s="540">
        <f t="shared" si="183"/>
        <v>30</v>
      </c>
      <c r="AL420" s="909">
        <f t="shared" si="218"/>
        <v>0</v>
      </c>
      <c r="AN420" s="539">
        <f t="shared" si="219"/>
        <v>0</v>
      </c>
      <c r="AT420" s="317"/>
      <c r="AU420" s="317"/>
    </row>
    <row r="421" spans="3:47" ht="13.15" customHeight="1" x14ac:dyDescent="0.2">
      <c r="C421" s="381"/>
      <c r="D421" s="895" t="str">
        <f>IF(op!D309=0,"",op!D309)</f>
        <v/>
      </c>
      <c r="E421" s="895" t="str">
        <f>IF(op!E309=0,"",op!E309)</f>
        <v/>
      </c>
      <c r="F421" s="390" t="str">
        <f>IF(op!F309="","",op!F309+1)</f>
        <v/>
      </c>
      <c r="G421" s="896" t="str">
        <f>IF(op!G309=0,"",op!G309)</f>
        <v/>
      </c>
      <c r="H421" s="390" t="str">
        <f>IF(op!H309="","",op!H309)</f>
        <v/>
      </c>
      <c r="I421" s="897" t="str">
        <f t="shared" si="206"/>
        <v/>
      </c>
      <c r="J421" s="898" t="str">
        <f>IF(op!J309="","",op!J309)</f>
        <v/>
      </c>
      <c r="K421" s="334"/>
      <c r="L421" s="1140" t="str">
        <f>IF(op!L309="","",op!L309)</f>
        <v/>
      </c>
      <c r="M421" s="1140" t="str">
        <f>IF(op!M309="","",op!M309)</f>
        <v/>
      </c>
      <c r="N421" s="899" t="str">
        <f t="shared" si="220"/>
        <v/>
      </c>
      <c r="O421" s="900" t="str">
        <f t="shared" si="221"/>
        <v/>
      </c>
      <c r="P421" s="901" t="str">
        <f t="shared" si="222"/>
        <v/>
      </c>
      <c r="Q421" s="568" t="str">
        <f t="shared" si="207"/>
        <v/>
      </c>
      <c r="R421" s="902" t="str">
        <f t="shared" si="223"/>
        <v/>
      </c>
      <c r="S421" s="903">
        <f t="shared" si="208"/>
        <v>0</v>
      </c>
      <c r="T421" s="334"/>
      <c r="X421" s="887" t="str">
        <f t="shared" si="209"/>
        <v/>
      </c>
      <c r="Y421" s="904">
        <f t="shared" si="210"/>
        <v>0.6</v>
      </c>
      <c r="Z421" s="905" t="e">
        <f t="shared" si="224"/>
        <v>#VALUE!</v>
      </c>
      <c r="AA421" s="905" t="e">
        <f t="shared" si="225"/>
        <v>#VALUE!</v>
      </c>
      <c r="AB421" s="905" t="e">
        <f t="shared" si="226"/>
        <v>#VALUE!</v>
      </c>
      <c r="AC421" s="906" t="e">
        <f t="shared" si="211"/>
        <v>#VALUE!</v>
      </c>
      <c r="AD421" s="907">
        <f t="shared" si="212"/>
        <v>0</v>
      </c>
      <c r="AE421" s="904">
        <f>IF(H421&gt;8,tab!C$194,tab!C$197)</f>
        <v>0.5</v>
      </c>
      <c r="AF421" s="907">
        <f t="shared" si="213"/>
        <v>0</v>
      </c>
      <c r="AG421" s="887">
        <f t="shared" si="214"/>
        <v>0</v>
      </c>
      <c r="AH421" s="908" t="e">
        <f t="shared" si="215"/>
        <v>#VALUE!</v>
      </c>
      <c r="AI421" s="815" t="e">
        <f t="shared" si="216"/>
        <v>#VALUE!</v>
      </c>
      <c r="AJ421" s="540">
        <f t="shared" si="217"/>
        <v>30</v>
      </c>
      <c r="AK421" s="540">
        <f t="shared" si="183"/>
        <v>30</v>
      </c>
      <c r="AL421" s="909">
        <f t="shared" si="218"/>
        <v>0</v>
      </c>
      <c r="AN421" s="539">
        <f t="shared" si="219"/>
        <v>0</v>
      </c>
      <c r="AT421" s="317"/>
      <c r="AU421" s="317"/>
    </row>
    <row r="422" spans="3:47" ht="13.15" customHeight="1" x14ac:dyDescent="0.2">
      <c r="C422" s="381"/>
      <c r="D422" s="895" t="str">
        <f>IF(op!D310=0,"",op!D310)</f>
        <v/>
      </c>
      <c r="E422" s="895" t="str">
        <f>IF(op!E310=0,"",op!E310)</f>
        <v/>
      </c>
      <c r="F422" s="390" t="str">
        <f>IF(op!F310="","",op!F310+1)</f>
        <v/>
      </c>
      <c r="G422" s="896" t="str">
        <f>IF(op!G310=0,"",op!G310)</f>
        <v/>
      </c>
      <c r="H422" s="390" t="str">
        <f>IF(op!H310="","",op!H310)</f>
        <v/>
      </c>
      <c r="I422" s="897" t="str">
        <f t="shared" si="206"/>
        <v/>
      </c>
      <c r="J422" s="898" t="str">
        <f>IF(op!J310="","",op!J310)</f>
        <v/>
      </c>
      <c r="K422" s="334"/>
      <c r="L422" s="1140" t="str">
        <f>IF(op!L310="","",op!L310)</f>
        <v/>
      </c>
      <c r="M422" s="1140" t="str">
        <f>IF(op!M310="","",op!M310)</f>
        <v/>
      </c>
      <c r="N422" s="899" t="str">
        <f t="shared" si="220"/>
        <v/>
      </c>
      <c r="O422" s="900" t="str">
        <f t="shared" si="221"/>
        <v/>
      </c>
      <c r="P422" s="901" t="str">
        <f t="shared" si="222"/>
        <v/>
      </c>
      <c r="Q422" s="568" t="str">
        <f t="shared" si="207"/>
        <v/>
      </c>
      <c r="R422" s="902" t="str">
        <f t="shared" si="223"/>
        <v/>
      </c>
      <c r="S422" s="903">
        <f t="shared" si="208"/>
        <v>0</v>
      </c>
      <c r="T422" s="334"/>
      <c r="X422" s="887" t="str">
        <f t="shared" si="209"/>
        <v/>
      </c>
      <c r="Y422" s="904">
        <f t="shared" si="210"/>
        <v>0.6</v>
      </c>
      <c r="Z422" s="905" t="e">
        <f t="shared" si="224"/>
        <v>#VALUE!</v>
      </c>
      <c r="AA422" s="905" t="e">
        <f t="shared" si="225"/>
        <v>#VALUE!</v>
      </c>
      <c r="AB422" s="905" t="e">
        <f t="shared" si="226"/>
        <v>#VALUE!</v>
      </c>
      <c r="AC422" s="906" t="e">
        <f t="shared" si="211"/>
        <v>#VALUE!</v>
      </c>
      <c r="AD422" s="907">
        <f t="shared" si="212"/>
        <v>0</v>
      </c>
      <c r="AE422" s="904">
        <f>IF(H422&gt;8,tab!C$194,tab!C$197)</f>
        <v>0.5</v>
      </c>
      <c r="AF422" s="907">
        <f t="shared" si="213"/>
        <v>0</v>
      </c>
      <c r="AG422" s="887">
        <f t="shared" si="214"/>
        <v>0</v>
      </c>
      <c r="AH422" s="908" t="e">
        <f t="shared" si="215"/>
        <v>#VALUE!</v>
      </c>
      <c r="AI422" s="815" t="e">
        <f t="shared" si="216"/>
        <v>#VALUE!</v>
      </c>
      <c r="AJ422" s="540">
        <f t="shared" si="217"/>
        <v>30</v>
      </c>
      <c r="AK422" s="540">
        <f t="shared" si="183"/>
        <v>30</v>
      </c>
      <c r="AL422" s="909">
        <f t="shared" si="218"/>
        <v>0</v>
      </c>
      <c r="AN422" s="539">
        <f t="shared" si="219"/>
        <v>0</v>
      </c>
      <c r="AT422" s="317"/>
      <c r="AU422" s="317"/>
    </row>
    <row r="423" spans="3:47" ht="13.15" customHeight="1" x14ac:dyDescent="0.2">
      <c r="C423" s="381"/>
      <c r="D423" s="895" t="str">
        <f>IF(op!D311=0,"",op!D311)</f>
        <v/>
      </c>
      <c r="E423" s="895" t="str">
        <f>IF(op!E311=0,"",op!E311)</f>
        <v/>
      </c>
      <c r="F423" s="390" t="str">
        <f>IF(op!F311="","",op!F311+1)</f>
        <v/>
      </c>
      <c r="G423" s="896" t="str">
        <f>IF(op!G311=0,"",op!G311)</f>
        <v/>
      </c>
      <c r="H423" s="390" t="str">
        <f>IF(op!H311="","",op!H311)</f>
        <v/>
      </c>
      <c r="I423" s="897" t="str">
        <f t="shared" si="206"/>
        <v/>
      </c>
      <c r="J423" s="898" t="str">
        <f>IF(op!J311="","",op!J311)</f>
        <v/>
      </c>
      <c r="K423" s="334"/>
      <c r="L423" s="1140" t="str">
        <f>IF(op!L311="","",op!L311)</f>
        <v/>
      </c>
      <c r="M423" s="1140" t="str">
        <f>IF(op!M311="","",op!M311)</f>
        <v/>
      </c>
      <c r="N423" s="899" t="str">
        <f t="shared" si="220"/>
        <v/>
      </c>
      <c r="O423" s="900" t="str">
        <f t="shared" si="221"/>
        <v/>
      </c>
      <c r="P423" s="901" t="str">
        <f t="shared" si="222"/>
        <v/>
      </c>
      <c r="Q423" s="568" t="str">
        <f t="shared" si="207"/>
        <v/>
      </c>
      <c r="R423" s="902" t="str">
        <f t="shared" si="223"/>
        <v/>
      </c>
      <c r="S423" s="903">
        <f t="shared" si="208"/>
        <v>0</v>
      </c>
      <c r="T423" s="334"/>
      <c r="X423" s="887" t="str">
        <f t="shared" si="209"/>
        <v/>
      </c>
      <c r="Y423" s="904">
        <f t="shared" si="210"/>
        <v>0.6</v>
      </c>
      <c r="Z423" s="905" t="e">
        <f t="shared" si="224"/>
        <v>#VALUE!</v>
      </c>
      <c r="AA423" s="905" t="e">
        <f t="shared" si="225"/>
        <v>#VALUE!</v>
      </c>
      <c r="AB423" s="905" t="e">
        <f t="shared" si="226"/>
        <v>#VALUE!</v>
      </c>
      <c r="AC423" s="906" t="e">
        <f t="shared" si="211"/>
        <v>#VALUE!</v>
      </c>
      <c r="AD423" s="907">
        <f t="shared" si="212"/>
        <v>0</v>
      </c>
      <c r="AE423" s="904">
        <f>IF(H423&gt;8,tab!C$194,tab!C$197)</f>
        <v>0.5</v>
      </c>
      <c r="AF423" s="907">
        <f t="shared" si="213"/>
        <v>0</v>
      </c>
      <c r="AG423" s="887">
        <f t="shared" si="214"/>
        <v>0</v>
      </c>
      <c r="AH423" s="908" t="e">
        <f t="shared" si="215"/>
        <v>#VALUE!</v>
      </c>
      <c r="AI423" s="815" t="e">
        <f t="shared" si="216"/>
        <v>#VALUE!</v>
      </c>
      <c r="AJ423" s="540">
        <f t="shared" si="217"/>
        <v>30</v>
      </c>
      <c r="AK423" s="540">
        <f t="shared" si="183"/>
        <v>30</v>
      </c>
      <c r="AL423" s="909">
        <f t="shared" si="218"/>
        <v>0</v>
      </c>
      <c r="AN423" s="539">
        <f t="shared" si="219"/>
        <v>0</v>
      </c>
      <c r="AT423" s="317"/>
      <c r="AU423" s="317"/>
    </row>
    <row r="424" spans="3:47" ht="13.15" customHeight="1" x14ac:dyDescent="0.2">
      <c r="C424" s="381"/>
      <c r="D424" s="895" t="str">
        <f>IF(op!D312=0,"",op!D312)</f>
        <v/>
      </c>
      <c r="E424" s="895" t="str">
        <f>IF(op!E312=0,"",op!E312)</f>
        <v/>
      </c>
      <c r="F424" s="390" t="str">
        <f>IF(op!F312="","",op!F312+1)</f>
        <v/>
      </c>
      <c r="G424" s="896" t="str">
        <f>IF(op!G312=0,"",op!G312)</f>
        <v/>
      </c>
      <c r="H424" s="390" t="str">
        <f>IF(op!H312="","",op!H312)</f>
        <v/>
      </c>
      <c r="I424" s="897" t="str">
        <f t="shared" si="206"/>
        <v/>
      </c>
      <c r="J424" s="898" t="str">
        <f>IF(op!J312="","",op!J312)</f>
        <v/>
      </c>
      <c r="K424" s="334"/>
      <c r="L424" s="1140" t="str">
        <f>IF(op!L312="","",op!L312)</f>
        <v/>
      </c>
      <c r="M424" s="1140" t="str">
        <f>IF(op!M312="","",op!M312)</f>
        <v/>
      </c>
      <c r="N424" s="899" t="str">
        <f t="shared" si="220"/>
        <v/>
      </c>
      <c r="O424" s="900" t="str">
        <f t="shared" si="221"/>
        <v/>
      </c>
      <c r="P424" s="901" t="str">
        <f t="shared" si="222"/>
        <v/>
      </c>
      <c r="Q424" s="568" t="str">
        <f t="shared" si="207"/>
        <v/>
      </c>
      <c r="R424" s="902" t="str">
        <f t="shared" si="223"/>
        <v/>
      </c>
      <c r="S424" s="903">
        <f t="shared" si="208"/>
        <v>0</v>
      </c>
      <c r="T424" s="334"/>
      <c r="X424" s="887" t="str">
        <f t="shared" si="209"/>
        <v/>
      </c>
      <c r="Y424" s="904">
        <f t="shared" si="210"/>
        <v>0.6</v>
      </c>
      <c r="Z424" s="905" t="e">
        <f t="shared" si="224"/>
        <v>#VALUE!</v>
      </c>
      <c r="AA424" s="905" t="e">
        <f t="shared" si="225"/>
        <v>#VALUE!</v>
      </c>
      <c r="AB424" s="905" t="e">
        <f t="shared" si="226"/>
        <v>#VALUE!</v>
      </c>
      <c r="AC424" s="906" t="e">
        <f t="shared" si="211"/>
        <v>#VALUE!</v>
      </c>
      <c r="AD424" s="907">
        <f t="shared" si="212"/>
        <v>0</v>
      </c>
      <c r="AE424" s="904">
        <f>IF(H424&gt;8,tab!C$194,tab!C$197)</f>
        <v>0.5</v>
      </c>
      <c r="AF424" s="907">
        <f t="shared" si="213"/>
        <v>0</v>
      </c>
      <c r="AG424" s="887">
        <f t="shared" si="214"/>
        <v>0</v>
      </c>
      <c r="AH424" s="908" t="e">
        <f t="shared" si="215"/>
        <v>#VALUE!</v>
      </c>
      <c r="AI424" s="815" t="e">
        <f t="shared" si="216"/>
        <v>#VALUE!</v>
      </c>
      <c r="AJ424" s="540">
        <f t="shared" si="217"/>
        <v>30</v>
      </c>
      <c r="AK424" s="540">
        <f t="shared" si="183"/>
        <v>30</v>
      </c>
      <c r="AL424" s="909">
        <f t="shared" si="218"/>
        <v>0</v>
      </c>
      <c r="AN424" s="539">
        <f t="shared" si="219"/>
        <v>0</v>
      </c>
      <c r="AT424" s="317"/>
      <c r="AU424" s="317"/>
    </row>
    <row r="425" spans="3:47" ht="13.15" customHeight="1" x14ac:dyDescent="0.2">
      <c r="C425" s="381"/>
      <c r="D425" s="895" t="str">
        <f>IF(op!D313=0,"",op!D313)</f>
        <v/>
      </c>
      <c r="E425" s="895" t="str">
        <f>IF(op!E313=0,"",op!E313)</f>
        <v/>
      </c>
      <c r="F425" s="390" t="str">
        <f>IF(op!F313="","",op!F313+1)</f>
        <v/>
      </c>
      <c r="G425" s="896" t="str">
        <f>IF(op!G313=0,"",op!G313)</f>
        <v/>
      </c>
      <c r="H425" s="390" t="str">
        <f>IF(op!H313="","",op!H313)</f>
        <v/>
      </c>
      <c r="I425" s="897" t="str">
        <f t="shared" si="206"/>
        <v/>
      </c>
      <c r="J425" s="898" t="str">
        <f>IF(op!J313="","",op!J313)</f>
        <v/>
      </c>
      <c r="K425" s="334"/>
      <c r="L425" s="1140" t="str">
        <f>IF(op!L313="","",op!L313)</f>
        <v/>
      </c>
      <c r="M425" s="1140" t="str">
        <f>IF(op!M313="","",op!M313)</f>
        <v/>
      </c>
      <c r="N425" s="899" t="str">
        <f t="shared" si="220"/>
        <v/>
      </c>
      <c r="O425" s="900" t="str">
        <f t="shared" si="221"/>
        <v/>
      </c>
      <c r="P425" s="901" t="str">
        <f t="shared" si="222"/>
        <v/>
      </c>
      <c r="Q425" s="568" t="str">
        <f t="shared" si="207"/>
        <v/>
      </c>
      <c r="R425" s="902" t="str">
        <f t="shared" si="223"/>
        <v/>
      </c>
      <c r="S425" s="903">
        <f t="shared" si="208"/>
        <v>0</v>
      </c>
      <c r="T425" s="334"/>
      <c r="X425" s="887" t="str">
        <f t="shared" si="209"/>
        <v/>
      </c>
      <c r="Y425" s="904">
        <f t="shared" si="210"/>
        <v>0.6</v>
      </c>
      <c r="Z425" s="905" t="e">
        <f t="shared" si="224"/>
        <v>#VALUE!</v>
      </c>
      <c r="AA425" s="905" t="e">
        <f t="shared" si="225"/>
        <v>#VALUE!</v>
      </c>
      <c r="AB425" s="905" t="e">
        <f t="shared" si="226"/>
        <v>#VALUE!</v>
      </c>
      <c r="AC425" s="906" t="e">
        <f t="shared" si="211"/>
        <v>#VALUE!</v>
      </c>
      <c r="AD425" s="907">
        <f t="shared" si="212"/>
        <v>0</v>
      </c>
      <c r="AE425" s="904">
        <f>IF(H425&gt;8,tab!C$194,tab!C$197)</f>
        <v>0.5</v>
      </c>
      <c r="AF425" s="907">
        <f t="shared" si="213"/>
        <v>0</v>
      </c>
      <c r="AG425" s="887">
        <f t="shared" si="214"/>
        <v>0</v>
      </c>
      <c r="AH425" s="908" t="e">
        <f t="shared" si="215"/>
        <v>#VALUE!</v>
      </c>
      <c r="AI425" s="815" t="e">
        <f t="shared" si="216"/>
        <v>#VALUE!</v>
      </c>
      <c r="AJ425" s="540">
        <f t="shared" si="217"/>
        <v>30</v>
      </c>
      <c r="AK425" s="540">
        <f t="shared" si="183"/>
        <v>30</v>
      </c>
      <c r="AL425" s="909">
        <f t="shared" si="218"/>
        <v>0</v>
      </c>
      <c r="AN425" s="539">
        <f t="shared" si="219"/>
        <v>0</v>
      </c>
      <c r="AT425" s="317"/>
      <c r="AU425" s="317"/>
    </row>
    <row r="426" spans="3:47" ht="13.15" customHeight="1" x14ac:dyDescent="0.2">
      <c r="C426" s="381"/>
      <c r="D426" s="895" t="str">
        <f>IF(op!D314=0,"",op!D314)</f>
        <v/>
      </c>
      <c r="E426" s="895" t="str">
        <f>IF(op!E314=0,"",op!E314)</f>
        <v/>
      </c>
      <c r="F426" s="390" t="str">
        <f>IF(op!F314="","",op!F314+1)</f>
        <v/>
      </c>
      <c r="G426" s="896" t="str">
        <f>IF(op!G314=0,"",op!G314)</f>
        <v/>
      </c>
      <c r="H426" s="390" t="str">
        <f>IF(op!H314="","",op!H314)</f>
        <v/>
      </c>
      <c r="I426" s="897" t="str">
        <f t="shared" si="206"/>
        <v/>
      </c>
      <c r="J426" s="898" t="str">
        <f>IF(op!J314="","",op!J314)</f>
        <v/>
      </c>
      <c r="K426" s="334"/>
      <c r="L426" s="1140" t="str">
        <f>IF(op!L314="","",op!L314)</f>
        <v/>
      </c>
      <c r="M426" s="1140" t="str">
        <f>IF(op!M314="","",op!M314)</f>
        <v/>
      </c>
      <c r="N426" s="899" t="str">
        <f t="shared" si="220"/>
        <v/>
      </c>
      <c r="O426" s="900" t="str">
        <f t="shared" si="221"/>
        <v/>
      </c>
      <c r="P426" s="901" t="str">
        <f t="shared" si="222"/>
        <v/>
      </c>
      <c r="Q426" s="568" t="str">
        <f t="shared" si="207"/>
        <v/>
      </c>
      <c r="R426" s="902" t="str">
        <f t="shared" si="223"/>
        <v/>
      </c>
      <c r="S426" s="903">
        <f t="shared" si="208"/>
        <v>0</v>
      </c>
      <c r="T426" s="334"/>
      <c r="X426" s="887" t="str">
        <f t="shared" si="209"/>
        <v/>
      </c>
      <c r="Y426" s="904">
        <f t="shared" si="210"/>
        <v>0.6</v>
      </c>
      <c r="Z426" s="905" t="e">
        <f t="shared" si="224"/>
        <v>#VALUE!</v>
      </c>
      <c r="AA426" s="905" t="e">
        <f t="shared" si="225"/>
        <v>#VALUE!</v>
      </c>
      <c r="AB426" s="905" t="e">
        <f t="shared" si="226"/>
        <v>#VALUE!</v>
      </c>
      <c r="AC426" s="906" t="e">
        <f t="shared" si="211"/>
        <v>#VALUE!</v>
      </c>
      <c r="AD426" s="907">
        <f t="shared" si="212"/>
        <v>0</v>
      </c>
      <c r="AE426" s="904">
        <f>IF(H426&gt;8,tab!C$194,tab!C$197)</f>
        <v>0.5</v>
      </c>
      <c r="AF426" s="907">
        <f t="shared" si="213"/>
        <v>0</v>
      </c>
      <c r="AG426" s="887">
        <f t="shared" si="214"/>
        <v>0</v>
      </c>
      <c r="AH426" s="908" t="e">
        <f t="shared" si="215"/>
        <v>#VALUE!</v>
      </c>
      <c r="AI426" s="815" t="e">
        <f t="shared" si="216"/>
        <v>#VALUE!</v>
      </c>
      <c r="AJ426" s="540">
        <f t="shared" si="217"/>
        <v>30</v>
      </c>
      <c r="AK426" s="540">
        <f t="shared" si="183"/>
        <v>30</v>
      </c>
      <c r="AL426" s="909">
        <f t="shared" si="218"/>
        <v>0</v>
      </c>
      <c r="AN426" s="539">
        <f t="shared" si="219"/>
        <v>0</v>
      </c>
      <c r="AT426" s="317"/>
      <c r="AU426" s="317"/>
    </row>
    <row r="427" spans="3:47" ht="13.15" customHeight="1" x14ac:dyDescent="0.2">
      <c r="C427" s="381"/>
      <c r="D427" s="895" t="str">
        <f>IF(op!D315=0,"",op!D315)</f>
        <v/>
      </c>
      <c r="E427" s="895" t="str">
        <f>IF(op!E315=0,"",op!E315)</f>
        <v/>
      </c>
      <c r="F427" s="390" t="str">
        <f>IF(op!F315="","",op!F315+1)</f>
        <v/>
      </c>
      <c r="G427" s="896" t="str">
        <f>IF(op!G315=0,"",op!G315)</f>
        <v/>
      </c>
      <c r="H427" s="390" t="str">
        <f>IF(op!H315="","",op!H315)</f>
        <v/>
      </c>
      <c r="I427" s="897" t="str">
        <f t="shared" si="206"/>
        <v/>
      </c>
      <c r="J427" s="898" t="str">
        <f>IF(op!J315="","",op!J315)</f>
        <v/>
      </c>
      <c r="K427" s="334"/>
      <c r="L427" s="1140" t="str">
        <f>IF(op!L315="","",op!L315)</f>
        <v/>
      </c>
      <c r="M427" s="1140" t="str">
        <f>IF(op!M315="","",op!M315)</f>
        <v/>
      </c>
      <c r="N427" s="899" t="str">
        <f t="shared" si="220"/>
        <v/>
      </c>
      <c r="O427" s="900" t="str">
        <f t="shared" si="221"/>
        <v/>
      </c>
      <c r="P427" s="901" t="str">
        <f t="shared" si="222"/>
        <v/>
      </c>
      <c r="Q427" s="568" t="str">
        <f t="shared" si="207"/>
        <v/>
      </c>
      <c r="R427" s="902" t="str">
        <f t="shared" si="223"/>
        <v/>
      </c>
      <c r="S427" s="903">
        <f t="shared" si="208"/>
        <v>0</v>
      </c>
      <c r="T427" s="334"/>
      <c r="X427" s="887" t="str">
        <f t="shared" si="209"/>
        <v/>
      </c>
      <c r="Y427" s="904">
        <f t="shared" si="210"/>
        <v>0.6</v>
      </c>
      <c r="Z427" s="905" t="e">
        <f t="shared" si="224"/>
        <v>#VALUE!</v>
      </c>
      <c r="AA427" s="905" t="e">
        <f t="shared" si="225"/>
        <v>#VALUE!</v>
      </c>
      <c r="AB427" s="905" t="e">
        <f t="shared" si="226"/>
        <v>#VALUE!</v>
      </c>
      <c r="AC427" s="906" t="e">
        <f t="shared" si="211"/>
        <v>#VALUE!</v>
      </c>
      <c r="AD427" s="907">
        <f t="shared" si="212"/>
        <v>0</v>
      </c>
      <c r="AE427" s="904">
        <f>IF(H427&gt;8,tab!C$194,tab!C$197)</f>
        <v>0.5</v>
      </c>
      <c r="AF427" s="907">
        <f t="shared" si="213"/>
        <v>0</v>
      </c>
      <c r="AG427" s="887">
        <f t="shared" si="214"/>
        <v>0</v>
      </c>
      <c r="AH427" s="908" t="e">
        <f t="shared" si="215"/>
        <v>#VALUE!</v>
      </c>
      <c r="AI427" s="815" t="e">
        <f t="shared" si="216"/>
        <v>#VALUE!</v>
      </c>
      <c r="AJ427" s="540">
        <f t="shared" si="217"/>
        <v>30</v>
      </c>
      <c r="AK427" s="540">
        <f t="shared" si="183"/>
        <v>30</v>
      </c>
      <c r="AL427" s="909">
        <f t="shared" si="218"/>
        <v>0</v>
      </c>
      <c r="AN427" s="539">
        <f t="shared" si="219"/>
        <v>0</v>
      </c>
      <c r="AT427" s="317"/>
      <c r="AU427" s="317"/>
    </row>
    <row r="428" spans="3:47" ht="13.15" customHeight="1" x14ac:dyDescent="0.2">
      <c r="C428" s="381"/>
      <c r="D428" s="895" t="str">
        <f>IF(op!D316=0,"",op!D316)</f>
        <v/>
      </c>
      <c r="E428" s="895" t="str">
        <f>IF(op!E316=0,"",op!E316)</f>
        <v/>
      </c>
      <c r="F428" s="390" t="str">
        <f>IF(op!F316="","",op!F316+1)</f>
        <v/>
      </c>
      <c r="G428" s="896" t="str">
        <f>IF(op!G316=0,"",op!G316)</f>
        <v/>
      </c>
      <c r="H428" s="390" t="str">
        <f>IF(op!H316="","",op!H316)</f>
        <v/>
      </c>
      <c r="I428" s="897" t="str">
        <f t="shared" si="206"/>
        <v/>
      </c>
      <c r="J428" s="898" t="str">
        <f>IF(op!J316="","",op!J316)</f>
        <v/>
      </c>
      <c r="K428" s="334"/>
      <c r="L428" s="1140" t="str">
        <f>IF(op!L316="","",op!L316)</f>
        <v/>
      </c>
      <c r="M428" s="1140" t="str">
        <f>IF(op!M316="","",op!M316)</f>
        <v/>
      </c>
      <c r="N428" s="899" t="str">
        <f t="shared" si="220"/>
        <v/>
      </c>
      <c r="O428" s="900" t="str">
        <f t="shared" si="221"/>
        <v/>
      </c>
      <c r="P428" s="901" t="str">
        <f t="shared" si="222"/>
        <v/>
      </c>
      <c r="Q428" s="568" t="str">
        <f t="shared" si="207"/>
        <v/>
      </c>
      <c r="R428" s="902" t="str">
        <f t="shared" si="223"/>
        <v/>
      </c>
      <c r="S428" s="903">
        <f t="shared" si="208"/>
        <v>0</v>
      </c>
      <c r="T428" s="334"/>
      <c r="X428" s="887" t="str">
        <f t="shared" si="209"/>
        <v/>
      </c>
      <c r="Y428" s="904">
        <f t="shared" si="210"/>
        <v>0.6</v>
      </c>
      <c r="Z428" s="905" t="e">
        <f t="shared" si="224"/>
        <v>#VALUE!</v>
      </c>
      <c r="AA428" s="905" t="e">
        <f t="shared" si="225"/>
        <v>#VALUE!</v>
      </c>
      <c r="AB428" s="905" t="e">
        <f t="shared" si="226"/>
        <v>#VALUE!</v>
      </c>
      <c r="AC428" s="906" t="e">
        <f t="shared" si="211"/>
        <v>#VALUE!</v>
      </c>
      <c r="AD428" s="907">
        <f t="shared" si="212"/>
        <v>0</v>
      </c>
      <c r="AE428" s="904">
        <f>IF(H428&gt;8,tab!C$194,tab!C$197)</f>
        <v>0.5</v>
      </c>
      <c r="AF428" s="907">
        <f t="shared" si="213"/>
        <v>0</v>
      </c>
      <c r="AG428" s="887">
        <f t="shared" si="214"/>
        <v>0</v>
      </c>
      <c r="AH428" s="908" t="e">
        <f t="shared" si="215"/>
        <v>#VALUE!</v>
      </c>
      <c r="AI428" s="815" t="e">
        <f t="shared" si="216"/>
        <v>#VALUE!</v>
      </c>
      <c r="AJ428" s="540">
        <f t="shared" si="217"/>
        <v>30</v>
      </c>
      <c r="AK428" s="540">
        <f t="shared" si="183"/>
        <v>30</v>
      </c>
      <c r="AL428" s="909">
        <f t="shared" si="218"/>
        <v>0</v>
      </c>
      <c r="AN428" s="539">
        <f t="shared" si="219"/>
        <v>0</v>
      </c>
      <c r="AT428" s="317"/>
      <c r="AU428" s="317"/>
    </row>
    <row r="429" spans="3:47" ht="13.15" customHeight="1" x14ac:dyDescent="0.2">
      <c r="C429" s="381"/>
      <c r="D429" s="895" t="str">
        <f>IF(op!D317=0,"",op!D317)</f>
        <v/>
      </c>
      <c r="E429" s="895" t="str">
        <f>IF(op!E317=0,"",op!E317)</f>
        <v/>
      </c>
      <c r="F429" s="390" t="str">
        <f>IF(op!F317="","",op!F317+1)</f>
        <v/>
      </c>
      <c r="G429" s="896" t="str">
        <f>IF(op!G317=0,"",op!G317)</f>
        <v/>
      </c>
      <c r="H429" s="390" t="str">
        <f>IF(op!H317="","",op!H317)</f>
        <v/>
      </c>
      <c r="I429" s="897" t="str">
        <f t="shared" si="206"/>
        <v/>
      </c>
      <c r="J429" s="898" t="str">
        <f>IF(op!J317="","",op!J317)</f>
        <v/>
      </c>
      <c r="K429" s="334"/>
      <c r="L429" s="1140" t="str">
        <f>IF(op!L317="","",op!L317)</f>
        <v/>
      </c>
      <c r="M429" s="1140" t="str">
        <f>IF(op!M317="","",op!M317)</f>
        <v/>
      </c>
      <c r="N429" s="899" t="str">
        <f t="shared" si="220"/>
        <v/>
      </c>
      <c r="O429" s="900" t="str">
        <f t="shared" si="221"/>
        <v/>
      </c>
      <c r="P429" s="901" t="str">
        <f t="shared" si="222"/>
        <v/>
      </c>
      <c r="Q429" s="568" t="str">
        <f t="shared" si="207"/>
        <v/>
      </c>
      <c r="R429" s="902" t="str">
        <f t="shared" si="223"/>
        <v/>
      </c>
      <c r="S429" s="903">
        <f t="shared" si="208"/>
        <v>0</v>
      </c>
      <c r="T429" s="334"/>
      <c r="X429" s="887" t="str">
        <f t="shared" si="209"/>
        <v/>
      </c>
      <c r="Y429" s="904">
        <f t="shared" si="210"/>
        <v>0.6</v>
      </c>
      <c r="Z429" s="905" t="e">
        <f t="shared" si="224"/>
        <v>#VALUE!</v>
      </c>
      <c r="AA429" s="905" t="e">
        <f t="shared" si="225"/>
        <v>#VALUE!</v>
      </c>
      <c r="AB429" s="905" t="e">
        <f t="shared" si="226"/>
        <v>#VALUE!</v>
      </c>
      <c r="AC429" s="906" t="e">
        <f t="shared" si="211"/>
        <v>#VALUE!</v>
      </c>
      <c r="AD429" s="907">
        <f t="shared" si="212"/>
        <v>0</v>
      </c>
      <c r="AE429" s="904">
        <f>IF(H429&gt;8,tab!C$194,tab!C$197)</f>
        <v>0.5</v>
      </c>
      <c r="AF429" s="907">
        <f t="shared" si="213"/>
        <v>0</v>
      </c>
      <c r="AG429" s="887">
        <f t="shared" si="214"/>
        <v>0</v>
      </c>
      <c r="AH429" s="908" t="e">
        <f t="shared" si="215"/>
        <v>#VALUE!</v>
      </c>
      <c r="AI429" s="815" t="e">
        <f t="shared" si="216"/>
        <v>#VALUE!</v>
      </c>
      <c r="AJ429" s="540">
        <f t="shared" si="217"/>
        <v>30</v>
      </c>
      <c r="AK429" s="540">
        <f t="shared" si="183"/>
        <v>30</v>
      </c>
      <c r="AL429" s="909">
        <f t="shared" si="218"/>
        <v>0</v>
      </c>
      <c r="AN429" s="539">
        <f t="shared" si="219"/>
        <v>0</v>
      </c>
      <c r="AT429" s="317"/>
      <c r="AU429" s="317"/>
    </row>
    <row r="430" spans="3:47" ht="13.15" customHeight="1" x14ac:dyDescent="0.2">
      <c r="C430" s="381"/>
      <c r="D430" s="895" t="str">
        <f>IF(op!D318=0,"",op!D318)</f>
        <v/>
      </c>
      <c r="E430" s="895" t="str">
        <f>IF(op!E318=0,"",op!E318)</f>
        <v/>
      </c>
      <c r="F430" s="390" t="str">
        <f>IF(op!F318="","",op!F318+1)</f>
        <v/>
      </c>
      <c r="G430" s="896" t="str">
        <f>IF(op!G318=0,"",op!G318)</f>
        <v/>
      </c>
      <c r="H430" s="390" t="str">
        <f>IF(op!H318="","",op!H318)</f>
        <v/>
      </c>
      <c r="I430" s="897" t="str">
        <f t="shared" si="206"/>
        <v/>
      </c>
      <c r="J430" s="898" t="str">
        <f>IF(op!J318="","",op!J318)</f>
        <v/>
      </c>
      <c r="K430" s="334"/>
      <c r="L430" s="1140" t="str">
        <f>IF(op!L318="","",op!L318)</f>
        <v/>
      </c>
      <c r="M430" s="1140" t="str">
        <f>IF(op!M318="","",op!M318)</f>
        <v/>
      </c>
      <c r="N430" s="899" t="str">
        <f t="shared" si="220"/>
        <v/>
      </c>
      <c r="O430" s="900" t="str">
        <f t="shared" si="221"/>
        <v/>
      </c>
      <c r="P430" s="901" t="str">
        <f t="shared" si="222"/>
        <v/>
      </c>
      <c r="Q430" s="568" t="str">
        <f t="shared" si="207"/>
        <v/>
      </c>
      <c r="R430" s="902" t="str">
        <f t="shared" si="223"/>
        <v/>
      </c>
      <c r="S430" s="903">
        <f t="shared" si="208"/>
        <v>0</v>
      </c>
      <c r="T430" s="334"/>
      <c r="X430" s="887" t="str">
        <f t="shared" si="209"/>
        <v/>
      </c>
      <c r="Y430" s="904">
        <f t="shared" si="210"/>
        <v>0.6</v>
      </c>
      <c r="Z430" s="905" t="e">
        <f t="shared" si="224"/>
        <v>#VALUE!</v>
      </c>
      <c r="AA430" s="905" t="e">
        <f t="shared" si="225"/>
        <v>#VALUE!</v>
      </c>
      <c r="AB430" s="905" t="e">
        <f t="shared" si="226"/>
        <v>#VALUE!</v>
      </c>
      <c r="AC430" s="906" t="e">
        <f t="shared" si="211"/>
        <v>#VALUE!</v>
      </c>
      <c r="AD430" s="907">
        <f t="shared" si="212"/>
        <v>0</v>
      </c>
      <c r="AE430" s="904">
        <f>IF(H430&gt;8,tab!C$194,tab!C$197)</f>
        <v>0.5</v>
      </c>
      <c r="AF430" s="907">
        <f t="shared" si="213"/>
        <v>0</v>
      </c>
      <c r="AG430" s="887">
        <f t="shared" si="214"/>
        <v>0</v>
      </c>
      <c r="AH430" s="908" t="e">
        <f t="shared" si="215"/>
        <v>#VALUE!</v>
      </c>
      <c r="AI430" s="815" t="e">
        <f t="shared" si="216"/>
        <v>#VALUE!</v>
      </c>
      <c r="AJ430" s="540">
        <f t="shared" si="217"/>
        <v>30</v>
      </c>
      <c r="AK430" s="540">
        <f t="shared" si="183"/>
        <v>30</v>
      </c>
      <c r="AL430" s="909">
        <f t="shared" si="218"/>
        <v>0</v>
      </c>
      <c r="AN430" s="539">
        <f t="shared" si="219"/>
        <v>0</v>
      </c>
      <c r="AT430" s="317"/>
      <c r="AU430" s="317"/>
    </row>
    <row r="431" spans="3:47" ht="13.15" customHeight="1" x14ac:dyDescent="0.2">
      <c r="C431" s="381"/>
      <c r="D431" s="895" t="str">
        <f>IF(op!D319=0,"",op!D319)</f>
        <v/>
      </c>
      <c r="E431" s="895" t="str">
        <f>IF(op!E319=0,"",op!E319)</f>
        <v/>
      </c>
      <c r="F431" s="390" t="str">
        <f>IF(op!F319="","",op!F319+1)</f>
        <v/>
      </c>
      <c r="G431" s="896" t="str">
        <f>IF(op!G319=0,"",op!G319)</f>
        <v/>
      </c>
      <c r="H431" s="390" t="str">
        <f>IF(op!H319="","",op!H319)</f>
        <v/>
      </c>
      <c r="I431" s="897" t="str">
        <f t="shared" si="206"/>
        <v/>
      </c>
      <c r="J431" s="898" t="str">
        <f>IF(op!J319="","",op!J319)</f>
        <v/>
      </c>
      <c r="K431" s="334"/>
      <c r="L431" s="1140" t="str">
        <f>IF(op!L319="","",op!L319)</f>
        <v/>
      </c>
      <c r="M431" s="1140" t="str">
        <f>IF(op!M319="","",op!M319)</f>
        <v/>
      </c>
      <c r="N431" s="899" t="str">
        <f t="shared" si="220"/>
        <v/>
      </c>
      <c r="O431" s="900" t="str">
        <f t="shared" si="221"/>
        <v/>
      </c>
      <c r="P431" s="901" t="str">
        <f t="shared" si="222"/>
        <v/>
      </c>
      <c r="Q431" s="568" t="str">
        <f t="shared" si="207"/>
        <v/>
      </c>
      <c r="R431" s="902" t="str">
        <f t="shared" si="223"/>
        <v/>
      </c>
      <c r="S431" s="903">
        <f t="shared" si="208"/>
        <v>0</v>
      </c>
      <c r="T431" s="334"/>
      <c r="X431" s="887" t="str">
        <f t="shared" si="209"/>
        <v/>
      </c>
      <c r="Y431" s="904">
        <f t="shared" si="210"/>
        <v>0.6</v>
      </c>
      <c r="Z431" s="905" t="e">
        <f t="shared" si="224"/>
        <v>#VALUE!</v>
      </c>
      <c r="AA431" s="905" t="e">
        <f t="shared" si="225"/>
        <v>#VALUE!</v>
      </c>
      <c r="AB431" s="905" t="e">
        <f t="shared" si="226"/>
        <v>#VALUE!</v>
      </c>
      <c r="AC431" s="906" t="e">
        <f t="shared" si="211"/>
        <v>#VALUE!</v>
      </c>
      <c r="AD431" s="907">
        <f t="shared" si="212"/>
        <v>0</v>
      </c>
      <c r="AE431" s="904">
        <f>IF(H431&gt;8,tab!C$194,tab!C$197)</f>
        <v>0.5</v>
      </c>
      <c r="AF431" s="907">
        <f t="shared" si="213"/>
        <v>0</v>
      </c>
      <c r="AG431" s="887">
        <f t="shared" si="214"/>
        <v>0</v>
      </c>
      <c r="AH431" s="908" t="e">
        <f t="shared" si="215"/>
        <v>#VALUE!</v>
      </c>
      <c r="AI431" s="815" t="e">
        <f t="shared" si="216"/>
        <v>#VALUE!</v>
      </c>
      <c r="AJ431" s="540">
        <f t="shared" si="217"/>
        <v>30</v>
      </c>
      <c r="AK431" s="540">
        <f t="shared" si="183"/>
        <v>30</v>
      </c>
      <c r="AL431" s="909">
        <f t="shared" si="218"/>
        <v>0</v>
      </c>
      <c r="AN431" s="539">
        <f t="shared" si="219"/>
        <v>0</v>
      </c>
      <c r="AT431" s="317"/>
      <c r="AU431" s="317"/>
    </row>
    <row r="432" spans="3:47" ht="13.15" customHeight="1" x14ac:dyDescent="0.2">
      <c r="C432" s="381"/>
      <c r="D432" s="895" t="str">
        <f>IF(op!D320=0,"",op!D320)</f>
        <v/>
      </c>
      <c r="E432" s="895" t="str">
        <f>IF(op!E320=0,"",op!E320)</f>
        <v/>
      </c>
      <c r="F432" s="390" t="str">
        <f>IF(op!F320="","",op!F320+1)</f>
        <v/>
      </c>
      <c r="G432" s="896" t="str">
        <f>IF(op!G320=0,"",op!G320)</f>
        <v/>
      </c>
      <c r="H432" s="390" t="str">
        <f>IF(op!H320="","",op!H320)</f>
        <v/>
      </c>
      <c r="I432" s="897" t="str">
        <f t="shared" si="206"/>
        <v/>
      </c>
      <c r="J432" s="898" t="str">
        <f>IF(op!J320="","",op!J320)</f>
        <v/>
      </c>
      <c r="K432" s="334"/>
      <c r="L432" s="1140" t="str">
        <f>IF(op!L320="","",op!L320)</f>
        <v/>
      </c>
      <c r="M432" s="1140" t="str">
        <f>IF(op!M320="","",op!M320)</f>
        <v/>
      </c>
      <c r="N432" s="899" t="str">
        <f t="shared" si="220"/>
        <v/>
      </c>
      <c r="O432" s="900" t="str">
        <f t="shared" si="221"/>
        <v/>
      </c>
      <c r="P432" s="901" t="str">
        <f t="shared" si="222"/>
        <v/>
      </c>
      <c r="Q432" s="568" t="str">
        <f t="shared" si="207"/>
        <v/>
      </c>
      <c r="R432" s="902" t="str">
        <f t="shared" si="223"/>
        <v/>
      </c>
      <c r="S432" s="903">
        <f t="shared" si="208"/>
        <v>0</v>
      </c>
      <c r="T432" s="334"/>
      <c r="X432" s="887" t="str">
        <f t="shared" si="209"/>
        <v/>
      </c>
      <c r="Y432" s="904">
        <f t="shared" si="210"/>
        <v>0.6</v>
      </c>
      <c r="Z432" s="905" t="e">
        <f t="shared" si="224"/>
        <v>#VALUE!</v>
      </c>
      <c r="AA432" s="905" t="e">
        <f t="shared" si="225"/>
        <v>#VALUE!</v>
      </c>
      <c r="AB432" s="905" t="e">
        <f t="shared" si="226"/>
        <v>#VALUE!</v>
      </c>
      <c r="AC432" s="906" t="e">
        <f t="shared" si="211"/>
        <v>#VALUE!</v>
      </c>
      <c r="AD432" s="907">
        <f t="shared" si="212"/>
        <v>0</v>
      </c>
      <c r="AE432" s="904">
        <f>IF(H432&gt;8,tab!C$194,tab!C$197)</f>
        <v>0.5</v>
      </c>
      <c r="AF432" s="907">
        <f t="shared" si="213"/>
        <v>0</v>
      </c>
      <c r="AG432" s="887">
        <f t="shared" si="214"/>
        <v>0</v>
      </c>
      <c r="AH432" s="908" t="e">
        <f t="shared" si="215"/>
        <v>#VALUE!</v>
      </c>
      <c r="AI432" s="815" t="e">
        <f t="shared" si="216"/>
        <v>#VALUE!</v>
      </c>
      <c r="AJ432" s="540">
        <f t="shared" si="217"/>
        <v>30</v>
      </c>
      <c r="AK432" s="540">
        <f t="shared" si="183"/>
        <v>30</v>
      </c>
      <c r="AL432" s="909">
        <f t="shared" si="218"/>
        <v>0</v>
      </c>
      <c r="AN432" s="539">
        <f t="shared" si="219"/>
        <v>0</v>
      </c>
      <c r="AT432" s="317"/>
      <c r="AU432" s="317"/>
    </row>
    <row r="433" spans="3:47" ht="13.15" customHeight="1" x14ac:dyDescent="0.2">
      <c r="C433" s="381"/>
      <c r="D433" s="895" t="str">
        <f>IF(op!D321=0,"",op!D321)</f>
        <v/>
      </c>
      <c r="E433" s="895" t="str">
        <f>IF(op!E321=0,"",op!E321)</f>
        <v/>
      </c>
      <c r="F433" s="390" t="str">
        <f>IF(op!F321="","",op!F321+1)</f>
        <v/>
      </c>
      <c r="G433" s="896" t="str">
        <f>IF(op!G321=0,"",op!G321)</f>
        <v/>
      </c>
      <c r="H433" s="390" t="str">
        <f>IF(op!H321="","",op!H321)</f>
        <v/>
      </c>
      <c r="I433" s="897" t="str">
        <f t="shared" si="206"/>
        <v/>
      </c>
      <c r="J433" s="898" t="str">
        <f>IF(op!J321="","",op!J321)</f>
        <v/>
      </c>
      <c r="K433" s="334"/>
      <c r="L433" s="1140" t="str">
        <f>IF(op!L321="","",op!L321)</f>
        <v/>
      </c>
      <c r="M433" s="1140" t="str">
        <f>IF(op!M321="","",op!M321)</f>
        <v/>
      </c>
      <c r="N433" s="899" t="str">
        <f t="shared" si="220"/>
        <v/>
      </c>
      <c r="O433" s="900" t="str">
        <f t="shared" si="221"/>
        <v/>
      </c>
      <c r="P433" s="901" t="str">
        <f t="shared" si="222"/>
        <v/>
      </c>
      <c r="Q433" s="568" t="str">
        <f t="shared" si="207"/>
        <v/>
      </c>
      <c r="R433" s="902" t="str">
        <f t="shared" si="223"/>
        <v/>
      </c>
      <c r="S433" s="903">
        <f t="shared" si="208"/>
        <v>0</v>
      </c>
      <c r="T433" s="334"/>
      <c r="X433" s="887" t="str">
        <f t="shared" si="209"/>
        <v/>
      </c>
      <c r="Y433" s="904">
        <f t="shared" si="210"/>
        <v>0.6</v>
      </c>
      <c r="Z433" s="905" t="e">
        <f t="shared" si="224"/>
        <v>#VALUE!</v>
      </c>
      <c r="AA433" s="905" t="e">
        <f t="shared" si="225"/>
        <v>#VALUE!</v>
      </c>
      <c r="AB433" s="905" t="e">
        <f t="shared" si="226"/>
        <v>#VALUE!</v>
      </c>
      <c r="AC433" s="906" t="e">
        <f t="shared" si="211"/>
        <v>#VALUE!</v>
      </c>
      <c r="AD433" s="907">
        <f t="shared" si="212"/>
        <v>0</v>
      </c>
      <c r="AE433" s="904">
        <f>IF(H433&gt;8,tab!C$194,tab!C$197)</f>
        <v>0.5</v>
      </c>
      <c r="AF433" s="907">
        <f t="shared" si="213"/>
        <v>0</v>
      </c>
      <c r="AG433" s="887">
        <f t="shared" si="214"/>
        <v>0</v>
      </c>
      <c r="AH433" s="908" t="e">
        <f t="shared" si="215"/>
        <v>#VALUE!</v>
      </c>
      <c r="AI433" s="815" t="e">
        <f t="shared" si="216"/>
        <v>#VALUE!</v>
      </c>
      <c r="AJ433" s="540">
        <f t="shared" si="217"/>
        <v>30</v>
      </c>
      <c r="AK433" s="540">
        <f t="shared" si="183"/>
        <v>30</v>
      </c>
      <c r="AL433" s="909">
        <f t="shared" si="218"/>
        <v>0</v>
      </c>
      <c r="AN433" s="539">
        <f t="shared" si="219"/>
        <v>0</v>
      </c>
      <c r="AT433" s="317"/>
      <c r="AU433" s="317"/>
    </row>
    <row r="434" spans="3:47" ht="13.15" customHeight="1" x14ac:dyDescent="0.2">
      <c r="C434" s="381"/>
      <c r="D434" s="895" t="str">
        <f>IF(op!D322=0,"",op!D322)</f>
        <v/>
      </c>
      <c r="E434" s="895" t="str">
        <f>IF(op!E322=0,"",op!E322)</f>
        <v/>
      </c>
      <c r="F434" s="390" t="str">
        <f>IF(op!F322="","",op!F322+1)</f>
        <v/>
      </c>
      <c r="G434" s="896" t="str">
        <f>IF(op!G322=0,"",op!G322)</f>
        <v/>
      </c>
      <c r="H434" s="390" t="str">
        <f>IF(op!H322="","",op!H322)</f>
        <v/>
      </c>
      <c r="I434" s="897" t="str">
        <f t="shared" si="206"/>
        <v/>
      </c>
      <c r="J434" s="898" t="str">
        <f>IF(op!J322="","",op!J322)</f>
        <v/>
      </c>
      <c r="K434" s="334"/>
      <c r="L434" s="1140" t="str">
        <f>IF(op!L322="","",op!L322)</f>
        <v/>
      </c>
      <c r="M434" s="1140" t="str">
        <f>IF(op!M322="","",op!M322)</f>
        <v/>
      </c>
      <c r="N434" s="899" t="str">
        <f t="shared" si="220"/>
        <v/>
      </c>
      <c r="O434" s="900" t="str">
        <f t="shared" si="221"/>
        <v/>
      </c>
      <c r="P434" s="901" t="str">
        <f t="shared" si="222"/>
        <v/>
      </c>
      <c r="Q434" s="568" t="str">
        <f t="shared" si="207"/>
        <v/>
      </c>
      <c r="R434" s="902" t="str">
        <f t="shared" si="223"/>
        <v/>
      </c>
      <c r="S434" s="903">
        <f t="shared" si="208"/>
        <v>0</v>
      </c>
      <c r="T434" s="334"/>
      <c r="X434" s="887" t="str">
        <f t="shared" si="209"/>
        <v/>
      </c>
      <c r="Y434" s="904">
        <f t="shared" si="210"/>
        <v>0.6</v>
      </c>
      <c r="Z434" s="905" t="e">
        <f t="shared" si="224"/>
        <v>#VALUE!</v>
      </c>
      <c r="AA434" s="905" t="e">
        <f t="shared" si="225"/>
        <v>#VALUE!</v>
      </c>
      <c r="AB434" s="905" t="e">
        <f t="shared" si="226"/>
        <v>#VALUE!</v>
      </c>
      <c r="AC434" s="906" t="e">
        <f t="shared" si="211"/>
        <v>#VALUE!</v>
      </c>
      <c r="AD434" s="907">
        <f t="shared" si="212"/>
        <v>0</v>
      </c>
      <c r="AE434" s="904">
        <f>IF(H434&gt;8,tab!C$194,tab!C$197)</f>
        <v>0.5</v>
      </c>
      <c r="AF434" s="907">
        <f t="shared" si="213"/>
        <v>0</v>
      </c>
      <c r="AG434" s="887">
        <f t="shared" si="214"/>
        <v>0</v>
      </c>
      <c r="AH434" s="908" t="e">
        <f t="shared" si="215"/>
        <v>#VALUE!</v>
      </c>
      <c r="AI434" s="815" t="e">
        <f t="shared" si="216"/>
        <v>#VALUE!</v>
      </c>
      <c r="AJ434" s="540">
        <f t="shared" si="217"/>
        <v>30</v>
      </c>
      <c r="AK434" s="540">
        <f t="shared" si="183"/>
        <v>30</v>
      </c>
      <c r="AL434" s="909">
        <f t="shared" si="218"/>
        <v>0</v>
      </c>
      <c r="AN434" s="539">
        <f t="shared" si="219"/>
        <v>0</v>
      </c>
      <c r="AT434" s="317"/>
      <c r="AU434" s="317"/>
    </row>
    <row r="435" spans="3:47" ht="13.15" customHeight="1" x14ac:dyDescent="0.2">
      <c r="C435" s="381"/>
      <c r="D435" s="895" t="str">
        <f>IF(op!D323=0,"",op!D323)</f>
        <v/>
      </c>
      <c r="E435" s="895" t="str">
        <f>IF(op!E323=0,"",op!E323)</f>
        <v/>
      </c>
      <c r="F435" s="390" t="str">
        <f>IF(op!F323="","",op!F323+1)</f>
        <v/>
      </c>
      <c r="G435" s="896" t="str">
        <f>IF(op!G323=0,"",op!G323)</f>
        <v/>
      </c>
      <c r="H435" s="390" t="str">
        <f>IF(op!H323="","",op!H323)</f>
        <v/>
      </c>
      <c r="I435" s="897" t="str">
        <f t="shared" si="206"/>
        <v/>
      </c>
      <c r="J435" s="898" t="str">
        <f>IF(op!J323="","",op!J323)</f>
        <v/>
      </c>
      <c r="K435" s="334"/>
      <c r="L435" s="1140" t="str">
        <f>IF(op!L323="","",op!L323)</f>
        <v/>
      </c>
      <c r="M435" s="1140" t="str">
        <f>IF(op!M323="","",op!M323)</f>
        <v/>
      </c>
      <c r="N435" s="899" t="str">
        <f t="shared" si="220"/>
        <v/>
      </c>
      <c r="O435" s="900" t="str">
        <f t="shared" si="221"/>
        <v/>
      </c>
      <c r="P435" s="901" t="str">
        <f t="shared" si="222"/>
        <v/>
      </c>
      <c r="Q435" s="568" t="str">
        <f t="shared" si="207"/>
        <v/>
      </c>
      <c r="R435" s="902" t="str">
        <f t="shared" si="223"/>
        <v/>
      </c>
      <c r="S435" s="903">
        <f t="shared" si="208"/>
        <v>0</v>
      </c>
      <c r="T435" s="334"/>
      <c r="X435" s="887" t="str">
        <f t="shared" si="209"/>
        <v/>
      </c>
      <c r="Y435" s="904">
        <f t="shared" si="210"/>
        <v>0.6</v>
      </c>
      <c r="Z435" s="905" t="e">
        <f t="shared" si="224"/>
        <v>#VALUE!</v>
      </c>
      <c r="AA435" s="905" t="e">
        <f t="shared" si="225"/>
        <v>#VALUE!</v>
      </c>
      <c r="AB435" s="905" t="e">
        <f t="shared" si="226"/>
        <v>#VALUE!</v>
      </c>
      <c r="AC435" s="906" t="e">
        <f t="shared" si="211"/>
        <v>#VALUE!</v>
      </c>
      <c r="AD435" s="907">
        <f t="shared" si="212"/>
        <v>0</v>
      </c>
      <c r="AE435" s="904">
        <f>IF(H435&gt;8,tab!C$194,tab!C$197)</f>
        <v>0.5</v>
      </c>
      <c r="AF435" s="907">
        <f t="shared" si="213"/>
        <v>0</v>
      </c>
      <c r="AG435" s="887">
        <f t="shared" si="214"/>
        <v>0</v>
      </c>
      <c r="AH435" s="908" t="e">
        <f t="shared" si="215"/>
        <v>#VALUE!</v>
      </c>
      <c r="AI435" s="815" t="e">
        <f t="shared" si="216"/>
        <v>#VALUE!</v>
      </c>
      <c r="AJ435" s="540">
        <f t="shared" si="217"/>
        <v>30</v>
      </c>
      <c r="AK435" s="540">
        <f t="shared" si="183"/>
        <v>30</v>
      </c>
      <c r="AL435" s="909">
        <f t="shared" si="218"/>
        <v>0</v>
      </c>
      <c r="AN435" s="539">
        <f t="shared" si="219"/>
        <v>0</v>
      </c>
      <c r="AT435" s="317"/>
      <c r="AU435" s="317"/>
    </row>
    <row r="436" spans="3:47" ht="13.15" customHeight="1" x14ac:dyDescent="0.2">
      <c r="C436" s="381"/>
      <c r="D436" s="895" t="str">
        <f>IF(op!D324=0,"",op!D324)</f>
        <v/>
      </c>
      <c r="E436" s="895" t="str">
        <f>IF(op!E324=0,"",op!E324)</f>
        <v/>
      </c>
      <c r="F436" s="390" t="str">
        <f>IF(op!F324="","",op!F324+1)</f>
        <v/>
      </c>
      <c r="G436" s="896" t="str">
        <f>IF(op!G324=0,"",op!G324)</f>
        <v/>
      </c>
      <c r="H436" s="390" t="str">
        <f>IF(op!H324="","",op!H324)</f>
        <v/>
      </c>
      <c r="I436" s="897" t="str">
        <f t="shared" si="206"/>
        <v/>
      </c>
      <c r="J436" s="898" t="str">
        <f>IF(op!J324="","",op!J324)</f>
        <v/>
      </c>
      <c r="K436" s="334"/>
      <c r="L436" s="1140" t="str">
        <f>IF(op!L324="","",op!L324)</f>
        <v/>
      </c>
      <c r="M436" s="1140" t="str">
        <f>IF(op!M324="","",op!M324)</f>
        <v/>
      </c>
      <c r="N436" s="899" t="str">
        <f t="shared" si="220"/>
        <v/>
      </c>
      <c r="O436" s="900" t="str">
        <f t="shared" si="221"/>
        <v/>
      </c>
      <c r="P436" s="901" t="str">
        <f t="shared" si="222"/>
        <v/>
      </c>
      <c r="Q436" s="568" t="str">
        <f t="shared" si="207"/>
        <v/>
      </c>
      <c r="R436" s="902" t="str">
        <f t="shared" si="223"/>
        <v/>
      </c>
      <c r="S436" s="903">
        <f t="shared" si="208"/>
        <v>0</v>
      </c>
      <c r="T436" s="334"/>
      <c r="X436" s="887" t="str">
        <f t="shared" si="209"/>
        <v/>
      </c>
      <c r="Y436" s="904">
        <f t="shared" si="210"/>
        <v>0.6</v>
      </c>
      <c r="Z436" s="905" t="e">
        <f t="shared" si="224"/>
        <v>#VALUE!</v>
      </c>
      <c r="AA436" s="905" t="e">
        <f t="shared" si="225"/>
        <v>#VALUE!</v>
      </c>
      <c r="AB436" s="905" t="e">
        <f t="shared" si="226"/>
        <v>#VALUE!</v>
      </c>
      <c r="AC436" s="906" t="e">
        <f t="shared" si="211"/>
        <v>#VALUE!</v>
      </c>
      <c r="AD436" s="907">
        <f t="shared" si="212"/>
        <v>0</v>
      </c>
      <c r="AE436" s="904">
        <f>IF(H436&gt;8,tab!C$194,tab!C$197)</f>
        <v>0.5</v>
      </c>
      <c r="AF436" s="907">
        <f t="shared" si="213"/>
        <v>0</v>
      </c>
      <c r="AG436" s="887">
        <f t="shared" si="214"/>
        <v>0</v>
      </c>
      <c r="AH436" s="908" t="e">
        <f t="shared" si="215"/>
        <v>#VALUE!</v>
      </c>
      <c r="AI436" s="815" t="e">
        <f t="shared" si="216"/>
        <v>#VALUE!</v>
      </c>
      <c r="AJ436" s="540">
        <f t="shared" si="217"/>
        <v>30</v>
      </c>
      <c r="AK436" s="540">
        <f t="shared" si="183"/>
        <v>30</v>
      </c>
      <c r="AL436" s="909">
        <f t="shared" si="218"/>
        <v>0</v>
      </c>
      <c r="AN436" s="539">
        <f t="shared" si="219"/>
        <v>0</v>
      </c>
      <c r="AT436" s="317"/>
      <c r="AU436" s="317"/>
    </row>
    <row r="437" spans="3:47" ht="13.15" customHeight="1" x14ac:dyDescent="0.2">
      <c r="C437" s="381"/>
      <c r="D437" s="895" t="str">
        <f>IF(op!D325=0,"",op!D325)</f>
        <v/>
      </c>
      <c r="E437" s="895" t="str">
        <f>IF(op!E325=0,"",op!E325)</f>
        <v/>
      </c>
      <c r="F437" s="390" t="str">
        <f>IF(op!F325="","",op!F325+1)</f>
        <v/>
      </c>
      <c r="G437" s="896" t="str">
        <f>IF(op!G325=0,"",op!G325)</f>
        <v/>
      </c>
      <c r="H437" s="390" t="str">
        <f>IF(op!H325="","",op!H325)</f>
        <v/>
      </c>
      <c r="I437" s="897" t="str">
        <f t="shared" si="206"/>
        <v/>
      </c>
      <c r="J437" s="898" t="str">
        <f>IF(op!J325="","",op!J325)</f>
        <v/>
      </c>
      <c r="K437" s="334"/>
      <c r="L437" s="1140" t="str">
        <f>IF(op!L325="","",op!L325)</f>
        <v/>
      </c>
      <c r="M437" s="1140" t="str">
        <f>IF(op!M325="","",op!M325)</f>
        <v/>
      </c>
      <c r="N437" s="899" t="str">
        <f t="shared" si="220"/>
        <v/>
      </c>
      <c r="O437" s="900" t="str">
        <f t="shared" si="221"/>
        <v/>
      </c>
      <c r="P437" s="901" t="str">
        <f t="shared" si="222"/>
        <v/>
      </c>
      <c r="Q437" s="568" t="str">
        <f t="shared" si="207"/>
        <v/>
      </c>
      <c r="R437" s="902" t="str">
        <f t="shared" si="223"/>
        <v/>
      </c>
      <c r="S437" s="903">
        <f t="shared" si="208"/>
        <v>0</v>
      </c>
      <c r="T437" s="334"/>
      <c r="X437" s="887" t="str">
        <f t="shared" si="209"/>
        <v/>
      </c>
      <c r="Y437" s="904">
        <f t="shared" si="210"/>
        <v>0.6</v>
      </c>
      <c r="Z437" s="905" t="e">
        <f t="shared" si="224"/>
        <v>#VALUE!</v>
      </c>
      <c r="AA437" s="905" t="e">
        <f t="shared" si="225"/>
        <v>#VALUE!</v>
      </c>
      <c r="AB437" s="905" t="e">
        <f t="shared" si="226"/>
        <v>#VALUE!</v>
      </c>
      <c r="AC437" s="906" t="e">
        <f t="shared" si="211"/>
        <v>#VALUE!</v>
      </c>
      <c r="AD437" s="907">
        <f t="shared" si="212"/>
        <v>0</v>
      </c>
      <c r="AE437" s="904">
        <f>IF(H437&gt;8,tab!C$194,tab!C$197)</f>
        <v>0.5</v>
      </c>
      <c r="AF437" s="907">
        <f t="shared" si="213"/>
        <v>0</v>
      </c>
      <c r="AG437" s="887">
        <f t="shared" si="214"/>
        <v>0</v>
      </c>
      <c r="AH437" s="908" t="e">
        <f t="shared" si="215"/>
        <v>#VALUE!</v>
      </c>
      <c r="AI437" s="815" t="e">
        <f t="shared" si="216"/>
        <v>#VALUE!</v>
      </c>
      <c r="AJ437" s="540">
        <f t="shared" si="217"/>
        <v>30</v>
      </c>
      <c r="AK437" s="540">
        <f t="shared" si="183"/>
        <v>30</v>
      </c>
      <c r="AL437" s="909">
        <f t="shared" si="218"/>
        <v>0</v>
      </c>
      <c r="AN437" s="539">
        <f t="shared" si="219"/>
        <v>0</v>
      </c>
      <c r="AT437" s="317"/>
      <c r="AU437" s="317"/>
    </row>
    <row r="438" spans="3:47" ht="13.15" customHeight="1" x14ac:dyDescent="0.2">
      <c r="C438" s="381"/>
      <c r="D438" s="895" t="str">
        <f>IF(op!D326=0,"",op!D326)</f>
        <v/>
      </c>
      <c r="E438" s="895" t="str">
        <f>IF(op!E326=0,"",op!E326)</f>
        <v/>
      </c>
      <c r="F438" s="390" t="str">
        <f>IF(op!F326="","",op!F326+1)</f>
        <v/>
      </c>
      <c r="G438" s="896" t="str">
        <f>IF(op!G326=0,"",op!G326)</f>
        <v/>
      </c>
      <c r="H438" s="390" t="str">
        <f>IF(op!H326="","",op!H326)</f>
        <v/>
      </c>
      <c r="I438" s="897" t="str">
        <f t="shared" si="206"/>
        <v/>
      </c>
      <c r="J438" s="898" t="str">
        <f>IF(op!J326="","",op!J326)</f>
        <v/>
      </c>
      <c r="K438" s="334"/>
      <c r="L438" s="1140" t="str">
        <f>IF(op!L326="","",op!L326)</f>
        <v/>
      </c>
      <c r="M438" s="1140" t="str">
        <f>IF(op!M326="","",op!M326)</f>
        <v/>
      </c>
      <c r="N438" s="899" t="str">
        <f t="shared" si="220"/>
        <v/>
      </c>
      <c r="O438" s="900" t="str">
        <f t="shared" si="221"/>
        <v/>
      </c>
      <c r="P438" s="901" t="str">
        <f t="shared" si="222"/>
        <v/>
      </c>
      <c r="Q438" s="568" t="str">
        <f t="shared" si="207"/>
        <v/>
      </c>
      <c r="R438" s="902" t="str">
        <f t="shared" si="223"/>
        <v/>
      </c>
      <c r="S438" s="903">
        <f t="shared" si="208"/>
        <v>0</v>
      </c>
      <c r="T438" s="334"/>
      <c r="X438" s="887" t="str">
        <f t="shared" si="209"/>
        <v/>
      </c>
      <c r="Y438" s="904">
        <f t="shared" si="210"/>
        <v>0.6</v>
      </c>
      <c r="Z438" s="905" t="e">
        <f t="shared" si="224"/>
        <v>#VALUE!</v>
      </c>
      <c r="AA438" s="905" t="e">
        <f t="shared" si="225"/>
        <v>#VALUE!</v>
      </c>
      <c r="AB438" s="905" t="e">
        <f t="shared" si="226"/>
        <v>#VALUE!</v>
      </c>
      <c r="AC438" s="906" t="e">
        <f t="shared" si="211"/>
        <v>#VALUE!</v>
      </c>
      <c r="AD438" s="907">
        <f t="shared" si="212"/>
        <v>0</v>
      </c>
      <c r="AE438" s="904">
        <f>IF(H438&gt;8,tab!C$194,tab!C$197)</f>
        <v>0.5</v>
      </c>
      <c r="AF438" s="907">
        <f t="shared" si="213"/>
        <v>0</v>
      </c>
      <c r="AG438" s="887">
        <f t="shared" si="214"/>
        <v>0</v>
      </c>
      <c r="AH438" s="908" t="e">
        <f t="shared" si="215"/>
        <v>#VALUE!</v>
      </c>
      <c r="AI438" s="815" t="e">
        <f t="shared" si="216"/>
        <v>#VALUE!</v>
      </c>
      <c r="AJ438" s="540">
        <f t="shared" si="217"/>
        <v>30</v>
      </c>
      <c r="AK438" s="540">
        <f t="shared" si="183"/>
        <v>30</v>
      </c>
      <c r="AL438" s="909">
        <f t="shared" si="218"/>
        <v>0</v>
      </c>
      <c r="AN438" s="539">
        <f t="shared" si="219"/>
        <v>0</v>
      </c>
      <c r="AT438" s="317"/>
      <c r="AU438" s="317"/>
    </row>
    <row r="439" spans="3:47" ht="13.15" customHeight="1" x14ac:dyDescent="0.2">
      <c r="C439" s="381"/>
      <c r="D439" s="895" t="str">
        <f>IF(op!D327=0,"",op!D327)</f>
        <v/>
      </c>
      <c r="E439" s="895" t="str">
        <f>IF(op!E327=0,"",op!E327)</f>
        <v/>
      </c>
      <c r="F439" s="390" t="str">
        <f>IF(op!F327="","",op!F327+1)</f>
        <v/>
      </c>
      <c r="G439" s="896" t="str">
        <f>IF(op!G327=0,"",op!G327)</f>
        <v/>
      </c>
      <c r="H439" s="390" t="str">
        <f>IF(op!H327="","",op!H327)</f>
        <v/>
      </c>
      <c r="I439" s="897" t="str">
        <f t="shared" si="206"/>
        <v/>
      </c>
      <c r="J439" s="898" t="str">
        <f>IF(op!J327="","",op!J327)</f>
        <v/>
      </c>
      <c r="K439" s="334"/>
      <c r="L439" s="1140" t="str">
        <f>IF(op!L327="","",op!L327)</f>
        <v/>
      </c>
      <c r="M439" s="1140" t="str">
        <f>IF(op!M327="","",op!M327)</f>
        <v/>
      </c>
      <c r="N439" s="899" t="str">
        <f t="shared" si="220"/>
        <v/>
      </c>
      <c r="O439" s="900" t="str">
        <f t="shared" si="221"/>
        <v/>
      </c>
      <c r="P439" s="901" t="str">
        <f t="shared" si="222"/>
        <v/>
      </c>
      <c r="Q439" s="568" t="str">
        <f t="shared" si="207"/>
        <v/>
      </c>
      <c r="R439" s="902" t="str">
        <f t="shared" si="223"/>
        <v/>
      </c>
      <c r="S439" s="903">
        <f t="shared" si="208"/>
        <v>0</v>
      </c>
      <c r="T439" s="334"/>
      <c r="X439" s="887" t="str">
        <f t="shared" si="209"/>
        <v/>
      </c>
      <c r="Y439" s="904">
        <f t="shared" si="210"/>
        <v>0.6</v>
      </c>
      <c r="Z439" s="905" t="e">
        <f t="shared" si="224"/>
        <v>#VALUE!</v>
      </c>
      <c r="AA439" s="905" t="e">
        <f t="shared" si="225"/>
        <v>#VALUE!</v>
      </c>
      <c r="AB439" s="905" t="e">
        <f t="shared" si="226"/>
        <v>#VALUE!</v>
      </c>
      <c r="AC439" s="906" t="e">
        <f t="shared" si="211"/>
        <v>#VALUE!</v>
      </c>
      <c r="AD439" s="907">
        <f t="shared" si="212"/>
        <v>0</v>
      </c>
      <c r="AE439" s="904">
        <f>IF(H439&gt;8,tab!C$194,tab!C$197)</f>
        <v>0.5</v>
      </c>
      <c r="AF439" s="907">
        <f t="shared" si="213"/>
        <v>0</v>
      </c>
      <c r="AG439" s="887">
        <f t="shared" si="214"/>
        <v>0</v>
      </c>
      <c r="AH439" s="908" t="e">
        <f t="shared" si="215"/>
        <v>#VALUE!</v>
      </c>
      <c r="AI439" s="815" t="e">
        <f t="shared" si="216"/>
        <v>#VALUE!</v>
      </c>
      <c r="AJ439" s="540">
        <f t="shared" si="217"/>
        <v>30</v>
      </c>
      <c r="AK439" s="540">
        <f t="shared" si="183"/>
        <v>30</v>
      </c>
      <c r="AL439" s="909">
        <f t="shared" si="218"/>
        <v>0</v>
      </c>
      <c r="AN439" s="539">
        <f t="shared" si="219"/>
        <v>0</v>
      </c>
      <c r="AT439" s="317"/>
      <c r="AU439" s="317"/>
    </row>
    <row r="440" spans="3:47" ht="13.15" customHeight="1" x14ac:dyDescent="0.2">
      <c r="C440" s="381"/>
      <c r="D440" s="895" t="str">
        <f>IF(op!D328=0,"",op!D328)</f>
        <v/>
      </c>
      <c r="E440" s="895" t="str">
        <f>IF(op!E328=0,"",op!E328)</f>
        <v/>
      </c>
      <c r="F440" s="390" t="str">
        <f>IF(op!F328="","",op!F328+1)</f>
        <v/>
      </c>
      <c r="G440" s="896" t="str">
        <f>IF(op!G328=0,"",op!G328)</f>
        <v/>
      </c>
      <c r="H440" s="390" t="str">
        <f>IF(op!H328="","",op!H328)</f>
        <v/>
      </c>
      <c r="I440" s="897" t="str">
        <f t="shared" si="206"/>
        <v/>
      </c>
      <c r="J440" s="898" t="str">
        <f>IF(op!J328="","",op!J328)</f>
        <v/>
      </c>
      <c r="K440" s="334"/>
      <c r="L440" s="1140" t="str">
        <f>IF(op!L328="","",op!L328)</f>
        <v/>
      </c>
      <c r="M440" s="1140" t="str">
        <f>IF(op!M328="","",op!M328)</f>
        <v/>
      </c>
      <c r="N440" s="899" t="str">
        <f t="shared" si="220"/>
        <v/>
      </c>
      <c r="O440" s="900" t="str">
        <f t="shared" si="221"/>
        <v/>
      </c>
      <c r="P440" s="901" t="str">
        <f t="shared" si="222"/>
        <v/>
      </c>
      <c r="Q440" s="568" t="str">
        <f t="shared" si="207"/>
        <v/>
      </c>
      <c r="R440" s="902" t="str">
        <f t="shared" si="223"/>
        <v/>
      </c>
      <c r="S440" s="903">
        <f t="shared" si="208"/>
        <v>0</v>
      </c>
      <c r="T440" s="334"/>
      <c r="X440" s="887" t="str">
        <f t="shared" si="209"/>
        <v/>
      </c>
      <c r="Y440" s="904">
        <f t="shared" si="210"/>
        <v>0.6</v>
      </c>
      <c r="Z440" s="905" t="e">
        <f t="shared" si="224"/>
        <v>#VALUE!</v>
      </c>
      <c r="AA440" s="905" t="e">
        <f t="shared" si="225"/>
        <v>#VALUE!</v>
      </c>
      <c r="AB440" s="905" t="e">
        <f t="shared" si="226"/>
        <v>#VALUE!</v>
      </c>
      <c r="AC440" s="906" t="e">
        <f t="shared" si="211"/>
        <v>#VALUE!</v>
      </c>
      <c r="AD440" s="907">
        <f t="shared" si="212"/>
        <v>0</v>
      </c>
      <c r="AE440" s="904">
        <f>IF(H440&gt;8,tab!C$194,tab!C$197)</f>
        <v>0.5</v>
      </c>
      <c r="AF440" s="907">
        <f t="shared" si="213"/>
        <v>0</v>
      </c>
      <c r="AG440" s="887">
        <f t="shared" si="214"/>
        <v>0</v>
      </c>
      <c r="AH440" s="908" t="e">
        <f t="shared" si="215"/>
        <v>#VALUE!</v>
      </c>
      <c r="AI440" s="815" t="e">
        <f t="shared" si="216"/>
        <v>#VALUE!</v>
      </c>
      <c r="AJ440" s="540">
        <f t="shared" si="217"/>
        <v>30</v>
      </c>
      <c r="AK440" s="540">
        <f t="shared" si="183"/>
        <v>30</v>
      </c>
      <c r="AL440" s="909">
        <f t="shared" si="218"/>
        <v>0</v>
      </c>
      <c r="AN440" s="539">
        <f t="shared" si="219"/>
        <v>0</v>
      </c>
      <c r="AT440" s="317"/>
      <c r="AU440" s="317"/>
    </row>
    <row r="441" spans="3:47" ht="13.15" customHeight="1" x14ac:dyDescent="0.2">
      <c r="C441" s="381"/>
      <c r="D441" s="895" t="str">
        <f>IF(op!D329=0,"",op!D329)</f>
        <v/>
      </c>
      <c r="E441" s="895" t="str">
        <f>IF(op!E329=0,"",op!E329)</f>
        <v/>
      </c>
      <c r="F441" s="390" t="str">
        <f>IF(op!F329="","",op!F329+1)</f>
        <v/>
      </c>
      <c r="G441" s="896" t="str">
        <f>IF(op!G329=0,"",op!G329)</f>
        <v/>
      </c>
      <c r="H441" s="390" t="str">
        <f>IF(op!H329="","",op!H329)</f>
        <v/>
      </c>
      <c r="I441" s="897" t="str">
        <f t="shared" si="206"/>
        <v/>
      </c>
      <c r="J441" s="898" t="str">
        <f>IF(op!J329="","",op!J329)</f>
        <v/>
      </c>
      <c r="K441" s="334"/>
      <c r="L441" s="1140" t="str">
        <f>IF(op!L329="","",op!L329)</f>
        <v/>
      </c>
      <c r="M441" s="1140" t="str">
        <f>IF(op!M329="","",op!M329)</f>
        <v/>
      </c>
      <c r="N441" s="899" t="str">
        <f t="shared" si="220"/>
        <v/>
      </c>
      <c r="O441" s="900" t="str">
        <f t="shared" si="221"/>
        <v/>
      </c>
      <c r="P441" s="901" t="str">
        <f t="shared" si="222"/>
        <v/>
      </c>
      <c r="Q441" s="568" t="str">
        <f t="shared" si="207"/>
        <v/>
      </c>
      <c r="R441" s="902" t="str">
        <f t="shared" si="223"/>
        <v/>
      </c>
      <c r="S441" s="903">
        <f t="shared" si="208"/>
        <v>0</v>
      </c>
      <c r="T441" s="334"/>
      <c r="X441" s="887" t="str">
        <f t="shared" si="209"/>
        <v/>
      </c>
      <c r="Y441" s="904">
        <f t="shared" si="210"/>
        <v>0.6</v>
      </c>
      <c r="Z441" s="905" t="e">
        <f t="shared" si="224"/>
        <v>#VALUE!</v>
      </c>
      <c r="AA441" s="905" t="e">
        <f t="shared" si="225"/>
        <v>#VALUE!</v>
      </c>
      <c r="AB441" s="905" t="e">
        <f t="shared" si="226"/>
        <v>#VALUE!</v>
      </c>
      <c r="AC441" s="906" t="e">
        <f t="shared" si="211"/>
        <v>#VALUE!</v>
      </c>
      <c r="AD441" s="907">
        <f t="shared" si="212"/>
        <v>0</v>
      </c>
      <c r="AE441" s="904">
        <f>IF(H441&gt;8,tab!C$194,tab!C$197)</f>
        <v>0.5</v>
      </c>
      <c r="AF441" s="907">
        <f t="shared" si="213"/>
        <v>0</v>
      </c>
      <c r="AG441" s="887">
        <f t="shared" si="214"/>
        <v>0</v>
      </c>
      <c r="AH441" s="908" t="e">
        <f t="shared" si="215"/>
        <v>#VALUE!</v>
      </c>
      <c r="AI441" s="815" t="e">
        <f t="shared" si="216"/>
        <v>#VALUE!</v>
      </c>
      <c r="AJ441" s="540">
        <f t="shared" si="217"/>
        <v>30</v>
      </c>
      <c r="AK441" s="540">
        <f t="shared" si="183"/>
        <v>30</v>
      </c>
      <c r="AL441" s="909">
        <f t="shared" si="218"/>
        <v>0</v>
      </c>
      <c r="AN441" s="539">
        <f t="shared" si="219"/>
        <v>0</v>
      </c>
      <c r="AT441" s="317"/>
      <c r="AU441" s="317"/>
    </row>
    <row r="442" spans="3:47" ht="13.15" customHeight="1" x14ac:dyDescent="0.2">
      <c r="C442" s="381"/>
      <c r="D442" s="895" t="str">
        <f>IF(op!D330=0,"",op!D330)</f>
        <v/>
      </c>
      <c r="E442" s="895" t="str">
        <f>IF(op!E330=0,"",op!E330)</f>
        <v/>
      </c>
      <c r="F442" s="390" t="str">
        <f>IF(op!F330="","",op!F330+1)</f>
        <v/>
      </c>
      <c r="G442" s="896" t="str">
        <f>IF(op!G330=0,"",op!G330)</f>
        <v/>
      </c>
      <c r="H442" s="390" t="str">
        <f>IF(op!H330="","",op!H330)</f>
        <v/>
      </c>
      <c r="I442" s="897" t="str">
        <f t="shared" si="206"/>
        <v/>
      </c>
      <c r="J442" s="898" t="str">
        <f>IF(op!J330="","",op!J330)</f>
        <v/>
      </c>
      <c r="K442" s="334"/>
      <c r="L442" s="1140" t="str">
        <f>IF(op!L330="","",op!L330)</f>
        <v/>
      </c>
      <c r="M442" s="1140" t="str">
        <f>IF(op!M330="","",op!M330)</f>
        <v/>
      </c>
      <c r="N442" s="899" t="str">
        <f t="shared" si="220"/>
        <v/>
      </c>
      <c r="O442" s="900" t="str">
        <f t="shared" si="221"/>
        <v/>
      </c>
      <c r="P442" s="901" t="str">
        <f t="shared" si="222"/>
        <v/>
      </c>
      <c r="Q442" s="568" t="str">
        <f t="shared" si="207"/>
        <v/>
      </c>
      <c r="R442" s="902" t="str">
        <f t="shared" si="223"/>
        <v/>
      </c>
      <c r="S442" s="903">
        <f t="shared" si="208"/>
        <v>0</v>
      </c>
      <c r="T442" s="334"/>
      <c r="X442" s="887" t="str">
        <f t="shared" si="209"/>
        <v/>
      </c>
      <c r="Y442" s="904">
        <f t="shared" si="210"/>
        <v>0.6</v>
      </c>
      <c r="Z442" s="905" t="e">
        <f t="shared" si="224"/>
        <v>#VALUE!</v>
      </c>
      <c r="AA442" s="905" t="e">
        <f t="shared" si="225"/>
        <v>#VALUE!</v>
      </c>
      <c r="AB442" s="905" t="e">
        <f t="shared" si="226"/>
        <v>#VALUE!</v>
      </c>
      <c r="AC442" s="906" t="e">
        <f t="shared" si="211"/>
        <v>#VALUE!</v>
      </c>
      <c r="AD442" s="907">
        <f t="shared" si="212"/>
        <v>0</v>
      </c>
      <c r="AE442" s="904">
        <f>IF(H442&gt;8,tab!C$194,tab!C$197)</f>
        <v>0.5</v>
      </c>
      <c r="AF442" s="907">
        <f t="shared" si="213"/>
        <v>0</v>
      </c>
      <c r="AG442" s="887">
        <f t="shared" si="214"/>
        <v>0</v>
      </c>
      <c r="AH442" s="908" t="e">
        <f t="shared" si="215"/>
        <v>#VALUE!</v>
      </c>
      <c r="AI442" s="815" t="e">
        <f t="shared" si="216"/>
        <v>#VALUE!</v>
      </c>
      <c r="AJ442" s="540">
        <f t="shared" si="217"/>
        <v>30</v>
      </c>
      <c r="AK442" s="540">
        <f t="shared" si="183"/>
        <v>30</v>
      </c>
      <c r="AL442" s="909">
        <f t="shared" si="218"/>
        <v>0</v>
      </c>
      <c r="AN442" s="539">
        <f t="shared" si="219"/>
        <v>0</v>
      </c>
      <c r="AT442" s="317"/>
      <c r="AU442" s="317"/>
    </row>
    <row r="443" spans="3:47" ht="13.15" customHeight="1" x14ac:dyDescent="0.2">
      <c r="C443" s="381"/>
      <c r="D443" s="895" t="str">
        <f>IF(op!D331=0,"",op!D331)</f>
        <v/>
      </c>
      <c r="E443" s="895" t="str">
        <f>IF(op!E331=0,"",op!E331)</f>
        <v/>
      </c>
      <c r="F443" s="390" t="str">
        <f>IF(op!F331="","",op!F331+1)</f>
        <v/>
      </c>
      <c r="G443" s="896" t="str">
        <f>IF(op!G331=0,"",op!G331)</f>
        <v/>
      </c>
      <c r="H443" s="390" t="str">
        <f>IF(op!H331="","",op!H331)</f>
        <v/>
      </c>
      <c r="I443" s="897" t="str">
        <f t="shared" si="206"/>
        <v/>
      </c>
      <c r="J443" s="898" t="str">
        <f>IF(op!J331="","",op!J331)</f>
        <v/>
      </c>
      <c r="K443" s="334"/>
      <c r="L443" s="1140" t="str">
        <f>IF(op!L331="","",op!L331)</f>
        <v/>
      </c>
      <c r="M443" s="1140" t="str">
        <f>IF(op!M331="","",op!M331)</f>
        <v/>
      </c>
      <c r="N443" s="899" t="str">
        <f t="shared" si="220"/>
        <v/>
      </c>
      <c r="O443" s="900" t="str">
        <f t="shared" si="221"/>
        <v/>
      </c>
      <c r="P443" s="901" t="str">
        <f t="shared" si="222"/>
        <v/>
      </c>
      <c r="Q443" s="568" t="str">
        <f t="shared" si="207"/>
        <v/>
      </c>
      <c r="R443" s="902" t="str">
        <f t="shared" si="223"/>
        <v/>
      </c>
      <c r="S443" s="903">
        <f t="shared" si="208"/>
        <v>0</v>
      </c>
      <c r="T443" s="334"/>
      <c r="X443" s="887" t="str">
        <f t="shared" si="209"/>
        <v/>
      </c>
      <c r="Y443" s="904">
        <f t="shared" si="210"/>
        <v>0.6</v>
      </c>
      <c r="Z443" s="905" t="e">
        <f t="shared" si="224"/>
        <v>#VALUE!</v>
      </c>
      <c r="AA443" s="905" t="e">
        <f t="shared" si="225"/>
        <v>#VALUE!</v>
      </c>
      <c r="AB443" s="905" t="e">
        <f t="shared" si="226"/>
        <v>#VALUE!</v>
      </c>
      <c r="AC443" s="906" t="e">
        <f t="shared" si="211"/>
        <v>#VALUE!</v>
      </c>
      <c r="AD443" s="907">
        <f t="shared" si="212"/>
        <v>0</v>
      </c>
      <c r="AE443" s="904">
        <f>IF(H443&gt;8,tab!C$194,tab!C$197)</f>
        <v>0.5</v>
      </c>
      <c r="AF443" s="907">
        <f t="shared" si="213"/>
        <v>0</v>
      </c>
      <c r="AG443" s="887">
        <f t="shared" si="214"/>
        <v>0</v>
      </c>
      <c r="AH443" s="908" t="e">
        <f t="shared" si="215"/>
        <v>#VALUE!</v>
      </c>
      <c r="AI443" s="815" t="e">
        <f t="shared" si="216"/>
        <v>#VALUE!</v>
      </c>
      <c r="AJ443" s="540">
        <f t="shared" si="217"/>
        <v>30</v>
      </c>
      <c r="AK443" s="540">
        <f t="shared" si="183"/>
        <v>30</v>
      </c>
      <c r="AL443" s="909">
        <f t="shared" si="218"/>
        <v>0</v>
      </c>
      <c r="AN443" s="539">
        <f t="shared" si="219"/>
        <v>0</v>
      </c>
      <c r="AT443" s="317"/>
      <c r="AU443" s="317"/>
    </row>
    <row r="444" spans="3:47" ht="13.15" customHeight="1" x14ac:dyDescent="0.2">
      <c r="C444" s="381"/>
      <c r="D444" s="895" t="str">
        <f>IF(op!D332=0,"",op!D332)</f>
        <v/>
      </c>
      <c r="E444" s="895" t="str">
        <f>IF(op!E332=0,"",op!E332)</f>
        <v/>
      </c>
      <c r="F444" s="390" t="str">
        <f>IF(op!F332="","",op!F332+1)</f>
        <v/>
      </c>
      <c r="G444" s="896" t="str">
        <f>IF(op!G332=0,"",op!G332)</f>
        <v/>
      </c>
      <c r="H444" s="390" t="str">
        <f>IF(op!H332="","",op!H332)</f>
        <v/>
      </c>
      <c r="I444" s="897" t="str">
        <f t="shared" si="206"/>
        <v/>
      </c>
      <c r="J444" s="898" t="str">
        <f>IF(op!J332="","",op!J332)</f>
        <v/>
      </c>
      <c r="K444" s="334"/>
      <c r="L444" s="1140" t="str">
        <f>IF(op!L332="","",op!L332)</f>
        <v/>
      </c>
      <c r="M444" s="1140" t="str">
        <f>IF(op!M332="","",op!M332)</f>
        <v/>
      </c>
      <c r="N444" s="899" t="str">
        <f t="shared" si="220"/>
        <v/>
      </c>
      <c r="O444" s="900" t="str">
        <f t="shared" si="221"/>
        <v/>
      </c>
      <c r="P444" s="901" t="str">
        <f t="shared" si="222"/>
        <v/>
      </c>
      <c r="Q444" s="568" t="str">
        <f t="shared" si="207"/>
        <v/>
      </c>
      <c r="R444" s="902" t="str">
        <f t="shared" si="223"/>
        <v/>
      </c>
      <c r="S444" s="903">
        <f t="shared" si="208"/>
        <v>0</v>
      </c>
      <c r="T444" s="334"/>
      <c r="X444" s="887" t="str">
        <f t="shared" si="209"/>
        <v/>
      </c>
      <c r="Y444" s="904">
        <f t="shared" si="210"/>
        <v>0.6</v>
      </c>
      <c r="Z444" s="905" t="e">
        <f t="shared" si="224"/>
        <v>#VALUE!</v>
      </c>
      <c r="AA444" s="905" t="e">
        <f t="shared" si="225"/>
        <v>#VALUE!</v>
      </c>
      <c r="AB444" s="905" t="e">
        <f t="shared" si="226"/>
        <v>#VALUE!</v>
      </c>
      <c r="AC444" s="906" t="e">
        <f t="shared" si="211"/>
        <v>#VALUE!</v>
      </c>
      <c r="AD444" s="907">
        <f t="shared" si="212"/>
        <v>0</v>
      </c>
      <c r="AE444" s="904">
        <f>IF(H444&gt;8,tab!C$194,tab!C$197)</f>
        <v>0.5</v>
      </c>
      <c r="AF444" s="907">
        <f t="shared" si="213"/>
        <v>0</v>
      </c>
      <c r="AG444" s="887">
        <f t="shared" si="214"/>
        <v>0</v>
      </c>
      <c r="AH444" s="908" t="e">
        <f t="shared" si="215"/>
        <v>#VALUE!</v>
      </c>
      <c r="AI444" s="815" t="e">
        <f t="shared" si="216"/>
        <v>#VALUE!</v>
      </c>
      <c r="AJ444" s="540">
        <f t="shared" si="217"/>
        <v>30</v>
      </c>
      <c r="AK444" s="540">
        <f t="shared" si="183"/>
        <v>30</v>
      </c>
      <c r="AL444" s="909">
        <f t="shared" si="218"/>
        <v>0</v>
      </c>
      <c r="AN444" s="539">
        <f t="shared" si="219"/>
        <v>0</v>
      </c>
      <c r="AT444" s="317"/>
      <c r="AU444" s="317"/>
    </row>
    <row r="445" spans="3:47" ht="13.15" customHeight="1" x14ac:dyDescent="0.2">
      <c r="C445" s="381"/>
      <c r="D445" s="895" t="str">
        <f>IF(op!D333=0,"",op!D333)</f>
        <v/>
      </c>
      <c r="E445" s="895" t="str">
        <f>IF(op!E333=0,"",op!E333)</f>
        <v/>
      </c>
      <c r="F445" s="390" t="str">
        <f>IF(op!F333="","",op!F333+1)</f>
        <v/>
      </c>
      <c r="G445" s="896" t="str">
        <f>IF(op!G333=0,"",op!G333)</f>
        <v/>
      </c>
      <c r="H445" s="390" t="str">
        <f>IF(op!H333="","",op!H333)</f>
        <v/>
      </c>
      <c r="I445" s="897" t="str">
        <f t="shared" si="206"/>
        <v/>
      </c>
      <c r="J445" s="898" t="str">
        <f>IF(op!J333="","",op!J333)</f>
        <v/>
      </c>
      <c r="K445" s="334"/>
      <c r="L445" s="1140" t="str">
        <f>IF(op!L333="","",op!L333)</f>
        <v/>
      </c>
      <c r="M445" s="1140" t="str">
        <f>IF(op!M333="","",op!M333)</f>
        <v/>
      </c>
      <c r="N445" s="899" t="str">
        <f t="shared" si="220"/>
        <v/>
      </c>
      <c r="O445" s="900" t="str">
        <f t="shared" si="221"/>
        <v/>
      </c>
      <c r="P445" s="901" t="str">
        <f t="shared" si="222"/>
        <v/>
      </c>
      <c r="Q445" s="568" t="str">
        <f t="shared" si="207"/>
        <v/>
      </c>
      <c r="R445" s="902" t="str">
        <f t="shared" si="223"/>
        <v/>
      </c>
      <c r="S445" s="903">
        <f t="shared" si="208"/>
        <v>0</v>
      </c>
      <c r="T445" s="334"/>
      <c r="X445" s="887" t="str">
        <f t="shared" si="209"/>
        <v/>
      </c>
      <c r="Y445" s="904">
        <f t="shared" si="210"/>
        <v>0.6</v>
      </c>
      <c r="Z445" s="905" t="e">
        <f t="shared" si="224"/>
        <v>#VALUE!</v>
      </c>
      <c r="AA445" s="905" t="e">
        <f t="shared" si="225"/>
        <v>#VALUE!</v>
      </c>
      <c r="AB445" s="905" t="e">
        <f t="shared" si="226"/>
        <v>#VALUE!</v>
      </c>
      <c r="AC445" s="906" t="e">
        <f t="shared" si="211"/>
        <v>#VALUE!</v>
      </c>
      <c r="AD445" s="907">
        <f t="shared" si="212"/>
        <v>0</v>
      </c>
      <c r="AE445" s="904">
        <f>IF(H445&gt;8,tab!C$194,tab!C$197)</f>
        <v>0.5</v>
      </c>
      <c r="AF445" s="907">
        <f t="shared" si="213"/>
        <v>0</v>
      </c>
      <c r="AG445" s="887">
        <f t="shared" si="214"/>
        <v>0</v>
      </c>
      <c r="AH445" s="908" t="e">
        <f t="shared" si="215"/>
        <v>#VALUE!</v>
      </c>
      <c r="AI445" s="815" t="e">
        <f t="shared" si="216"/>
        <v>#VALUE!</v>
      </c>
      <c r="AJ445" s="540">
        <f t="shared" si="217"/>
        <v>30</v>
      </c>
      <c r="AK445" s="540">
        <f t="shared" si="183"/>
        <v>30</v>
      </c>
      <c r="AL445" s="909">
        <f t="shared" si="218"/>
        <v>0</v>
      </c>
      <c r="AN445" s="539">
        <f t="shared" si="219"/>
        <v>0</v>
      </c>
      <c r="AT445" s="317"/>
      <c r="AU445" s="317"/>
    </row>
    <row r="446" spans="3:47" ht="13.15" customHeight="1" x14ac:dyDescent="0.2">
      <c r="C446" s="381"/>
      <c r="D446" s="895" t="str">
        <f>IF(op!D334=0,"",op!D334)</f>
        <v/>
      </c>
      <c r="E446" s="895" t="str">
        <f>IF(op!E334=0,"",op!E334)</f>
        <v/>
      </c>
      <c r="F446" s="390" t="str">
        <f>IF(op!F334="","",op!F334+1)</f>
        <v/>
      </c>
      <c r="G446" s="896" t="str">
        <f>IF(op!G334=0,"",op!G334)</f>
        <v/>
      </c>
      <c r="H446" s="390" t="str">
        <f>IF(op!H334="","",op!H334)</f>
        <v/>
      </c>
      <c r="I446" s="897" t="str">
        <f t="shared" si="206"/>
        <v/>
      </c>
      <c r="J446" s="898" t="str">
        <f>IF(op!J334="","",op!J334)</f>
        <v/>
      </c>
      <c r="K446" s="334"/>
      <c r="L446" s="1140" t="str">
        <f>IF(op!L334="","",op!L334)</f>
        <v/>
      </c>
      <c r="M446" s="1140" t="str">
        <f>IF(op!M334="","",op!M334)</f>
        <v/>
      </c>
      <c r="N446" s="899" t="str">
        <f t="shared" si="220"/>
        <v/>
      </c>
      <c r="O446" s="900" t="str">
        <f t="shared" si="221"/>
        <v/>
      </c>
      <c r="P446" s="901" t="str">
        <f t="shared" si="222"/>
        <v/>
      </c>
      <c r="Q446" s="568" t="str">
        <f t="shared" si="207"/>
        <v/>
      </c>
      <c r="R446" s="902" t="str">
        <f t="shared" si="223"/>
        <v/>
      </c>
      <c r="S446" s="903">
        <f t="shared" si="208"/>
        <v>0</v>
      </c>
      <c r="T446" s="334"/>
      <c r="X446" s="887" t="str">
        <f t="shared" si="209"/>
        <v/>
      </c>
      <c r="Y446" s="904">
        <f t="shared" si="210"/>
        <v>0.6</v>
      </c>
      <c r="Z446" s="905" t="e">
        <f t="shared" si="224"/>
        <v>#VALUE!</v>
      </c>
      <c r="AA446" s="905" t="e">
        <f t="shared" si="225"/>
        <v>#VALUE!</v>
      </c>
      <c r="AB446" s="905" t="e">
        <f t="shared" si="226"/>
        <v>#VALUE!</v>
      </c>
      <c r="AC446" s="906" t="e">
        <f t="shared" si="211"/>
        <v>#VALUE!</v>
      </c>
      <c r="AD446" s="907">
        <f t="shared" si="212"/>
        <v>0</v>
      </c>
      <c r="AE446" s="904">
        <f>IF(H446&gt;8,tab!C$194,tab!C$197)</f>
        <v>0.5</v>
      </c>
      <c r="AF446" s="907">
        <f t="shared" si="213"/>
        <v>0</v>
      </c>
      <c r="AG446" s="887">
        <f t="shared" si="214"/>
        <v>0</v>
      </c>
      <c r="AH446" s="908" t="e">
        <f t="shared" si="215"/>
        <v>#VALUE!</v>
      </c>
      <c r="AI446" s="815" t="e">
        <f t="shared" si="216"/>
        <v>#VALUE!</v>
      </c>
      <c r="AJ446" s="540">
        <f t="shared" si="217"/>
        <v>30</v>
      </c>
      <c r="AK446" s="540">
        <f t="shared" si="183"/>
        <v>30</v>
      </c>
      <c r="AL446" s="909">
        <f t="shared" si="218"/>
        <v>0</v>
      </c>
      <c r="AN446" s="539">
        <f t="shared" si="219"/>
        <v>0</v>
      </c>
      <c r="AT446" s="317"/>
      <c r="AU446" s="317"/>
    </row>
    <row r="447" spans="3:47" ht="13.15" customHeight="1" x14ac:dyDescent="0.2">
      <c r="C447" s="381"/>
      <c r="D447" s="895" t="str">
        <f>IF(op!D335=0,"",op!D335)</f>
        <v/>
      </c>
      <c r="E447" s="895" t="str">
        <f>IF(op!E335=0,"",op!E335)</f>
        <v/>
      </c>
      <c r="F447" s="390" t="str">
        <f>IF(op!F335="","",op!F335+1)</f>
        <v/>
      </c>
      <c r="G447" s="896" t="str">
        <f>IF(op!G335=0,"",op!G335)</f>
        <v/>
      </c>
      <c r="H447" s="390" t="str">
        <f>IF(op!H335="","",op!H335)</f>
        <v/>
      </c>
      <c r="I447" s="897" t="str">
        <f t="shared" si="206"/>
        <v/>
      </c>
      <c r="J447" s="898" t="str">
        <f>IF(op!J335="","",op!J335)</f>
        <v/>
      </c>
      <c r="K447" s="334"/>
      <c r="L447" s="1140" t="str">
        <f>IF(op!L335="","",op!L335)</f>
        <v/>
      </c>
      <c r="M447" s="1140" t="str">
        <f>IF(op!M335="","",op!M335)</f>
        <v/>
      </c>
      <c r="N447" s="899" t="str">
        <f t="shared" si="220"/>
        <v/>
      </c>
      <c r="O447" s="900" t="str">
        <f t="shared" si="221"/>
        <v/>
      </c>
      <c r="P447" s="901" t="str">
        <f t="shared" si="222"/>
        <v/>
      </c>
      <c r="Q447" s="568" t="str">
        <f t="shared" si="207"/>
        <v/>
      </c>
      <c r="R447" s="902" t="str">
        <f t="shared" si="223"/>
        <v/>
      </c>
      <c r="S447" s="903">
        <f t="shared" si="208"/>
        <v>0</v>
      </c>
      <c r="T447" s="334"/>
      <c r="X447" s="887" t="str">
        <f t="shared" si="209"/>
        <v/>
      </c>
      <c r="Y447" s="904">
        <f t="shared" si="210"/>
        <v>0.6</v>
      </c>
      <c r="Z447" s="905" t="e">
        <f t="shared" si="224"/>
        <v>#VALUE!</v>
      </c>
      <c r="AA447" s="905" t="e">
        <f t="shared" si="225"/>
        <v>#VALUE!</v>
      </c>
      <c r="AB447" s="905" t="e">
        <f t="shared" si="226"/>
        <v>#VALUE!</v>
      </c>
      <c r="AC447" s="906" t="e">
        <f t="shared" si="211"/>
        <v>#VALUE!</v>
      </c>
      <c r="AD447" s="907">
        <f t="shared" si="212"/>
        <v>0</v>
      </c>
      <c r="AE447" s="904">
        <f>IF(H447&gt;8,tab!C$194,tab!C$197)</f>
        <v>0.5</v>
      </c>
      <c r="AF447" s="907">
        <f t="shared" si="213"/>
        <v>0</v>
      </c>
      <c r="AG447" s="887">
        <f t="shared" si="214"/>
        <v>0</v>
      </c>
      <c r="AH447" s="908" t="e">
        <f t="shared" si="215"/>
        <v>#VALUE!</v>
      </c>
      <c r="AI447" s="815" t="e">
        <f t="shared" si="216"/>
        <v>#VALUE!</v>
      </c>
      <c r="AJ447" s="540">
        <f t="shared" si="217"/>
        <v>30</v>
      </c>
      <c r="AK447" s="540">
        <f t="shared" si="183"/>
        <v>30</v>
      </c>
      <c r="AL447" s="909">
        <f t="shared" si="218"/>
        <v>0</v>
      </c>
      <c r="AN447" s="539">
        <f t="shared" si="219"/>
        <v>0</v>
      </c>
      <c r="AT447" s="317"/>
      <c r="AU447" s="317"/>
    </row>
    <row r="448" spans="3:47" ht="13.15" customHeight="1" x14ac:dyDescent="0.2">
      <c r="C448" s="381"/>
      <c r="D448" s="895" t="str">
        <f>IF(op!D336=0,"",op!D336)</f>
        <v/>
      </c>
      <c r="E448" s="895" t="str">
        <f>IF(op!E336=0,"",op!E336)</f>
        <v/>
      </c>
      <c r="F448" s="390" t="str">
        <f>IF(op!F336="","",op!F336+1)</f>
        <v/>
      </c>
      <c r="G448" s="896" t="str">
        <f>IF(op!G336=0,"",op!G336)</f>
        <v/>
      </c>
      <c r="H448" s="390" t="str">
        <f>IF(op!H336="","",op!H336)</f>
        <v/>
      </c>
      <c r="I448" s="897" t="str">
        <f>IF(E448="","",IF(I336=VLOOKUP(H448,Salaris2021,22,FALSE),I336,I336+1))</f>
        <v/>
      </c>
      <c r="J448" s="898" t="str">
        <f>IF(op!J336="","",op!J336)</f>
        <v/>
      </c>
      <c r="K448" s="334"/>
      <c r="L448" s="1140" t="str">
        <f>IF(op!L336="","",op!L336)</f>
        <v/>
      </c>
      <c r="M448" s="1140" t="str">
        <f>IF(op!M336="","",op!M336)</f>
        <v/>
      </c>
      <c r="N448" s="899" t="str">
        <f t="shared" si="220"/>
        <v/>
      </c>
      <c r="O448" s="900" t="str">
        <f t="shared" si="221"/>
        <v/>
      </c>
      <c r="P448" s="901" t="str">
        <f t="shared" si="222"/>
        <v/>
      </c>
      <c r="Q448" s="568" t="str">
        <f>IF(J448="","",(1659*J448-P448)*AA448)</f>
        <v/>
      </c>
      <c r="R448" s="902" t="str">
        <f t="shared" si="223"/>
        <v/>
      </c>
      <c r="S448" s="903">
        <f>IF(E448=0,0,SUM(Q448:R448))</f>
        <v>0</v>
      </c>
      <c r="T448" s="334"/>
      <c r="X448" s="887" t="str">
        <f t="shared" si="209"/>
        <v/>
      </c>
      <c r="Y448" s="904">
        <f t="shared" si="210"/>
        <v>0.6</v>
      </c>
      <c r="Z448" s="905" t="e">
        <f t="shared" si="224"/>
        <v>#VALUE!</v>
      </c>
      <c r="AA448" s="905" t="e">
        <f t="shared" si="225"/>
        <v>#VALUE!</v>
      </c>
      <c r="AB448" s="905" t="e">
        <f t="shared" si="226"/>
        <v>#VALUE!</v>
      </c>
      <c r="AC448" s="906" t="e">
        <f t="shared" si="211"/>
        <v>#VALUE!</v>
      </c>
      <c r="AD448" s="907">
        <f t="shared" si="212"/>
        <v>0</v>
      </c>
      <c r="AE448" s="904">
        <f>IF(H448&gt;8,tab!C$194,tab!C$197)</f>
        <v>0.5</v>
      </c>
      <c r="AF448" s="907">
        <f t="shared" si="213"/>
        <v>0</v>
      </c>
      <c r="AG448" s="887">
        <f>IF(AF448=25,(X448*1.08*J448/2),IF(AF448=40,(Y448*1.08*J448),IF(AF448=0,0)))</f>
        <v>0</v>
      </c>
      <c r="AH448" s="908" t="e">
        <f t="shared" si="215"/>
        <v>#VALUE!</v>
      </c>
      <c r="AI448" s="815" t="e">
        <f>YEAR($E$345)-YEAR(G448)-AH448</f>
        <v>#VALUE!</v>
      </c>
      <c r="AJ448" s="540">
        <f>IF((G448=""),30,AI448)</f>
        <v>30</v>
      </c>
      <c r="AK448" s="540">
        <f t="shared" si="183"/>
        <v>30</v>
      </c>
      <c r="AL448" s="909">
        <f>(AK448*(SUM(J448:J448)))</f>
        <v>0</v>
      </c>
      <c r="AN448" s="539">
        <f t="shared" si="219"/>
        <v>0</v>
      </c>
      <c r="AT448" s="317"/>
      <c r="AU448" s="317"/>
    </row>
    <row r="449" spans="3:47" ht="13.15" customHeight="1" x14ac:dyDescent="0.2">
      <c r="C449" s="381"/>
      <c r="D449" s="895" t="str">
        <f>IF(op!D337=0,"",op!D337)</f>
        <v/>
      </c>
      <c r="E449" s="895" t="str">
        <f>IF(op!E337=0,"",op!E337)</f>
        <v/>
      </c>
      <c r="F449" s="390" t="str">
        <f>IF(op!F337="","",op!F337+1)</f>
        <v/>
      </c>
      <c r="G449" s="896" t="str">
        <f>IF(op!G337=0,"",op!G337)</f>
        <v/>
      </c>
      <c r="H449" s="390" t="str">
        <f>IF(op!H337="","",op!H337)</f>
        <v/>
      </c>
      <c r="I449" s="897" t="str">
        <f>IF(E449="","",IF(I337=VLOOKUP(H449,Salaris2021,22,FALSE),I337,I337+1))</f>
        <v/>
      </c>
      <c r="J449" s="898" t="str">
        <f>IF(op!J337="","",op!J337)</f>
        <v/>
      </c>
      <c r="K449" s="334"/>
      <c r="L449" s="1140" t="str">
        <f>IF(op!L337="","",op!L337)</f>
        <v/>
      </c>
      <c r="M449" s="1140" t="str">
        <f>IF(op!M337="","",op!M337)</f>
        <v/>
      </c>
      <c r="N449" s="899" t="str">
        <f t="shared" si="220"/>
        <v/>
      </c>
      <c r="O449" s="900" t="str">
        <f t="shared" si="221"/>
        <v/>
      </c>
      <c r="P449" s="901" t="str">
        <f t="shared" si="222"/>
        <v/>
      </c>
      <c r="Q449" s="568" t="str">
        <f>IF(J449="","",(1659*J449-P449)*AA449)</f>
        <v/>
      </c>
      <c r="R449" s="902" t="str">
        <f t="shared" si="223"/>
        <v/>
      </c>
      <c r="S449" s="903">
        <f>IF(E449=0,0,SUM(Q449:R449))</f>
        <v>0</v>
      </c>
      <c r="T449" s="334"/>
      <c r="X449" s="887" t="str">
        <f t="shared" si="209"/>
        <v/>
      </c>
      <c r="Y449" s="904">
        <f t="shared" si="210"/>
        <v>0.6</v>
      </c>
      <c r="Z449" s="905" t="e">
        <f t="shared" si="224"/>
        <v>#VALUE!</v>
      </c>
      <c r="AA449" s="905" t="e">
        <f t="shared" si="225"/>
        <v>#VALUE!</v>
      </c>
      <c r="AB449" s="905" t="e">
        <f t="shared" si="226"/>
        <v>#VALUE!</v>
      </c>
      <c r="AC449" s="906" t="e">
        <f t="shared" si="211"/>
        <v>#VALUE!</v>
      </c>
      <c r="AD449" s="907">
        <f t="shared" si="212"/>
        <v>0</v>
      </c>
      <c r="AE449" s="904">
        <f>IF(H449&gt;8,tab!C$194,tab!C$197)</f>
        <v>0.5</v>
      </c>
      <c r="AF449" s="907">
        <f t="shared" si="213"/>
        <v>0</v>
      </c>
      <c r="AG449" s="887">
        <f>IF(AF449=25,(X449*1.08*J449/2),IF(AF449=40,(Y449*1.08*J449),IF(AF449=0,0)))</f>
        <v>0</v>
      </c>
      <c r="AH449" s="908" t="e">
        <f t="shared" si="215"/>
        <v>#VALUE!</v>
      </c>
      <c r="AI449" s="815" t="e">
        <f>YEAR($E$345)-YEAR(G449)-AH449</f>
        <v>#VALUE!</v>
      </c>
      <c r="AJ449" s="540">
        <f>IF((G449=""),30,AI449)</f>
        <v>30</v>
      </c>
      <c r="AK449" s="540">
        <f t="shared" si="183"/>
        <v>30</v>
      </c>
      <c r="AL449" s="909">
        <f>(AK449*(SUM(J449:J449)))</f>
        <v>0</v>
      </c>
      <c r="AN449" s="539">
        <f t="shared" si="219"/>
        <v>0</v>
      </c>
      <c r="AT449" s="317"/>
      <c r="AU449" s="317"/>
    </row>
    <row r="450" spans="3:47" ht="13.15" customHeight="1" x14ac:dyDescent="0.2">
      <c r="C450" s="381"/>
      <c r="D450" s="895" t="str">
        <f>IF(op!D338=0,"",op!D338)</f>
        <v/>
      </c>
      <c r="E450" s="895" t="str">
        <f>IF(op!E338=0,"",op!E338)</f>
        <v/>
      </c>
      <c r="F450" s="390" t="str">
        <f>IF(op!F338="","",op!F338+1)</f>
        <v/>
      </c>
      <c r="G450" s="896" t="str">
        <f>IF(op!G338=0,"",op!G338)</f>
        <v/>
      </c>
      <c r="H450" s="390" t="str">
        <f>IF(op!H338="","",op!H338)</f>
        <v/>
      </c>
      <c r="I450" s="897" t="str">
        <f>IF(E450="","",IF(I338=VLOOKUP(H450,Salaris2021,22,FALSE),I338,I338+1))</f>
        <v/>
      </c>
      <c r="J450" s="898" t="str">
        <f>IF(op!J338="","",op!J338)</f>
        <v/>
      </c>
      <c r="K450" s="334"/>
      <c r="L450" s="1140" t="str">
        <f>IF(op!L338="","",op!L338)</f>
        <v/>
      </c>
      <c r="M450" s="1140" t="str">
        <f>IF(op!M338="","",op!M338)</f>
        <v/>
      </c>
      <c r="N450" s="899" t="str">
        <f t="shared" si="220"/>
        <v/>
      </c>
      <c r="O450" s="900" t="str">
        <f t="shared" si="221"/>
        <v/>
      </c>
      <c r="P450" s="901" t="str">
        <f t="shared" si="222"/>
        <v/>
      </c>
      <c r="Q450" s="568" t="str">
        <f>IF(J450="","",(1659*J450-P450)*AA450)</f>
        <v/>
      </c>
      <c r="R450" s="902" t="str">
        <f t="shared" si="223"/>
        <v/>
      </c>
      <c r="S450" s="903">
        <f>IF(E450=0,0,SUM(Q450:R450))</f>
        <v>0</v>
      </c>
      <c r="T450" s="334"/>
      <c r="X450" s="887" t="str">
        <f t="shared" si="209"/>
        <v/>
      </c>
      <c r="Y450" s="904">
        <f t="shared" si="210"/>
        <v>0.6</v>
      </c>
      <c r="Z450" s="905" t="e">
        <f t="shared" si="224"/>
        <v>#VALUE!</v>
      </c>
      <c r="AA450" s="905" t="e">
        <f t="shared" si="225"/>
        <v>#VALUE!</v>
      </c>
      <c r="AB450" s="905" t="e">
        <f t="shared" si="226"/>
        <v>#VALUE!</v>
      </c>
      <c r="AC450" s="906" t="e">
        <f t="shared" si="211"/>
        <v>#VALUE!</v>
      </c>
      <c r="AD450" s="907">
        <f t="shared" si="212"/>
        <v>0</v>
      </c>
      <c r="AE450" s="904">
        <f>IF(H450&gt;8,tab!C$194,tab!C$197)</f>
        <v>0.5</v>
      </c>
      <c r="AF450" s="907">
        <f t="shared" si="213"/>
        <v>0</v>
      </c>
      <c r="AG450" s="887">
        <f>IF(AF450=25,(X450*1.08*J450/2),IF(AF450=40,(Y450*1.08*J450),IF(AF450=0,0)))</f>
        <v>0</v>
      </c>
      <c r="AH450" s="908" t="e">
        <f t="shared" si="215"/>
        <v>#VALUE!</v>
      </c>
      <c r="AI450" s="815" t="e">
        <f>YEAR($E$345)-YEAR(G450)-AH450</f>
        <v>#VALUE!</v>
      </c>
      <c r="AJ450" s="540">
        <f>IF((G450=""),30,AI450)</f>
        <v>30</v>
      </c>
      <c r="AK450" s="540">
        <f t="shared" si="183"/>
        <v>30</v>
      </c>
      <c r="AL450" s="909">
        <f>(AK450*(SUM(J450:J450)))</f>
        <v>0</v>
      </c>
      <c r="AN450" s="539">
        <f t="shared" si="219"/>
        <v>0</v>
      </c>
      <c r="AT450" s="317"/>
      <c r="AU450" s="317"/>
    </row>
    <row r="451" spans="3:47" ht="13.15" customHeight="1" x14ac:dyDescent="0.2">
      <c r="C451" s="381"/>
      <c r="D451" s="895" t="str">
        <f>IF(op!D339=0,"",op!D339)</f>
        <v/>
      </c>
      <c r="E451" s="895" t="str">
        <f>IF(op!E339=0,"",op!E339)</f>
        <v/>
      </c>
      <c r="F451" s="390" t="str">
        <f>IF(op!F339="","",op!F339+1)</f>
        <v/>
      </c>
      <c r="G451" s="896" t="str">
        <f>IF(op!G339=0,"",op!G339)</f>
        <v/>
      </c>
      <c r="H451" s="390" t="str">
        <f>IF(op!H339="","",op!H339)</f>
        <v/>
      </c>
      <c r="I451" s="897" t="str">
        <f>IF(E451="","",IF(I339=VLOOKUP(H451,Salaris2021,22,FALSE),I339,I339+1))</f>
        <v/>
      </c>
      <c r="J451" s="898" t="str">
        <f>IF(op!J339="","",op!J339)</f>
        <v/>
      </c>
      <c r="K451" s="334"/>
      <c r="L451" s="1140" t="str">
        <f>IF(op!L339="","",op!L339)</f>
        <v/>
      </c>
      <c r="M451" s="1140" t="str">
        <f>IF(op!M339="","",op!M339)</f>
        <v/>
      </c>
      <c r="N451" s="899" t="str">
        <f t="shared" si="220"/>
        <v/>
      </c>
      <c r="O451" s="900" t="str">
        <f t="shared" si="221"/>
        <v/>
      </c>
      <c r="P451" s="901" t="str">
        <f t="shared" si="222"/>
        <v/>
      </c>
      <c r="Q451" s="568" t="str">
        <f>IF(J451="","",(1659*J451-P451)*AA451)</f>
        <v/>
      </c>
      <c r="R451" s="902" t="str">
        <f t="shared" si="223"/>
        <v/>
      </c>
      <c r="S451" s="903">
        <f>IF(E451=0,0,SUM(Q451:R451))</f>
        <v>0</v>
      </c>
      <c r="T451" s="334"/>
      <c r="X451" s="887" t="str">
        <f t="shared" si="209"/>
        <v/>
      </c>
      <c r="Y451" s="904">
        <f t="shared" si="210"/>
        <v>0.6</v>
      </c>
      <c r="Z451" s="905" t="e">
        <f t="shared" si="224"/>
        <v>#VALUE!</v>
      </c>
      <c r="AA451" s="905" t="e">
        <f t="shared" si="225"/>
        <v>#VALUE!</v>
      </c>
      <c r="AB451" s="905" t="e">
        <f t="shared" si="226"/>
        <v>#VALUE!</v>
      </c>
      <c r="AC451" s="906" t="e">
        <f t="shared" si="211"/>
        <v>#VALUE!</v>
      </c>
      <c r="AD451" s="907">
        <f t="shared" si="212"/>
        <v>0</v>
      </c>
      <c r="AE451" s="904">
        <f>IF(H451&gt;8,tab!C$194,tab!C$197)</f>
        <v>0.5</v>
      </c>
      <c r="AF451" s="907">
        <f t="shared" si="213"/>
        <v>0</v>
      </c>
      <c r="AG451" s="887">
        <f>IF(AF451=25,(X451*1.08*J451/2),IF(AF451=40,(Y451*1.08*J451),IF(AF451=0,0)))</f>
        <v>0</v>
      </c>
      <c r="AH451" s="908" t="e">
        <f t="shared" si="215"/>
        <v>#VALUE!</v>
      </c>
      <c r="AI451" s="815" t="e">
        <f>YEAR($E$345)-YEAR(G451)-AH451</f>
        <v>#VALUE!</v>
      </c>
      <c r="AJ451" s="540">
        <f>IF((G451=""),30,AI451)</f>
        <v>30</v>
      </c>
      <c r="AK451" s="540">
        <f t="shared" si="183"/>
        <v>30</v>
      </c>
      <c r="AL451" s="909">
        <f>(AK451*(SUM(J451:J451)))</f>
        <v>0</v>
      </c>
      <c r="AN451" s="539">
        <f t="shared" si="219"/>
        <v>0</v>
      </c>
      <c r="AT451" s="317"/>
      <c r="AU451" s="317"/>
    </row>
    <row r="452" spans="3:47" ht="13.15" customHeight="1" x14ac:dyDescent="0.2">
      <c r="C452" s="381"/>
      <c r="D452" s="319"/>
      <c r="E452" s="342"/>
      <c r="F452" s="319"/>
      <c r="G452" s="910"/>
      <c r="H452" s="342"/>
      <c r="I452" s="911"/>
      <c r="J452" s="912">
        <f>SUM(J352:J451)</f>
        <v>1</v>
      </c>
      <c r="K452" s="319"/>
      <c r="L452" s="913">
        <f t="shared" ref="L452:S452" si="227">SUM(L352:L451)</f>
        <v>0</v>
      </c>
      <c r="M452" s="913">
        <f t="shared" si="227"/>
        <v>0</v>
      </c>
      <c r="N452" s="913">
        <f t="shared" si="227"/>
        <v>40</v>
      </c>
      <c r="O452" s="913">
        <f t="shared" si="227"/>
        <v>0</v>
      </c>
      <c r="P452" s="914">
        <f t="shared" si="227"/>
        <v>40</v>
      </c>
      <c r="Q452" s="571">
        <f t="shared" si="227"/>
        <v>74498.592405063289</v>
      </c>
      <c r="R452" s="915">
        <f t="shared" si="227"/>
        <v>1840.6075949367087</v>
      </c>
      <c r="S452" s="571">
        <f t="shared" si="227"/>
        <v>76339.199999999997</v>
      </c>
      <c r="T452" s="319"/>
      <c r="AG452" s="575">
        <f>SUM(AG352:AG451)</f>
        <v>0</v>
      </c>
      <c r="AH452" s="563"/>
      <c r="AI452" s="563"/>
      <c r="AL452" s="909">
        <f>ROUND(SUM(AL352:AL451)/AN452,2)</f>
        <v>45</v>
      </c>
      <c r="AN452" s="539">
        <f>SUM(AN352:AN451)</f>
        <v>1</v>
      </c>
      <c r="AT452" s="317"/>
      <c r="AU452" s="317"/>
    </row>
    <row r="453" spans="3:47" ht="13.15" customHeight="1" x14ac:dyDescent="0.2">
      <c r="C453" s="483"/>
      <c r="D453" s="916"/>
      <c r="E453" s="916"/>
      <c r="F453" s="916"/>
      <c r="G453" s="917"/>
      <c r="H453" s="373"/>
      <c r="I453" s="918"/>
      <c r="J453" s="919"/>
      <c r="K453" s="916"/>
      <c r="L453" s="918"/>
      <c r="M453" s="777"/>
      <c r="N453" s="777"/>
      <c r="O453" s="777"/>
      <c r="P453" s="920"/>
      <c r="Q453" s="553"/>
      <c r="R453" s="921"/>
      <c r="T453" s="916"/>
      <c r="AT453" s="317"/>
      <c r="AU453" s="317"/>
    </row>
    <row r="454" spans="3:47" ht="13.15" customHeight="1" x14ac:dyDescent="0.2"/>
    <row r="455" spans="3:47" ht="13.15" customHeight="1" x14ac:dyDescent="0.2"/>
    <row r="456" spans="3:47" ht="13.15" customHeight="1" x14ac:dyDescent="0.2">
      <c r="C456" s="317" t="s">
        <v>48</v>
      </c>
      <c r="E456" s="950" t="str">
        <f>tab!H2</f>
        <v>2023/24</v>
      </c>
    </row>
    <row r="457" spans="3:47" ht="13.15" customHeight="1" x14ac:dyDescent="0.2">
      <c r="C457" s="317" t="s">
        <v>125</v>
      </c>
      <c r="E457" s="950">
        <f>tab!I3</f>
        <v>45200</v>
      </c>
    </row>
    <row r="458" spans="3:47" ht="13.15" customHeight="1" x14ac:dyDescent="0.2"/>
    <row r="459" spans="3:47" ht="13.15" customHeight="1" x14ac:dyDescent="0.2">
      <c r="C459" s="928"/>
      <c r="D459" s="374"/>
      <c r="E459" s="562"/>
      <c r="F459" s="349"/>
      <c r="G459" s="929"/>
      <c r="H459" s="930"/>
      <c r="I459" s="930"/>
      <c r="J459" s="931"/>
      <c r="K459" s="347"/>
      <c r="L459" s="930"/>
      <c r="M459" s="349"/>
      <c r="N459" s="349"/>
      <c r="O459" s="349"/>
      <c r="P459" s="932"/>
      <c r="Q459" s="933"/>
      <c r="R459" s="954"/>
      <c r="T459" s="347"/>
    </row>
    <row r="460" spans="3:47" ht="13.15" customHeight="1" x14ac:dyDescent="0.2">
      <c r="C460" s="935"/>
      <c r="D460" s="1346" t="s">
        <v>126</v>
      </c>
      <c r="E460" s="1347"/>
      <c r="F460" s="1347"/>
      <c r="G460" s="1347"/>
      <c r="H460" s="1347"/>
      <c r="I460" s="1347"/>
      <c r="J460" s="1347"/>
      <c r="K460" s="868"/>
      <c r="L460" s="579" t="s">
        <v>440</v>
      </c>
      <c r="M460" s="869"/>
      <c r="N460" s="869"/>
      <c r="O460" s="869"/>
      <c r="P460" s="870"/>
      <c r="Q460" s="579" t="s">
        <v>450</v>
      </c>
      <c r="R460" s="869"/>
      <c r="S460" s="869"/>
      <c r="T460" s="936"/>
      <c r="AH460" s="540"/>
      <c r="AI460" s="540"/>
      <c r="AL460" s="540"/>
    </row>
    <row r="461" spans="3:47" ht="13.15" customHeight="1" x14ac:dyDescent="0.2">
      <c r="C461" s="406"/>
      <c r="D461" s="871" t="s">
        <v>529</v>
      </c>
      <c r="E461" s="871" t="s">
        <v>88</v>
      </c>
      <c r="F461" s="872" t="s">
        <v>128</v>
      </c>
      <c r="G461" s="873" t="s">
        <v>129</v>
      </c>
      <c r="H461" s="872" t="s">
        <v>130</v>
      </c>
      <c r="I461" s="872" t="s">
        <v>131</v>
      </c>
      <c r="J461" s="874" t="s">
        <v>132</v>
      </c>
      <c r="K461" s="871"/>
      <c r="L461" s="775" t="s">
        <v>441</v>
      </c>
      <c r="M461" s="775" t="s">
        <v>444</v>
      </c>
      <c r="N461" s="775" t="s">
        <v>446</v>
      </c>
      <c r="O461" s="775" t="s">
        <v>443</v>
      </c>
      <c r="P461" s="875" t="s">
        <v>449</v>
      </c>
      <c r="Q461" s="775" t="s">
        <v>133</v>
      </c>
      <c r="R461" s="876" t="s">
        <v>453</v>
      </c>
      <c r="S461" s="877" t="s">
        <v>133</v>
      </c>
      <c r="T461" s="321"/>
      <c r="X461" s="879" t="s">
        <v>139</v>
      </c>
      <c r="Y461" s="880" t="s">
        <v>454</v>
      </c>
      <c r="Z461" s="586" t="s">
        <v>455</v>
      </c>
      <c r="AA461" s="586" t="s">
        <v>455</v>
      </c>
      <c r="AB461" s="586" t="s">
        <v>456</v>
      </c>
      <c r="AC461" s="878" t="s">
        <v>457</v>
      </c>
      <c r="AD461" s="586" t="s">
        <v>458</v>
      </c>
      <c r="AE461" s="586" t="s">
        <v>459</v>
      </c>
      <c r="AF461" s="586" t="s">
        <v>134</v>
      </c>
      <c r="AG461" s="877" t="s">
        <v>135</v>
      </c>
      <c r="AH461" s="881" t="s">
        <v>143</v>
      </c>
      <c r="AI461" s="881" t="s">
        <v>144</v>
      </c>
      <c r="AJ461" s="881" t="s">
        <v>145</v>
      </c>
      <c r="AK461" s="586" t="s">
        <v>146</v>
      </c>
      <c r="AL461" s="879" t="s">
        <v>1</v>
      </c>
    </row>
    <row r="462" spans="3:47" ht="13.15" customHeight="1" x14ac:dyDescent="0.2">
      <c r="C462" s="381"/>
      <c r="D462" s="883"/>
      <c r="E462" s="871"/>
      <c r="F462" s="872" t="s">
        <v>136</v>
      </c>
      <c r="G462" s="873" t="s">
        <v>137</v>
      </c>
      <c r="H462" s="872"/>
      <c r="I462" s="872"/>
      <c r="J462" s="874" t="s">
        <v>138</v>
      </c>
      <c r="K462" s="871"/>
      <c r="L462" s="775" t="s">
        <v>442</v>
      </c>
      <c r="M462" s="775" t="s">
        <v>445</v>
      </c>
      <c r="N462" s="775" t="s">
        <v>447</v>
      </c>
      <c r="O462" s="775" t="s">
        <v>448</v>
      </c>
      <c r="P462" s="875" t="s">
        <v>141</v>
      </c>
      <c r="Q462" s="586" t="s">
        <v>451</v>
      </c>
      <c r="R462" s="876" t="s">
        <v>452</v>
      </c>
      <c r="S462" s="884" t="s">
        <v>141</v>
      </c>
      <c r="T462" s="321"/>
      <c r="X462" s="586" t="s">
        <v>460</v>
      </c>
      <c r="Y462" s="885">
        <f>tab!C$193</f>
        <v>0.6</v>
      </c>
      <c r="Z462" s="586" t="s">
        <v>461</v>
      </c>
      <c r="AA462" s="586" t="s">
        <v>462</v>
      </c>
      <c r="AB462" s="586" t="s">
        <v>463</v>
      </c>
      <c r="AC462" s="878" t="s">
        <v>464</v>
      </c>
      <c r="AD462" s="586" t="s">
        <v>464</v>
      </c>
      <c r="AE462" s="586" t="s">
        <v>465</v>
      </c>
      <c r="AF462" s="586"/>
      <c r="AG462" s="586" t="s">
        <v>140</v>
      </c>
      <c r="AH462" s="886" t="s">
        <v>147</v>
      </c>
      <c r="AI462" s="886" t="s">
        <v>147</v>
      </c>
      <c r="AJ462" s="881"/>
      <c r="AK462" s="586" t="s">
        <v>1</v>
      </c>
      <c r="AL462" s="879"/>
    </row>
    <row r="463" spans="3:47" ht="13.15" customHeight="1" x14ac:dyDescent="0.2">
      <c r="C463" s="381"/>
      <c r="D463" s="334"/>
      <c r="E463" s="334"/>
      <c r="F463" s="334"/>
      <c r="G463" s="888"/>
      <c r="H463" s="889"/>
      <c r="I463" s="889"/>
      <c r="J463" s="890"/>
      <c r="K463" s="334"/>
      <c r="L463" s="891"/>
      <c r="M463" s="776"/>
      <c r="N463" s="776"/>
      <c r="O463" s="776"/>
      <c r="P463" s="892"/>
      <c r="Q463" s="893"/>
      <c r="R463" s="776"/>
      <c r="S463" s="776"/>
      <c r="T463" s="334"/>
      <c r="X463" s="878"/>
      <c r="Y463" s="878"/>
      <c r="Z463" s="878"/>
      <c r="AA463" s="878"/>
      <c r="AB463" s="878"/>
      <c r="AC463" s="878"/>
      <c r="AD463" s="878"/>
      <c r="AE463" s="878"/>
      <c r="AF463" s="878"/>
      <c r="AG463" s="878"/>
      <c r="AL463" s="879"/>
    </row>
    <row r="464" spans="3:47" ht="13.15" customHeight="1" x14ac:dyDescent="0.2">
      <c r="C464" s="381"/>
      <c r="D464" s="895" t="str">
        <f>IF(op!D352=0,"",op!D352)</f>
        <v/>
      </c>
      <c r="E464" s="895" t="str">
        <f>IF(op!E352=0,"",op!E352)</f>
        <v>piet</v>
      </c>
      <c r="F464" s="390" t="str">
        <f>IF(op!F352="","",op!F352+1)</f>
        <v/>
      </c>
      <c r="G464" s="896">
        <f>IF(op!G352=0,"",op!G352)</f>
        <v>28140</v>
      </c>
      <c r="H464" s="390" t="str">
        <f>IF(op!H352="","",op!H352)</f>
        <v>L11</v>
      </c>
      <c r="I464" s="897">
        <f t="shared" ref="I464:I495" si="228">IF(E464="","",IF(I352=VLOOKUP(H464,Salaris2021,22,FALSE),I352,I352+1))</f>
        <v>13</v>
      </c>
      <c r="J464" s="898">
        <f>IF(op!J352="","",op!J352)</f>
        <v>1</v>
      </c>
      <c r="K464" s="334"/>
      <c r="L464" s="1140" t="str">
        <f>IF(op!L352="","",op!L352)</f>
        <v/>
      </c>
      <c r="M464" s="1140" t="str">
        <f>IF(op!M352="","",op!M352)</f>
        <v/>
      </c>
      <c r="N464" s="899">
        <f>IF(J464="","",IF(J464*40&gt;40,40,J464*40))</f>
        <v>40</v>
      </c>
      <c r="O464" s="900">
        <f>IF(H464="","",IF(I464&lt;4,IF(40*J464&gt;40,40,40*J464),0))</f>
        <v>0</v>
      </c>
      <c r="P464" s="901">
        <f>IF(J464="","",SUM(L464:O464))</f>
        <v>40</v>
      </c>
      <c r="Q464" s="568">
        <f t="shared" ref="Q464:Q495" si="229">IF(J464="","",(1659*J464-P464)*AA464)</f>
        <v>77009.359855334536</v>
      </c>
      <c r="R464" s="902">
        <f>IF(J464="","",(P464*AB464)+Z464*(AC464+AD464*(1-AE464)))</f>
        <v>1902.6401446654611</v>
      </c>
      <c r="S464" s="903">
        <f t="shared" ref="S464:S495" si="230">IF(E464=0,0,SUM(Q464:R464))</f>
        <v>78912</v>
      </c>
      <c r="T464" s="334"/>
      <c r="X464" s="887">
        <f t="shared" ref="X464:X495" si="231">IF(H464="","",VLOOKUP(H464,Salaris2021,I464+1,FALSE))</f>
        <v>4110</v>
      </c>
      <c r="Y464" s="904">
        <f t="shared" ref="Y464:Y495" si="232">$Y$14</f>
        <v>0.6</v>
      </c>
      <c r="Z464" s="905">
        <f>X464*12/1659</f>
        <v>29.72875226039783</v>
      </c>
      <c r="AA464" s="905">
        <f>X464*12*(1+Y464)/1659</f>
        <v>47.566003616636529</v>
      </c>
      <c r="AB464" s="905">
        <f>AA464-Z464</f>
        <v>17.837251356238699</v>
      </c>
      <c r="AC464" s="906">
        <f t="shared" ref="AC464:AC495" si="233">N464+O464</f>
        <v>40</v>
      </c>
      <c r="AD464" s="907">
        <f t="shared" ref="AD464:AD495" si="234">SUM(L464:M464)</f>
        <v>0</v>
      </c>
      <c r="AE464" s="904">
        <f>IF(H464&gt;8,tab!C$194,tab!C$197)</f>
        <v>0.5</v>
      </c>
      <c r="AF464" s="907">
        <f t="shared" ref="AF464:AF495" si="235">IF(F464&lt;25,0,IF(F464=25,25,IF(F464&lt;40,0,IF(F464=40,40,IF(F464&gt;=40,0)))))</f>
        <v>0</v>
      </c>
      <c r="AG464" s="887">
        <f t="shared" ref="AG464:AG495" si="236">IF(AF464=25,(X464*1.08*J464/2),IF(AF464=40,(Y464*1.08*J464),IF(AF464=0,0)))</f>
        <v>0</v>
      </c>
      <c r="AH464" s="908" t="b">
        <f t="shared" ref="AH464:AH495" si="237">DATE(YEAR($E$233),MONTH(G464),DAY(G464))&gt;$E$233</f>
        <v>0</v>
      </c>
      <c r="AI464" s="815">
        <f t="shared" ref="AI464:AI495" si="238">YEAR($E$457)-YEAR(G464)-AH464</f>
        <v>46</v>
      </c>
      <c r="AJ464" s="540">
        <f t="shared" ref="AJ464:AJ495" si="239">IF((G464=""),30,AI464)</f>
        <v>46</v>
      </c>
      <c r="AK464" s="540">
        <f t="shared" ref="AK464:AK563" si="240">IF((AJ464)&gt;50,50,(AJ464))</f>
        <v>46</v>
      </c>
      <c r="AL464" s="909">
        <f t="shared" ref="AL464:AL495" si="241">(AK464*(SUM(J464:J464)))</f>
        <v>46</v>
      </c>
      <c r="AN464" s="539">
        <f t="shared" si="219"/>
        <v>1</v>
      </c>
    </row>
    <row r="465" spans="3:47" ht="13.15" customHeight="1" x14ac:dyDescent="0.2">
      <c r="C465" s="381"/>
      <c r="D465" s="895" t="str">
        <f>IF(op!D353=0,"",op!D353)</f>
        <v/>
      </c>
      <c r="E465" s="895" t="str">
        <f>IF(op!E353=0,"",op!E353)</f>
        <v/>
      </c>
      <c r="F465" s="390" t="str">
        <f>IF(op!F353="","",op!F353+1)</f>
        <v/>
      </c>
      <c r="G465" s="896" t="str">
        <f>IF(op!G353=0,"",op!G353)</f>
        <v/>
      </c>
      <c r="H465" s="390" t="str">
        <f>IF(op!H353="","",op!H353)</f>
        <v/>
      </c>
      <c r="I465" s="897" t="str">
        <f t="shared" si="228"/>
        <v/>
      </c>
      <c r="J465" s="898" t="str">
        <f>IF(op!J353="","",op!J353)</f>
        <v/>
      </c>
      <c r="K465" s="334"/>
      <c r="L465" s="1140" t="str">
        <f>IF(op!L353="","",op!L353)</f>
        <v/>
      </c>
      <c r="M465" s="1140" t="str">
        <f>IF(op!M353="","",op!M353)</f>
        <v/>
      </c>
      <c r="N465" s="899" t="str">
        <f t="shared" ref="N465:N528" si="242">IF(J465="","",IF(J465*40&gt;40,40,J465*40))</f>
        <v/>
      </c>
      <c r="O465" s="900" t="str">
        <f t="shared" ref="O465:O528" si="243">IF(H465="","",IF(I465&lt;4,IF(40*J465&gt;40,40,40*J465),0))</f>
        <v/>
      </c>
      <c r="P465" s="901" t="str">
        <f t="shared" ref="P465:P528" si="244">IF(J465="","",SUM(L465:O465))</f>
        <v/>
      </c>
      <c r="Q465" s="568" t="str">
        <f t="shared" si="229"/>
        <v/>
      </c>
      <c r="R465" s="902" t="str">
        <f t="shared" ref="R465:R528" si="245">IF(J465="","",(P465*AB465)+Z465*(AC465+AD465*(1-AE465)))</f>
        <v/>
      </c>
      <c r="S465" s="903">
        <f t="shared" si="230"/>
        <v>0</v>
      </c>
      <c r="T465" s="334"/>
      <c r="X465" s="887" t="str">
        <f t="shared" si="231"/>
        <v/>
      </c>
      <c r="Y465" s="904">
        <f t="shared" si="232"/>
        <v>0.6</v>
      </c>
      <c r="Z465" s="905" t="e">
        <f t="shared" ref="Z465:Z528" si="246">X465*12/1659</f>
        <v>#VALUE!</v>
      </c>
      <c r="AA465" s="905" t="e">
        <f t="shared" ref="AA465:AA528" si="247">X465*12*(1+Y465)/1659</f>
        <v>#VALUE!</v>
      </c>
      <c r="AB465" s="905" t="e">
        <f t="shared" ref="AB465:AB528" si="248">AA465-Z465</f>
        <v>#VALUE!</v>
      </c>
      <c r="AC465" s="906" t="e">
        <f t="shared" si="233"/>
        <v>#VALUE!</v>
      </c>
      <c r="AD465" s="907">
        <f t="shared" si="234"/>
        <v>0</v>
      </c>
      <c r="AE465" s="904">
        <f>IF(H465&gt;8,tab!C$194,tab!C$197)</f>
        <v>0.5</v>
      </c>
      <c r="AF465" s="907">
        <f t="shared" si="235"/>
        <v>0</v>
      </c>
      <c r="AG465" s="887">
        <f t="shared" si="236"/>
        <v>0</v>
      </c>
      <c r="AH465" s="908" t="e">
        <f t="shared" si="237"/>
        <v>#VALUE!</v>
      </c>
      <c r="AI465" s="815" t="e">
        <f t="shared" si="238"/>
        <v>#VALUE!</v>
      </c>
      <c r="AJ465" s="540">
        <f t="shared" si="239"/>
        <v>30</v>
      </c>
      <c r="AK465" s="540">
        <f t="shared" si="240"/>
        <v>30</v>
      </c>
      <c r="AL465" s="909">
        <f t="shared" si="241"/>
        <v>0</v>
      </c>
      <c r="AN465" s="539">
        <f t="shared" si="219"/>
        <v>0</v>
      </c>
      <c r="AT465" s="317"/>
      <c r="AU465" s="317"/>
    </row>
    <row r="466" spans="3:47" ht="13.15" customHeight="1" x14ac:dyDescent="0.2">
      <c r="C466" s="381"/>
      <c r="D466" s="895" t="str">
        <f>IF(op!D354=0,"",op!D354)</f>
        <v/>
      </c>
      <c r="E466" s="895" t="str">
        <f>IF(op!E354=0,"",op!E354)</f>
        <v/>
      </c>
      <c r="F466" s="390" t="str">
        <f>IF(op!F354="","",op!F354+1)</f>
        <v/>
      </c>
      <c r="G466" s="896" t="str">
        <f>IF(op!G354=0,"",op!G354)</f>
        <v/>
      </c>
      <c r="H466" s="390" t="str">
        <f>IF(op!H354="","",op!H354)</f>
        <v/>
      </c>
      <c r="I466" s="897" t="str">
        <f t="shared" si="228"/>
        <v/>
      </c>
      <c r="J466" s="898" t="str">
        <f>IF(op!J354="","",op!J354)</f>
        <v/>
      </c>
      <c r="K466" s="334"/>
      <c r="L466" s="1140" t="str">
        <f>IF(op!L354="","",op!L354)</f>
        <v/>
      </c>
      <c r="M466" s="1140" t="str">
        <f>IF(op!M354="","",op!M354)</f>
        <v/>
      </c>
      <c r="N466" s="899" t="str">
        <f t="shared" si="242"/>
        <v/>
      </c>
      <c r="O466" s="900" t="str">
        <f t="shared" si="243"/>
        <v/>
      </c>
      <c r="P466" s="901" t="str">
        <f t="shared" si="244"/>
        <v/>
      </c>
      <c r="Q466" s="568" t="str">
        <f t="shared" si="229"/>
        <v/>
      </c>
      <c r="R466" s="902" t="str">
        <f t="shared" si="245"/>
        <v/>
      </c>
      <c r="S466" s="903">
        <f t="shared" si="230"/>
        <v>0</v>
      </c>
      <c r="T466" s="334"/>
      <c r="X466" s="887" t="str">
        <f t="shared" si="231"/>
        <v/>
      </c>
      <c r="Y466" s="904">
        <f t="shared" si="232"/>
        <v>0.6</v>
      </c>
      <c r="Z466" s="905" t="e">
        <f t="shared" si="246"/>
        <v>#VALUE!</v>
      </c>
      <c r="AA466" s="905" t="e">
        <f t="shared" si="247"/>
        <v>#VALUE!</v>
      </c>
      <c r="AB466" s="905" t="e">
        <f t="shared" si="248"/>
        <v>#VALUE!</v>
      </c>
      <c r="AC466" s="906" t="e">
        <f t="shared" si="233"/>
        <v>#VALUE!</v>
      </c>
      <c r="AD466" s="907">
        <f t="shared" si="234"/>
        <v>0</v>
      </c>
      <c r="AE466" s="904">
        <f>IF(H466&gt;8,tab!C$194,tab!C$197)</f>
        <v>0.5</v>
      </c>
      <c r="AF466" s="907">
        <f t="shared" si="235"/>
        <v>0</v>
      </c>
      <c r="AG466" s="887">
        <f t="shared" si="236"/>
        <v>0</v>
      </c>
      <c r="AH466" s="908" t="e">
        <f t="shared" si="237"/>
        <v>#VALUE!</v>
      </c>
      <c r="AI466" s="815" t="e">
        <f t="shared" si="238"/>
        <v>#VALUE!</v>
      </c>
      <c r="AJ466" s="540">
        <f t="shared" si="239"/>
        <v>30</v>
      </c>
      <c r="AK466" s="540">
        <f t="shared" si="240"/>
        <v>30</v>
      </c>
      <c r="AL466" s="909">
        <f t="shared" si="241"/>
        <v>0</v>
      </c>
      <c r="AN466" s="539">
        <f t="shared" si="219"/>
        <v>0</v>
      </c>
      <c r="AT466" s="317"/>
      <c r="AU466" s="317"/>
    </row>
    <row r="467" spans="3:47" ht="13.15" customHeight="1" x14ac:dyDescent="0.2">
      <c r="C467" s="381"/>
      <c r="D467" s="895" t="str">
        <f>IF(op!D355=0,"",op!D355)</f>
        <v/>
      </c>
      <c r="E467" s="895" t="str">
        <f>IF(op!E355=0,"",op!E355)</f>
        <v/>
      </c>
      <c r="F467" s="390" t="str">
        <f>IF(op!F355="","",op!F355+1)</f>
        <v/>
      </c>
      <c r="G467" s="896" t="str">
        <f>IF(op!G355=0,"",op!G355)</f>
        <v/>
      </c>
      <c r="H467" s="390" t="str">
        <f>IF(op!H355="","",op!H355)</f>
        <v/>
      </c>
      <c r="I467" s="897" t="str">
        <f t="shared" si="228"/>
        <v/>
      </c>
      <c r="J467" s="898" t="str">
        <f>IF(op!J355="","",op!J355)</f>
        <v/>
      </c>
      <c r="K467" s="334"/>
      <c r="L467" s="1140" t="str">
        <f>IF(op!L355="","",op!L355)</f>
        <v/>
      </c>
      <c r="M467" s="1140" t="str">
        <f>IF(op!M355="","",op!M355)</f>
        <v/>
      </c>
      <c r="N467" s="899" t="str">
        <f t="shared" si="242"/>
        <v/>
      </c>
      <c r="O467" s="900" t="str">
        <f t="shared" si="243"/>
        <v/>
      </c>
      <c r="P467" s="901" t="str">
        <f t="shared" si="244"/>
        <v/>
      </c>
      <c r="Q467" s="568" t="str">
        <f t="shared" si="229"/>
        <v/>
      </c>
      <c r="R467" s="902" t="str">
        <f t="shared" si="245"/>
        <v/>
      </c>
      <c r="S467" s="903">
        <f t="shared" si="230"/>
        <v>0</v>
      </c>
      <c r="T467" s="334"/>
      <c r="X467" s="887" t="str">
        <f t="shared" si="231"/>
        <v/>
      </c>
      <c r="Y467" s="904">
        <f t="shared" si="232"/>
        <v>0.6</v>
      </c>
      <c r="Z467" s="905" t="e">
        <f t="shared" si="246"/>
        <v>#VALUE!</v>
      </c>
      <c r="AA467" s="905" t="e">
        <f t="shared" si="247"/>
        <v>#VALUE!</v>
      </c>
      <c r="AB467" s="905" t="e">
        <f t="shared" si="248"/>
        <v>#VALUE!</v>
      </c>
      <c r="AC467" s="906" t="e">
        <f t="shared" si="233"/>
        <v>#VALUE!</v>
      </c>
      <c r="AD467" s="907">
        <f t="shared" si="234"/>
        <v>0</v>
      </c>
      <c r="AE467" s="904">
        <f>IF(H467&gt;8,tab!C$194,tab!C$197)</f>
        <v>0.5</v>
      </c>
      <c r="AF467" s="907">
        <f t="shared" si="235"/>
        <v>0</v>
      </c>
      <c r="AG467" s="887">
        <f t="shared" si="236"/>
        <v>0</v>
      </c>
      <c r="AH467" s="908" t="e">
        <f t="shared" si="237"/>
        <v>#VALUE!</v>
      </c>
      <c r="AI467" s="815" t="e">
        <f t="shared" si="238"/>
        <v>#VALUE!</v>
      </c>
      <c r="AJ467" s="540">
        <f t="shared" si="239"/>
        <v>30</v>
      </c>
      <c r="AK467" s="540">
        <f t="shared" si="240"/>
        <v>30</v>
      </c>
      <c r="AL467" s="909">
        <f t="shared" si="241"/>
        <v>0</v>
      </c>
      <c r="AN467" s="539">
        <f t="shared" si="219"/>
        <v>0</v>
      </c>
      <c r="AT467" s="317"/>
      <c r="AU467" s="317"/>
    </row>
    <row r="468" spans="3:47" ht="13.15" customHeight="1" x14ac:dyDescent="0.2">
      <c r="C468" s="381"/>
      <c r="D468" s="895" t="str">
        <f>IF(op!D356=0,"",op!D356)</f>
        <v/>
      </c>
      <c r="E468" s="895" t="str">
        <f>IF(op!E356=0,"",op!E356)</f>
        <v/>
      </c>
      <c r="F468" s="390" t="str">
        <f>IF(op!F356="","",op!F356+1)</f>
        <v/>
      </c>
      <c r="G468" s="896" t="str">
        <f>IF(op!G356=0,"",op!G356)</f>
        <v/>
      </c>
      <c r="H468" s="390" t="str">
        <f>IF(op!H356="","",op!H356)</f>
        <v/>
      </c>
      <c r="I468" s="897" t="str">
        <f t="shared" si="228"/>
        <v/>
      </c>
      <c r="J468" s="898" t="str">
        <f>IF(op!J356="","",op!J356)</f>
        <v/>
      </c>
      <c r="K468" s="334"/>
      <c r="L468" s="1140" t="str">
        <f>IF(op!L356="","",op!L356)</f>
        <v/>
      </c>
      <c r="M468" s="1140" t="str">
        <f>IF(op!M356="","",op!M356)</f>
        <v/>
      </c>
      <c r="N468" s="899" t="str">
        <f t="shared" si="242"/>
        <v/>
      </c>
      <c r="O468" s="900" t="str">
        <f t="shared" si="243"/>
        <v/>
      </c>
      <c r="P468" s="901" t="str">
        <f t="shared" si="244"/>
        <v/>
      </c>
      <c r="Q468" s="568" t="str">
        <f t="shared" si="229"/>
        <v/>
      </c>
      <c r="R468" s="902" t="str">
        <f t="shared" si="245"/>
        <v/>
      </c>
      <c r="S468" s="903">
        <f t="shared" si="230"/>
        <v>0</v>
      </c>
      <c r="T468" s="334"/>
      <c r="X468" s="887" t="str">
        <f t="shared" si="231"/>
        <v/>
      </c>
      <c r="Y468" s="904">
        <f t="shared" si="232"/>
        <v>0.6</v>
      </c>
      <c r="Z468" s="905" t="e">
        <f t="shared" si="246"/>
        <v>#VALUE!</v>
      </c>
      <c r="AA468" s="905" t="e">
        <f t="shared" si="247"/>
        <v>#VALUE!</v>
      </c>
      <c r="AB468" s="905" t="e">
        <f t="shared" si="248"/>
        <v>#VALUE!</v>
      </c>
      <c r="AC468" s="906" t="e">
        <f t="shared" si="233"/>
        <v>#VALUE!</v>
      </c>
      <c r="AD468" s="907">
        <f t="shared" si="234"/>
        <v>0</v>
      </c>
      <c r="AE468" s="904">
        <f>IF(H468&gt;8,tab!C$194,tab!C$197)</f>
        <v>0.5</v>
      </c>
      <c r="AF468" s="907">
        <f t="shared" si="235"/>
        <v>0</v>
      </c>
      <c r="AG468" s="887">
        <f t="shared" si="236"/>
        <v>0</v>
      </c>
      <c r="AH468" s="908" t="e">
        <f t="shared" si="237"/>
        <v>#VALUE!</v>
      </c>
      <c r="AI468" s="815" t="e">
        <f t="shared" si="238"/>
        <v>#VALUE!</v>
      </c>
      <c r="AJ468" s="540">
        <f t="shared" si="239"/>
        <v>30</v>
      </c>
      <c r="AK468" s="540">
        <f t="shared" si="240"/>
        <v>30</v>
      </c>
      <c r="AL468" s="909">
        <f t="shared" si="241"/>
        <v>0</v>
      </c>
      <c r="AN468" s="539">
        <f t="shared" si="219"/>
        <v>0</v>
      </c>
      <c r="AT468" s="317"/>
      <c r="AU468" s="317"/>
    </row>
    <row r="469" spans="3:47" ht="13.15" customHeight="1" x14ac:dyDescent="0.2">
      <c r="C469" s="381"/>
      <c r="D469" s="895" t="str">
        <f>IF(op!D357=0,"",op!D357)</f>
        <v/>
      </c>
      <c r="E469" s="895" t="str">
        <f>IF(op!E357=0,"",op!E357)</f>
        <v/>
      </c>
      <c r="F469" s="390" t="str">
        <f>IF(op!F357="","",op!F357+1)</f>
        <v/>
      </c>
      <c r="G469" s="896" t="str">
        <f>IF(op!G357=0,"",op!G357)</f>
        <v/>
      </c>
      <c r="H469" s="390" t="str">
        <f>IF(op!H357="","",op!H357)</f>
        <v/>
      </c>
      <c r="I469" s="897" t="str">
        <f t="shared" si="228"/>
        <v/>
      </c>
      <c r="J469" s="898" t="str">
        <f>IF(op!J357="","",op!J357)</f>
        <v/>
      </c>
      <c r="K469" s="334"/>
      <c r="L469" s="1140" t="str">
        <f>IF(op!L357="","",op!L357)</f>
        <v/>
      </c>
      <c r="M469" s="1140" t="str">
        <f>IF(op!M357="","",op!M357)</f>
        <v/>
      </c>
      <c r="N469" s="899" t="str">
        <f t="shared" si="242"/>
        <v/>
      </c>
      <c r="O469" s="900" t="str">
        <f t="shared" si="243"/>
        <v/>
      </c>
      <c r="P469" s="901" t="str">
        <f t="shared" si="244"/>
        <v/>
      </c>
      <c r="Q469" s="568" t="str">
        <f t="shared" si="229"/>
        <v/>
      </c>
      <c r="R469" s="902" t="str">
        <f t="shared" si="245"/>
        <v/>
      </c>
      <c r="S469" s="903">
        <f t="shared" si="230"/>
        <v>0</v>
      </c>
      <c r="T469" s="334"/>
      <c r="X469" s="887" t="str">
        <f t="shared" si="231"/>
        <v/>
      </c>
      <c r="Y469" s="904">
        <f t="shared" si="232"/>
        <v>0.6</v>
      </c>
      <c r="Z469" s="905" t="e">
        <f t="shared" si="246"/>
        <v>#VALUE!</v>
      </c>
      <c r="AA469" s="905" t="e">
        <f t="shared" si="247"/>
        <v>#VALUE!</v>
      </c>
      <c r="AB469" s="905" t="e">
        <f t="shared" si="248"/>
        <v>#VALUE!</v>
      </c>
      <c r="AC469" s="906" t="e">
        <f t="shared" si="233"/>
        <v>#VALUE!</v>
      </c>
      <c r="AD469" s="907">
        <f t="shared" si="234"/>
        <v>0</v>
      </c>
      <c r="AE469" s="904">
        <f>IF(H469&gt;8,tab!C$194,tab!C$197)</f>
        <v>0.5</v>
      </c>
      <c r="AF469" s="907">
        <f t="shared" si="235"/>
        <v>0</v>
      </c>
      <c r="AG469" s="887">
        <f t="shared" si="236"/>
        <v>0</v>
      </c>
      <c r="AH469" s="908" t="e">
        <f t="shared" si="237"/>
        <v>#VALUE!</v>
      </c>
      <c r="AI469" s="815" t="e">
        <f t="shared" si="238"/>
        <v>#VALUE!</v>
      </c>
      <c r="AJ469" s="540">
        <f t="shared" si="239"/>
        <v>30</v>
      </c>
      <c r="AK469" s="540">
        <f t="shared" si="240"/>
        <v>30</v>
      </c>
      <c r="AL469" s="909">
        <f t="shared" si="241"/>
        <v>0</v>
      </c>
      <c r="AN469" s="539">
        <f t="shared" si="219"/>
        <v>0</v>
      </c>
      <c r="AT469" s="317"/>
      <c r="AU469" s="317"/>
    </row>
    <row r="470" spans="3:47" ht="13.15" customHeight="1" x14ac:dyDescent="0.2">
      <c r="C470" s="381"/>
      <c r="D470" s="895" t="str">
        <f>IF(op!D358=0,"",op!D358)</f>
        <v/>
      </c>
      <c r="E470" s="895" t="str">
        <f>IF(op!E358=0,"",op!E358)</f>
        <v/>
      </c>
      <c r="F470" s="390" t="str">
        <f>IF(op!F358="","",op!F358+1)</f>
        <v/>
      </c>
      <c r="G470" s="896" t="str">
        <f>IF(op!G358=0,"",op!G358)</f>
        <v/>
      </c>
      <c r="H470" s="390" t="str">
        <f>IF(op!H358="","",op!H358)</f>
        <v/>
      </c>
      <c r="I470" s="897" t="str">
        <f t="shared" si="228"/>
        <v/>
      </c>
      <c r="J470" s="898" t="str">
        <f>IF(op!J358="","",op!J358)</f>
        <v/>
      </c>
      <c r="K470" s="334"/>
      <c r="L470" s="1140" t="str">
        <f>IF(op!L358="","",op!L358)</f>
        <v/>
      </c>
      <c r="M470" s="1140" t="str">
        <f>IF(op!M358="","",op!M358)</f>
        <v/>
      </c>
      <c r="N470" s="899" t="str">
        <f t="shared" si="242"/>
        <v/>
      </c>
      <c r="O470" s="900" t="str">
        <f t="shared" si="243"/>
        <v/>
      </c>
      <c r="P470" s="901" t="str">
        <f t="shared" si="244"/>
        <v/>
      </c>
      <c r="Q470" s="568" t="str">
        <f t="shared" si="229"/>
        <v/>
      </c>
      <c r="R470" s="902" t="str">
        <f t="shared" si="245"/>
        <v/>
      </c>
      <c r="S470" s="903">
        <f t="shared" si="230"/>
        <v>0</v>
      </c>
      <c r="T470" s="334"/>
      <c r="X470" s="887" t="str">
        <f t="shared" si="231"/>
        <v/>
      </c>
      <c r="Y470" s="904">
        <f t="shared" si="232"/>
        <v>0.6</v>
      </c>
      <c r="Z470" s="905" t="e">
        <f t="shared" si="246"/>
        <v>#VALUE!</v>
      </c>
      <c r="AA470" s="905" t="e">
        <f t="shared" si="247"/>
        <v>#VALUE!</v>
      </c>
      <c r="AB470" s="905" t="e">
        <f t="shared" si="248"/>
        <v>#VALUE!</v>
      </c>
      <c r="AC470" s="906" t="e">
        <f t="shared" si="233"/>
        <v>#VALUE!</v>
      </c>
      <c r="AD470" s="907">
        <f t="shared" si="234"/>
        <v>0</v>
      </c>
      <c r="AE470" s="904">
        <f>IF(H470&gt;8,tab!C$194,tab!C$197)</f>
        <v>0.5</v>
      </c>
      <c r="AF470" s="907">
        <f t="shared" si="235"/>
        <v>0</v>
      </c>
      <c r="AG470" s="887">
        <f t="shared" si="236"/>
        <v>0</v>
      </c>
      <c r="AH470" s="908" t="e">
        <f t="shared" si="237"/>
        <v>#VALUE!</v>
      </c>
      <c r="AI470" s="815" t="e">
        <f t="shared" si="238"/>
        <v>#VALUE!</v>
      </c>
      <c r="AJ470" s="540">
        <f t="shared" si="239"/>
        <v>30</v>
      </c>
      <c r="AK470" s="540">
        <f t="shared" si="240"/>
        <v>30</v>
      </c>
      <c r="AL470" s="909">
        <f t="shared" si="241"/>
        <v>0</v>
      </c>
      <c r="AN470" s="539">
        <f t="shared" si="219"/>
        <v>0</v>
      </c>
      <c r="AT470" s="317"/>
      <c r="AU470" s="317"/>
    </row>
    <row r="471" spans="3:47" ht="13.15" customHeight="1" x14ac:dyDescent="0.2">
      <c r="C471" s="381"/>
      <c r="D471" s="895" t="str">
        <f>IF(op!D359=0,"",op!D359)</f>
        <v/>
      </c>
      <c r="E471" s="895" t="str">
        <f>IF(op!E359=0,"",op!E359)</f>
        <v/>
      </c>
      <c r="F471" s="390" t="str">
        <f>IF(op!F359="","",op!F359+1)</f>
        <v/>
      </c>
      <c r="G471" s="896" t="str">
        <f>IF(op!G359=0,"",op!G359)</f>
        <v/>
      </c>
      <c r="H471" s="390" t="str">
        <f>IF(op!H359="","",op!H359)</f>
        <v/>
      </c>
      <c r="I471" s="897" t="str">
        <f t="shared" si="228"/>
        <v/>
      </c>
      <c r="J471" s="898" t="str">
        <f>IF(op!J359="","",op!J359)</f>
        <v/>
      </c>
      <c r="K471" s="334"/>
      <c r="L471" s="1140" t="str">
        <f>IF(op!L359="","",op!L359)</f>
        <v/>
      </c>
      <c r="M471" s="1140" t="str">
        <f>IF(op!M359="","",op!M359)</f>
        <v/>
      </c>
      <c r="N471" s="899" t="str">
        <f t="shared" si="242"/>
        <v/>
      </c>
      <c r="O471" s="900" t="str">
        <f t="shared" si="243"/>
        <v/>
      </c>
      <c r="P471" s="901" t="str">
        <f t="shared" si="244"/>
        <v/>
      </c>
      <c r="Q471" s="568" t="str">
        <f t="shared" si="229"/>
        <v/>
      </c>
      <c r="R471" s="902" t="str">
        <f t="shared" si="245"/>
        <v/>
      </c>
      <c r="S471" s="903">
        <f t="shared" si="230"/>
        <v>0</v>
      </c>
      <c r="T471" s="334"/>
      <c r="X471" s="887" t="str">
        <f t="shared" si="231"/>
        <v/>
      </c>
      <c r="Y471" s="904">
        <f t="shared" si="232"/>
        <v>0.6</v>
      </c>
      <c r="Z471" s="905" t="e">
        <f t="shared" si="246"/>
        <v>#VALUE!</v>
      </c>
      <c r="AA471" s="905" t="e">
        <f t="shared" si="247"/>
        <v>#VALUE!</v>
      </c>
      <c r="AB471" s="905" t="e">
        <f t="shared" si="248"/>
        <v>#VALUE!</v>
      </c>
      <c r="AC471" s="906" t="e">
        <f t="shared" si="233"/>
        <v>#VALUE!</v>
      </c>
      <c r="AD471" s="907">
        <f t="shared" si="234"/>
        <v>0</v>
      </c>
      <c r="AE471" s="904">
        <f>IF(H471&gt;8,tab!C$194,tab!C$197)</f>
        <v>0.5</v>
      </c>
      <c r="AF471" s="907">
        <f t="shared" si="235"/>
        <v>0</v>
      </c>
      <c r="AG471" s="887">
        <f t="shared" si="236"/>
        <v>0</v>
      </c>
      <c r="AH471" s="908" t="e">
        <f t="shared" si="237"/>
        <v>#VALUE!</v>
      </c>
      <c r="AI471" s="815" t="e">
        <f t="shared" si="238"/>
        <v>#VALUE!</v>
      </c>
      <c r="AJ471" s="540">
        <f t="shared" si="239"/>
        <v>30</v>
      </c>
      <c r="AK471" s="540">
        <f t="shared" si="240"/>
        <v>30</v>
      </c>
      <c r="AL471" s="909">
        <f t="shared" si="241"/>
        <v>0</v>
      </c>
      <c r="AN471" s="539">
        <f t="shared" si="219"/>
        <v>0</v>
      </c>
      <c r="AT471" s="317"/>
      <c r="AU471" s="317"/>
    </row>
    <row r="472" spans="3:47" ht="13.15" customHeight="1" x14ac:dyDescent="0.2">
      <c r="C472" s="381"/>
      <c r="D472" s="895" t="str">
        <f>IF(op!D360=0,"",op!D360)</f>
        <v/>
      </c>
      <c r="E472" s="895" t="str">
        <f>IF(op!E360=0,"",op!E360)</f>
        <v/>
      </c>
      <c r="F472" s="390" t="str">
        <f>IF(op!F360="","",op!F360+1)</f>
        <v/>
      </c>
      <c r="G472" s="896" t="str">
        <f>IF(op!G360=0,"",op!G360)</f>
        <v/>
      </c>
      <c r="H472" s="390" t="str">
        <f>IF(op!H360="","",op!H360)</f>
        <v/>
      </c>
      <c r="I472" s="897" t="str">
        <f t="shared" si="228"/>
        <v/>
      </c>
      <c r="J472" s="898" t="str">
        <f>IF(op!J360="","",op!J360)</f>
        <v/>
      </c>
      <c r="K472" s="334"/>
      <c r="L472" s="1140" t="str">
        <f>IF(op!L360="","",op!L360)</f>
        <v/>
      </c>
      <c r="M472" s="1140" t="str">
        <f>IF(op!M360="","",op!M360)</f>
        <v/>
      </c>
      <c r="N472" s="899" t="str">
        <f t="shared" si="242"/>
        <v/>
      </c>
      <c r="O472" s="900" t="str">
        <f t="shared" si="243"/>
        <v/>
      </c>
      <c r="P472" s="901" t="str">
        <f t="shared" si="244"/>
        <v/>
      </c>
      <c r="Q472" s="568" t="str">
        <f t="shared" si="229"/>
        <v/>
      </c>
      <c r="R472" s="902" t="str">
        <f t="shared" si="245"/>
        <v/>
      </c>
      <c r="S472" s="903">
        <f t="shared" si="230"/>
        <v>0</v>
      </c>
      <c r="T472" s="334"/>
      <c r="X472" s="887" t="str">
        <f t="shared" si="231"/>
        <v/>
      </c>
      <c r="Y472" s="904">
        <f t="shared" si="232"/>
        <v>0.6</v>
      </c>
      <c r="Z472" s="905" t="e">
        <f t="shared" si="246"/>
        <v>#VALUE!</v>
      </c>
      <c r="AA472" s="905" t="e">
        <f t="shared" si="247"/>
        <v>#VALUE!</v>
      </c>
      <c r="AB472" s="905" t="e">
        <f t="shared" si="248"/>
        <v>#VALUE!</v>
      </c>
      <c r="AC472" s="906" t="e">
        <f t="shared" si="233"/>
        <v>#VALUE!</v>
      </c>
      <c r="AD472" s="907">
        <f t="shared" si="234"/>
        <v>0</v>
      </c>
      <c r="AE472" s="904">
        <f>IF(H472&gt;8,tab!C$194,tab!C$197)</f>
        <v>0.5</v>
      </c>
      <c r="AF472" s="907">
        <f t="shared" si="235"/>
        <v>0</v>
      </c>
      <c r="AG472" s="887">
        <f t="shared" si="236"/>
        <v>0</v>
      </c>
      <c r="AH472" s="908" t="e">
        <f t="shared" si="237"/>
        <v>#VALUE!</v>
      </c>
      <c r="AI472" s="815" t="e">
        <f t="shared" si="238"/>
        <v>#VALUE!</v>
      </c>
      <c r="AJ472" s="540">
        <f t="shared" si="239"/>
        <v>30</v>
      </c>
      <c r="AK472" s="540">
        <f t="shared" si="240"/>
        <v>30</v>
      </c>
      <c r="AL472" s="909">
        <f t="shared" si="241"/>
        <v>0</v>
      </c>
      <c r="AN472" s="539">
        <f t="shared" si="219"/>
        <v>0</v>
      </c>
      <c r="AT472" s="317"/>
      <c r="AU472" s="317"/>
    </row>
    <row r="473" spans="3:47" ht="13.15" customHeight="1" x14ac:dyDescent="0.2">
      <c r="C473" s="381"/>
      <c r="D473" s="895" t="str">
        <f>IF(op!D361=0,"",op!D361)</f>
        <v/>
      </c>
      <c r="E473" s="895" t="str">
        <f>IF(op!E361=0,"",op!E361)</f>
        <v/>
      </c>
      <c r="F473" s="390" t="str">
        <f>IF(op!F361="","",op!F361+1)</f>
        <v/>
      </c>
      <c r="G473" s="896" t="str">
        <f>IF(op!G361=0,"",op!G361)</f>
        <v/>
      </c>
      <c r="H473" s="390" t="str">
        <f>IF(op!H361="","",op!H361)</f>
        <v/>
      </c>
      <c r="I473" s="897" t="str">
        <f t="shared" si="228"/>
        <v/>
      </c>
      <c r="J473" s="898" t="str">
        <f>IF(op!J361="","",op!J361)</f>
        <v/>
      </c>
      <c r="K473" s="334"/>
      <c r="L473" s="1140" t="str">
        <f>IF(op!L361="","",op!L361)</f>
        <v/>
      </c>
      <c r="M473" s="1140" t="str">
        <f>IF(op!M361="","",op!M361)</f>
        <v/>
      </c>
      <c r="N473" s="899" t="str">
        <f t="shared" si="242"/>
        <v/>
      </c>
      <c r="O473" s="900" t="str">
        <f t="shared" si="243"/>
        <v/>
      </c>
      <c r="P473" s="901" t="str">
        <f t="shared" si="244"/>
        <v/>
      </c>
      <c r="Q473" s="568" t="str">
        <f t="shared" si="229"/>
        <v/>
      </c>
      <c r="R473" s="902" t="str">
        <f t="shared" si="245"/>
        <v/>
      </c>
      <c r="S473" s="903">
        <f t="shared" si="230"/>
        <v>0</v>
      </c>
      <c r="T473" s="334"/>
      <c r="X473" s="887" t="str">
        <f t="shared" si="231"/>
        <v/>
      </c>
      <c r="Y473" s="904">
        <f t="shared" si="232"/>
        <v>0.6</v>
      </c>
      <c r="Z473" s="905" t="e">
        <f t="shared" si="246"/>
        <v>#VALUE!</v>
      </c>
      <c r="AA473" s="905" t="e">
        <f t="shared" si="247"/>
        <v>#VALUE!</v>
      </c>
      <c r="AB473" s="905" t="e">
        <f t="shared" si="248"/>
        <v>#VALUE!</v>
      </c>
      <c r="AC473" s="906" t="e">
        <f t="shared" si="233"/>
        <v>#VALUE!</v>
      </c>
      <c r="AD473" s="907">
        <f t="shared" si="234"/>
        <v>0</v>
      </c>
      <c r="AE473" s="904">
        <f>IF(H473&gt;8,tab!C$194,tab!C$197)</f>
        <v>0.5</v>
      </c>
      <c r="AF473" s="907">
        <f t="shared" si="235"/>
        <v>0</v>
      </c>
      <c r="AG473" s="887">
        <f t="shared" si="236"/>
        <v>0</v>
      </c>
      <c r="AH473" s="908" t="e">
        <f t="shared" si="237"/>
        <v>#VALUE!</v>
      </c>
      <c r="AI473" s="815" t="e">
        <f t="shared" si="238"/>
        <v>#VALUE!</v>
      </c>
      <c r="AJ473" s="540">
        <f t="shared" si="239"/>
        <v>30</v>
      </c>
      <c r="AK473" s="540">
        <f t="shared" si="240"/>
        <v>30</v>
      </c>
      <c r="AL473" s="909">
        <f t="shared" si="241"/>
        <v>0</v>
      </c>
      <c r="AN473" s="539">
        <f t="shared" si="219"/>
        <v>0</v>
      </c>
      <c r="AT473" s="317"/>
      <c r="AU473" s="317"/>
    </row>
    <row r="474" spans="3:47" ht="13.15" customHeight="1" x14ac:dyDescent="0.2">
      <c r="C474" s="381"/>
      <c r="D474" s="895" t="str">
        <f>IF(op!D362=0,"",op!D362)</f>
        <v/>
      </c>
      <c r="E474" s="895" t="str">
        <f>IF(op!E362=0,"",op!E362)</f>
        <v/>
      </c>
      <c r="F474" s="390" t="str">
        <f>IF(op!F362="","",op!F362+1)</f>
        <v/>
      </c>
      <c r="G474" s="896" t="str">
        <f>IF(op!G362=0,"",op!G362)</f>
        <v/>
      </c>
      <c r="H474" s="390" t="str">
        <f>IF(op!H362="","",op!H362)</f>
        <v/>
      </c>
      <c r="I474" s="897" t="str">
        <f t="shared" si="228"/>
        <v/>
      </c>
      <c r="J474" s="898" t="str">
        <f>IF(op!J362="","",op!J362)</f>
        <v/>
      </c>
      <c r="K474" s="334"/>
      <c r="L474" s="1140" t="str">
        <f>IF(op!L362="","",op!L362)</f>
        <v/>
      </c>
      <c r="M474" s="1140" t="str">
        <f>IF(op!M362="","",op!M362)</f>
        <v/>
      </c>
      <c r="N474" s="899" t="str">
        <f t="shared" si="242"/>
        <v/>
      </c>
      <c r="O474" s="900" t="str">
        <f t="shared" si="243"/>
        <v/>
      </c>
      <c r="P474" s="901" t="str">
        <f t="shared" si="244"/>
        <v/>
      </c>
      <c r="Q474" s="568" t="str">
        <f t="shared" si="229"/>
        <v/>
      </c>
      <c r="R474" s="902" t="str">
        <f t="shared" si="245"/>
        <v/>
      </c>
      <c r="S474" s="903">
        <f t="shared" si="230"/>
        <v>0</v>
      </c>
      <c r="T474" s="334"/>
      <c r="X474" s="887" t="str">
        <f t="shared" si="231"/>
        <v/>
      </c>
      <c r="Y474" s="904">
        <f t="shared" si="232"/>
        <v>0.6</v>
      </c>
      <c r="Z474" s="905" t="e">
        <f t="shared" si="246"/>
        <v>#VALUE!</v>
      </c>
      <c r="AA474" s="905" t="e">
        <f t="shared" si="247"/>
        <v>#VALUE!</v>
      </c>
      <c r="AB474" s="905" t="e">
        <f t="shared" si="248"/>
        <v>#VALUE!</v>
      </c>
      <c r="AC474" s="906" t="e">
        <f t="shared" si="233"/>
        <v>#VALUE!</v>
      </c>
      <c r="AD474" s="907">
        <f t="shared" si="234"/>
        <v>0</v>
      </c>
      <c r="AE474" s="904">
        <f>IF(H474&gt;8,tab!C$194,tab!C$197)</f>
        <v>0.5</v>
      </c>
      <c r="AF474" s="907">
        <f t="shared" si="235"/>
        <v>0</v>
      </c>
      <c r="AG474" s="887">
        <f t="shared" si="236"/>
        <v>0</v>
      </c>
      <c r="AH474" s="908" t="e">
        <f t="shared" si="237"/>
        <v>#VALUE!</v>
      </c>
      <c r="AI474" s="815" t="e">
        <f t="shared" si="238"/>
        <v>#VALUE!</v>
      </c>
      <c r="AJ474" s="540">
        <f t="shared" si="239"/>
        <v>30</v>
      </c>
      <c r="AK474" s="540">
        <f t="shared" si="240"/>
        <v>30</v>
      </c>
      <c r="AL474" s="909">
        <f t="shared" si="241"/>
        <v>0</v>
      </c>
      <c r="AN474" s="539">
        <f t="shared" si="219"/>
        <v>0</v>
      </c>
      <c r="AT474" s="317"/>
      <c r="AU474" s="317"/>
    </row>
    <row r="475" spans="3:47" ht="13.15" customHeight="1" x14ac:dyDescent="0.2">
      <c r="C475" s="381"/>
      <c r="D475" s="895" t="str">
        <f>IF(op!D363=0,"",op!D363)</f>
        <v/>
      </c>
      <c r="E475" s="895" t="str">
        <f>IF(op!E363=0,"",op!E363)</f>
        <v/>
      </c>
      <c r="F475" s="390" t="str">
        <f>IF(op!F363="","",op!F363+1)</f>
        <v/>
      </c>
      <c r="G475" s="896" t="str">
        <f>IF(op!G363=0,"",op!G363)</f>
        <v/>
      </c>
      <c r="H475" s="390" t="str">
        <f>IF(op!H363="","",op!H363)</f>
        <v/>
      </c>
      <c r="I475" s="897" t="str">
        <f t="shared" si="228"/>
        <v/>
      </c>
      <c r="J475" s="898" t="str">
        <f>IF(op!J363="","",op!J363)</f>
        <v/>
      </c>
      <c r="K475" s="334"/>
      <c r="L475" s="1140" t="str">
        <f>IF(op!L363="","",op!L363)</f>
        <v/>
      </c>
      <c r="M475" s="1140" t="str">
        <f>IF(op!M363="","",op!M363)</f>
        <v/>
      </c>
      <c r="N475" s="899" t="str">
        <f t="shared" si="242"/>
        <v/>
      </c>
      <c r="O475" s="900" t="str">
        <f t="shared" si="243"/>
        <v/>
      </c>
      <c r="P475" s="901" t="str">
        <f t="shared" si="244"/>
        <v/>
      </c>
      <c r="Q475" s="568" t="str">
        <f t="shared" si="229"/>
        <v/>
      </c>
      <c r="R475" s="902" t="str">
        <f t="shared" si="245"/>
        <v/>
      </c>
      <c r="S475" s="903">
        <f t="shared" si="230"/>
        <v>0</v>
      </c>
      <c r="T475" s="334"/>
      <c r="X475" s="887" t="str">
        <f t="shared" si="231"/>
        <v/>
      </c>
      <c r="Y475" s="904">
        <f t="shared" si="232"/>
        <v>0.6</v>
      </c>
      <c r="Z475" s="905" t="e">
        <f t="shared" si="246"/>
        <v>#VALUE!</v>
      </c>
      <c r="AA475" s="905" t="e">
        <f t="shared" si="247"/>
        <v>#VALUE!</v>
      </c>
      <c r="AB475" s="905" t="e">
        <f t="shared" si="248"/>
        <v>#VALUE!</v>
      </c>
      <c r="AC475" s="906" t="e">
        <f t="shared" si="233"/>
        <v>#VALUE!</v>
      </c>
      <c r="AD475" s="907">
        <f t="shared" si="234"/>
        <v>0</v>
      </c>
      <c r="AE475" s="904">
        <f>IF(H475&gt;8,tab!C$194,tab!C$197)</f>
        <v>0.5</v>
      </c>
      <c r="AF475" s="907">
        <f t="shared" si="235"/>
        <v>0</v>
      </c>
      <c r="AG475" s="887">
        <f t="shared" si="236"/>
        <v>0</v>
      </c>
      <c r="AH475" s="908" t="e">
        <f t="shared" si="237"/>
        <v>#VALUE!</v>
      </c>
      <c r="AI475" s="815" t="e">
        <f t="shared" si="238"/>
        <v>#VALUE!</v>
      </c>
      <c r="AJ475" s="540">
        <f t="shared" si="239"/>
        <v>30</v>
      </c>
      <c r="AK475" s="540">
        <f t="shared" si="240"/>
        <v>30</v>
      </c>
      <c r="AL475" s="909">
        <f t="shared" si="241"/>
        <v>0</v>
      </c>
      <c r="AN475" s="539">
        <f t="shared" si="219"/>
        <v>0</v>
      </c>
      <c r="AT475" s="317"/>
      <c r="AU475" s="317"/>
    </row>
    <row r="476" spans="3:47" ht="13.15" customHeight="1" x14ac:dyDescent="0.2">
      <c r="C476" s="381"/>
      <c r="D476" s="895" t="str">
        <f>IF(op!D364=0,"",op!D364)</f>
        <v/>
      </c>
      <c r="E476" s="895" t="str">
        <f>IF(op!E364=0,"",op!E364)</f>
        <v/>
      </c>
      <c r="F476" s="390" t="str">
        <f>IF(op!F364="","",op!F364+1)</f>
        <v/>
      </c>
      <c r="G476" s="896" t="str">
        <f>IF(op!G364=0,"",op!G364)</f>
        <v/>
      </c>
      <c r="H476" s="390" t="str">
        <f>IF(op!H364="","",op!H364)</f>
        <v/>
      </c>
      <c r="I476" s="897" t="str">
        <f t="shared" si="228"/>
        <v/>
      </c>
      <c r="J476" s="898" t="str">
        <f>IF(op!J364="","",op!J364)</f>
        <v/>
      </c>
      <c r="K476" s="334"/>
      <c r="L476" s="1140" t="str">
        <f>IF(op!L364="","",op!L364)</f>
        <v/>
      </c>
      <c r="M476" s="1140" t="str">
        <f>IF(op!M364="","",op!M364)</f>
        <v/>
      </c>
      <c r="N476" s="899" t="str">
        <f t="shared" si="242"/>
        <v/>
      </c>
      <c r="O476" s="900" t="str">
        <f t="shared" si="243"/>
        <v/>
      </c>
      <c r="P476" s="901" t="str">
        <f t="shared" si="244"/>
        <v/>
      </c>
      <c r="Q476" s="568" t="str">
        <f t="shared" si="229"/>
        <v/>
      </c>
      <c r="R476" s="902" t="str">
        <f t="shared" si="245"/>
        <v/>
      </c>
      <c r="S476" s="903">
        <f t="shared" si="230"/>
        <v>0</v>
      </c>
      <c r="T476" s="334"/>
      <c r="X476" s="887" t="str">
        <f t="shared" si="231"/>
        <v/>
      </c>
      <c r="Y476" s="904">
        <f t="shared" si="232"/>
        <v>0.6</v>
      </c>
      <c r="Z476" s="905" t="e">
        <f t="shared" si="246"/>
        <v>#VALUE!</v>
      </c>
      <c r="AA476" s="905" t="e">
        <f t="shared" si="247"/>
        <v>#VALUE!</v>
      </c>
      <c r="AB476" s="905" t="e">
        <f t="shared" si="248"/>
        <v>#VALUE!</v>
      </c>
      <c r="AC476" s="906" t="e">
        <f t="shared" si="233"/>
        <v>#VALUE!</v>
      </c>
      <c r="AD476" s="907">
        <f t="shared" si="234"/>
        <v>0</v>
      </c>
      <c r="AE476" s="904">
        <f>IF(H476&gt;8,tab!C$194,tab!C$197)</f>
        <v>0.5</v>
      </c>
      <c r="AF476" s="907">
        <f t="shared" si="235"/>
        <v>0</v>
      </c>
      <c r="AG476" s="887">
        <f t="shared" si="236"/>
        <v>0</v>
      </c>
      <c r="AH476" s="908" t="e">
        <f t="shared" si="237"/>
        <v>#VALUE!</v>
      </c>
      <c r="AI476" s="815" t="e">
        <f t="shared" si="238"/>
        <v>#VALUE!</v>
      </c>
      <c r="AJ476" s="540">
        <f t="shared" si="239"/>
        <v>30</v>
      </c>
      <c r="AK476" s="540">
        <f t="shared" si="240"/>
        <v>30</v>
      </c>
      <c r="AL476" s="909">
        <f t="shared" si="241"/>
        <v>0</v>
      </c>
      <c r="AN476" s="539">
        <f t="shared" si="219"/>
        <v>0</v>
      </c>
      <c r="AT476" s="317"/>
      <c r="AU476" s="317"/>
    </row>
    <row r="477" spans="3:47" ht="13.15" customHeight="1" x14ac:dyDescent="0.2">
      <c r="C477" s="381"/>
      <c r="D477" s="895" t="str">
        <f>IF(op!D365=0,"",op!D365)</f>
        <v/>
      </c>
      <c r="E477" s="895" t="str">
        <f>IF(op!E365=0,"",op!E365)</f>
        <v/>
      </c>
      <c r="F477" s="390" t="str">
        <f>IF(op!F365="","",op!F365+1)</f>
        <v/>
      </c>
      <c r="G477" s="896" t="str">
        <f>IF(op!G365=0,"",op!G365)</f>
        <v/>
      </c>
      <c r="H477" s="390" t="str">
        <f>IF(op!H365="","",op!H365)</f>
        <v/>
      </c>
      <c r="I477" s="897" t="str">
        <f t="shared" si="228"/>
        <v/>
      </c>
      <c r="J477" s="898" t="str">
        <f>IF(op!J365="","",op!J365)</f>
        <v/>
      </c>
      <c r="K477" s="334"/>
      <c r="L477" s="1140" t="str">
        <f>IF(op!L365="","",op!L365)</f>
        <v/>
      </c>
      <c r="M477" s="1140" t="str">
        <f>IF(op!M365="","",op!M365)</f>
        <v/>
      </c>
      <c r="N477" s="899" t="str">
        <f t="shared" si="242"/>
        <v/>
      </c>
      <c r="O477" s="900" t="str">
        <f t="shared" si="243"/>
        <v/>
      </c>
      <c r="P477" s="901" t="str">
        <f t="shared" si="244"/>
        <v/>
      </c>
      <c r="Q477" s="568" t="str">
        <f t="shared" si="229"/>
        <v/>
      </c>
      <c r="R477" s="902" t="str">
        <f t="shared" si="245"/>
        <v/>
      </c>
      <c r="S477" s="903">
        <f t="shared" si="230"/>
        <v>0</v>
      </c>
      <c r="T477" s="334"/>
      <c r="X477" s="887" t="str">
        <f t="shared" si="231"/>
        <v/>
      </c>
      <c r="Y477" s="904">
        <f t="shared" si="232"/>
        <v>0.6</v>
      </c>
      <c r="Z477" s="905" t="e">
        <f t="shared" si="246"/>
        <v>#VALUE!</v>
      </c>
      <c r="AA477" s="905" t="e">
        <f t="shared" si="247"/>
        <v>#VALUE!</v>
      </c>
      <c r="AB477" s="905" t="e">
        <f t="shared" si="248"/>
        <v>#VALUE!</v>
      </c>
      <c r="AC477" s="906" t="e">
        <f t="shared" si="233"/>
        <v>#VALUE!</v>
      </c>
      <c r="AD477" s="907">
        <f t="shared" si="234"/>
        <v>0</v>
      </c>
      <c r="AE477" s="904">
        <f>IF(H477&gt;8,tab!C$194,tab!C$197)</f>
        <v>0.5</v>
      </c>
      <c r="AF477" s="907">
        <f t="shared" si="235"/>
        <v>0</v>
      </c>
      <c r="AG477" s="887">
        <f t="shared" si="236"/>
        <v>0</v>
      </c>
      <c r="AH477" s="908" t="e">
        <f t="shared" si="237"/>
        <v>#VALUE!</v>
      </c>
      <c r="AI477" s="815" t="e">
        <f t="shared" si="238"/>
        <v>#VALUE!</v>
      </c>
      <c r="AJ477" s="540">
        <f t="shared" si="239"/>
        <v>30</v>
      </c>
      <c r="AK477" s="540">
        <f t="shared" si="240"/>
        <v>30</v>
      </c>
      <c r="AL477" s="909">
        <f t="shared" si="241"/>
        <v>0</v>
      </c>
      <c r="AN477" s="539">
        <f t="shared" si="219"/>
        <v>0</v>
      </c>
      <c r="AT477" s="317"/>
      <c r="AU477" s="317"/>
    </row>
    <row r="478" spans="3:47" ht="13.15" customHeight="1" x14ac:dyDescent="0.2">
      <c r="C478" s="381"/>
      <c r="D478" s="895" t="str">
        <f>IF(op!D366=0,"",op!D366)</f>
        <v/>
      </c>
      <c r="E478" s="895" t="str">
        <f>IF(op!E366=0,"",op!E366)</f>
        <v/>
      </c>
      <c r="F478" s="390" t="str">
        <f>IF(op!F366="","",op!F366+1)</f>
        <v/>
      </c>
      <c r="G478" s="896" t="str">
        <f>IF(op!G366=0,"",op!G366)</f>
        <v/>
      </c>
      <c r="H478" s="390" t="str">
        <f>IF(op!H366="","",op!H366)</f>
        <v/>
      </c>
      <c r="I478" s="897" t="str">
        <f t="shared" si="228"/>
        <v/>
      </c>
      <c r="J478" s="898" t="str">
        <f>IF(op!J366="","",op!J366)</f>
        <v/>
      </c>
      <c r="K478" s="334"/>
      <c r="L478" s="1140" t="str">
        <f>IF(op!L366="","",op!L366)</f>
        <v/>
      </c>
      <c r="M478" s="1140" t="str">
        <f>IF(op!M366="","",op!M366)</f>
        <v/>
      </c>
      <c r="N478" s="899" t="str">
        <f t="shared" si="242"/>
        <v/>
      </c>
      <c r="O478" s="900" t="str">
        <f t="shared" si="243"/>
        <v/>
      </c>
      <c r="P478" s="901" t="str">
        <f t="shared" si="244"/>
        <v/>
      </c>
      <c r="Q478" s="568" t="str">
        <f t="shared" si="229"/>
        <v/>
      </c>
      <c r="R478" s="902" t="str">
        <f t="shared" si="245"/>
        <v/>
      </c>
      <c r="S478" s="903">
        <f t="shared" si="230"/>
        <v>0</v>
      </c>
      <c r="T478" s="334"/>
      <c r="X478" s="887" t="str">
        <f t="shared" si="231"/>
        <v/>
      </c>
      <c r="Y478" s="904">
        <f t="shared" si="232"/>
        <v>0.6</v>
      </c>
      <c r="Z478" s="905" t="e">
        <f t="shared" si="246"/>
        <v>#VALUE!</v>
      </c>
      <c r="AA478" s="905" t="e">
        <f t="shared" si="247"/>
        <v>#VALUE!</v>
      </c>
      <c r="AB478" s="905" t="e">
        <f t="shared" si="248"/>
        <v>#VALUE!</v>
      </c>
      <c r="AC478" s="906" t="e">
        <f t="shared" si="233"/>
        <v>#VALUE!</v>
      </c>
      <c r="AD478" s="907">
        <f t="shared" si="234"/>
        <v>0</v>
      </c>
      <c r="AE478" s="904">
        <f>IF(H478&gt;8,tab!C$194,tab!C$197)</f>
        <v>0.5</v>
      </c>
      <c r="AF478" s="907">
        <f t="shared" si="235"/>
        <v>0</v>
      </c>
      <c r="AG478" s="887">
        <f t="shared" si="236"/>
        <v>0</v>
      </c>
      <c r="AH478" s="908" t="e">
        <f t="shared" si="237"/>
        <v>#VALUE!</v>
      </c>
      <c r="AI478" s="815" t="e">
        <f t="shared" si="238"/>
        <v>#VALUE!</v>
      </c>
      <c r="AJ478" s="540">
        <f t="shared" si="239"/>
        <v>30</v>
      </c>
      <c r="AK478" s="540">
        <f t="shared" si="240"/>
        <v>30</v>
      </c>
      <c r="AL478" s="909">
        <f t="shared" si="241"/>
        <v>0</v>
      </c>
      <c r="AN478" s="539">
        <f t="shared" si="219"/>
        <v>0</v>
      </c>
      <c r="AT478" s="317"/>
      <c r="AU478" s="317"/>
    </row>
    <row r="479" spans="3:47" ht="13.15" customHeight="1" x14ac:dyDescent="0.2">
      <c r="C479" s="381"/>
      <c r="D479" s="895" t="str">
        <f>IF(op!D367=0,"",op!D367)</f>
        <v/>
      </c>
      <c r="E479" s="895" t="str">
        <f>IF(op!E367=0,"",op!E367)</f>
        <v/>
      </c>
      <c r="F479" s="390" t="str">
        <f>IF(op!F367="","",op!F367+1)</f>
        <v/>
      </c>
      <c r="G479" s="896" t="str">
        <f>IF(op!G367=0,"",op!G367)</f>
        <v/>
      </c>
      <c r="H479" s="390" t="str">
        <f>IF(op!H367="","",op!H367)</f>
        <v/>
      </c>
      <c r="I479" s="897" t="str">
        <f t="shared" si="228"/>
        <v/>
      </c>
      <c r="J479" s="898" t="str">
        <f>IF(op!J367="","",op!J367)</f>
        <v/>
      </c>
      <c r="K479" s="334"/>
      <c r="L479" s="1140" t="str">
        <f>IF(op!L367="","",op!L367)</f>
        <v/>
      </c>
      <c r="M479" s="1140" t="str">
        <f>IF(op!M367="","",op!M367)</f>
        <v/>
      </c>
      <c r="N479" s="899" t="str">
        <f t="shared" si="242"/>
        <v/>
      </c>
      <c r="O479" s="900" t="str">
        <f t="shared" si="243"/>
        <v/>
      </c>
      <c r="P479" s="901" t="str">
        <f t="shared" si="244"/>
        <v/>
      </c>
      <c r="Q479" s="568" t="str">
        <f t="shared" si="229"/>
        <v/>
      </c>
      <c r="R479" s="902" t="str">
        <f t="shared" si="245"/>
        <v/>
      </c>
      <c r="S479" s="903">
        <f t="shared" si="230"/>
        <v>0</v>
      </c>
      <c r="T479" s="334"/>
      <c r="X479" s="887" t="str">
        <f t="shared" si="231"/>
        <v/>
      </c>
      <c r="Y479" s="904">
        <f t="shared" si="232"/>
        <v>0.6</v>
      </c>
      <c r="Z479" s="905" t="e">
        <f t="shared" si="246"/>
        <v>#VALUE!</v>
      </c>
      <c r="AA479" s="905" t="e">
        <f t="shared" si="247"/>
        <v>#VALUE!</v>
      </c>
      <c r="AB479" s="905" t="e">
        <f t="shared" si="248"/>
        <v>#VALUE!</v>
      </c>
      <c r="AC479" s="906" t="e">
        <f t="shared" si="233"/>
        <v>#VALUE!</v>
      </c>
      <c r="AD479" s="907">
        <f t="shared" si="234"/>
        <v>0</v>
      </c>
      <c r="AE479" s="904">
        <f>IF(H479&gt;8,tab!C$194,tab!C$197)</f>
        <v>0.5</v>
      </c>
      <c r="AF479" s="907">
        <f t="shared" si="235"/>
        <v>0</v>
      </c>
      <c r="AG479" s="887">
        <f t="shared" si="236"/>
        <v>0</v>
      </c>
      <c r="AH479" s="908" t="e">
        <f t="shared" si="237"/>
        <v>#VALUE!</v>
      </c>
      <c r="AI479" s="815" t="e">
        <f t="shared" si="238"/>
        <v>#VALUE!</v>
      </c>
      <c r="AJ479" s="540">
        <f t="shared" si="239"/>
        <v>30</v>
      </c>
      <c r="AK479" s="540">
        <f t="shared" si="240"/>
        <v>30</v>
      </c>
      <c r="AL479" s="909">
        <f t="shared" si="241"/>
        <v>0</v>
      </c>
      <c r="AN479" s="539">
        <f t="shared" si="219"/>
        <v>0</v>
      </c>
      <c r="AT479" s="317"/>
      <c r="AU479" s="317"/>
    </row>
    <row r="480" spans="3:47" ht="13.15" customHeight="1" x14ac:dyDescent="0.2">
      <c r="C480" s="381"/>
      <c r="D480" s="895" t="str">
        <f>IF(op!D368=0,"",op!D368)</f>
        <v/>
      </c>
      <c r="E480" s="895" t="str">
        <f>IF(op!E368=0,"",op!E368)</f>
        <v/>
      </c>
      <c r="F480" s="390" t="str">
        <f>IF(op!F368="","",op!F368+1)</f>
        <v/>
      </c>
      <c r="G480" s="896" t="str">
        <f>IF(op!G368=0,"",op!G368)</f>
        <v/>
      </c>
      <c r="H480" s="390" t="str">
        <f>IF(op!H368="","",op!H368)</f>
        <v/>
      </c>
      <c r="I480" s="897" t="str">
        <f t="shared" si="228"/>
        <v/>
      </c>
      <c r="J480" s="898" t="str">
        <f>IF(op!J368="","",op!J368)</f>
        <v/>
      </c>
      <c r="K480" s="334"/>
      <c r="L480" s="1140" t="str">
        <f>IF(op!L368="","",op!L368)</f>
        <v/>
      </c>
      <c r="M480" s="1140" t="str">
        <f>IF(op!M368="","",op!M368)</f>
        <v/>
      </c>
      <c r="N480" s="899" t="str">
        <f t="shared" si="242"/>
        <v/>
      </c>
      <c r="O480" s="900" t="str">
        <f t="shared" si="243"/>
        <v/>
      </c>
      <c r="P480" s="901" t="str">
        <f t="shared" si="244"/>
        <v/>
      </c>
      <c r="Q480" s="568" t="str">
        <f t="shared" si="229"/>
        <v/>
      </c>
      <c r="R480" s="902" t="str">
        <f t="shared" si="245"/>
        <v/>
      </c>
      <c r="S480" s="903">
        <f t="shared" si="230"/>
        <v>0</v>
      </c>
      <c r="T480" s="334"/>
      <c r="X480" s="887" t="str">
        <f t="shared" si="231"/>
        <v/>
      </c>
      <c r="Y480" s="904">
        <f t="shared" si="232"/>
        <v>0.6</v>
      </c>
      <c r="Z480" s="905" t="e">
        <f t="shared" si="246"/>
        <v>#VALUE!</v>
      </c>
      <c r="AA480" s="905" t="e">
        <f t="shared" si="247"/>
        <v>#VALUE!</v>
      </c>
      <c r="AB480" s="905" t="e">
        <f t="shared" si="248"/>
        <v>#VALUE!</v>
      </c>
      <c r="AC480" s="906" t="e">
        <f t="shared" si="233"/>
        <v>#VALUE!</v>
      </c>
      <c r="AD480" s="907">
        <f t="shared" si="234"/>
        <v>0</v>
      </c>
      <c r="AE480" s="904">
        <f>IF(H480&gt;8,tab!C$194,tab!C$197)</f>
        <v>0.5</v>
      </c>
      <c r="AF480" s="907">
        <f t="shared" si="235"/>
        <v>0</v>
      </c>
      <c r="AG480" s="887">
        <f t="shared" si="236"/>
        <v>0</v>
      </c>
      <c r="AH480" s="908" t="e">
        <f t="shared" si="237"/>
        <v>#VALUE!</v>
      </c>
      <c r="AI480" s="815" t="e">
        <f t="shared" si="238"/>
        <v>#VALUE!</v>
      </c>
      <c r="AJ480" s="540">
        <f t="shared" si="239"/>
        <v>30</v>
      </c>
      <c r="AK480" s="540">
        <f t="shared" si="240"/>
        <v>30</v>
      </c>
      <c r="AL480" s="909">
        <f t="shared" si="241"/>
        <v>0</v>
      </c>
      <c r="AN480" s="539">
        <f t="shared" ref="AN480:AN543" si="249">IF(AND(AL480&gt;0.01,AL480&lt;50.01),1,0)</f>
        <v>0</v>
      </c>
      <c r="AT480" s="317"/>
      <c r="AU480" s="317"/>
    </row>
    <row r="481" spans="3:47" ht="13.15" customHeight="1" x14ac:dyDescent="0.2">
      <c r="C481" s="381"/>
      <c r="D481" s="895" t="str">
        <f>IF(op!D369=0,"",op!D369)</f>
        <v/>
      </c>
      <c r="E481" s="895" t="str">
        <f>IF(op!E369=0,"",op!E369)</f>
        <v/>
      </c>
      <c r="F481" s="390" t="str">
        <f>IF(op!F369="","",op!F369+1)</f>
        <v/>
      </c>
      <c r="G481" s="896" t="str">
        <f>IF(op!G369=0,"",op!G369)</f>
        <v/>
      </c>
      <c r="H481" s="390" t="str">
        <f>IF(op!H369="","",op!H369)</f>
        <v/>
      </c>
      <c r="I481" s="897" t="str">
        <f t="shared" si="228"/>
        <v/>
      </c>
      <c r="J481" s="898" t="str">
        <f>IF(op!J369="","",op!J369)</f>
        <v/>
      </c>
      <c r="K481" s="334"/>
      <c r="L481" s="1140" t="str">
        <f>IF(op!L369="","",op!L369)</f>
        <v/>
      </c>
      <c r="M481" s="1140" t="str">
        <f>IF(op!M369="","",op!M369)</f>
        <v/>
      </c>
      <c r="N481" s="899" t="str">
        <f t="shared" si="242"/>
        <v/>
      </c>
      <c r="O481" s="900" t="str">
        <f t="shared" si="243"/>
        <v/>
      </c>
      <c r="P481" s="901" t="str">
        <f t="shared" si="244"/>
        <v/>
      </c>
      <c r="Q481" s="568" t="str">
        <f t="shared" si="229"/>
        <v/>
      </c>
      <c r="R481" s="902" t="str">
        <f t="shared" si="245"/>
        <v/>
      </c>
      <c r="S481" s="903">
        <f t="shared" si="230"/>
        <v>0</v>
      </c>
      <c r="T481" s="334"/>
      <c r="X481" s="887" t="str">
        <f t="shared" si="231"/>
        <v/>
      </c>
      <c r="Y481" s="904">
        <f t="shared" si="232"/>
        <v>0.6</v>
      </c>
      <c r="Z481" s="905" t="e">
        <f t="shared" si="246"/>
        <v>#VALUE!</v>
      </c>
      <c r="AA481" s="905" t="e">
        <f t="shared" si="247"/>
        <v>#VALUE!</v>
      </c>
      <c r="AB481" s="905" t="e">
        <f t="shared" si="248"/>
        <v>#VALUE!</v>
      </c>
      <c r="AC481" s="906" t="e">
        <f t="shared" si="233"/>
        <v>#VALUE!</v>
      </c>
      <c r="AD481" s="907">
        <f t="shared" si="234"/>
        <v>0</v>
      </c>
      <c r="AE481" s="904">
        <f>IF(H481&gt;8,tab!C$194,tab!C$197)</f>
        <v>0.5</v>
      </c>
      <c r="AF481" s="907">
        <f t="shared" si="235"/>
        <v>0</v>
      </c>
      <c r="AG481" s="887">
        <f t="shared" si="236"/>
        <v>0</v>
      </c>
      <c r="AH481" s="908" t="e">
        <f t="shared" si="237"/>
        <v>#VALUE!</v>
      </c>
      <c r="AI481" s="815" t="e">
        <f t="shared" si="238"/>
        <v>#VALUE!</v>
      </c>
      <c r="AJ481" s="540">
        <f t="shared" si="239"/>
        <v>30</v>
      </c>
      <c r="AK481" s="540">
        <f t="shared" si="240"/>
        <v>30</v>
      </c>
      <c r="AL481" s="909">
        <f t="shared" si="241"/>
        <v>0</v>
      </c>
      <c r="AN481" s="539">
        <f t="shared" si="249"/>
        <v>0</v>
      </c>
      <c r="AT481" s="317"/>
      <c r="AU481" s="317"/>
    </row>
    <row r="482" spans="3:47" ht="13.15" customHeight="1" x14ac:dyDescent="0.2">
      <c r="C482" s="381"/>
      <c r="D482" s="895" t="str">
        <f>IF(op!D370=0,"",op!D370)</f>
        <v/>
      </c>
      <c r="E482" s="895" t="str">
        <f>IF(op!E370=0,"",op!E370)</f>
        <v/>
      </c>
      <c r="F482" s="390" t="str">
        <f>IF(op!F370="","",op!F370+1)</f>
        <v/>
      </c>
      <c r="G482" s="896" t="str">
        <f>IF(op!G370=0,"",op!G370)</f>
        <v/>
      </c>
      <c r="H482" s="390" t="str">
        <f>IF(op!H370="","",op!H370)</f>
        <v/>
      </c>
      <c r="I482" s="897" t="str">
        <f t="shared" si="228"/>
        <v/>
      </c>
      <c r="J482" s="898" t="str">
        <f>IF(op!J370="","",op!J370)</f>
        <v/>
      </c>
      <c r="K482" s="334"/>
      <c r="L482" s="1140" t="str">
        <f>IF(op!L370="","",op!L370)</f>
        <v/>
      </c>
      <c r="M482" s="1140" t="str">
        <f>IF(op!M370="","",op!M370)</f>
        <v/>
      </c>
      <c r="N482" s="899" t="str">
        <f t="shared" si="242"/>
        <v/>
      </c>
      <c r="O482" s="900" t="str">
        <f t="shared" si="243"/>
        <v/>
      </c>
      <c r="P482" s="901" t="str">
        <f t="shared" si="244"/>
        <v/>
      </c>
      <c r="Q482" s="568" t="str">
        <f t="shared" si="229"/>
        <v/>
      </c>
      <c r="R482" s="902" t="str">
        <f t="shared" si="245"/>
        <v/>
      </c>
      <c r="S482" s="903">
        <f t="shared" si="230"/>
        <v>0</v>
      </c>
      <c r="T482" s="334"/>
      <c r="X482" s="887" t="str">
        <f t="shared" si="231"/>
        <v/>
      </c>
      <c r="Y482" s="904">
        <f t="shared" si="232"/>
        <v>0.6</v>
      </c>
      <c r="Z482" s="905" t="e">
        <f t="shared" si="246"/>
        <v>#VALUE!</v>
      </c>
      <c r="AA482" s="905" t="e">
        <f t="shared" si="247"/>
        <v>#VALUE!</v>
      </c>
      <c r="AB482" s="905" t="e">
        <f t="shared" si="248"/>
        <v>#VALUE!</v>
      </c>
      <c r="AC482" s="906" t="e">
        <f t="shared" si="233"/>
        <v>#VALUE!</v>
      </c>
      <c r="AD482" s="907">
        <f t="shared" si="234"/>
        <v>0</v>
      </c>
      <c r="AE482" s="904">
        <f>IF(H482&gt;8,tab!C$194,tab!C$197)</f>
        <v>0.5</v>
      </c>
      <c r="AF482" s="907">
        <f t="shared" si="235"/>
        <v>0</v>
      </c>
      <c r="AG482" s="887">
        <f t="shared" si="236"/>
        <v>0</v>
      </c>
      <c r="AH482" s="908" t="e">
        <f t="shared" si="237"/>
        <v>#VALUE!</v>
      </c>
      <c r="AI482" s="815" t="e">
        <f t="shared" si="238"/>
        <v>#VALUE!</v>
      </c>
      <c r="AJ482" s="540">
        <f t="shared" si="239"/>
        <v>30</v>
      </c>
      <c r="AK482" s="540">
        <f t="shared" si="240"/>
        <v>30</v>
      </c>
      <c r="AL482" s="909">
        <f t="shared" si="241"/>
        <v>0</v>
      </c>
      <c r="AN482" s="539">
        <f t="shared" si="249"/>
        <v>0</v>
      </c>
      <c r="AT482" s="317"/>
      <c r="AU482" s="317"/>
    </row>
    <row r="483" spans="3:47" ht="13.15" customHeight="1" x14ac:dyDescent="0.2">
      <c r="C483" s="381"/>
      <c r="D483" s="895" t="str">
        <f>IF(op!D371=0,"",op!D371)</f>
        <v/>
      </c>
      <c r="E483" s="895" t="str">
        <f>IF(op!E371=0,"",op!E371)</f>
        <v/>
      </c>
      <c r="F483" s="390" t="str">
        <f>IF(op!F371="","",op!F371+1)</f>
        <v/>
      </c>
      <c r="G483" s="896" t="str">
        <f>IF(op!G371=0,"",op!G371)</f>
        <v/>
      </c>
      <c r="H483" s="390" t="str">
        <f>IF(op!H371="","",op!H371)</f>
        <v/>
      </c>
      <c r="I483" s="897" t="str">
        <f t="shared" si="228"/>
        <v/>
      </c>
      <c r="J483" s="898" t="str">
        <f>IF(op!J371="","",op!J371)</f>
        <v/>
      </c>
      <c r="K483" s="334"/>
      <c r="L483" s="1140" t="str">
        <f>IF(op!L371="","",op!L371)</f>
        <v/>
      </c>
      <c r="M483" s="1140" t="str">
        <f>IF(op!M371="","",op!M371)</f>
        <v/>
      </c>
      <c r="N483" s="899" t="str">
        <f t="shared" si="242"/>
        <v/>
      </c>
      <c r="O483" s="900" t="str">
        <f t="shared" si="243"/>
        <v/>
      </c>
      <c r="P483" s="901" t="str">
        <f t="shared" si="244"/>
        <v/>
      </c>
      <c r="Q483" s="568" t="str">
        <f t="shared" si="229"/>
        <v/>
      </c>
      <c r="R483" s="902" t="str">
        <f t="shared" si="245"/>
        <v/>
      </c>
      <c r="S483" s="903">
        <f t="shared" si="230"/>
        <v>0</v>
      </c>
      <c r="T483" s="334"/>
      <c r="X483" s="887" t="str">
        <f t="shared" si="231"/>
        <v/>
      </c>
      <c r="Y483" s="904">
        <f t="shared" si="232"/>
        <v>0.6</v>
      </c>
      <c r="Z483" s="905" t="e">
        <f t="shared" si="246"/>
        <v>#VALUE!</v>
      </c>
      <c r="AA483" s="905" t="e">
        <f t="shared" si="247"/>
        <v>#VALUE!</v>
      </c>
      <c r="AB483" s="905" t="e">
        <f t="shared" si="248"/>
        <v>#VALUE!</v>
      </c>
      <c r="AC483" s="906" t="e">
        <f t="shared" si="233"/>
        <v>#VALUE!</v>
      </c>
      <c r="AD483" s="907">
        <f t="shared" si="234"/>
        <v>0</v>
      </c>
      <c r="AE483" s="904">
        <f>IF(H483&gt;8,tab!C$194,tab!C$197)</f>
        <v>0.5</v>
      </c>
      <c r="AF483" s="907">
        <f t="shared" si="235"/>
        <v>0</v>
      </c>
      <c r="AG483" s="887">
        <f t="shared" si="236"/>
        <v>0</v>
      </c>
      <c r="AH483" s="908" t="e">
        <f t="shared" si="237"/>
        <v>#VALUE!</v>
      </c>
      <c r="AI483" s="815" t="e">
        <f t="shared" si="238"/>
        <v>#VALUE!</v>
      </c>
      <c r="AJ483" s="540">
        <f t="shared" si="239"/>
        <v>30</v>
      </c>
      <c r="AK483" s="540">
        <f t="shared" si="240"/>
        <v>30</v>
      </c>
      <c r="AL483" s="909">
        <f t="shared" si="241"/>
        <v>0</v>
      </c>
      <c r="AN483" s="539">
        <f t="shared" si="249"/>
        <v>0</v>
      </c>
      <c r="AT483" s="317"/>
      <c r="AU483" s="317"/>
    </row>
    <row r="484" spans="3:47" ht="13.15" customHeight="1" x14ac:dyDescent="0.2">
      <c r="C484" s="381"/>
      <c r="D484" s="895" t="str">
        <f>IF(op!D372=0,"",op!D372)</f>
        <v/>
      </c>
      <c r="E484" s="895" t="str">
        <f>IF(op!E372=0,"",op!E372)</f>
        <v/>
      </c>
      <c r="F484" s="390" t="str">
        <f>IF(op!F372="","",op!F372+1)</f>
        <v/>
      </c>
      <c r="G484" s="896" t="str">
        <f>IF(op!G372=0,"",op!G372)</f>
        <v/>
      </c>
      <c r="H484" s="390" t="str">
        <f>IF(op!H372="","",op!H372)</f>
        <v/>
      </c>
      <c r="I484" s="897" t="str">
        <f t="shared" si="228"/>
        <v/>
      </c>
      <c r="J484" s="898" t="str">
        <f>IF(op!J372="","",op!J372)</f>
        <v/>
      </c>
      <c r="K484" s="334"/>
      <c r="L484" s="1140" t="str">
        <f>IF(op!L372="","",op!L372)</f>
        <v/>
      </c>
      <c r="M484" s="1140" t="str">
        <f>IF(op!M372="","",op!M372)</f>
        <v/>
      </c>
      <c r="N484" s="899" t="str">
        <f t="shared" si="242"/>
        <v/>
      </c>
      <c r="O484" s="900" t="str">
        <f t="shared" si="243"/>
        <v/>
      </c>
      <c r="P484" s="901" t="str">
        <f t="shared" si="244"/>
        <v/>
      </c>
      <c r="Q484" s="568" t="str">
        <f t="shared" si="229"/>
        <v/>
      </c>
      <c r="R484" s="902" t="str">
        <f t="shared" si="245"/>
        <v/>
      </c>
      <c r="S484" s="903">
        <f t="shared" si="230"/>
        <v>0</v>
      </c>
      <c r="T484" s="334"/>
      <c r="X484" s="887" t="str">
        <f t="shared" si="231"/>
        <v/>
      </c>
      <c r="Y484" s="904">
        <f t="shared" si="232"/>
        <v>0.6</v>
      </c>
      <c r="Z484" s="905" t="e">
        <f t="shared" si="246"/>
        <v>#VALUE!</v>
      </c>
      <c r="AA484" s="905" t="e">
        <f t="shared" si="247"/>
        <v>#VALUE!</v>
      </c>
      <c r="AB484" s="905" t="e">
        <f t="shared" si="248"/>
        <v>#VALUE!</v>
      </c>
      <c r="AC484" s="906" t="e">
        <f t="shared" si="233"/>
        <v>#VALUE!</v>
      </c>
      <c r="AD484" s="907">
        <f t="shared" si="234"/>
        <v>0</v>
      </c>
      <c r="AE484" s="904">
        <f>IF(H484&gt;8,tab!C$194,tab!C$197)</f>
        <v>0.5</v>
      </c>
      <c r="AF484" s="907">
        <f t="shared" si="235"/>
        <v>0</v>
      </c>
      <c r="AG484" s="887">
        <f t="shared" si="236"/>
        <v>0</v>
      </c>
      <c r="AH484" s="908" t="e">
        <f t="shared" si="237"/>
        <v>#VALUE!</v>
      </c>
      <c r="AI484" s="815" t="e">
        <f t="shared" si="238"/>
        <v>#VALUE!</v>
      </c>
      <c r="AJ484" s="540">
        <f t="shared" si="239"/>
        <v>30</v>
      </c>
      <c r="AK484" s="540">
        <f t="shared" si="240"/>
        <v>30</v>
      </c>
      <c r="AL484" s="909">
        <f t="shared" si="241"/>
        <v>0</v>
      </c>
      <c r="AN484" s="539">
        <f t="shared" si="249"/>
        <v>0</v>
      </c>
      <c r="AT484" s="317"/>
      <c r="AU484" s="317"/>
    </row>
    <row r="485" spans="3:47" ht="13.15" customHeight="1" x14ac:dyDescent="0.2">
      <c r="C485" s="381"/>
      <c r="D485" s="895" t="str">
        <f>IF(op!D373=0,"",op!D373)</f>
        <v/>
      </c>
      <c r="E485" s="895" t="str">
        <f>IF(op!E373=0,"",op!E373)</f>
        <v/>
      </c>
      <c r="F485" s="390" t="str">
        <f>IF(op!F373="","",op!F373+1)</f>
        <v/>
      </c>
      <c r="G485" s="896" t="str">
        <f>IF(op!G373=0,"",op!G373)</f>
        <v/>
      </c>
      <c r="H485" s="390" t="str">
        <f>IF(op!H373="","",op!H373)</f>
        <v/>
      </c>
      <c r="I485" s="897" t="str">
        <f t="shared" si="228"/>
        <v/>
      </c>
      <c r="J485" s="898" t="str">
        <f>IF(op!J373="","",op!J373)</f>
        <v/>
      </c>
      <c r="K485" s="334"/>
      <c r="L485" s="1140" t="str">
        <f>IF(op!L373="","",op!L373)</f>
        <v/>
      </c>
      <c r="M485" s="1140" t="str">
        <f>IF(op!M373="","",op!M373)</f>
        <v/>
      </c>
      <c r="N485" s="899" t="str">
        <f t="shared" si="242"/>
        <v/>
      </c>
      <c r="O485" s="900" t="str">
        <f t="shared" si="243"/>
        <v/>
      </c>
      <c r="P485" s="901" t="str">
        <f t="shared" si="244"/>
        <v/>
      </c>
      <c r="Q485" s="568" t="str">
        <f t="shared" si="229"/>
        <v/>
      </c>
      <c r="R485" s="902" t="str">
        <f t="shared" si="245"/>
        <v/>
      </c>
      <c r="S485" s="903">
        <f t="shared" si="230"/>
        <v>0</v>
      </c>
      <c r="T485" s="334"/>
      <c r="X485" s="887" t="str">
        <f t="shared" si="231"/>
        <v/>
      </c>
      <c r="Y485" s="904">
        <f t="shared" si="232"/>
        <v>0.6</v>
      </c>
      <c r="Z485" s="905" t="e">
        <f t="shared" si="246"/>
        <v>#VALUE!</v>
      </c>
      <c r="AA485" s="905" t="e">
        <f t="shared" si="247"/>
        <v>#VALUE!</v>
      </c>
      <c r="AB485" s="905" t="e">
        <f t="shared" si="248"/>
        <v>#VALUE!</v>
      </c>
      <c r="AC485" s="906" t="e">
        <f t="shared" si="233"/>
        <v>#VALUE!</v>
      </c>
      <c r="AD485" s="907">
        <f t="shared" si="234"/>
        <v>0</v>
      </c>
      <c r="AE485" s="904">
        <f>IF(H485&gt;8,tab!C$194,tab!C$197)</f>
        <v>0.5</v>
      </c>
      <c r="AF485" s="907">
        <f t="shared" si="235"/>
        <v>0</v>
      </c>
      <c r="AG485" s="887">
        <f t="shared" si="236"/>
        <v>0</v>
      </c>
      <c r="AH485" s="908" t="e">
        <f t="shared" si="237"/>
        <v>#VALUE!</v>
      </c>
      <c r="AI485" s="815" t="e">
        <f t="shared" si="238"/>
        <v>#VALUE!</v>
      </c>
      <c r="AJ485" s="540">
        <f t="shared" si="239"/>
        <v>30</v>
      </c>
      <c r="AK485" s="540">
        <f t="shared" si="240"/>
        <v>30</v>
      </c>
      <c r="AL485" s="909">
        <f t="shared" si="241"/>
        <v>0</v>
      </c>
      <c r="AN485" s="539">
        <f t="shared" si="249"/>
        <v>0</v>
      </c>
      <c r="AT485" s="317"/>
      <c r="AU485" s="317"/>
    </row>
    <row r="486" spans="3:47" ht="13.15" customHeight="1" x14ac:dyDescent="0.2">
      <c r="C486" s="381"/>
      <c r="D486" s="895" t="str">
        <f>IF(op!D374=0,"",op!D374)</f>
        <v/>
      </c>
      <c r="E486" s="895" t="str">
        <f>IF(op!E374=0,"",op!E374)</f>
        <v/>
      </c>
      <c r="F486" s="390" t="str">
        <f>IF(op!F374="","",op!F374+1)</f>
        <v/>
      </c>
      <c r="G486" s="896" t="str">
        <f>IF(op!G374=0,"",op!G374)</f>
        <v/>
      </c>
      <c r="H486" s="390" t="str">
        <f>IF(op!H374="","",op!H374)</f>
        <v/>
      </c>
      <c r="I486" s="897" t="str">
        <f t="shared" si="228"/>
        <v/>
      </c>
      <c r="J486" s="898" t="str">
        <f>IF(op!J374="","",op!J374)</f>
        <v/>
      </c>
      <c r="K486" s="334"/>
      <c r="L486" s="1140" t="str">
        <f>IF(op!L374="","",op!L374)</f>
        <v/>
      </c>
      <c r="M486" s="1140" t="str">
        <f>IF(op!M374="","",op!M374)</f>
        <v/>
      </c>
      <c r="N486" s="899" t="str">
        <f t="shared" si="242"/>
        <v/>
      </c>
      <c r="O486" s="900" t="str">
        <f t="shared" si="243"/>
        <v/>
      </c>
      <c r="P486" s="901" t="str">
        <f t="shared" si="244"/>
        <v/>
      </c>
      <c r="Q486" s="568" t="str">
        <f t="shared" si="229"/>
        <v/>
      </c>
      <c r="R486" s="902" t="str">
        <f t="shared" si="245"/>
        <v/>
      </c>
      <c r="S486" s="903">
        <f t="shared" si="230"/>
        <v>0</v>
      </c>
      <c r="T486" s="334"/>
      <c r="X486" s="887" t="str">
        <f t="shared" si="231"/>
        <v/>
      </c>
      <c r="Y486" s="904">
        <f t="shared" si="232"/>
        <v>0.6</v>
      </c>
      <c r="Z486" s="905" t="e">
        <f t="shared" si="246"/>
        <v>#VALUE!</v>
      </c>
      <c r="AA486" s="905" t="e">
        <f t="shared" si="247"/>
        <v>#VALUE!</v>
      </c>
      <c r="AB486" s="905" t="e">
        <f t="shared" si="248"/>
        <v>#VALUE!</v>
      </c>
      <c r="AC486" s="906" t="e">
        <f t="shared" si="233"/>
        <v>#VALUE!</v>
      </c>
      <c r="AD486" s="907">
        <f t="shared" si="234"/>
        <v>0</v>
      </c>
      <c r="AE486" s="904">
        <f>IF(H486&gt;8,tab!C$194,tab!C$197)</f>
        <v>0.5</v>
      </c>
      <c r="AF486" s="907">
        <f t="shared" si="235"/>
        <v>0</v>
      </c>
      <c r="AG486" s="887">
        <f t="shared" si="236"/>
        <v>0</v>
      </c>
      <c r="AH486" s="908" t="e">
        <f t="shared" si="237"/>
        <v>#VALUE!</v>
      </c>
      <c r="AI486" s="815" t="e">
        <f t="shared" si="238"/>
        <v>#VALUE!</v>
      </c>
      <c r="AJ486" s="540">
        <f t="shared" si="239"/>
        <v>30</v>
      </c>
      <c r="AK486" s="540">
        <f t="shared" si="240"/>
        <v>30</v>
      </c>
      <c r="AL486" s="909">
        <f t="shared" si="241"/>
        <v>0</v>
      </c>
      <c r="AN486" s="539">
        <f t="shared" si="249"/>
        <v>0</v>
      </c>
      <c r="AT486" s="317"/>
      <c r="AU486" s="317"/>
    </row>
    <row r="487" spans="3:47" ht="13.15" customHeight="1" x14ac:dyDescent="0.2">
      <c r="C487" s="381"/>
      <c r="D487" s="895" t="str">
        <f>IF(op!D375=0,"",op!D375)</f>
        <v/>
      </c>
      <c r="E487" s="895" t="str">
        <f>IF(op!E375=0,"",op!E375)</f>
        <v/>
      </c>
      <c r="F487" s="390" t="str">
        <f>IF(op!F375="","",op!F375+1)</f>
        <v/>
      </c>
      <c r="G487" s="896" t="str">
        <f>IF(op!G375=0,"",op!G375)</f>
        <v/>
      </c>
      <c r="H487" s="390" t="str">
        <f>IF(op!H375="","",op!H375)</f>
        <v/>
      </c>
      <c r="I487" s="897" t="str">
        <f t="shared" si="228"/>
        <v/>
      </c>
      <c r="J487" s="898" t="str">
        <f>IF(op!J375="","",op!J375)</f>
        <v/>
      </c>
      <c r="K487" s="334"/>
      <c r="L487" s="1140" t="str">
        <f>IF(op!L375="","",op!L375)</f>
        <v/>
      </c>
      <c r="M487" s="1140" t="str">
        <f>IF(op!M375="","",op!M375)</f>
        <v/>
      </c>
      <c r="N487" s="899" t="str">
        <f t="shared" si="242"/>
        <v/>
      </c>
      <c r="O487" s="900" t="str">
        <f t="shared" si="243"/>
        <v/>
      </c>
      <c r="P487" s="901" t="str">
        <f t="shared" si="244"/>
        <v/>
      </c>
      <c r="Q487" s="568" t="str">
        <f t="shared" si="229"/>
        <v/>
      </c>
      <c r="R487" s="902" t="str">
        <f t="shared" si="245"/>
        <v/>
      </c>
      <c r="S487" s="903">
        <f t="shared" si="230"/>
        <v>0</v>
      </c>
      <c r="T487" s="334"/>
      <c r="X487" s="887" t="str">
        <f t="shared" si="231"/>
        <v/>
      </c>
      <c r="Y487" s="904">
        <f t="shared" si="232"/>
        <v>0.6</v>
      </c>
      <c r="Z487" s="905" t="e">
        <f t="shared" si="246"/>
        <v>#VALUE!</v>
      </c>
      <c r="AA487" s="905" t="e">
        <f t="shared" si="247"/>
        <v>#VALUE!</v>
      </c>
      <c r="AB487" s="905" t="e">
        <f t="shared" si="248"/>
        <v>#VALUE!</v>
      </c>
      <c r="AC487" s="906" t="e">
        <f t="shared" si="233"/>
        <v>#VALUE!</v>
      </c>
      <c r="AD487" s="907">
        <f t="shared" si="234"/>
        <v>0</v>
      </c>
      <c r="AE487" s="904">
        <f>IF(H487&gt;8,tab!C$194,tab!C$197)</f>
        <v>0.5</v>
      </c>
      <c r="AF487" s="907">
        <f t="shared" si="235"/>
        <v>0</v>
      </c>
      <c r="AG487" s="887">
        <f t="shared" si="236"/>
        <v>0</v>
      </c>
      <c r="AH487" s="908" t="e">
        <f t="shared" si="237"/>
        <v>#VALUE!</v>
      </c>
      <c r="AI487" s="815" t="e">
        <f t="shared" si="238"/>
        <v>#VALUE!</v>
      </c>
      <c r="AJ487" s="540">
        <f t="shared" si="239"/>
        <v>30</v>
      </c>
      <c r="AK487" s="540">
        <f t="shared" si="240"/>
        <v>30</v>
      </c>
      <c r="AL487" s="909">
        <f t="shared" si="241"/>
        <v>0</v>
      </c>
      <c r="AN487" s="539">
        <f t="shared" si="249"/>
        <v>0</v>
      </c>
      <c r="AT487" s="317"/>
      <c r="AU487" s="317"/>
    </row>
    <row r="488" spans="3:47" ht="13.15" customHeight="1" x14ac:dyDescent="0.2">
      <c r="C488" s="381"/>
      <c r="D488" s="895" t="str">
        <f>IF(op!D376=0,"",op!D376)</f>
        <v/>
      </c>
      <c r="E488" s="895" t="str">
        <f>IF(op!E376=0,"",op!E376)</f>
        <v/>
      </c>
      <c r="F488" s="390" t="str">
        <f>IF(op!F376="","",op!F376+1)</f>
        <v/>
      </c>
      <c r="G488" s="896" t="str">
        <f>IF(op!G376=0,"",op!G376)</f>
        <v/>
      </c>
      <c r="H488" s="390" t="str">
        <f>IF(op!H376="","",op!H376)</f>
        <v/>
      </c>
      <c r="I488" s="897" t="str">
        <f t="shared" si="228"/>
        <v/>
      </c>
      <c r="J488" s="898" t="str">
        <f>IF(op!J376="","",op!J376)</f>
        <v/>
      </c>
      <c r="K488" s="334"/>
      <c r="L488" s="1140" t="str">
        <f>IF(op!L376="","",op!L376)</f>
        <v/>
      </c>
      <c r="M488" s="1140" t="str">
        <f>IF(op!M376="","",op!M376)</f>
        <v/>
      </c>
      <c r="N488" s="899" t="str">
        <f t="shared" si="242"/>
        <v/>
      </c>
      <c r="O488" s="900" t="str">
        <f t="shared" si="243"/>
        <v/>
      </c>
      <c r="P488" s="901" t="str">
        <f t="shared" si="244"/>
        <v/>
      </c>
      <c r="Q488" s="568" t="str">
        <f t="shared" si="229"/>
        <v/>
      </c>
      <c r="R488" s="902" t="str">
        <f t="shared" si="245"/>
        <v/>
      </c>
      <c r="S488" s="903">
        <f t="shared" si="230"/>
        <v>0</v>
      </c>
      <c r="T488" s="334"/>
      <c r="X488" s="887" t="str">
        <f t="shared" si="231"/>
        <v/>
      </c>
      <c r="Y488" s="904">
        <f t="shared" si="232"/>
        <v>0.6</v>
      </c>
      <c r="Z488" s="905" t="e">
        <f t="shared" si="246"/>
        <v>#VALUE!</v>
      </c>
      <c r="AA488" s="905" t="e">
        <f t="shared" si="247"/>
        <v>#VALUE!</v>
      </c>
      <c r="AB488" s="905" t="e">
        <f t="shared" si="248"/>
        <v>#VALUE!</v>
      </c>
      <c r="AC488" s="906" t="e">
        <f t="shared" si="233"/>
        <v>#VALUE!</v>
      </c>
      <c r="AD488" s="907">
        <f t="shared" si="234"/>
        <v>0</v>
      </c>
      <c r="AE488" s="904">
        <f>IF(H488&gt;8,tab!C$194,tab!C$197)</f>
        <v>0.5</v>
      </c>
      <c r="AF488" s="907">
        <f t="shared" si="235"/>
        <v>0</v>
      </c>
      <c r="AG488" s="887">
        <f t="shared" si="236"/>
        <v>0</v>
      </c>
      <c r="AH488" s="908" t="e">
        <f t="shared" si="237"/>
        <v>#VALUE!</v>
      </c>
      <c r="AI488" s="815" t="e">
        <f t="shared" si="238"/>
        <v>#VALUE!</v>
      </c>
      <c r="AJ488" s="540">
        <f t="shared" si="239"/>
        <v>30</v>
      </c>
      <c r="AK488" s="540">
        <f t="shared" si="240"/>
        <v>30</v>
      </c>
      <c r="AL488" s="909">
        <f t="shared" si="241"/>
        <v>0</v>
      </c>
      <c r="AN488" s="539">
        <f t="shared" si="249"/>
        <v>0</v>
      </c>
      <c r="AT488" s="317"/>
      <c r="AU488" s="317"/>
    </row>
    <row r="489" spans="3:47" ht="13.15" customHeight="1" x14ac:dyDescent="0.2">
      <c r="C489" s="381"/>
      <c r="D489" s="895" t="str">
        <f>IF(op!D377=0,"",op!D377)</f>
        <v/>
      </c>
      <c r="E489" s="895" t="str">
        <f>IF(op!E377=0,"",op!E377)</f>
        <v/>
      </c>
      <c r="F489" s="390" t="str">
        <f>IF(op!F377="","",op!F377+1)</f>
        <v/>
      </c>
      <c r="G489" s="896" t="str">
        <f>IF(op!G377=0,"",op!G377)</f>
        <v/>
      </c>
      <c r="H489" s="390" t="str">
        <f>IF(op!H377="","",op!H377)</f>
        <v/>
      </c>
      <c r="I489" s="897" t="str">
        <f t="shared" si="228"/>
        <v/>
      </c>
      <c r="J489" s="898" t="str">
        <f>IF(op!J377="","",op!J377)</f>
        <v/>
      </c>
      <c r="K489" s="334"/>
      <c r="L489" s="1140" t="str">
        <f>IF(op!L377="","",op!L377)</f>
        <v/>
      </c>
      <c r="M489" s="1140" t="str">
        <f>IF(op!M377="","",op!M377)</f>
        <v/>
      </c>
      <c r="N489" s="899" t="str">
        <f t="shared" si="242"/>
        <v/>
      </c>
      <c r="O489" s="900" t="str">
        <f t="shared" si="243"/>
        <v/>
      </c>
      <c r="P489" s="901" t="str">
        <f t="shared" si="244"/>
        <v/>
      </c>
      <c r="Q489" s="568" t="str">
        <f t="shared" si="229"/>
        <v/>
      </c>
      <c r="R489" s="902" t="str">
        <f t="shared" si="245"/>
        <v/>
      </c>
      <c r="S489" s="903">
        <f t="shared" si="230"/>
        <v>0</v>
      </c>
      <c r="T489" s="334"/>
      <c r="X489" s="887" t="str">
        <f t="shared" si="231"/>
        <v/>
      </c>
      <c r="Y489" s="904">
        <f t="shared" si="232"/>
        <v>0.6</v>
      </c>
      <c r="Z489" s="905" t="e">
        <f t="shared" si="246"/>
        <v>#VALUE!</v>
      </c>
      <c r="AA489" s="905" t="e">
        <f t="shared" si="247"/>
        <v>#VALUE!</v>
      </c>
      <c r="AB489" s="905" t="e">
        <f t="shared" si="248"/>
        <v>#VALUE!</v>
      </c>
      <c r="AC489" s="906" t="e">
        <f t="shared" si="233"/>
        <v>#VALUE!</v>
      </c>
      <c r="AD489" s="907">
        <f t="shared" si="234"/>
        <v>0</v>
      </c>
      <c r="AE489" s="904">
        <f>IF(H489&gt;8,tab!C$194,tab!C$197)</f>
        <v>0.5</v>
      </c>
      <c r="AF489" s="907">
        <f t="shared" si="235"/>
        <v>0</v>
      </c>
      <c r="AG489" s="887">
        <f t="shared" si="236"/>
        <v>0</v>
      </c>
      <c r="AH489" s="908" t="e">
        <f t="shared" si="237"/>
        <v>#VALUE!</v>
      </c>
      <c r="AI489" s="815" t="e">
        <f t="shared" si="238"/>
        <v>#VALUE!</v>
      </c>
      <c r="AJ489" s="540">
        <f t="shared" si="239"/>
        <v>30</v>
      </c>
      <c r="AK489" s="540">
        <f t="shared" si="240"/>
        <v>30</v>
      </c>
      <c r="AL489" s="909">
        <f t="shared" si="241"/>
        <v>0</v>
      </c>
      <c r="AN489" s="539">
        <f t="shared" si="249"/>
        <v>0</v>
      </c>
      <c r="AT489" s="317"/>
      <c r="AU489" s="317"/>
    </row>
    <row r="490" spans="3:47" ht="13.15" customHeight="1" x14ac:dyDescent="0.2">
      <c r="C490" s="381"/>
      <c r="D490" s="895" t="str">
        <f>IF(op!D378=0,"",op!D378)</f>
        <v/>
      </c>
      <c r="E490" s="895" t="str">
        <f>IF(op!E378=0,"",op!E378)</f>
        <v/>
      </c>
      <c r="F490" s="390" t="str">
        <f>IF(op!F378="","",op!F378+1)</f>
        <v/>
      </c>
      <c r="G490" s="896" t="str">
        <f>IF(op!G378=0,"",op!G378)</f>
        <v/>
      </c>
      <c r="H490" s="390" t="str">
        <f>IF(op!H378="","",op!H378)</f>
        <v/>
      </c>
      <c r="I490" s="897" t="str">
        <f t="shared" si="228"/>
        <v/>
      </c>
      <c r="J490" s="898" t="str">
        <f>IF(op!J378="","",op!J378)</f>
        <v/>
      </c>
      <c r="K490" s="334"/>
      <c r="L490" s="1140" t="str">
        <f>IF(op!L378="","",op!L378)</f>
        <v/>
      </c>
      <c r="M490" s="1140" t="str">
        <f>IF(op!M378="","",op!M378)</f>
        <v/>
      </c>
      <c r="N490" s="899" t="str">
        <f t="shared" si="242"/>
        <v/>
      </c>
      <c r="O490" s="900" t="str">
        <f t="shared" si="243"/>
        <v/>
      </c>
      <c r="P490" s="901" t="str">
        <f t="shared" si="244"/>
        <v/>
      </c>
      <c r="Q490" s="568" t="str">
        <f t="shared" si="229"/>
        <v/>
      </c>
      <c r="R490" s="902" t="str">
        <f t="shared" si="245"/>
        <v/>
      </c>
      <c r="S490" s="903">
        <f t="shared" si="230"/>
        <v>0</v>
      </c>
      <c r="T490" s="334"/>
      <c r="X490" s="887" t="str">
        <f t="shared" si="231"/>
        <v/>
      </c>
      <c r="Y490" s="904">
        <f t="shared" si="232"/>
        <v>0.6</v>
      </c>
      <c r="Z490" s="905" t="e">
        <f t="shared" si="246"/>
        <v>#VALUE!</v>
      </c>
      <c r="AA490" s="905" t="e">
        <f t="shared" si="247"/>
        <v>#VALUE!</v>
      </c>
      <c r="AB490" s="905" t="e">
        <f t="shared" si="248"/>
        <v>#VALUE!</v>
      </c>
      <c r="AC490" s="906" t="e">
        <f t="shared" si="233"/>
        <v>#VALUE!</v>
      </c>
      <c r="AD490" s="907">
        <f t="shared" si="234"/>
        <v>0</v>
      </c>
      <c r="AE490" s="904">
        <f>IF(H490&gt;8,tab!C$194,tab!C$197)</f>
        <v>0.5</v>
      </c>
      <c r="AF490" s="907">
        <f t="shared" si="235"/>
        <v>0</v>
      </c>
      <c r="AG490" s="887">
        <f t="shared" si="236"/>
        <v>0</v>
      </c>
      <c r="AH490" s="908" t="e">
        <f t="shared" si="237"/>
        <v>#VALUE!</v>
      </c>
      <c r="AI490" s="815" t="e">
        <f t="shared" si="238"/>
        <v>#VALUE!</v>
      </c>
      <c r="AJ490" s="540">
        <f t="shared" si="239"/>
        <v>30</v>
      </c>
      <c r="AK490" s="540">
        <f t="shared" si="240"/>
        <v>30</v>
      </c>
      <c r="AL490" s="909">
        <f t="shared" si="241"/>
        <v>0</v>
      </c>
      <c r="AN490" s="539">
        <f t="shared" si="249"/>
        <v>0</v>
      </c>
      <c r="AT490" s="317"/>
      <c r="AU490" s="317"/>
    </row>
    <row r="491" spans="3:47" ht="13.15" customHeight="1" x14ac:dyDescent="0.2">
      <c r="C491" s="381"/>
      <c r="D491" s="895" t="str">
        <f>IF(op!D379=0,"",op!D379)</f>
        <v/>
      </c>
      <c r="E491" s="895" t="str">
        <f>IF(op!E379=0,"",op!E379)</f>
        <v/>
      </c>
      <c r="F491" s="390" t="str">
        <f>IF(op!F379="","",op!F379+1)</f>
        <v/>
      </c>
      <c r="G491" s="896" t="str">
        <f>IF(op!G379=0,"",op!G379)</f>
        <v/>
      </c>
      <c r="H491" s="390" t="str">
        <f>IF(op!H379="","",op!H379)</f>
        <v/>
      </c>
      <c r="I491" s="897" t="str">
        <f t="shared" si="228"/>
        <v/>
      </c>
      <c r="J491" s="898" t="str">
        <f>IF(op!J379="","",op!J379)</f>
        <v/>
      </c>
      <c r="K491" s="334"/>
      <c r="L491" s="1140" t="str">
        <f>IF(op!L379="","",op!L379)</f>
        <v/>
      </c>
      <c r="M491" s="1140" t="str">
        <f>IF(op!M379="","",op!M379)</f>
        <v/>
      </c>
      <c r="N491" s="899" t="str">
        <f t="shared" si="242"/>
        <v/>
      </c>
      <c r="O491" s="900" t="str">
        <f t="shared" si="243"/>
        <v/>
      </c>
      <c r="P491" s="901" t="str">
        <f t="shared" si="244"/>
        <v/>
      </c>
      <c r="Q491" s="568" t="str">
        <f t="shared" si="229"/>
        <v/>
      </c>
      <c r="R491" s="902" t="str">
        <f t="shared" si="245"/>
        <v/>
      </c>
      <c r="S491" s="903">
        <f t="shared" si="230"/>
        <v>0</v>
      </c>
      <c r="T491" s="334"/>
      <c r="X491" s="887" t="str">
        <f t="shared" si="231"/>
        <v/>
      </c>
      <c r="Y491" s="904">
        <f t="shared" si="232"/>
        <v>0.6</v>
      </c>
      <c r="Z491" s="905" t="e">
        <f t="shared" si="246"/>
        <v>#VALUE!</v>
      </c>
      <c r="AA491" s="905" t="e">
        <f t="shared" si="247"/>
        <v>#VALUE!</v>
      </c>
      <c r="AB491" s="905" t="e">
        <f t="shared" si="248"/>
        <v>#VALUE!</v>
      </c>
      <c r="AC491" s="906" t="e">
        <f t="shared" si="233"/>
        <v>#VALUE!</v>
      </c>
      <c r="AD491" s="907">
        <f t="shared" si="234"/>
        <v>0</v>
      </c>
      <c r="AE491" s="904">
        <f>IF(H491&gt;8,tab!C$194,tab!C$197)</f>
        <v>0.5</v>
      </c>
      <c r="AF491" s="907">
        <f t="shared" si="235"/>
        <v>0</v>
      </c>
      <c r="AG491" s="887">
        <f t="shared" si="236"/>
        <v>0</v>
      </c>
      <c r="AH491" s="908" t="e">
        <f t="shared" si="237"/>
        <v>#VALUE!</v>
      </c>
      <c r="AI491" s="815" t="e">
        <f t="shared" si="238"/>
        <v>#VALUE!</v>
      </c>
      <c r="AJ491" s="540">
        <f t="shared" si="239"/>
        <v>30</v>
      </c>
      <c r="AK491" s="540">
        <f t="shared" si="240"/>
        <v>30</v>
      </c>
      <c r="AL491" s="909">
        <f t="shared" si="241"/>
        <v>0</v>
      </c>
      <c r="AN491" s="539">
        <f t="shared" si="249"/>
        <v>0</v>
      </c>
      <c r="AT491" s="317"/>
      <c r="AU491" s="317"/>
    </row>
    <row r="492" spans="3:47" ht="13.15" customHeight="1" x14ac:dyDescent="0.2">
      <c r="C492" s="381"/>
      <c r="D492" s="895" t="str">
        <f>IF(op!D380=0,"",op!D380)</f>
        <v/>
      </c>
      <c r="E492" s="895" t="str">
        <f>IF(op!E380=0,"",op!E380)</f>
        <v/>
      </c>
      <c r="F492" s="390" t="str">
        <f>IF(op!F380="","",op!F380+1)</f>
        <v/>
      </c>
      <c r="G492" s="896" t="str">
        <f>IF(op!G380=0,"",op!G380)</f>
        <v/>
      </c>
      <c r="H492" s="390" t="str">
        <f>IF(op!H380="","",op!H380)</f>
        <v/>
      </c>
      <c r="I492" s="897" t="str">
        <f t="shared" si="228"/>
        <v/>
      </c>
      <c r="J492" s="898" t="str">
        <f>IF(op!J380="","",op!J380)</f>
        <v/>
      </c>
      <c r="K492" s="334"/>
      <c r="L492" s="1140" t="str">
        <f>IF(op!L380="","",op!L380)</f>
        <v/>
      </c>
      <c r="M492" s="1140" t="str">
        <f>IF(op!M380="","",op!M380)</f>
        <v/>
      </c>
      <c r="N492" s="899" t="str">
        <f t="shared" si="242"/>
        <v/>
      </c>
      <c r="O492" s="900" t="str">
        <f t="shared" si="243"/>
        <v/>
      </c>
      <c r="P492" s="901" t="str">
        <f t="shared" si="244"/>
        <v/>
      </c>
      <c r="Q492" s="568" t="str">
        <f t="shared" si="229"/>
        <v/>
      </c>
      <c r="R492" s="902" t="str">
        <f t="shared" si="245"/>
        <v/>
      </c>
      <c r="S492" s="903">
        <f t="shared" si="230"/>
        <v>0</v>
      </c>
      <c r="T492" s="334"/>
      <c r="X492" s="887" t="str">
        <f t="shared" si="231"/>
        <v/>
      </c>
      <c r="Y492" s="904">
        <f t="shared" si="232"/>
        <v>0.6</v>
      </c>
      <c r="Z492" s="905" t="e">
        <f t="shared" si="246"/>
        <v>#VALUE!</v>
      </c>
      <c r="AA492" s="905" t="e">
        <f t="shared" si="247"/>
        <v>#VALUE!</v>
      </c>
      <c r="AB492" s="905" t="e">
        <f t="shared" si="248"/>
        <v>#VALUE!</v>
      </c>
      <c r="AC492" s="906" t="e">
        <f t="shared" si="233"/>
        <v>#VALUE!</v>
      </c>
      <c r="AD492" s="907">
        <f t="shared" si="234"/>
        <v>0</v>
      </c>
      <c r="AE492" s="904">
        <f>IF(H492&gt;8,tab!C$194,tab!C$197)</f>
        <v>0.5</v>
      </c>
      <c r="AF492" s="907">
        <f t="shared" si="235"/>
        <v>0</v>
      </c>
      <c r="AG492" s="887">
        <f t="shared" si="236"/>
        <v>0</v>
      </c>
      <c r="AH492" s="908" t="e">
        <f t="shared" si="237"/>
        <v>#VALUE!</v>
      </c>
      <c r="AI492" s="815" t="e">
        <f t="shared" si="238"/>
        <v>#VALUE!</v>
      </c>
      <c r="AJ492" s="540">
        <f t="shared" si="239"/>
        <v>30</v>
      </c>
      <c r="AK492" s="540">
        <f t="shared" si="240"/>
        <v>30</v>
      </c>
      <c r="AL492" s="909">
        <f t="shared" si="241"/>
        <v>0</v>
      </c>
      <c r="AN492" s="539">
        <f t="shared" si="249"/>
        <v>0</v>
      </c>
      <c r="AT492" s="317"/>
      <c r="AU492" s="317"/>
    </row>
    <row r="493" spans="3:47" ht="13.15" customHeight="1" x14ac:dyDescent="0.2">
      <c r="C493" s="381"/>
      <c r="D493" s="895" t="str">
        <f>IF(op!D381=0,"",op!D381)</f>
        <v/>
      </c>
      <c r="E493" s="895" t="str">
        <f>IF(op!E381=0,"",op!E381)</f>
        <v/>
      </c>
      <c r="F493" s="390" t="str">
        <f>IF(op!F381="","",op!F381+1)</f>
        <v/>
      </c>
      <c r="G493" s="896" t="str">
        <f>IF(op!G381=0,"",op!G381)</f>
        <v/>
      </c>
      <c r="H493" s="390" t="str">
        <f>IF(op!H381="","",op!H381)</f>
        <v/>
      </c>
      <c r="I493" s="897" t="str">
        <f t="shared" si="228"/>
        <v/>
      </c>
      <c r="J493" s="898" t="str">
        <f>IF(op!J381="","",op!J381)</f>
        <v/>
      </c>
      <c r="K493" s="334"/>
      <c r="L493" s="1140" t="str">
        <f>IF(op!L381="","",op!L381)</f>
        <v/>
      </c>
      <c r="M493" s="1140" t="str">
        <f>IF(op!M381="","",op!M381)</f>
        <v/>
      </c>
      <c r="N493" s="899" t="str">
        <f t="shared" si="242"/>
        <v/>
      </c>
      <c r="O493" s="900" t="str">
        <f t="shared" si="243"/>
        <v/>
      </c>
      <c r="P493" s="901" t="str">
        <f t="shared" si="244"/>
        <v/>
      </c>
      <c r="Q493" s="568" t="str">
        <f t="shared" si="229"/>
        <v/>
      </c>
      <c r="R493" s="902" t="str">
        <f t="shared" si="245"/>
        <v/>
      </c>
      <c r="S493" s="903">
        <f t="shared" si="230"/>
        <v>0</v>
      </c>
      <c r="T493" s="334"/>
      <c r="X493" s="887" t="str">
        <f t="shared" si="231"/>
        <v/>
      </c>
      <c r="Y493" s="904">
        <f t="shared" si="232"/>
        <v>0.6</v>
      </c>
      <c r="Z493" s="905" t="e">
        <f t="shared" si="246"/>
        <v>#VALUE!</v>
      </c>
      <c r="AA493" s="905" t="e">
        <f t="shared" si="247"/>
        <v>#VALUE!</v>
      </c>
      <c r="AB493" s="905" t="e">
        <f t="shared" si="248"/>
        <v>#VALUE!</v>
      </c>
      <c r="AC493" s="906" t="e">
        <f t="shared" si="233"/>
        <v>#VALUE!</v>
      </c>
      <c r="AD493" s="907">
        <f t="shared" si="234"/>
        <v>0</v>
      </c>
      <c r="AE493" s="904">
        <f>IF(H493&gt;8,tab!C$194,tab!C$197)</f>
        <v>0.5</v>
      </c>
      <c r="AF493" s="907">
        <f t="shared" si="235"/>
        <v>0</v>
      </c>
      <c r="AG493" s="887">
        <f t="shared" si="236"/>
        <v>0</v>
      </c>
      <c r="AH493" s="908" t="e">
        <f t="shared" si="237"/>
        <v>#VALUE!</v>
      </c>
      <c r="AI493" s="815" t="e">
        <f t="shared" si="238"/>
        <v>#VALUE!</v>
      </c>
      <c r="AJ493" s="540">
        <f t="shared" si="239"/>
        <v>30</v>
      </c>
      <c r="AK493" s="540">
        <f t="shared" si="240"/>
        <v>30</v>
      </c>
      <c r="AL493" s="909">
        <f t="shared" si="241"/>
        <v>0</v>
      </c>
      <c r="AN493" s="539">
        <f t="shared" si="249"/>
        <v>0</v>
      </c>
      <c r="AT493" s="317"/>
      <c r="AU493" s="317"/>
    </row>
    <row r="494" spans="3:47" ht="13.15" customHeight="1" x14ac:dyDescent="0.2">
      <c r="C494" s="381"/>
      <c r="D494" s="895" t="str">
        <f>IF(op!D382=0,"",op!D382)</f>
        <v/>
      </c>
      <c r="E494" s="895" t="str">
        <f>IF(op!E382=0,"",op!E382)</f>
        <v/>
      </c>
      <c r="F494" s="390" t="str">
        <f>IF(op!F382="","",op!F382+1)</f>
        <v/>
      </c>
      <c r="G494" s="896" t="str">
        <f>IF(op!G382=0,"",op!G382)</f>
        <v/>
      </c>
      <c r="H494" s="390" t="str">
        <f>IF(op!H382="","",op!H382)</f>
        <v/>
      </c>
      <c r="I494" s="897" t="str">
        <f t="shared" si="228"/>
        <v/>
      </c>
      <c r="J494" s="898" t="str">
        <f>IF(op!J382="","",op!J382)</f>
        <v/>
      </c>
      <c r="K494" s="334"/>
      <c r="L494" s="1140" t="str">
        <f>IF(op!L382="","",op!L382)</f>
        <v/>
      </c>
      <c r="M494" s="1140" t="str">
        <f>IF(op!M382="","",op!M382)</f>
        <v/>
      </c>
      <c r="N494" s="899" t="str">
        <f t="shared" si="242"/>
        <v/>
      </c>
      <c r="O494" s="900" t="str">
        <f t="shared" si="243"/>
        <v/>
      </c>
      <c r="P494" s="901" t="str">
        <f t="shared" si="244"/>
        <v/>
      </c>
      <c r="Q494" s="568" t="str">
        <f t="shared" si="229"/>
        <v/>
      </c>
      <c r="R494" s="902" t="str">
        <f t="shared" si="245"/>
        <v/>
      </c>
      <c r="S494" s="903">
        <f t="shared" si="230"/>
        <v>0</v>
      </c>
      <c r="T494" s="334"/>
      <c r="X494" s="887" t="str">
        <f t="shared" si="231"/>
        <v/>
      </c>
      <c r="Y494" s="904">
        <f t="shared" si="232"/>
        <v>0.6</v>
      </c>
      <c r="Z494" s="905" t="e">
        <f t="shared" si="246"/>
        <v>#VALUE!</v>
      </c>
      <c r="AA494" s="905" t="e">
        <f t="shared" si="247"/>
        <v>#VALUE!</v>
      </c>
      <c r="AB494" s="905" t="e">
        <f t="shared" si="248"/>
        <v>#VALUE!</v>
      </c>
      <c r="AC494" s="906" t="e">
        <f t="shared" si="233"/>
        <v>#VALUE!</v>
      </c>
      <c r="AD494" s="907">
        <f t="shared" si="234"/>
        <v>0</v>
      </c>
      <c r="AE494" s="904">
        <f>IF(H494&gt;8,tab!C$194,tab!C$197)</f>
        <v>0.5</v>
      </c>
      <c r="AF494" s="907">
        <f t="shared" si="235"/>
        <v>0</v>
      </c>
      <c r="AG494" s="887">
        <f t="shared" si="236"/>
        <v>0</v>
      </c>
      <c r="AH494" s="908" t="e">
        <f t="shared" si="237"/>
        <v>#VALUE!</v>
      </c>
      <c r="AI494" s="815" t="e">
        <f t="shared" si="238"/>
        <v>#VALUE!</v>
      </c>
      <c r="AJ494" s="540">
        <f t="shared" si="239"/>
        <v>30</v>
      </c>
      <c r="AK494" s="540">
        <f t="shared" si="240"/>
        <v>30</v>
      </c>
      <c r="AL494" s="909">
        <f t="shared" si="241"/>
        <v>0</v>
      </c>
      <c r="AN494" s="539">
        <f t="shared" si="249"/>
        <v>0</v>
      </c>
      <c r="AT494" s="317"/>
      <c r="AU494" s="317"/>
    </row>
    <row r="495" spans="3:47" ht="13.15" customHeight="1" x14ac:dyDescent="0.2">
      <c r="C495" s="381"/>
      <c r="D495" s="895" t="str">
        <f>IF(op!D383=0,"",op!D383)</f>
        <v/>
      </c>
      <c r="E495" s="895" t="str">
        <f>IF(op!E383=0,"",op!E383)</f>
        <v/>
      </c>
      <c r="F495" s="390" t="str">
        <f>IF(op!F383="","",op!F383+1)</f>
        <v/>
      </c>
      <c r="G495" s="896" t="str">
        <f>IF(op!G383=0,"",op!G383)</f>
        <v/>
      </c>
      <c r="H495" s="390" t="str">
        <f>IF(op!H383="","",op!H383)</f>
        <v/>
      </c>
      <c r="I495" s="897" t="str">
        <f t="shared" si="228"/>
        <v/>
      </c>
      <c r="J495" s="898" t="str">
        <f>IF(op!J383="","",op!J383)</f>
        <v/>
      </c>
      <c r="K495" s="334"/>
      <c r="L495" s="1140" t="str">
        <f>IF(op!L383="","",op!L383)</f>
        <v/>
      </c>
      <c r="M495" s="1140" t="str">
        <f>IF(op!M383="","",op!M383)</f>
        <v/>
      </c>
      <c r="N495" s="899" t="str">
        <f t="shared" si="242"/>
        <v/>
      </c>
      <c r="O495" s="900" t="str">
        <f t="shared" si="243"/>
        <v/>
      </c>
      <c r="P495" s="901" t="str">
        <f t="shared" si="244"/>
        <v/>
      </c>
      <c r="Q495" s="568" t="str">
        <f t="shared" si="229"/>
        <v/>
      </c>
      <c r="R495" s="902" t="str">
        <f t="shared" si="245"/>
        <v/>
      </c>
      <c r="S495" s="903">
        <f t="shared" si="230"/>
        <v>0</v>
      </c>
      <c r="T495" s="334"/>
      <c r="X495" s="887" t="str">
        <f t="shared" si="231"/>
        <v/>
      </c>
      <c r="Y495" s="904">
        <f t="shared" si="232"/>
        <v>0.6</v>
      </c>
      <c r="Z495" s="905" t="e">
        <f t="shared" si="246"/>
        <v>#VALUE!</v>
      </c>
      <c r="AA495" s="905" t="e">
        <f t="shared" si="247"/>
        <v>#VALUE!</v>
      </c>
      <c r="AB495" s="905" t="e">
        <f t="shared" si="248"/>
        <v>#VALUE!</v>
      </c>
      <c r="AC495" s="906" t="e">
        <f t="shared" si="233"/>
        <v>#VALUE!</v>
      </c>
      <c r="AD495" s="907">
        <f t="shared" si="234"/>
        <v>0</v>
      </c>
      <c r="AE495" s="904">
        <f>IF(H495&gt;8,tab!C$194,tab!C$197)</f>
        <v>0.5</v>
      </c>
      <c r="AF495" s="907">
        <f t="shared" si="235"/>
        <v>0</v>
      </c>
      <c r="AG495" s="887">
        <f t="shared" si="236"/>
        <v>0</v>
      </c>
      <c r="AH495" s="908" t="e">
        <f t="shared" si="237"/>
        <v>#VALUE!</v>
      </c>
      <c r="AI495" s="815" t="e">
        <f t="shared" si="238"/>
        <v>#VALUE!</v>
      </c>
      <c r="AJ495" s="540">
        <f t="shared" si="239"/>
        <v>30</v>
      </c>
      <c r="AK495" s="540">
        <f t="shared" si="240"/>
        <v>30</v>
      </c>
      <c r="AL495" s="909">
        <f t="shared" si="241"/>
        <v>0</v>
      </c>
      <c r="AN495" s="539">
        <f t="shared" si="249"/>
        <v>0</v>
      </c>
      <c r="AT495" s="317"/>
      <c r="AU495" s="317"/>
    </row>
    <row r="496" spans="3:47" ht="13.15" customHeight="1" x14ac:dyDescent="0.2">
      <c r="C496" s="381"/>
      <c r="D496" s="895" t="str">
        <f>IF(op!D384=0,"",op!D384)</f>
        <v/>
      </c>
      <c r="E496" s="895" t="str">
        <f>IF(op!E384=0,"",op!E384)</f>
        <v/>
      </c>
      <c r="F496" s="390" t="str">
        <f>IF(op!F384="","",op!F384+1)</f>
        <v/>
      </c>
      <c r="G496" s="896" t="str">
        <f>IF(op!G384=0,"",op!G384)</f>
        <v/>
      </c>
      <c r="H496" s="390" t="str">
        <f>IF(op!H384="","",op!H384)</f>
        <v/>
      </c>
      <c r="I496" s="897" t="str">
        <f t="shared" ref="I496:I527" si="250">IF(E496="","",IF(I384=VLOOKUP(H496,Salaris2021,22,FALSE),I384,I384+1))</f>
        <v/>
      </c>
      <c r="J496" s="898" t="str">
        <f>IF(op!J384="","",op!J384)</f>
        <v/>
      </c>
      <c r="K496" s="334"/>
      <c r="L496" s="1140" t="str">
        <f>IF(op!L384="","",op!L384)</f>
        <v/>
      </c>
      <c r="M496" s="1140" t="str">
        <f>IF(op!M384="","",op!M384)</f>
        <v/>
      </c>
      <c r="N496" s="899" t="str">
        <f t="shared" si="242"/>
        <v/>
      </c>
      <c r="O496" s="900" t="str">
        <f t="shared" si="243"/>
        <v/>
      </c>
      <c r="P496" s="901" t="str">
        <f t="shared" si="244"/>
        <v/>
      </c>
      <c r="Q496" s="568" t="str">
        <f t="shared" ref="Q496:Q527" si="251">IF(J496="","",(1659*J496-P496)*AA496)</f>
        <v/>
      </c>
      <c r="R496" s="902" t="str">
        <f t="shared" si="245"/>
        <v/>
      </c>
      <c r="S496" s="903">
        <f t="shared" ref="S496:S527" si="252">IF(E496=0,0,SUM(Q496:R496))</f>
        <v>0</v>
      </c>
      <c r="T496" s="334"/>
      <c r="X496" s="887" t="str">
        <f t="shared" ref="X496:X527" si="253">IF(H496="","",VLOOKUP(H496,Salaris2021,I496+1,FALSE))</f>
        <v/>
      </c>
      <c r="Y496" s="904">
        <f t="shared" ref="Y496:Y527" si="254">$Y$14</f>
        <v>0.6</v>
      </c>
      <c r="Z496" s="905" t="e">
        <f t="shared" si="246"/>
        <v>#VALUE!</v>
      </c>
      <c r="AA496" s="905" t="e">
        <f t="shared" si="247"/>
        <v>#VALUE!</v>
      </c>
      <c r="AB496" s="905" t="e">
        <f t="shared" si="248"/>
        <v>#VALUE!</v>
      </c>
      <c r="AC496" s="906" t="e">
        <f t="shared" ref="AC496:AC527" si="255">N496+O496</f>
        <v>#VALUE!</v>
      </c>
      <c r="AD496" s="907">
        <f t="shared" ref="AD496:AD527" si="256">SUM(L496:M496)</f>
        <v>0</v>
      </c>
      <c r="AE496" s="904">
        <f>IF(H496&gt;8,tab!C$194,tab!C$197)</f>
        <v>0.5</v>
      </c>
      <c r="AF496" s="907">
        <f t="shared" ref="AF496:AF527" si="257">IF(F496&lt;25,0,IF(F496=25,25,IF(F496&lt;40,0,IF(F496=40,40,IF(F496&gt;=40,0)))))</f>
        <v>0</v>
      </c>
      <c r="AG496" s="887">
        <f t="shared" ref="AG496:AG527" si="258">IF(AF496=25,(X496*1.08*J496/2),IF(AF496=40,(Y496*1.08*J496),IF(AF496=0,0)))</f>
        <v>0</v>
      </c>
      <c r="AH496" s="908" t="e">
        <f t="shared" ref="AH496:AH527" si="259">DATE(YEAR($E$233),MONTH(G496),DAY(G496))&gt;$E$233</f>
        <v>#VALUE!</v>
      </c>
      <c r="AI496" s="815" t="e">
        <f t="shared" ref="AI496:AI527" si="260">YEAR($E$457)-YEAR(G496)-AH496</f>
        <v>#VALUE!</v>
      </c>
      <c r="AJ496" s="540">
        <f t="shared" ref="AJ496:AJ527" si="261">IF((G496=""),30,AI496)</f>
        <v>30</v>
      </c>
      <c r="AK496" s="540">
        <f t="shared" si="240"/>
        <v>30</v>
      </c>
      <c r="AL496" s="909">
        <f t="shared" ref="AL496:AL527" si="262">(AK496*(SUM(J496:J496)))</f>
        <v>0</v>
      </c>
      <c r="AN496" s="539">
        <f t="shared" si="249"/>
        <v>0</v>
      </c>
      <c r="AT496" s="317"/>
      <c r="AU496" s="317"/>
    </row>
    <row r="497" spans="3:47" ht="13.15" customHeight="1" x14ac:dyDescent="0.2">
      <c r="C497" s="381"/>
      <c r="D497" s="895" t="str">
        <f>IF(op!D385=0,"",op!D385)</f>
        <v/>
      </c>
      <c r="E497" s="895" t="str">
        <f>IF(op!E385=0,"",op!E385)</f>
        <v/>
      </c>
      <c r="F497" s="390" t="str">
        <f>IF(op!F385="","",op!F385+1)</f>
        <v/>
      </c>
      <c r="G497" s="896" t="str">
        <f>IF(op!G385=0,"",op!G385)</f>
        <v/>
      </c>
      <c r="H497" s="390" t="str">
        <f>IF(op!H385="","",op!H385)</f>
        <v/>
      </c>
      <c r="I497" s="897" t="str">
        <f t="shared" si="250"/>
        <v/>
      </c>
      <c r="J497" s="898" t="str">
        <f>IF(op!J385="","",op!J385)</f>
        <v/>
      </c>
      <c r="K497" s="334"/>
      <c r="L497" s="1140" t="str">
        <f>IF(op!L385="","",op!L385)</f>
        <v/>
      </c>
      <c r="M497" s="1140" t="str">
        <f>IF(op!M385="","",op!M385)</f>
        <v/>
      </c>
      <c r="N497" s="899" t="str">
        <f t="shared" si="242"/>
        <v/>
      </c>
      <c r="O497" s="900" t="str">
        <f t="shared" si="243"/>
        <v/>
      </c>
      <c r="P497" s="901" t="str">
        <f t="shared" si="244"/>
        <v/>
      </c>
      <c r="Q497" s="568" t="str">
        <f t="shared" si="251"/>
        <v/>
      </c>
      <c r="R497" s="902" t="str">
        <f t="shared" si="245"/>
        <v/>
      </c>
      <c r="S497" s="903">
        <f t="shared" si="252"/>
        <v>0</v>
      </c>
      <c r="T497" s="334"/>
      <c r="X497" s="887" t="str">
        <f t="shared" si="253"/>
        <v/>
      </c>
      <c r="Y497" s="904">
        <f t="shared" si="254"/>
        <v>0.6</v>
      </c>
      <c r="Z497" s="905" t="e">
        <f t="shared" si="246"/>
        <v>#VALUE!</v>
      </c>
      <c r="AA497" s="905" t="e">
        <f t="shared" si="247"/>
        <v>#VALUE!</v>
      </c>
      <c r="AB497" s="905" t="e">
        <f t="shared" si="248"/>
        <v>#VALUE!</v>
      </c>
      <c r="AC497" s="906" t="e">
        <f t="shared" si="255"/>
        <v>#VALUE!</v>
      </c>
      <c r="AD497" s="907">
        <f t="shared" si="256"/>
        <v>0</v>
      </c>
      <c r="AE497" s="904">
        <f>IF(H497&gt;8,tab!C$194,tab!C$197)</f>
        <v>0.5</v>
      </c>
      <c r="AF497" s="907">
        <f t="shared" si="257"/>
        <v>0</v>
      </c>
      <c r="AG497" s="887">
        <f t="shared" si="258"/>
        <v>0</v>
      </c>
      <c r="AH497" s="908" t="e">
        <f t="shared" si="259"/>
        <v>#VALUE!</v>
      </c>
      <c r="AI497" s="815" t="e">
        <f t="shared" si="260"/>
        <v>#VALUE!</v>
      </c>
      <c r="AJ497" s="540">
        <f t="shared" si="261"/>
        <v>30</v>
      </c>
      <c r="AK497" s="540">
        <f t="shared" si="240"/>
        <v>30</v>
      </c>
      <c r="AL497" s="909">
        <f t="shared" si="262"/>
        <v>0</v>
      </c>
      <c r="AN497" s="539">
        <f t="shared" si="249"/>
        <v>0</v>
      </c>
      <c r="AT497" s="317"/>
      <c r="AU497" s="317"/>
    </row>
    <row r="498" spans="3:47" ht="13.15" customHeight="1" x14ac:dyDescent="0.2">
      <c r="C498" s="381"/>
      <c r="D498" s="895" t="str">
        <f>IF(op!D386=0,"",op!D386)</f>
        <v/>
      </c>
      <c r="E498" s="895" t="str">
        <f>IF(op!E386=0,"",op!E386)</f>
        <v/>
      </c>
      <c r="F498" s="390" t="str">
        <f>IF(op!F386="","",op!F386+1)</f>
        <v/>
      </c>
      <c r="G498" s="896" t="str">
        <f>IF(op!G386=0,"",op!G386)</f>
        <v/>
      </c>
      <c r="H498" s="390" t="str">
        <f>IF(op!H386="","",op!H386)</f>
        <v/>
      </c>
      <c r="I498" s="897" t="str">
        <f t="shared" si="250"/>
        <v/>
      </c>
      <c r="J498" s="898" t="str">
        <f>IF(op!J386="","",op!J386)</f>
        <v/>
      </c>
      <c r="K498" s="334"/>
      <c r="L498" s="1140" t="str">
        <f>IF(op!L386="","",op!L386)</f>
        <v/>
      </c>
      <c r="M498" s="1140" t="str">
        <f>IF(op!M386="","",op!M386)</f>
        <v/>
      </c>
      <c r="N498" s="899" t="str">
        <f t="shared" si="242"/>
        <v/>
      </c>
      <c r="O498" s="900" t="str">
        <f t="shared" si="243"/>
        <v/>
      </c>
      <c r="P498" s="901" t="str">
        <f t="shared" si="244"/>
        <v/>
      </c>
      <c r="Q498" s="568" t="str">
        <f t="shared" si="251"/>
        <v/>
      </c>
      <c r="R498" s="902" t="str">
        <f t="shared" si="245"/>
        <v/>
      </c>
      <c r="S498" s="903">
        <f t="shared" si="252"/>
        <v>0</v>
      </c>
      <c r="T498" s="334"/>
      <c r="X498" s="887" t="str">
        <f t="shared" si="253"/>
        <v/>
      </c>
      <c r="Y498" s="904">
        <f t="shared" si="254"/>
        <v>0.6</v>
      </c>
      <c r="Z498" s="905" t="e">
        <f t="shared" si="246"/>
        <v>#VALUE!</v>
      </c>
      <c r="AA498" s="905" t="e">
        <f t="shared" si="247"/>
        <v>#VALUE!</v>
      </c>
      <c r="AB498" s="905" t="e">
        <f t="shared" si="248"/>
        <v>#VALUE!</v>
      </c>
      <c r="AC498" s="906" t="e">
        <f t="shared" si="255"/>
        <v>#VALUE!</v>
      </c>
      <c r="AD498" s="907">
        <f t="shared" si="256"/>
        <v>0</v>
      </c>
      <c r="AE498" s="904">
        <f>IF(H498&gt;8,tab!C$194,tab!C$197)</f>
        <v>0.5</v>
      </c>
      <c r="AF498" s="907">
        <f t="shared" si="257"/>
        <v>0</v>
      </c>
      <c r="AG498" s="887">
        <f t="shared" si="258"/>
        <v>0</v>
      </c>
      <c r="AH498" s="908" t="e">
        <f t="shared" si="259"/>
        <v>#VALUE!</v>
      </c>
      <c r="AI498" s="815" t="e">
        <f t="shared" si="260"/>
        <v>#VALUE!</v>
      </c>
      <c r="AJ498" s="540">
        <f t="shared" si="261"/>
        <v>30</v>
      </c>
      <c r="AK498" s="540">
        <f t="shared" si="240"/>
        <v>30</v>
      </c>
      <c r="AL498" s="909">
        <f t="shared" si="262"/>
        <v>0</v>
      </c>
      <c r="AN498" s="539">
        <f t="shared" si="249"/>
        <v>0</v>
      </c>
      <c r="AT498" s="317"/>
      <c r="AU498" s="317"/>
    </row>
    <row r="499" spans="3:47" ht="13.15" customHeight="1" x14ac:dyDescent="0.2">
      <c r="C499" s="381"/>
      <c r="D499" s="895" t="str">
        <f>IF(op!D387=0,"",op!D387)</f>
        <v/>
      </c>
      <c r="E499" s="895" t="str">
        <f>IF(op!E387=0,"",op!E387)</f>
        <v/>
      </c>
      <c r="F499" s="390" t="str">
        <f>IF(op!F387="","",op!F387+1)</f>
        <v/>
      </c>
      <c r="G499" s="896" t="str">
        <f>IF(op!G387=0,"",op!G387)</f>
        <v/>
      </c>
      <c r="H499" s="390" t="str">
        <f>IF(op!H387="","",op!H387)</f>
        <v/>
      </c>
      <c r="I499" s="897" t="str">
        <f t="shared" si="250"/>
        <v/>
      </c>
      <c r="J499" s="898" t="str">
        <f>IF(op!J387="","",op!J387)</f>
        <v/>
      </c>
      <c r="K499" s="334"/>
      <c r="L499" s="1140" t="str">
        <f>IF(op!L387="","",op!L387)</f>
        <v/>
      </c>
      <c r="M499" s="1140" t="str">
        <f>IF(op!M387="","",op!M387)</f>
        <v/>
      </c>
      <c r="N499" s="899" t="str">
        <f t="shared" si="242"/>
        <v/>
      </c>
      <c r="O499" s="900" t="str">
        <f t="shared" si="243"/>
        <v/>
      </c>
      <c r="P499" s="901" t="str">
        <f t="shared" si="244"/>
        <v/>
      </c>
      <c r="Q499" s="568" t="str">
        <f t="shared" si="251"/>
        <v/>
      </c>
      <c r="R499" s="902" t="str">
        <f t="shared" si="245"/>
        <v/>
      </c>
      <c r="S499" s="903">
        <f t="shared" si="252"/>
        <v>0</v>
      </c>
      <c r="T499" s="334"/>
      <c r="X499" s="887" t="str">
        <f t="shared" si="253"/>
        <v/>
      </c>
      <c r="Y499" s="904">
        <f t="shared" si="254"/>
        <v>0.6</v>
      </c>
      <c r="Z499" s="905" t="e">
        <f t="shared" si="246"/>
        <v>#VALUE!</v>
      </c>
      <c r="AA499" s="905" t="e">
        <f t="shared" si="247"/>
        <v>#VALUE!</v>
      </c>
      <c r="AB499" s="905" t="e">
        <f t="shared" si="248"/>
        <v>#VALUE!</v>
      </c>
      <c r="AC499" s="906" t="e">
        <f t="shared" si="255"/>
        <v>#VALUE!</v>
      </c>
      <c r="AD499" s="907">
        <f t="shared" si="256"/>
        <v>0</v>
      </c>
      <c r="AE499" s="904">
        <f>IF(H499&gt;8,tab!C$194,tab!C$197)</f>
        <v>0.5</v>
      </c>
      <c r="AF499" s="907">
        <f t="shared" si="257"/>
        <v>0</v>
      </c>
      <c r="AG499" s="887">
        <f t="shared" si="258"/>
        <v>0</v>
      </c>
      <c r="AH499" s="908" t="e">
        <f t="shared" si="259"/>
        <v>#VALUE!</v>
      </c>
      <c r="AI499" s="815" t="e">
        <f t="shared" si="260"/>
        <v>#VALUE!</v>
      </c>
      <c r="AJ499" s="540">
        <f t="shared" si="261"/>
        <v>30</v>
      </c>
      <c r="AK499" s="540">
        <f t="shared" si="240"/>
        <v>30</v>
      </c>
      <c r="AL499" s="909">
        <f t="shared" si="262"/>
        <v>0</v>
      </c>
      <c r="AN499" s="539">
        <f t="shared" si="249"/>
        <v>0</v>
      </c>
      <c r="AT499" s="317"/>
      <c r="AU499" s="317"/>
    </row>
    <row r="500" spans="3:47" ht="13.15" customHeight="1" x14ac:dyDescent="0.2">
      <c r="C500" s="381"/>
      <c r="D500" s="895" t="str">
        <f>IF(op!D388=0,"",op!D388)</f>
        <v/>
      </c>
      <c r="E500" s="895" t="str">
        <f>IF(op!E388=0,"",op!E388)</f>
        <v/>
      </c>
      <c r="F500" s="390" t="str">
        <f>IF(op!F388="","",op!F388+1)</f>
        <v/>
      </c>
      <c r="G500" s="896" t="str">
        <f>IF(op!G388=0,"",op!G388)</f>
        <v/>
      </c>
      <c r="H500" s="390" t="str">
        <f>IF(op!H388="","",op!H388)</f>
        <v/>
      </c>
      <c r="I500" s="897" t="str">
        <f t="shared" si="250"/>
        <v/>
      </c>
      <c r="J500" s="898" t="str">
        <f>IF(op!J388="","",op!J388)</f>
        <v/>
      </c>
      <c r="K500" s="334"/>
      <c r="L500" s="1140" t="str">
        <f>IF(op!L388="","",op!L388)</f>
        <v/>
      </c>
      <c r="M500" s="1140" t="str">
        <f>IF(op!M388="","",op!M388)</f>
        <v/>
      </c>
      <c r="N500" s="899" t="str">
        <f t="shared" si="242"/>
        <v/>
      </c>
      <c r="O500" s="900" t="str">
        <f t="shared" si="243"/>
        <v/>
      </c>
      <c r="P500" s="901" t="str">
        <f t="shared" si="244"/>
        <v/>
      </c>
      <c r="Q500" s="568" t="str">
        <f t="shared" si="251"/>
        <v/>
      </c>
      <c r="R500" s="902" t="str">
        <f t="shared" si="245"/>
        <v/>
      </c>
      <c r="S500" s="903">
        <f t="shared" si="252"/>
        <v>0</v>
      </c>
      <c r="T500" s="334"/>
      <c r="X500" s="887" t="str">
        <f t="shared" si="253"/>
        <v/>
      </c>
      <c r="Y500" s="904">
        <f t="shared" si="254"/>
        <v>0.6</v>
      </c>
      <c r="Z500" s="905" t="e">
        <f t="shared" si="246"/>
        <v>#VALUE!</v>
      </c>
      <c r="AA500" s="905" t="e">
        <f t="shared" si="247"/>
        <v>#VALUE!</v>
      </c>
      <c r="AB500" s="905" t="e">
        <f t="shared" si="248"/>
        <v>#VALUE!</v>
      </c>
      <c r="AC500" s="906" t="e">
        <f t="shared" si="255"/>
        <v>#VALUE!</v>
      </c>
      <c r="AD500" s="907">
        <f t="shared" si="256"/>
        <v>0</v>
      </c>
      <c r="AE500" s="904">
        <f>IF(H500&gt;8,tab!C$194,tab!C$197)</f>
        <v>0.5</v>
      </c>
      <c r="AF500" s="907">
        <f t="shared" si="257"/>
        <v>0</v>
      </c>
      <c r="AG500" s="887">
        <f t="shared" si="258"/>
        <v>0</v>
      </c>
      <c r="AH500" s="908" t="e">
        <f t="shared" si="259"/>
        <v>#VALUE!</v>
      </c>
      <c r="AI500" s="815" t="e">
        <f t="shared" si="260"/>
        <v>#VALUE!</v>
      </c>
      <c r="AJ500" s="540">
        <f t="shared" si="261"/>
        <v>30</v>
      </c>
      <c r="AK500" s="540">
        <f t="shared" si="240"/>
        <v>30</v>
      </c>
      <c r="AL500" s="909">
        <f t="shared" si="262"/>
        <v>0</v>
      </c>
      <c r="AN500" s="539">
        <f t="shared" si="249"/>
        <v>0</v>
      </c>
      <c r="AT500" s="317"/>
      <c r="AU500" s="317"/>
    </row>
    <row r="501" spans="3:47" ht="13.15" customHeight="1" x14ac:dyDescent="0.2">
      <c r="C501" s="381"/>
      <c r="D501" s="895" t="str">
        <f>IF(op!D389=0,"",op!D389)</f>
        <v/>
      </c>
      <c r="E501" s="895" t="str">
        <f>IF(op!E389=0,"",op!E389)</f>
        <v/>
      </c>
      <c r="F501" s="390" t="str">
        <f>IF(op!F389="","",op!F389+1)</f>
        <v/>
      </c>
      <c r="G501" s="896" t="str">
        <f>IF(op!G389=0,"",op!G389)</f>
        <v/>
      </c>
      <c r="H501" s="390" t="str">
        <f>IF(op!H389="","",op!H389)</f>
        <v/>
      </c>
      <c r="I501" s="897" t="str">
        <f t="shared" si="250"/>
        <v/>
      </c>
      <c r="J501" s="898" t="str">
        <f>IF(op!J389="","",op!J389)</f>
        <v/>
      </c>
      <c r="K501" s="334"/>
      <c r="L501" s="1140" t="str">
        <f>IF(op!L389="","",op!L389)</f>
        <v/>
      </c>
      <c r="M501" s="1140" t="str">
        <f>IF(op!M389="","",op!M389)</f>
        <v/>
      </c>
      <c r="N501" s="899" t="str">
        <f t="shared" si="242"/>
        <v/>
      </c>
      <c r="O501" s="900" t="str">
        <f t="shared" si="243"/>
        <v/>
      </c>
      <c r="P501" s="901" t="str">
        <f t="shared" si="244"/>
        <v/>
      </c>
      <c r="Q501" s="568" t="str">
        <f t="shared" si="251"/>
        <v/>
      </c>
      <c r="R501" s="902" t="str">
        <f t="shared" si="245"/>
        <v/>
      </c>
      <c r="S501" s="903">
        <f t="shared" si="252"/>
        <v>0</v>
      </c>
      <c r="T501" s="334"/>
      <c r="X501" s="887" t="str">
        <f t="shared" si="253"/>
        <v/>
      </c>
      <c r="Y501" s="904">
        <f t="shared" si="254"/>
        <v>0.6</v>
      </c>
      <c r="Z501" s="905" t="e">
        <f t="shared" si="246"/>
        <v>#VALUE!</v>
      </c>
      <c r="AA501" s="905" t="e">
        <f t="shared" si="247"/>
        <v>#VALUE!</v>
      </c>
      <c r="AB501" s="905" t="e">
        <f t="shared" si="248"/>
        <v>#VALUE!</v>
      </c>
      <c r="AC501" s="906" t="e">
        <f t="shared" si="255"/>
        <v>#VALUE!</v>
      </c>
      <c r="AD501" s="907">
        <f t="shared" si="256"/>
        <v>0</v>
      </c>
      <c r="AE501" s="904">
        <f>IF(H501&gt;8,tab!C$194,tab!C$197)</f>
        <v>0.5</v>
      </c>
      <c r="AF501" s="907">
        <f t="shared" si="257"/>
        <v>0</v>
      </c>
      <c r="AG501" s="887">
        <f t="shared" si="258"/>
        <v>0</v>
      </c>
      <c r="AH501" s="908" t="e">
        <f t="shared" si="259"/>
        <v>#VALUE!</v>
      </c>
      <c r="AI501" s="815" t="e">
        <f t="shared" si="260"/>
        <v>#VALUE!</v>
      </c>
      <c r="AJ501" s="540">
        <f t="shared" si="261"/>
        <v>30</v>
      </c>
      <c r="AK501" s="540">
        <f t="shared" si="240"/>
        <v>30</v>
      </c>
      <c r="AL501" s="909">
        <f t="shared" si="262"/>
        <v>0</v>
      </c>
      <c r="AN501" s="539">
        <f t="shared" si="249"/>
        <v>0</v>
      </c>
      <c r="AT501" s="317"/>
      <c r="AU501" s="317"/>
    </row>
    <row r="502" spans="3:47" ht="13.15" customHeight="1" x14ac:dyDescent="0.2">
      <c r="C502" s="381"/>
      <c r="D502" s="895" t="str">
        <f>IF(op!D390=0,"",op!D390)</f>
        <v/>
      </c>
      <c r="E502" s="895" t="str">
        <f>IF(op!E390=0,"",op!E390)</f>
        <v/>
      </c>
      <c r="F502" s="390" t="str">
        <f>IF(op!F390="","",op!F390+1)</f>
        <v/>
      </c>
      <c r="G502" s="896" t="str">
        <f>IF(op!G390=0,"",op!G390)</f>
        <v/>
      </c>
      <c r="H502" s="390" t="str">
        <f>IF(op!H390="","",op!H390)</f>
        <v/>
      </c>
      <c r="I502" s="897" t="str">
        <f t="shared" si="250"/>
        <v/>
      </c>
      <c r="J502" s="898" t="str">
        <f>IF(op!J390="","",op!J390)</f>
        <v/>
      </c>
      <c r="K502" s="334"/>
      <c r="L502" s="1140" t="str">
        <f>IF(op!L390="","",op!L390)</f>
        <v/>
      </c>
      <c r="M502" s="1140" t="str">
        <f>IF(op!M390="","",op!M390)</f>
        <v/>
      </c>
      <c r="N502" s="899" t="str">
        <f t="shared" si="242"/>
        <v/>
      </c>
      <c r="O502" s="900" t="str">
        <f t="shared" si="243"/>
        <v/>
      </c>
      <c r="P502" s="901" t="str">
        <f t="shared" si="244"/>
        <v/>
      </c>
      <c r="Q502" s="568" t="str">
        <f t="shared" si="251"/>
        <v/>
      </c>
      <c r="R502" s="902" t="str">
        <f t="shared" si="245"/>
        <v/>
      </c>
      <c r="S502" s="903">
        <f t="shared" si="252"/>
        <v>0</v>
      </c>
      <c r="T502" s="334"/>
      <c r="X502" s="887" t="str">
        <f t="shared" si="253"/>
        <v/>
      </c>
      <c r="Y502" s="904">
        <f t="shared" si="254"/>
        <v>0.6</v>
      </c>
      <c r="Z502" s="905" t="e">
        <f t="shared" si="246"/>
        <v>#VALUE!</v>
      </c>
      <c r="AA502" s="905" t="e">
        <f t="shared" si="247"/>
        <v>#VALUE!</v>
      </c>
      <c r="AB502" s="905" t="e">
        <f t="shared" si="248"/>
        <v>#VALUE!</v>
      </c>
      <c r="AC502" s="906" t="e">
        <f t="shared" si="255"/>
        <v>#VALUE!</v>
      </c>
      <c r="AD502" s="907">
        <f t="shared" si="256"/>
        <v>0</v>
      </c>
      <c r="AE502" s="904">
        <f>IF(H502&gt;8,tab!C$194,tab!C$197)</f>
        <v>0.5</v>
      </c>
      <c r="AF502" s="907">
        <f t="shared" si="257"/>
        <v>0</v>
      </c>
      <c r="AG502" s="887">
        <f t="shared" si="258"/>
        <v>0</v>
      </c>
      <c r="AH502" s="908" t="e">
        <f t="shared" si="259"/>
        <v>#VALUE!</v>
      </c>
      <c r="AI502" s="815" t="e">
        <f t="shared" si="260"/>
        <v>#VALUE!</v>
      </c>
      <c r="AJ502" s="540">
        <f t="shared" si="261"/>
        <v>30</v>
      </c>
      <c r="AK502" s="540">
        <f t="shared" si="240"/>
        <v>30</v>
      </c>
      <c r="AL502" s="909">
        <f t="shared" si="262"/>
        <v>0</v>
      </c>
      <c r="AN502" s="539">
        <f t="shared" si="249"/>
        <v>0</v>
      </c>
      <c r="AT502" s="317"/>
      <c r="AU502" s="317"/>
    </row>
    <row r="503" spans="3:47" ht="13.15" customHeight="1" x14ac:dyDescent="0.2">
      <c r="C503" s="381"/>
      <c r="D503" s="895" t="str">
        <f>IF(op!D391=0,"",op!D391)</f>
        <v/>
      </c>
      <c r="E503" s="895" t="str">
        <f>IF(op!E391=0,"",op!E391)</f>
        <v/>
      </c>
      <c r="F503" s="390" t="str">
        <f>IF(op!F391="","",op!F391+1)</f>
        <v/>
      </c>
      <c r="G503" s="896" t="str">
        <f>IF(op!G391=0,"",op!G391)</f>
        <v/>
      </c>
      <c r="H503" s="390" t="str">
        <f>IF(op!H391="","",op!H391)</f>
        <v/>
      </c>
      <c r="I503" s="897" t="str">
        <f t="shared" si="250"/>
        <v/>
      </c>
      <c r="J503" s="898" t="str">
        <f>IF(op!J391="","",op!J391)</f>
        <v/>
      </c>
      <c r="K503" s="334"/>
      <c r="L503" s="1140" t="str">
        <f>IF(op!L391="","",op!L391)</f>
        <v/>
      </c>
      <c r="M503" s="1140" t="str">
        <f>IF(op!M391="","",op!M391)</f>
        <v/>
      </c>
      <c r="N503" s="899" t="str">
        <f t="shared" si="242"/>
        <v/>
      </c>
      <c r="O503" s="900" t="str">
        <f t="shared" si="243"/>
        <v/>
      </c>
      <c r="P503" s="901" t="str">
        <f t="shared" si="244"/>
        <v/>
      </c>
      <c r="Q503" s="568" t="str">
        <f t="shared" si="251"/>
        <v/>
      </c>
      <c r="R503" s="902" t="str">
        <f t="shared" si="245"/>
        <v/>
      </c>
      <c r="S503" s="903">
        <f t="shared" si="252"/>
        <v>0</v>
      </c>
      <c r="T503" s="334"/>
      <c r="X503" s="887" t="str">
        <f t="shared" si="253"/>
        <v/>
      </c>
      <c r="Y503" s="904">
        <f t="shared" si="254"/>
        <v>0.6</v>
      </c>
      <c r="Z503" s="905" t="e">
        <f t="shared" si="246"/>
        <v>#VALUE!</v>
      </c>
      <c r="AA503" s="905" t="e">
        <f t="shared" si="247"/>
        <v>#VALUE!</v>
      </c>
      <c r="AB503" s="905" t="e">
        <f t="shared" si="248"/>
        <v>#VALUE!</v>
      </c>
      <c r="AC503" s="906" t="e">
        <f t="shared" si="255"/>
        <v>#VALUE!</v>
      </c>
      <c r="AD503" s="907">
        <f t="shared" si="256"/>
        <v>0</v>
      </c>
      <c r="AE503" s="904">
        <f>IF(H503&gt;8,tab!C$194,tab!C$197)</f>
        <v>0.5</v>
      </c>
      <c r="AF503" s="907">
        <f t="shared" si="257"/>
        <v>0</v>
      </c>
      <c r="AG503" s="887">
        <f t="shared" si="258"/>
        <v>0</v>
      </c>
      <c r="AH503" s="908" t="e">
        <f t="shared" si="259"/>
        <v>#VALUE!</v>
      </c>
      <c r="AI503" s="815" t="e">
        <f t="shared" si="260"/>
        <v>#VALUE!</v>
      </c>
      <c r="AJ503" s="540">
        <f t="shared" si="261"/>
        <v>30</v>
      </c>
      <c r="AK503" s="540">
        <f t="shared" si="240"/>
        <v>30</v>
      </c>
      <c r="AL503" s="909">
        <f t="shared" si="262"/>
        <v>0</v>
      </c>
      <c r="AN503" s="539">
        <f t="shared" si="249"/>
        <v>0</v>
      </c>
      <c r="AT503" s="317"/>
      <c r="AU503" s="317"/>
    </row>
    <row r="504" spans="3:47" ht="13.15" customHeight="1" x14ac:dyDescent="0.2">
      <c r="C504" s="381"/>
      <c r="D504" s="895" t="str">
        <f>IF(op!D392=0,"",op!D392)</f>
        <v/>
      </c>
      <c r="E504" s="895" t="str">
        <f>IF(op!E392=0,"",op!E392)</f>
        <v/>
      </c>
      <c r="F504" s="390" t="str">
        <f>IF(op!F392="","",op!F392+1)</f>
        <v/>
      </c>
      <c r="G504" s="896" t="str">
        <f>IF(op!G392=0,"",op!G392)</f>
        <v/>
      </c>
      <c r="H504" s="390" t="str">
        <f>IF(op!H392="","",op!H392)</f>
        <v/>
      </c>
      <c r="I504" s="897" t="str">
        <f t="shared" si="250"/>
        <v/>
      </c>
      <c r="J504" s="898" t="str">
        <f>IF(op!J392="","",op!J392)</f>
        <v/>
      </c>
      <c r="K504" s="334"/>
      <c r="L504" s="1140" t="str">
        <f>IF(op!L392="","",op!L392)</f>
        <v/>
      </c>
      <c r="M504" s="1140" t="str">
        <f>IF(op!M392="","",op!M392)</f>
        <v/>
      </c>
      <c r="N504" s="899" t="str">
        <f t="shared" si="242"/>
        <v/>
      </c>
      <c r="O504" s="900" t="str">
        <f t="shared" si="243"/>
        <v/>
      </c>
      <c r="P504" s="901" t="str">
        <f t="shared" si="244"/>
        <v/>
      </c>
      <c r="Q504" s="568" t="str">
        <f t="shared" si="251"/>
        <v/>
      </c>
      <c r="R504" s="902" t="str">
        <f t="shared" si="245"/>
        <v/>
      </c>
      <c r="S504" s="903">
        <f t="shared" si="252"/>
        <v>0</v>
      </c>
      <c r="T504" s="334"/>
      <c r="X504" s="887" t="str">
        <f t="shared" si="253"/>
        <v/>
      </c>
      <c r="Y504" s="904">
        <f t="shared" si="254"/>
        <v>0.6</v>
      </c>
      <c r="Z504" s="905" t="e">
        <f t="shared" si="246"/>
        <v>#VALUE!</v>
      </c>
      <c r="AA504" s="905" t="e">
        <f t="shared" si="247"/>
        <v>#VALUE!</v>
      </c>
      <c r="AB504" s="905" t="e">
        <f t="shared" si="248"/>
        <v>#VALUE!</v>
      </c>
      <c r="AC504" s="906" t="e">
        <f t="shared" si="255"/>
        <v>#VALUE!</v>
      </c>
      <c r="AD504" s="907">
        <f t="shared" si="256"/>
        <v>0</v>
      </c>
      <c r="AE504" s="904">
        <f>IF(H504&gt;8,tab!C$194,tab!C$197)</f>
        <v>0.5</v>
      </c>
      <c r="AF504" s="907">
        <f t="shared" si="257"/>
        <v>0</v>
      </c>
      <c r="AG504" s="887">
        <f t="shared" si="258"/>
        <v>0</v>
      </c>
      <c r="AH504" s="908" t="e">
        <f t="shared" si="259"/>
        <v>#VALUE!</v>
      </c>
      <c r="AI504" s="815" t="e">
        <f t="shared" si="260"/>
        <v>#VALUE!</v>
      </c>
      <c r="AJ504" s="540">
        <f t="shared" si="261"/>
        <v>30</v>
      </c>
      <c r="AK504" s="540">
        <f t="shared" si="240"/>
        <v>30</v>
      </c>
      <c r="AL504" s="909">
        <f t="shared" si="262"/>
        <v>0</v>
      </c>
      <c r="AN504" s="539">
        <f t="shared" si="249"/>
        <v>0</v>
      </c>
      <c r="AT504" s="317"/>
      <c r="AU504" s="317"/>
    </row>
    <row r="505" spans="3:47" ht="13.15" customHeight="1" x14ac:dyDescent="0.2">
      <c r="C505" s="381"/>
      <c r="D505" s="895" t="str">
        <f>IF(op!D393=0,"",op!D393)</f>
        <v/>
      </c>
      <c r="E505" s="895" t="str">
        <f>IF(op!E393=0,"",op!E393)</f>
        <v/>
      </c>
      <c r="F505" s="390" t="str">
        <f>IF(op!F393="","",op!F393+1)</f>
        <v/>
      </c>
      <c r="G505" s="896" t="str">
        <f>IF(op!G393=0,"",op!G393)</f>
        <v/>
      </c>
      <c r="H505" s="390" t="str">
        <f>IF(op!H393="","",op!H393)</f>
        <v/>
      </c>
      <c r="I505" s="897" t="str">
        <f t="shared" si="250"/>
        <v/>
      </c>
      <c r="J505" s="898" t="str">
        <f>IF(op!J393="","",op!J393)</f>
        <v/>
      </c>
      <c r="K505" s="334"/>
      <c r="L505" s="1140" t="str">
        <f>IF(op!L393="","",op!L393)</f>
        <v/>
      </c>
      <c r="M505" s="1140" t="str">
        <f>IF(op!M393="","",op!M393)</f>
        <v/>
      </c>
      <c r="N505" s="899" t="str">
        <f t="shared" si="242"/>
        <v/>
      </c>
      <c r="O505" s="900" t="str">
        <f t="shared" si="243"/>
        <v/>
      </c>
      <c r="P505" s="901" t="str">
        <f t="shared" si="244"/>
        <v/>
      </c>
      <c r="Q505" s="568" t="str">
        <f t="shared" si="251"/>
        <v/>
      </c>
      <c r="R505" s="902" t="str">
        <f t="shared" si="245"/>
        <v/>
      </c>
      <c r="S505" s="903">
        <f t="shared" si="252"/>
        <v>0</v>
      </c>
      <c r="T505" s="334"/>
      <c r="X505" s="887" t="str">
        <f t="shared" si="253"/>
        <v/>
      </c>
      <c r="Y505" s="904">
        <f t="shared" si="254"/>
        <v>0.6</v>
      </c>
      <c r="Z505" s="905" t="e">
        <f t="shared" si="246"/>
        <v>#VALUE!</v>
      </c>
      <c r="AA505" s="905" t="e">
        <f t="shared" si="247"/>
        <v>#VALUE!</v>
      </c>
      <c r="AB505" s="905" t="e">
        <f t="shared" si="248"/>
        <v>#VALUE!</v>
      </c>
      <c r="AC505" s="906" t="e">
        <f t="shared" si="255"/>
        <v>#VALUE!</v>
      </c>
      <c r="AD505" s="907">
        <f t="shared" si="256"/>
        <v>0</v>
      </c>
      <c r="AE505" s="904">
        <f>IF(H505&gt;8,tab!C$194,tab!C$197)</f>
        <v>0.5</v>
      </c>
      <c r="AF505" s="907">
        <f t="shared" si="257"/>
        <v>0</v>
      </c>
      <c r="AG505" s="887">
        <f t="shared" si="258"/>
        <v>0</v>
      </c>
      <c r="AH505" s="908" t="e">
        <f t="shared" si="259"/>
        <v>#VALUE!</v>
      </c>
      <c r="AI505" s="815" t="e">
        <f t="shared" si="260"/>
        <v>#VALUE!</v>
      </c>
      <c r="AJ505" s="540">
        <f t="shared" si="261"/>
        <v>30</v>
      </c>
      <c r="AK505" s="540">
        <f t="shared" si="240"/>
        <v>30</v>
      </c>
      <c r="AL505" s="909">
        <f t="shared" si="262"/>
        <v>0</v>
      </c>
      <c r="AN505" s="539">
        <f t="shared" si="249"/>
        <v>0</v>
      </c>
      <c r="AT505" s="317"/>
      <c r="AU505" s="317"/>
    </row>
    <row r="506" spans="3:47" ht="13.15" customHeight="1" x14ac:dyDescent="0.2">
      <c r="C506" s="381"/>
      <c r="D506" s="895" t="str">
        <f>IF(op!D394=0,"",op!D394)</f>
        <v/>
      </c>
      <c r="E506" s="895" t="str">
        <f>IF(op!E394=0,"",op!E394)</f>
        <v/>
      </c>
      <c r="F506" s="390" t="str">
        <f>IF(op!F394="","",op!F394+1)</f>
        <v/>
      </c>
      <c r="G506" s="896" t="str">
        <f>IF(op!G394=0,"",op!G394)</f>
        <v/>
      </c>
      <c r="H506" s="390" t="str">
        <f>IF(op!H394="","",op!H394)</f>
        <v/>
      </c>
      <c r="I506" s="897" t="str">
        <f t="shared" si="250"/>
        <v/>
      </c>
      <c r="J506" s="898" t="str">
        <f>IF(op!J394="","",op!J394)</f>
        <v/>
      </c>
      <c r="K506" s="334"/>
      <c r="L506" s="1140" t="str">
        <f>IF(op!L394="","",op!L394)</f>
        <v/>
      </c>
      <c r="M506" s="1140" t="str">
        <f>IF(op!M394="","",op!M394)</f>
        <v/>
      </c>
      <c r="N506" s="899" t="str">
        <f t="shared" si="242"/>
        <v/>
      </c>
      <c r="O506" s="900" t="str">
        <f t="shared" si="243"/>
        <v/>
      </c>
      <c r="P506" s="901" t="str">
        <f t="shared" si="244"/>
        <v/>
      </c>
      <c r="Q506" s="568" t="str">
        <f t="shared" si="251"/>
        <v/>
      </c>
      <c r="R506" s="902" t="str">
        <f t="shared" si="245"/>
        <v/>
      </c>
      <c r="S506" s="903">
        <f t="shared" si="252"/>
        <v>0</v>
      </c>
      <c r="T506" s="334"/>
      <c r="X506" s="887" t="str">
        <f t="shared" si="253"/>
        <v/>
      </c>
      <c r="Y506" s="904">
        <f t="shared" si="254"/>
        <v>0.6</v>
      </c>
      <c r="Z506" s="905" t="e">
        <f t="shared" si="246"/>
        <v>#VALUE!</v>
      </c>
      <c r="AA506" s="905" t="e">
        <f t="shared" si="247"/>
        <v>#VALUE!</v>
      </c>
      <c r="AB506" s="905" t="e">
        <f t="shared" si="248"/>
        <v>#VALUE!</v>
      </c>
      <c r="AC506" s="906" t="e">
        <f t="shared" si="255"/>
        <v>#VALUE!</v>
      </c>
      <c r="AD506" s="907">
        <f t="shared" si="256"/>
        <v>0</v>
      </c>
      <c r="AE506" s="904">
        <f>IF(H506&gt;8,tab!C$194,tab!C$197)</f>
        <v>0.5</v>
      </c>
      <c r="AF506" s="907">
        <f t="shared" si="257"/>
        <v>0</v>
      </c>
      <c r="AG506" s="887">
        <f t="shared" si="258"/>
        <v>0</v>
      </c>
      <c r="AH506" s="908" t="e">
        <f t="shared" si="259"/>
        <v>#VALUE!</v>
      </c>
      <c r="AI506" s="815" t="e">
        <f t="shared" si="260"/>
        <v>#VALUE!</v>
      </c>
      <c r="AJ506" s="540">
        <f t="shared" si="261"/>
        <v>30</v>
      </c>
      <c r="AK506" s="540">
        <f t="shared" si="240"/>
        <v>30</v>
      </c>
      <c r="AL506" s="909">
        <f t="shared" si="262"/>
        <v>0</v>
      </c>
      <c r="AN506" s="539">
        <f t="shared" si="249"/>
        <v>0</v>
      </c>
      <c r="AT506" s="317"/>
      <c r="AU506" s="317"/>
    </row>
    <row r="507" spans="3:47" ht="13.15" customHeight="1" x14ac:dyDescent="0.2">
      <c r="C507" s="381"/>
      <c r="D507" s="895" t="str">
        <f>IF(op!D395=0,"",op!D395)</f>
        <v/>
      </c>
      <c r="E507" s="895" t="str">
        <f>IF(op!E395=0,"",op!E395)</f>
        <v/>
      </c>
      <c r="F507" s="390" t="str">
        <f>IF(op!F395="","",op!F395+1)</f>
        <v/>
      </c>
      <c r="G507" s="896" t="str">
        <f>IF(op!G395=0,"",op!G395)</f>
        <v/>
      </c>
      <c r="H507" s="390" t="str">
        <f>IF(op!H395="","",op!H395)</f>
        <v/>
      </c>
      <c r="I507" s="897" t="str">
        <f t="shared" si="250"/>
        <v/>
      </c>
      <c r="J507" s="898" t="str">
        <f>IF(op!J395="","",op!J395)</f>
        <v/>
      </c>
      <c r="K507" s="334"/>
      <c r="L507" s="1140" t="str">
        <f>IF(op!L395="","",op!L395)</f>
        <v/>
      </c>
      <c r="M507" s="1140" t="str">
        <f>IF(op!M395="","",op!M395)</f>
        <v/>
      </c>
      <c r="N507" s="899" t="str">
        <f t="shared" si="242"/>
        <v/>
      </c>
      <c r="O507" s="900" t="str">
        <f t="shared" si="243"/>
        <v/>
      </c>
      <c r="P507" s="901" t="str">
        <f t="shared" si="244"/>
        <v/>
      </c>
      <c r="Q507" s="568" t="str">
        <f t="shared" si="251"/>
        <v/>
      </c>
      <c r="R507" s="902" t="str">
        <f t="shared" si="245"/>
        <v/>
      </c>
      <c r="S507" s="903">
        <f t="shared" si="252"/>
        <v>0</v>
      </c>
      <c r="T507" s="334"/>
      <c r="X507" s="887" t="str">
        <f t="shared" si="253"/>
        <v/>
      </c>
      <c r="Y507" s="904">
        <f t="shared" si="254"/>
        <v>0.6</v>
      </c>
      <c r="Z507" s="905" t="e">
        <f t="shared" si="246"/>
        <v>#VALUE!</v>
      </c>
      <c r="AA507" s="905" t="e">
        <f t="shared" si="247"/>
        <v>#VALUE!</v>
      </c>
      <c r="AB507" s="905" t="e">
        <f t="shared" si="248"/>
        <v>#VALUE!</v>
      </c>
      <c r="AC507" s="906" t="e">
        <f t="shared" si="255"/>
        <v>#VALUE!</v>
      </c>
      <c r="AD507" s="907">
        <f t="shared" si="256"/>
        <v>0</v>
      </c>
      <c r="AE507" s="904">
        <f>IF(H507&gt;8,tab!C$194,tab!C$197)</f>
        <v>0.5</v>
      </c>
      <c r="AF507" s="907">
        <f t="shared" si="257"/>
        <v>0</v>
      </c>
      <c r="AG507" s="887">
        <f t="shared" si="258"/>
        <v>0</v>
      </c>
      <c r="AH507" s="908" t="e">
        <f t="shared" si="259"/>
        <v>#VALUE!</v>
      </c>
      <c r="AI507" s="815" t="e">
        <f t="shared" si="260"/>
        <v>#VALUE!</v>
      </c>
      <c r="AJ507" s="540">
        <f t="shared" si="261"/>
        <v>30</v>
      </c>
      <c r="AK507" s="540">
        <f t="shared" si="240"/>
        <v>30</v>
      </c>
      <c r="AL507" s="909">
        <f t="shared" si="262"/>
        <v>0</v>
      </c>
      <c r="AN507" s="539">
        <f t="shared" si="249"/>
        <v>0</v>
      </c>
      <c r="AT507" s="317"/>
      <c r="AU507" s="317"/>
    </row>
    <row r="508" spans="3:47" ht="13.15" customHeight="1" x14ac:dyDescent="0.2">
      <c r="C508" s="381"/>
      <c r="D508" s="895" t="str">
        <f>IF(op!D396=0,"",op!D396)</f>
        <v/>
      </c>
      <c r="E508" s="895" t="str">
        <f>IF(op!E396=0,"",op!E396)</f>
        <v/>
      </c>
      <c r="F508" s="390" t="str">
        <f>IF(op!F396="","",op!F396+1)</f>
        <v/>
      </c>
      <c r="G508" s="896" t="str">
        <f>IF(op!G396=0,"",op!G396)</f>
        <v/>
      </c>
      <c r="H508" s="390" t="str">
        <f>IF(op!H396="","",op!H396)</f>
        <v/>
      </c>
      <c r="I508" s="897" t="str">
        <f t="shared" si="250"/>
        <v/>
      </c>
      <c r="J508" s="898" t="str">
        <f>IF(op!J396="","",op!J396)</f>
        <v/>
      </c>
      <c r="K508" s="334"/>
      <c r="L508" s="1140" t="str">
        <f>IF(op!L396="","",op!L396)</f>
        <v/>
      </c>
      <c r="M508" s="1140" t="str">
        <f>IF(op!M396="","",op!M396)</f>
        <v/>
      </c>
      <c r="N508" s="899" t="str">
        <f t="shared" si="242"/>
        <v/>
      </c>
      <c r="O508" s="900" t="str">
        <f t="shared" si="243"/>
        <v/>
      </c>
      <c r="P508" s="901" t="str">
        <f t="shared" si="244"/>
        <v/>
      </c>
      <c r="Q508" s="568" t="str">
        <f t="shared" si="251"/>
        <v/>
      </c>
      <c r="R508" s="902" t="str">
        <f t="shared" si="245"/>
        <v/>
      </c>
      <c r="S508" s="903">
        <f t="shared" si="252"/>
        <v>0</v>
      </c>
      <c r="T508" s="334"/>
      <c r="X508" s="887" t="str">
        <f t="shared" si="253"/>
        <v/>
      </c>
      <c r="Y508" s="904">
        <f t="shared" si="254"/>
        <v>0.6</v>
      </c>
      <c r="Z508" s="905" t="e">
        <f t="shared" si="246"/>
        <v>#VALUE!</v>
      </c>
      <c r="AA508" s="905" t="e">
        <f t="shared" si="247"/>
        <v>#VALUE!</v>
      </c>
      <c r="AB508" s="905" t="e">
        <f t="shared" si="248"/>
        <v>#VALUE!</v>
      </c>
      <c r="AC508" s="906" t="e">
        <f t="shared" si="255"/>
        <v>#VALUE!</v>
      </c>
      <c r="AD508" s="907">
        <f t="shared" si="256"/>
        <v>0</v>
      </c>
      <c r="AE508" s="904">
        <f>IF(H508&gt;8,tab!C$194,tab!C$197)</f>
        <v>0.5</v>
      </c>
      <c r="AF508" s="907">
        <f t="shared" si="257"/>
        <v>0</v>
      </c>
      <c r="AG508" s="887">
        <f t="shared" si="258"/>
        <v>0</v>
      </c>
      <c r="AH508" s="908" t="e">
        <f t="shared" si="259"/>
        <v>#VALUE!</v>
      </c>
      <c r="AI508" s="815" t="e">
        <f t="shared" si="260"/>
        <v>#VALUE!</v>
      </c>
      <c r="AJ508" s="540">
        <f t="shared" si="261"/>
        <v>30</v>
      </c>
      <c r="AK508" s="540">
        <f t="shared" si="240"/>
        <v>30</v>
      </c>
      <c r="AL508" s="909">
        <f t="shared" si="262"/>
        <v>0</v>
      </c>
      <c r="AN508" s="539">
        <f t="shared" si="249"/>
        <v>0</v>
      </c>
      <c r="AT508" s="317"/>
      <c r="AU508" s="317"/>
    </row>
    <row r="509" spans="3:47" ht="13.15" customHeight="1" x14ac:dyDescent="0.2">
      <c r="C509" s="381"/>
      <c r="D509" s="895" t="str">
        <f>IF(op!D397=0,"",op!D397)</f>
        <v/>
      </c>
      <c r="E509" s="895" t="str">
        <f>IF(op!E397=0,"",op!E397)</f>
        <v/>
      </c>
      <c r="F509" s="390" t="str">
        <f>IF(op!F397="","",op!F397+1)</f>
        <v/>
      </c>
      <c r="G509" s="896" t="str">
        <f>IF(op!G397=0,"",op!G397)</f>
        <v/>
      </c>
      <c r="H509" s="390" t="str">
        <f>IF(op!H397="","",op!H397)</f>
        <v/>
      </c>
      <c r="I509" s="897" t="str">
        <f t="shared" si="250"/>
        <v/>
      </c>
      <c r="J509" s="898" t="str">
        <f>IF(op!J397="","",op!J397)</f>
        <v/>
      </c>
      <c r="K509" s="334"/>
      <c r="L509" s="1140" t="str">
        <f>IF(op!L397="","",op!L397)</f>
        <v/>
      </c>
      <c r="M509" s="1140" t="str">
        <f>IF(op!M397="","",op!M397)</f>
        <v/>
      </c>
      <c r="N509" s="899" t="str">
        <f t="shared" si="242"/>
        <v/>
      </c>
      <c r="O509" s="900" t="str">
        <f t="shared" si="243"/>
        <v/>
      </c>
      <c r="P509" s="901" t="str">
        <f t="shared" si="244"/>
        <v/>
      </c>
      <c r="Q509" s="568" t="str">
        <f t="shared" si="251"/>
        <v/>
      </c>
      <c r="R509" s="902" t="str">
        <f t="shared" si="245"/>
        <v/>
      </c>
      <c r="S509" s="903">
        <f t="shared" si="252"/>
        <v>0</v>
      </c>
      <c r="T509" s="334"/>
      <c r="X509" s="887" t="str">
        <f t="shared" si="253"/>
        <v/>
      </c>
      <c r="Y509" s="904">
        <f t="shared" si="254"/>
        <v>0.6</v>
      </c>
      <c r="Z509" s="905" t="e">
        <f t="shared" si="246"/>
        <v>#VALUE!</v>
      </c>
      <c r="AA509" s="905" t="e">
        <f t="shared" si="247"/>
        <v>#VALUE!</v>
      </c>
      <c r="AB509" s="905" t="e">
        <f t="shared" si="248"/>
        <v>#VALUE!</v>
      </c>
      <c r="AC509" s="906" t="e">
        <f t="shared" si="255"/>
        <v>#VALUE!</v>
      </c>
      <c r="AD509" s="907">
        <f t="shared" si="256"/>
        <v>0</v>
      </c>
      <c r="AE509" s="904">
        <f>IF(H509&gt;8,tab!C$194,tab!C$197)</f>
        <v>0.5</v>
      </c>
      <c r="AF509" s="907">
        <f t="shared" si="257"/>
        <v>0</v>
      </c>
      <c r="AG509" s="887">
        <f t="shared" si="258"/>
        <v>0</v>
      </c>
      <c r="AH509" s="908" t="e">
        <f t="shared" si="259"/>
        <v>#VALUE!</v>
      </c>
      <c r="AI509" s="815" t="e">
        <f t="shared" si="260"/>
        <v>#VALUE!</v>
      </c>
      <c r="AJ509" s="540">
        <f t="shared" si="261"/>
        <v>30</v>
      </c>
      <c r="AK509" s="540">
        <f t="shared" si="240"/>
        <v>30</v>
      </c>
      <c r="AL509" s="909">
        <f t="shared" si="262"/>
        <v>0</v>
      </c>
      <c r="AN509" s="539">
        <f t="shared" si="249"/>
        <v>0</v>
      </c>
      <c r="AT509" s="317"/>
      <c r="AU509" s="317"/>
    </row>
    <row r="510" spans="3:47" ht="13.15" customHeight="1" x14ac:dyDescent="0.2">
      <c r="C510" s="381"/>
      <c r="D510" s="895" t="str">
        <f>IF(op!D398=0,"",op!D398)</f>
        <v/>
      </c>
      <c r="E510" s="895" t="str">
        <f>IF(op!E398=0,"",op!E398)</f>
        <v/>
      </c>
      <c r="F510" s="390" t="str">
        <f>IF(op!F398="","",op!F398+1)</f>
        <v/>
      </c>
      <c r="G510" s="896" t="str">
        <f>IF(op!G398=0,"",op!G398)</f>
        <v/>
      </c>
      <c r="H510" s="390" t="str">
        <f>IF(op!H398="","",op!H398)</f>
        <v/>
      </c>
      <c r="I510" s="897" t="str">
        <f t="shared" si="250"/>
        <v/>
      </c>
      <c r="J510" s="898" t="str">
        <f>IF(op!J398="","",op!J398)</f>
        <v/>
      </c>
      <c r="K510" s="334"/>
      <c r="L510" s="1140" t="str">
        <f>IF(op!L398="","",op!L398)</f>
        <v/>
      </c>
      <c r="M510" s="1140" t="str">
        <f>IF(op!M398="","",op!M398)</f>
        <v/>
      </c>
      <c r="N510" s="899" t="str">
        <f t="shared" si="242"/>
        <v/>
      </c>
      <c r="O510" s="900" t="str">
        <f t="shared" si="243"/>
        <v/>
      </c>
      <c r="P510" s="901" t="str">
        <f t="shared" si="244"/>
        <v/>
      </c>
      <c r="Q510" s="568" t="str">
        <f t="shared" si="251"/>
        <v/>
      </c>
      <c r="R510" s="902" t="str">
        <f t="shared" si="245"/>
        <v/>
      </c>
      <c r="S510" s="903">
        <f t="shared" si="252"/>
        <v>0</v>
      </c>
      <c r="T510" s="334"/>
      <c r="X510" s="887" t="str">
        <f t="shared" si="253"/>
        <v/>
      </c>
      <c r="Y510" s="904">
        <f t="shared" si="254"/>
        <v>0.6</v>
      </c>
      <c r="Z510" s="905" t="e">
        <f t="shared" si="246"/>
        <v>#VALUE!</v>
      </c>
      <c r="AA510" s="905" t="e">
        <f t="shared" si="247"/>
        <v>#VALUE!</v>
      </c>
      <c r="AB510" s="905" t="e">
        <f t="shared" si="248"/>
        <v>#VALUE!</v>
      </c>
      <c r="AC510" s="906" t="e">
        <f t="shared" si="255"/>
        <v>#VALUE!</v>
      </c>
      <c r="AD510" s="907">
        <f t="shared" si="256"/>
        <v>0</v>
      </c>
      <c r="AE510" s="904">
        <f>IF(H510&gt;8,tab!C$194,tab!C$197)</f>
        <v>0.5</v>
      </c>
      <c r="AF510" s="907">
        <f t="shared" si="257"/>
        <v>0</v>
      </c>
      <c r="AG510" s="887">
        <f t="shared" si="258"/>
        <v>0</v>
      </c>
      <c r="AH510" s="908" t="e">
        <f t="shared" si="259"/>
        <v>#VALUE!</v>
      </c>
      <c r="AI510" s="815" t="e">
        <f t="shared" si="260"/>
        <v>#VALUE!</v>
      </c>
      <c r="AJ510" s="540">
        <f t="shared" si="261"/>
        <v>30</v>
      </c>
      <c r="AK510" s="540">
        <f t="shared" si="240"/>
        <v>30</v>
      </c>
      <c r="AL510" s="909">
        <f t="shared" si="262"/>
        <v>0</v>
      </c>
      <c r="AN510" s="539">
        <f t="shared" si="249"/>
        <v>0</v>
      </c>
      <c r="AT510" s="317"/>
      <c r="AU510" s="317"/>
    </row>
    <row r="511" spans="3:47" ht="13.15" customHeight="1" x14ac:dyDescent="0.2">
      <c r="C511" s="381"/>
      <c r="D511" s="895" t="str">
        <f>IF(op!D399=0,"",op!D399)</f>
        <v/>
      </c>
      <c r="E511" s="895" t="str">
        <f>IF(op!E399=0,"",op!E399)</f>
        <v/>
      </c>
      <c r="F511" s="390" t="str">
        <f>IF(op!F399="","",op!F399+1)</f>
        <v/>
      </c>
      <c r="G511" s="896" t="str">
        <f>IF(op!G399=0,"",op!G399)</f>
        <v/>
      </c>
      <c r="H511" s="390" t="str">
        <f>IF(op!H399="","",op!H399)</f>
        <v/>
      </c>
      <c r="I511" s="897" t="str">
        <f t="shared" si="250"/>
        <v/>
      </c>
      <c r="J511" s="898" t="str">
        <f>IF(op!J399="","",op!J399)</f>
        <v/>
      </c>
      <c r="K511" s="334"/>
      <c r="L511" s="1140" t="str">
        <f>IF(op!L399="","",op!L399)</f>
        <v/>
      </c>
      <c r="M511" s="1140" t="str">
        <f>IF(op!M399="","",op!M399)</f>
        <v/>
      </c>
      <c r="N511" s="899" t="str">
        <f t="shared" si="242"/>
        <v/>
      </c>
      <c r="O511" s="900" t="str">
        <f t="shared" si="243"/>
        <v/>
      </c>
      <c r="P511" s="901" t="str">
        <f t="shared" si="244"/>
        <v/>
      </c>
      <c r="Q511" s="568" t="str">
        <f t="shared" si="251"/>
        <v/>
      </c>
      <c r="R511" s="902" t="str">
        <f t="shared" si="245"/>
        <v/>
      </c>
      <c r="S511" s="903">
        <f t="shared" si="252"/>
        <v>0</v>
      </c>
      <c r="T511" s="334"/>
      <c r="X511" s="887" t="str">
        <f t="shared" si="253"/>
        <v/>
      </c>
      <c r="Y511" s="904">
        <f t="shared" si="254"/>
        <v>0.6</v>
      </c>
      <c r="Z511" s="905" t="e">
        <f t="shared" si="246"/>
        <v>#VALUE!</v>
      </c>
      <c r="AA511" s="905" t="e">
        <f t="shared" si="247"/>
        <v>#VALUE!</v>
      </c>
      <c r="AB511" s="905" t="e">
        <f t="shared" si="248"/>
        <v>#VALUE!</v>
      </c>
      <c r="AC511" s="906" t="e">
        <f t="shared" si="255"/>
        <v>#VALUE!</v>
      </c>
      <c r="AD511" s="907">
        <f t="shared" si="256"/>
        <v>0</v>
      </c>
      <c r="AE511" s="904">
        <f>IF(H511&gt;8,tab!C$194,tab!C$197)</f>
        <v>0.5</v>
      </c>
      <c r="AF511" s="907">
        <f t="shared" si="257"/>
        <v>0</v>
      </c>
      <c r="AG511" s="887">
        <f t="shared" si="258"/>
        <v>0</v>
      </c>
      <c r="AH511" s="908" t="e">
        <f t="shared" si="259"/>
        <v>#VALUE!</v>
      </c>
      <c r="AI511" s="815" t="e">
        <f t="shared" si="260"/>
        <v>#VALUE!</v>
      </c>
      <c r="AJ511" s="540">
        <f t="shared" si="261"/>
        <v>30</v>
      </c>
      <c r="AK511" s="540">
        <f t="shared" si="240"/>
        <v>30</v>
      </c>
      <c r="AL511" s="909">
        <f t="shared" si="262"/>
        <v>0</v>
      </c>
      <c r="AN511" s="539">
        <f t="shared" si="249"/>
        <v>0</v>
      </c>
      <c r="AT511" s="317"/>
      <c r="AU511" s="317"/>
    </row>
    <row r="512" spans="3:47" ht="13.15" customHeight="1" x14ac:dyDescent="0.2">
      <c r="C512" s="381"/>
      <c r="D512" s="895" t="str">
        <f>IF(op!D400=0,"",op!D400)</f>
        <v/>
      </c>
      <c r="E512" s="895" t="str">
        <f>IF(op!E400=0,"",op!E400)</f>
        <v/>
      </c>
      <c r="F512" s="390" t="str">
        <f>IF(op!F400="","",op!F400+1)</f>
        <v/>
      </c>
      <c r="G512" s="896" t="str">
        <f>IF(op!G400=0,"",op!G400)</f>
        <v/>
      </c>
      <c r="H512" s="390" t="str">
        <f>IF(op!H400="","",op!H400)</f>
        <v/>
      </c>
      <c r="I512" s="897" t="str">
        <f t="shared" si="250"/>
        <v/>
      </c>
      <c r="J512" s="898" t="str">
        <f>IF(op!J400="","",op!J400)</f>
        <v/>
      </c>
      <c r="K512" s="334"/>
      <c r="L512" s="1140" t="str">
        <f>IF(op!L400="","",op!L400)</f>
        <v/>
      </c>
      <c r="M512" s="1140" t="str">
        <f>IF(op!M400="","",op!M400)</f>
        <v/>
      </c>
      <c r="N512" s="899" t="str">
        <f t="shared" si="242"/>
        <v/>
      </c>
      <c r="O512" s="900" t="str">
        <f t="shared" si="243"/>
        <v/>
      </c>
      <c r="P512" s="901" t="str">
        <f t="shared" si="244"/>
        <v/>
      </c>
      <c r="Q512" s="568" t="str">
        <f t="shared" si="251"/>
        <v/>
      </c>
      <c r="R512" s="902" t="str">
        <f t="shared" si="245"/>
        <v/>
      </c>
      <c r="S512" s="903">
        <f t="shared" si="252"/>
        <v>0</v>
      </c>
      <c r="T512" s="334"/>
      <c r="X512" s="887" t="str">
        <f t="shared" si="253"/>
        <v/>
      </c>
      <c r="Y512" s="904">
        <f t="shared" si="254"/>
        <v>0.6</v>
      </c>
      <c r="Z512" s="905" t="e">
        <f t="shared" si="246"/>
        <v>#VALUE!</v>
      </c>
      <c r="AA512" s="905" t="e">
        <f t="shared" si="247"/>
        <v>#VALUE!</v>
      </c>
      <c r="AB512" s="905" t="e">
        <f t="shared" si="248"/>
        <v>#VALUE!</v>
      </c>
      <c r="AC512" s="906" t="e">
        <f t="shared" si="255"/>
        <v>#VALUE!</v>
      </c>
      <c r="AD512" s="907">
        <f t="shared" si="256"/>
        <v>0</v>
      </c>
      <c r="AE512" s="904">
        <f>IF(H512&gt;8,tab!C$194,tab!C$197)</f>
        <v>0.5</v>
      </c>
      <c r="AF512" s="907">
        <f t="shared" si="257"/>
        <v>0</v>
      </c>
      <c r="AG512" s="887">
        <f t="shared" si="258"/>
        <v>0</v>
      </c>
      <c r="AH512" s="908" t="e">
        <f t="shared" si="259"/>
        <v>#VALUE!</v>
      </c>
      <c r="AI512" s="815" t="e">
        <f t="shared" si="260"/>
        <v>#VALUE!</v>
      </c>
      <c r="AJ512" s="540">
        <f t="shared" si="261"/>
        <v>30</v>
      </c>
      <c r="AK512" s="540">
        <f t="shared" si="240"/>
        <v>30</v>
      </c>
      <c r="AL512" s="909">
        <f t="shared" si="262"/>
        <v>0</v>
      </c>
      <c r="AN512" s="539">
        <f t="shared" si="249"/>
        <v>0</v>
      </c>
      <c r="AT512" s="317"/>
      <c r="AU512" s="317"/>
    </row>
    <row r="513" spans="3:47" ht="13.15" customHeight="1" x14ac:dyDescent="0.2">
      <c r="C513" s="381"/>
      <c r="D513" s="895" t="str">
        <f>IF(op!D401=0,"",op!D401)</f>
        <v/>
      </c>
      <c r="E513" s="895" t="str">
        <f>IF(op!E401=0,"",op!E401)</f>
        <v/>
      </c>
      <c r="F513" s="390" t="str">
        <f>IF(op!F401="","",op!F401+1)</f>
        <v/>
      </c>
      <c r="G513" s="896" t="str">
        <f>IF(op!G401=0,"",op!G401)</f>
        <v/>
      </c>
      <c r="H513" s="390" t="str">
        <f>IF(op!H401="","",op!H401)</f>
        <v/>
      </c>
      <c r="I513" s="897" t="str">
        <f t="shared" si="250"/>
        <v/>
      </c>
      <c r="J513" s="898" t="str">
        <f>IF(op!J401="","",op!J401)</f>
        <v/>
      </c>
      <c r="K513" s="334"/>
      <c r="L513" s="1140" t="str">
        <f>IF(op!L401="","",op!L401)</f>
        <v/>
      </c>
      <c r="M513" s="1140" t="str">
        <f>IF(op!M401="","",op!M401)</f>
        <v/>
      </c>
      <c r="N513" s="899" t="str">
        <f t="shared" si="242"/>
        <v/>
      </c>
      <c r="O513" s="900" t="str">
        <f t="shared" si="243"/>
        <v/>
      </c>
      <c r="P513" s="901" t="str">
        <f t="shared" si="244"/>
        <v/>
      </c>
      <c r="Q513" s="568" t="str">
        <f t="shared" si="251"/>
        <v/>
      </c>
      <c r="R513" s="902" t="str">
        <f t="shared" si="245"/>
        <v/>
      </c>
      <c r="S513" s="903">
        <f t="shared" si="252"/>
        <v>0</v>
      </c>
      <c r="T513" s="334"/>
      <c r="X513" s="887" t="str">
        <f t="shared" si="253"/>
        <v/>
      </c>
      <c r="Y513" s="904">
        <f t="shared" si="254"/>
        <v>0.6</v>
      </c>
      <c r="Z513" s="905" t="e">
        <f t="shared" si="246"/>
        <v>#VALUE!</v>
      </c>
      <c r="AA513" s="905" t="e">
        <f t="shared" si="247"/>
        <v>#VALUE!</v>
      </c>
      <c r="AB513" s="905" t="e">
        <f t="shared" si="248"/>
        <v>#VALUE!</v>
      </c>
      <c r="AC513" s="906" t="e">
        <f t="shared" si="255"/>
        <v>#VALUE!</v>
      </c>
      <c r="AD513" s="907">
        <f t="shared" si="256"/>
        <v>0</v>
      </c>
      <c r="AE513" s="904">
        <f>IF(H513&gt;8,tab!C$194,tab!C$197)</f>
        <v>0.5</v>
      </c>
      <c r="AF513" s="907">
        <f t="shared" si="257"/>
        <v>0</v>
      </c>
      <c r="AG513" s="887">
        <f t="shared" si="258"/>
        <v>0</v>
      </c>
      <c r="AH513" s="908" t="e">
        <f t="shared" si="259"/>
        <v>#VALUE!</v>
      </c>
      <c r="AI513" s="815" t="e">
        <f t="shared" si="260"/>
        <v>#VALUE!</v>
      </c>
      <c r="AJ513" s="540">
        <f t="shared" si="261"/>
        <v>30</v>
      </c>
      <c r="AK513" s="540">
        <f t="shared" si="240"/>
        <v>30</v>
      </c>
      <c r="AL513" s="909">
        <f t="shared" si="262"/>
        <v>0</v>
      </c>
      <c r="AN513" s="539">
        <f t="shared" si="249"/>
        <v>0</v>
      </c>
      <c r="AT513" s="317"/>
      <c r="AU513" s="317"/>
    </row>
    <row r="514" spans="3:47" ht="13.15" customHeight="1" x14ac:dyDescent="0.2">
      <c r="C514" s="381"/>
      <c r="D514" s="895" t="str">
        <f>IF(op!D402=0,"",op!D402)</f>
        <v/>
      </c>
      <c r="E514" s="895" t="str">
        <f>IF(op!E402=0,"",op!E402)</f>
        <v/>
      </c>
      <c r="F514" s="390" t="str">
        <f>IF(op!F402="","",op!F402+1)</f>
        <v/>
      </c>
      <c r="G514" s="896" t="str">
        <f>IF(op!G402=0,"",op!G402)</f>
        <v/>
      </c>
      <c r="H514" s="390" t="str">
        <f>IF(op!H402="","",op!H402)</f>
        <v/>
      </c>
      <c r="I514" s="897" t="str">
        <f t="shared" si="250"/>
        <v/>
      </c>
      <c r="J514" s="898" t="str">
        <f>IF(op!J402="","",op!J402)</f>
        <v/>
      </c>
      <c r="K514" s="334"/>
      <c r="L514" s="1140" t="str">
        <f>IF(op!L402="","",op!L402)</f>
        <v/>
      </c>
      <c r="M514" s="1140" t="str">
        <f>IF(op!M402="","",op!M402)</f>
        <v/>
      </c>
      <c r="N514" s="899" t="str">
        <f t="shared" si="242"/>
        <v/>
      </c>
      <c r="O514" s="900" t="str">
        <f t="shared" si="243"/>
        <v/>
      </c>
      <c r="P514" s="901" t="str">
        <f t="shared" si="244"/>
        <v/>
      </c>
      <c r="Q514" s="568" t="str">
        <f t="shared" si="251"/>
        <v/>
      </c>
      <c r="R514" s="902" t="str">
        <f t="shared" si="245"/>
        <v/>
      </c>
      <c r="S514" s="903">
        <f t="shared" si="252"/>
        <v>0</v>
      </c>
      <c r="T514" s="334"/>
      <c r="X514" s="887" t="str">
        <f t="shared" si="253"/>
        <v/>
      </c>
      <c r="Y514" s="904">
        <f t="shared" si="254"/>
        <v>0.6</v>
      </c>
      <c r="Z514" s="905" t="e">
        <f t="shared" si="246"/>
        <v>#VALUE!</v>
      </c>
      <c r="AA514" s="905" t="e">
        <f t="shared" si="247"/>
        <v>#VALUE!</v>
      </c>
      <c r="AB514" s="905" t="e">
        <f t="shared" si="248"/>
        <v>#VALUE!</v>
      </c>
      <c r="AC514" s="906" t="e">
        <f t="shared" si="255"/>
        <v>#VALUE!</v>
      </c>
      <c r="AD514" s="907">
        <f t="shared" si="256"/>
        <v>0</v>
      </c>
      <c r="AE514" s="904">
        <f>IF(H514&gt;8,tab!C$194,tab!C$197)</f>
        <v>0.5</v>
      </c>
      <c r="AF514" s="907">
        <f t="shared" si="257"/>
        <v>0</v>
      </c>
      <c r="AG514" s="887">
        <f t="shared" si="258"/>
        <v>0</v>
      </c>
      <c r="AH514" s="908" t="e">
        <f t="shared" si="259"/>
        <v>#VALUE!</v>
      </c>
      <c r="AI514" s="815" t="e">
        <f t="shared" si="260"/>
        <v>#VALUE!</v>
      </c>
      <c r="AJ514" s="540">
        <f t="shared" si="261"/>
        <v>30</v>
      </c>
      <c r="AK514" s="540">
        <f t="shared" si="240"/>
        <v>30</v>
      </c>
      <c r="AL514" s="909">
        <f t="shared" si="262"/>
        <v>0</v>
      </c>
      <c r="AN514" s="539">
        <f t="shared" si="249"/>
        <v>0</v>
      </c>
      <c r="AT514" s="317"/>
      <c r="AU514" s="317"/>
    </row>
    <row r="515" spans="3:47" ht="13.15" customHeight="1" x14ac:dyDescent="0.2">
      <c r="C515" s="381"/>
      <c r="D515" s="895" t="str">
        <f>IF(op!D403=0,"",op!D403)</f>
        <v/>
      </c>
      <c r="E515" s="895" t="str">
        <f>IF(op!E403=0,"",op!E403)</f>
        <v/>
      </c>
      <c r="F515" s="390" t="str">
        <f>IF(op!F403="","",op!F403+1)</f>
        <v/>
      </c>
      <c r="G515" s="896" t="str">
        <f>IF(op!G403=0,"",op!G403)</f>
        <v/>
      </c>
      <c r="H515" s="390" t="str">
        <f>IF(op!H403="","",op!H403)</f>
        <v/>
      </c>
      <c r="I515" s="897" t="str">
        <f t="shared" si="250"/>
        <v/>
      </c>
      <c r="J515" s="898" t="str">
        <f>IF(op!J403="","",op!J403)</f>
        <v/>
      </c>
      <c r="K515" s="334"/>
      <c r="L515" s="1140" t="str">
        <f>IF(op!L403="","",op!L403)</f>
        <v/>
      </c>
      <c r="M515" s="1140" t="str">
        <f>IF(op!M403="","",op!M403)</f>
        <v/>
      </c>
      <c r="N515" s="899" t="str">
        <f t="shared" si="242"/>
        <v/>
      </c>
      <c r="O515" s="900" t="str">
        <f t="shared" si="243"/>
        <v/>
      </c>
      <c r="P515" s="901" t="str">
        <f t="shared" si="244"/>
        <v/>
      </c>
      <c r="Q515" s="568" t="str">
        <f t="shared" si="251"/>
        <v/>
      </c>
      <c r="R515" s="902" t="str">
        <f t="shared" si="245"/>
        <v/>
      </c>
      <c r="S515" s="903">
        <f t="shared" si="252"/>
        <v>0</v>
      </c>
      <c r="T515" s="334"/>
      <c r="X515" s="887" t="str">
        <f t="shared" si="253"/>
        <v/>
      </c>
      <c r="Y515" s="904">
        <f t="shared" si="254"/>
        <v>0.6</v>
      </c>
      <c r="Z515" s="905" t="e">
        <f t="shared" si="246"/>
        <v>#VALUE!</v>
      </c>
      <c r="AA515" s="905" t="e">
        <f t="shared" si="247"/>
        <v>#VALUE!</v>
      </c>
      <c r="AB515" s="905" t="e">
        <f t="shared" si="248"/>
        <v>#VALUE!</v>
      </c>
      <c r="AC515" s="906" t="e">
        <f t="shared" si="255"/>
        <v>#VALUE!</v>
      </c>
      <c r="AD515" s="907">
        <f t="shared" si="256"/>
        <v>0</v>
      </c>
      <c r="AE515" s="904">
        <f>IF(H515&gt;8,tab!C$194,tab!C$197)</f>
        <v>0.5</v>
      </c>
      <c r="AF515" s="907">
        <f t="shared" si="257"/>
        <v>0</v>
      </c>
      <c r="AG515" s="887">
        <f t="shared" si="258"/>
        <v>0</v>
      </c>
      <c r="AH515" s="908" t="e">
        <f t="shared" si="259"/>
        <v>#VALUE!</v>
      </c>
      <c r="AI515" s="815" t="e">
        <f t="shared" si="260"/>
        <v>#VALUE!</v>
      </c>
      <c r="AJ515" s="540">
        <f t="shared" si="261"/>
        <v>30</v>
      </c>
      <c r="AK515" s="540">
        <f t="shared" si="240"/>
        <v>30</v>
      </c>
      <c r="AL515" s="909">
        <f t="shared" si="262"/>
        <v>0</v>
      </c>
      <c r="AN515" s="539">
        <f t="shared" si="249"/>
        <v>0</v>
      </c>
      <c r="AT515" s="317"/>
      <c r="AU515" s="317"/>
    </row>
    <row r="516" spans="3:47" ht="13.15" customHeight="1" x14ac:dyDescent="0.2">
      <c r="C516" s="381"/>
      <c r="D516" s="895" t="str">
        <f>IF(op!D404=0,"",op!D404)</f>
        <v/>
      </c>
      <c r="E516" s="895" t="str">
        <f>IF(op!E404=0,"",op!E404)</f>
        <v/>
      </c>
      <c r="F516" s="390" t="str">
        <f>IF(op!F404="","",op!F404+1)</f>
        <v/>
      </c>
      <c r="G516" s="896" t="str">
        <f>IF(op!G404=0,"",op!G404)</f>
        <v/>
      </c>
      <c r="H516" s="390" t="str">
        <f>IF(op!H404="","",op!H404)</f>
        <v/>
      </c>
      <c r="I516" s="897" t="str">
        <f t="shared" si="250"/>
        <v/>
      </c>
      <c r="J516" s="898" t="str">
        <f>IF(op!J404="","",op!J404)</f>
        <v/>
      </c>
      <c r="K516" s="334"/>
      <c r="L516" s="1140" t="str">
        <f>IF(op!L404="","",op!L404)</f>
        <v/>
      </c>
      <c r="M516" s="1140" t="str">
        <f>IF(op!M404="","",op!M404)</f>
        <v/>
      </c>
      <c r="N516" s="899" t="str">
        <f t="shared" si="242"/>
        <v/>
      </c>
      <c r="O516" s="900" t="str">
        <f t="shared" si="243"/>
        <v/>
      </c>
      <c r="P516" s="901" t="str">
        <f t="shared" si="244"/>
        <v/>
      </c>
      <c r="Q516" s="568" t="str">
        <f t="shared" si="251"/>
        <v/>
      </c>
      <c r="R516" s="902" t="str">
        <f t="shared" si="245"/>
        <v/>
      </c>
      <c r="S516" s="903">
        <f t="shared" si="252"/>
        <v>0</v>
      </c>
      <c r="T516" s="334"/>
      <c r="X516" s="887" t="str">
        <f t="shared" si="253"/>
        <v/>
      </c>
      <c r="Y516" s="904">
        <f t="shared" si="254"/>
        <v>0.6</v>
      </c>
      <c r="Z516" s="905" t="e">
        <f t="shared" si="246"/>
        <v>#VALUE!</v>
      </c>
      <c r="AA516" s="905" t="e">
        <f t="shared" si="247"/>
        <v>#VALUE!</v>
      </c>
      <c r="AB516" s="905" t="e">
        <f t="shared" si="248"/>
        <v>#VALUE!</v>
      </c>
      <c r="AC516" s="906" t="e">
        <f t="shared" si="255"/>
        <v>#VALUE!</v>
      </c>
      <c r="AD516" s="907">
        <f t="shared" si="256"/>
        <v>0</v>
      </c>
      <c r="AE516" s="904">
        <f>IF(H516&gt;8,tab!C$194,tab!C$197)</f>
        <v>0.5</v>
      </c>
      <c r="AF516" s="907">
        <f t="shared" si="257"/>
        <v>0</v>
      </c>
      <c r="AG516" s="887">
        <f t="shared" si="258"/>
        <v>0</v>
      </c>
      <c r="AH516" s="908" t="e">
        <f t="shared" si="259"/>
        <v>#VALUE!</v>
      </c>
      <c r="AI516" s="815" t="e">
        <f t="shared" si="260"/>
        <v>#VALUE!</v>
      </c>
      <c r="AJ516" s="540">
        <f t="shared" si="261"/>
        <v>30</v>
      </c>
      <c r="AK516" s="540">
        <f t="shared" si="240"/>
        <v>30</v>
      </c>
      <c r="AL516" s="909">
        <f t="shared" si="262"/>
        <v>0</v>
      </c>
      <c r="AN516" s="539">
        <f t="shared" si="249"/>
        <v>0</v>
      </c>
      <c r="AT516" s="317"/>
      <c r="AU516" s="317"/>
    </row>
    <row r="517" spans="3:47" ht="13.15" customHeight="1" x14ac:dyDescent="0.2">
      <c r="C517" s="381"/>
      <c r="D517" s="895" t="str">
        <f>IF(op!D405=0,"",op!D405)</f>
        <v/>
      </c>
      <c r="E517" s="895" t="str">
        <f>IF(op!E405=0,"",op!E405)</f>
        <v/>
      </c>
      <c r="F517" s="390" t="str">
        <f>IF(op!F405="","",op!F405+1)</f>
        <v/>
      </c>
      <c r="G517" s="896" t="str">
        <f>IF(op!G405=0,"",op!G405)</f>
        <v/>
      </c>
      <c r="H517" s="390" t="str">
        <f>IF(op!H405="","",op!H405)</f>
        <v/>
      </c>
      <c r="I517" s="897" t="str">
        <f t="shared" si="250"/>
        <v/>
      </c>
      <c r="J517" s="898" t="str">
        <f>IF(op!J405="","",op!J405)</f>
        <v/>
      </c>
      <c r="K517" s="334"/>
      <c r="L517" s="1140" t="str">
        <f>IF(op!L405="","",op!L405)</f>
        <v/>
      </c>
      <c r="M517" s="1140" t="str">
        <f>IF(op!M405="","",op!M405)</f>
        <v/>
      </c>
      <c r="N517" s="899" t="str">
        <f t="shared" si="242"/>
        <v/>
      </c>
      <c r="O517" s="900" t="str">
        <f t="shared" si="243"/>
        <v/>
      </c>
      <c r="P517" s="901" t="str">
        <f t="shared" si="244"/>
        <v/>
      </c>
      <c r="Q517" s="568" t="str">
        <f t="shared" si="251"/>
        <v/>
      </c>
      <c r="R517" s="902" t="str">
        <f t="shared" si="245"/>
        <v/>
      </c>
      <c r="S517" s="903">
        <f t="shared" si="252"/>
        <v>0</v>
      </c>
      <c r="T517" s="334"/>
      <c r="X517" s="887" t="str">
        <f t="shared" si="253"/>
        <v/>
      </c>
      <c r="Y517" s="904">
        <f t="shared" si="254"/>
        <v>0.6</v>
      </c>
      <c r="Z517" s="905" t="e">
        <f t="shared" si="246"/>
        <v>#VALUE!</v>
      </c>
      <c r="AA517" s="905" t="e">
        <f t="shared" si="247"/>
        <v>#VALUE!</v>
      </c>
      <c r="AB517" s="905" t="e">
        <f t="shared" si="248"/>
        <v>#VALUE!</v>
      </c>
      <c r="AC517" s="906" t="e">
        <f t="shared" si="255"/>
        <v>#VALUE!</v>
      </c>
      <c r="AD517" s="907">
        <f t="shared" si="256"/>
        <v>0</v>
      </c>
      <c r="AE517" s="904">
        <f>IF(H517&gt;8,tab!C$194,tab!C$197)</f>
        <v>0.5</v>
      </c>
      <c r="AF517" s="907">
        <f t="shared" si="257"/>
        <v>0</v>
      </c>
      <c r="AG517" s="887">
        <f t="shared" si="258"/>
        <v>0</v>
      </c>
      <c r="AH517" s="908" t="e">
        <f t="shared" si="259"/>
        <v>#VALUE!</v>
      </c>
      <c r="AI517" s="815" t="e">
        <f t="shared" si="260"/>
        <v>#VALUE!</v>
      </c>
      <c r="AJ517" s="540">
        <f t="shared" si="261"/>
        <v>30</v>
      </c>
      <c r="AK517" s="540">
        <f t="shared" si="240"/>
        <v>30</v>
      </c>
      <c r="AL517" s="909">
        <f t="shared" si="262"/>
        <v>0</v>
      </c>
      <c r="AN517" s="539">
        <f t="shared" si="249"/>
        <v>0</v>
      </c>
      <c r="AT517" s="317"/>
      <c r="AU517" s="317"/>
    </row>
    <row r="518" spans="3:47" ht="13.15" customHeight="1" x14ac:dyDescent="0.2">
      <c r="C518" s="381"/>
      <c r="D518" s="895" t="str">
        <f>IF(op!D406=0,"",op!D406)</f>
        <v/>
      </c>
      <c r="E518" s="895" t="str">
        <f>IF(op!E406=0,"",op!E406)</f>
        <v/>
      </c>
      <c r="F518" s="390" t="str">
        <f>IF(op!F406="","",op!F406+1)</f>
        <v/>
      </c>
      <c r="G518" s="896" t="str">
        <f>IF(op!G406=0,"",op!G406)</f>
        <v/>
      </c>
      <c r="H518" s="390" t="str">
        <f>IF(op!H406="","",op!H406)</f>
        <v/>
      </c>
      <c r="I518" s="897" t="str">
        <f t="shared" si="250"/>
        <v/>
      </c>
      <c r="J518" s="898" t="str">
        <f>IF(op!J406="","",op!J406)</f>
        <v/>
      </c>
      <c r="K518" s="334"/>
      <c r="L518" s="1140" t="str">
        <f>IF(op!L406="","",op!L406)</f>
        <v/>
      </c>
      <c r="M518" s="1140" t="str">
        <f>IF(op!M406="","",op!M406)</f>
        <v/>
      </c>
      <c r="N518" s="899" t="str">
        <f t="shared" si="242"/>
        <v/>
      </c>
      <c r="O518" s="900" t="str">
        <f t="shared" si="243"/>
        <v/>
      </c>
      <c r="P518" s="901" t="str">
        <f t="shared" si="244"/>
        <v/>
      </c>
      <c r="Q518" s="568" t="str">
        <f t="shared" si="251"/>
        <v/>
      </c>
      <c r="R518" s="902" t="str">
        <f t="shared" si="245"/>
        <v/>
      </c>
      <c r="S518" s="903">
        <f t="shared" si="252"/>
        <v>0</v>
      </c>
      <c r="T518" s="334"/>
      <c r="X518" s="887" t="str">
        <f t="shared" si="253"/>
        <v/>
      </c>
      <c r="Y518" s="904">
        <f t="shared" si="254"/>
        <v>0.6</v>
      </c>
      <c r="Z518" s="905" t="e">
        <f t="shared" si="246"/>
        <v>#VALUE!</v>
      </c>
      <c r="AA518" s="905" t="e">
        <f t="shared" si="247"/>
        <v>#VALUE!</v>
      </c>
      <c r="AB518" s="905" t="e">
        <f t="shared" si="248"/>
        <v>#VALUE!</v>
      </c>
      <c r="AC518" s="906" t="e">
        <f t="shared" si="255"/>
        <v>#VALUE!</v>
      </c>
      <c r="AD518" s="907">
        <f t="shared" si="256"/>
        <v>0</v>
      </c>
      <c r="AE518" s="904">
        <f>IF(H518&gt;8,tab!C$194,tab!C$197)</f>
        <v>0.5</v>
      </c>
      <c r="AF518" s="907">
        <f t="shared" si="257"/>
        <v>0</v>
      </c>
      <c r="AG518" s="887">
        <f t="shared" si="258"/>
        <v>0</v>
      </c>
      <c r="AH518" s="908" t="e">
        <f t="shared" si="259"/>
        <v>#VALUE!</v>
      </c>
      <c r="AI518" s="815" t="e">
        <f t="shared" si="260"/>
        <v>#VALUE!</v>
      </c>
      <c r="AJ518" s="540">
        <f t="shared" si="261"/>
        <v>30</v>
      </c>
      <c r="AK518" s="540">
        <f t="shared" si="240"/>
        <v>30</v>
      </c>
      <c r="AL518" s="909">
        <f t="shared" si="262"/>
        <v>0</v>
      </c>
      <c r="AN518" s="539">
        <f t="shared" si="249"/>
        <v>0</v>
      </c>
      <c r="AT518" s="317"/>
      <c r="AU518" s="317"/>
    </row>
    <row r="519" spans="3:47" ht="13.15" customHeight="1" x14ac:dyDescent="0.2">
      <c r="C519" s="381"/>
      <c r="D519" s="895" t="str">
        <f>IF(op!D407=0,"",op!D407)</f>
        <v/>
      </c>
      <c r="E519" s="895" t="str">
        <f>IF(op!E407=0,"",op!E407)</f>
        <v/>
      </c>
      <c r="F519" s="390" t="str">
        <f>IF(op!F407="","",op!F407+1)</f>
        <v/>
      </c>
      <c r="G519" s="896" t="str">
        <f>IF(op!G407=0,"",op!G407)</f>
        <v/>
      </c>
      <c r="H519" s="390" t="str">
        <f>IF(op!H407="","",op!H407)</f>
        <v/>
      </c>
      <c r="I519" s="897" t="str">
        <f t="shared" si="250"/>
        <v/>
      </c>
      <c r="J519" s="898" t="str">
        <f>IF(op!J407="","",op!J407)</f>
        <v/>
      </c>
      <c r="K519" s="334"/>
      <c r="L519" s="1140" t="str">
        <f>IF(op!L407="","",op!L407)</f>
        <v/>
      </c>
      <c r="M519" s="1140" t="str">
        <f>IF(op!M407="","",op!M407)</f>
        <v/>
      </c>
      <c r="N519" s="899" t="str">
        <f t="shared" si="242"/>
        <v/>
      </c>
      <c r="O519" s="900" t="str">
        <f t="shared" si="243"/>
        <v/>
      </c>
      <c r="P519" s="901" t="str">
        <f t="shared" si="244"/>
        <v/>
      </c>
      <c r="Q519" s="568" t="str">
        <f t="shared" si="251"/>
        <v/>
      </c>
      <c r="R519" s="902" t="str">
        <f t="shared" si="245"/>
        <v/>
      </c>
      <c r="S519" s="903">
        <f t="shared" si="252"/>
        <v>0</v>
      </c>
      <c r="T519" s="334"/>
      <c r="X519" s="887" t="str">
        <f t="shared" si="253"/>
        <v/>
      </c>
      <c r="Y519" s="904">
        <f t="shared" si="254"/>
        <v>0.6</v>
      </c>
      <c r="Z519" s="905" t="e">
        <f t="shared" si="246"/>
        <v>#VALUE!</v>
      </c>
      <c r="AA519" s="905" t="e">
        <f t="shared" si="247"/>
        <v>#VALUE!</v>
      </c>
      <c r="AB519" s="905" t="e">
        <f t="shared" si="248"/>
        <v>#VALUE!</v>
      </c>
      <c r="AC519" s="906" t="e">
        <f t="shared" si="255"/>
        <v>#VALUE!</v>
      </c>
      <c r="AD519" s="907">
        <f t="shared" si="256"/>
        <v>0</v>
      </c>
      <c r="AE519" s="904">
        <f>IF(H519&gt;8,tab!C$194,tab!C$197)</f>
        <v>0.5</v>
      </c>
      <c r="AF519" s="907">
        <f t="shared" si="257"/>
        <v>0</v>
      </c>
      <c r="AG519" s="887">
        <f t="shared" si="258"/>
        <v>0</v>
      </c>
      <c r="AH519" s="908" t="e">
        <f t="shared" si="259"/>
        <v>#VALUE!</v>
      </c>
      <c r="AI519" s="815" t="e">
        <f t="shared" si="260"/>
        <v>#VALUE!</v>
      </c>
      <c r="AJ519" s="540">
        <f t="shared" si="261"/>
        <v>30</v>
      </c>
      <c r="AK519" s="540">
        <f t="shared" si="240"/>
        <v>30</v>
      </c>
      <c r="AL519" s="909">
        <f t="shared" si="262"/>
        <v>0</v>
      </c>
      <c r="AN519" s="539">
        <f t="shared" si="249"/>
        <v>0</v>
      </c>
      <c r="AT519" s="317"/>
      <c r="AU519" s="317"/>
    </row>
    <row r="520" spans="3:47" ht="13.15" customHeight="1" x14ac:dyDescent="0.2">
      <c r="C520" s="381"/>
      <c r="D520" s="895" t="str">
        <f>IF(op!D408=0,"",op!D408)</f>
        <v/>
      </c>
      <c r="E520" s="895" t="str">
        <f>IF(op!E408=0,"",op!E408)</f>
        <v/>
      </c>
      <c r="F520" s="390" t="str">
        <f>IF(op!F408="","",op!F408+1)</f>
        <v/>
      </c>
      <c r="G520" s="896" t="str">
        <f>IF(op!G408=0,"",op!G408)</f>
        <v/>
      </c>
      <c r="H520" s="390" t="str">
        <f>IF(op!H408="","",op!H408)</f>
        <v/>
      </c>
      <c r="I520" s="897" t="str">
        <f t="shared" si="250"/>
        <v/>
      </c>
      <c r="J520" s="898" t="str">
        <f>IF(op!J408="","",op!J408)</f>
        <v/>
      </c>
      <c r="K520" s="334"/>
      <c r="L520" s="1140" t="str">
        <f>IF(op!L408="","",op!L408)</f>
        <v/>
      </c>
      <c r="M520" s="1140" t="str">
        <f>IF(op!M408="","",op!M408)</f>
        <v/>
      </c>
      <c r="N520" s="899" t="str">
        <f t="shared" si="242"/>
        <v/>
      </c>
      <c r="O520" s="900" t="str">
        <f t="shared" si="243"/>
        <v/>
      </c>
      <c r="P520" s="901" t="str">
        <f t="shared" si="244"/>
        <v/>
      </c>
      <c r="Q520" s="568" t="str">
        <f t="shared" si="251"/>
        <v/>
      </c>
      <c r="R520" s="902" t="str">
        <f t="shared" si="245"/>
        <v/>
      </c>
      <c r="S520" s="903">
        <f t="shared" si="252"/>
        <v>0</v>
      </c>
      <c r="T520" s="334"/>
      <c r="X520" s="887" t="str">
        <f t="shared" si="253"/>
        <v/>
      </c>
      <c r="Y520" s="904">
        <f t="shared" si="254"/>
        <v>0.6</v>
      </c>
      <c r="Z520" s="905" t="e">
        <f t="shared" si="246"/>
        <v>#VALUE!</v>
      </c>
      <c r="AA520" s="905" t="e">
        <f t="shared" si="247"/>
        <v>#VALUE!</v>
      </c>
      <c r="AB520" s="905" t="e">
        <f t="shared" si="248"/>
        <v>#VALUE!</v>
      </c>
      <c r="AC520" s="906" t="e">
        <f t="shared" si="255"/>
        <v>#VALUE!</v>
      </c>
      <c r="AD520" s="907">
        <f t="shared" si="256"/>
        <v>0</v>
      </c>
      <c r="AE520" s="904">
        <f>IF(H520&gt;8,tab!C$194,tab!C$197)</f>
        <v>0.5</v>
      </c>
      <c r="AF520" s="907">
        <f t="shared" si="257"/>
        <v>0</v>
      </c>
      <c r="AG520" s="887">
        <f t="shared" si="258"/>
        <v>0</v>
      </c>
      <c r="AH520" s="908" t="e">
        <f t="shared" si="259"/>
        <v>#VALUE!</v>
      </c>
      <c r="AI520" s="815" t="e">
        <f t="shared" si="260"/>
        <v>#VALUE!</v>
      </c>
      <c r="AJ520" s="540">
        <f t="shared" si="261"/>
        <v>30</v>
      </c>
      <c r="AK520" s="540">
        <f t="shared" si="240"/>
        <v>30</v>
      </c>
      <c r="AL520" s="909">
        <f t="shared" si="262"/>
        <v>0</v>
      </c>
      <c r="AN520" s="539">
        <f t="shared" si="249"/>
        <v>0</v>
      </c>
      <c r="AT520" s="317"/>
      <c r="AU520" s="317"/>
    </row>
    <row r="521" spans="3:47" ht="13.15" customHeight="1" x14ac:dyDescent="0.2">
      <c r="C521" s="381"/>
      <c r="D521" s="895" t="str">
        <f>IF(op!D409=0,"",op!D409)</f>
        <v/>
      </c>
      <c r="E521" s="895" t="str">
        <f>IF(op!E409=0,"",op!E409)</f>
        <v/>
      </c>
      <c r="F521" s="390" t="str">
        <f>IF(op!F409="","",op!F409+1)</f>
        <v/>
      </c>
      <c r="G521" s="896" t="str">
        <f>IF(op!G409=0,"",op!G409)</f>
        <v/>
      </c>
      <c r="H521" s="390" t="str">
        <f>IF(op!H409="","",op!H409)</f>
        <v/>
      </c>
      <c r="I521" s="897" t="str">
        <f t="shared" si="250"/>
        <v/>
      </c>
      <c r="J521" s="898" t="str">
        <f>IF(op!J409="","",op!J409)</f>
        <v/>
      </c>
      <c r="K521" s="334"/>
      <c r="L521" s="1140" t="str">
        <f>IF(op!L409="","",op!L409)</f>
        <v/>
      </c>
      <c r="M521" s="1140" t="str">
        <f>IF(op!M409="","",op!M409)</f>
        <v/>
      </c>
      <c r="N521" s="899" t="str">
        <f t="shared" si="242"/>
        <v/>
      </c>
      <c r="O521" s="900" t="str">
        <f t="shared" si="243"/>
        <v/>
      </c>
      <c r="P521" s="901" t="str">
        <f t="shared" si="244"/>
        <v/>
      </c>
      <c r="Q521" s="568" t="str">
        <f t="shared" si="251"/>
        <v/>
      </c>
      <c r="R521" s="902" t="str">
        <f t="shared" si="245"/>
        <v/>
      </c>
      <c r="S521" s="903">
        <f t="shared" si="252"/>
        <v>0</v>
      </c>
      <c r="T521" s="334"/>
      <c r="X521" s="887" t="str">
        <f t="shared" si="253"/>
        <v/>
      </c>
      <c r="Y521" s="904">
        <f t="shared" si="254"/>
        <v>0.6</v>
      </c>
      <c r="Z521" s="905" t="e">
        <f t="shared" si="246"/>
        <v>#VALUE!</v>
      </c>
      <c r="AA521" s="905" t="e">
        <f t="shared" si="247"/>
        <v>#VALUE!</v>
      </c>
      <c r="AB521" s="905" t="e">
        <f t="shared" si="248"/>
        <v>#VALUE!</v>
      </c>
      <c r="AC521" s="906" t="e">
        <f t="shared" si="255"/>
        <v>#VALUE!</v>
      </c>
      <c r="AD521" s="907">
        <f t="shared" si="256"/>
        <v>0</v>
      </c>
      <c r="AE521" s="904">
        <f>IF(H521&gt;8,tab!C$194,tab!C$197)</f>
        <v>0.5</v>
      </c>
      <c r="AF521" s="907">
        <f t="shared" si="257"/>
        <v>0</v>
      </c>
      <c r="AG521" s="887">
        <f t="shared" si="258"/>
        <v>0</v>
      </c>
      <c r="AH521" s="908" t="e">
        <f t="shared" si="259"/>
        <v>#VALUE!</v>
      </c>
      <c r="AI521" s="815" t="e">
        <f t="shared" si="260"/>
        <v>#VALUE!</v>
      </c>
      <c r="AJ521" s="540">
        <f t="shared" si="261"/>
        <v>30</v>
      </c>
      <c r="AK521" s="540">
        <f t="shared" si="240"/>
        <v>30</v>
      </c>
      <c r="AL521" s="909">
        <f t="shared" si="262"/>
        <v>0</v>
      </c>
      <c r="AN521" s="539">
        <f t="shared" si="249"/>
        <v>0</v>
      </c>
      <c r="AT521" s="317"/>
      <c r="AU521" s="317"/>
    </row>
    <row r="522" spans="3:47" ht="13.15" customHeight="1" x14ac:dyDescent="0.2">
      <c r="C522" s="381"/>
      <c r="D522" s="895" t="str">
        <f>IF(op!D410=0,"",op!D410)</f>
        <v/>
      </c>
      <c r="E522" s="895" t="str">
        <f>IF(op!E410=0,"",op!E410)</f>
        <v/>
      </c>
      <c r="F522" s="390" t="str">
        <f>IF(op!F410="","",op!F410+1)</f>
        <v/>
      </c>
      <c r="G522" s="896" t="str">
        <f>IF(op!G410=0,"",op!G410)</f>
        <v/>
      </c>
      <c r="H522" s="390" t="str">
        <f>IF(op!H410="","",op!H410)</f>
        <v/>
      </c>
      <c r="I522" s="897" t="str">
        <f t="shared" si="250"/>
        <v/>
      </c>
      <c r="J522" s="898" t="str">
        <f>IF(op!J410="","",op!J410)</f>
        <v/>
      </c>
      <c r="K522" s="334"/>
      <c r="L522" s="1140" t="str">
        <f>IF(op!L410="","",op!L410)</f>
        <v/>
      </c>
      <c r="M522" s="1140" t="str">
        <f>IF(op!M410="","",op!M410)</f>
        <v/>
      </c>
      <c r="N522" s="899" t="str">
        <f t="shared" si="242"/>
        <v/>
      </c>
      <c r="O522" s="900" t="str">
        <f t="shared" si="243"/>
        <v/>
      </c>
      <c r="P522" s="901" t="str">
        <f t="shared" si="244"/>
        <v/>
      </c>
      <c r="Q522" s="568" t="str">
        <f t="shared" si="251"/>
        <v/>
      </c>
      <c r="R522" s="902" t="str">
        <f t="shared" si="245"/>
        <v/>
      </c>
      <c r="S522" s="903">
        <f t="shared" si="252"/>
        <v>0</v>
      </c>
      <c r="T522" s="334"/>
      <c r="X522" s="887" t="str">
        <f t="shared" si="253"/>
        <v/>
      </c>
      <c r="Y522" s="904">
        <f t="shared" si="254"/>
        <v>0.6</v>
      </c>
      <c r="Z522" s="905" t="e">
        <f t="shared" si="246"/>
        <v>#VALUE!</v>
      </c>
      <c r="AA522" s="905" t="e">
        <f t="shared" si="247"/>
        <v>#VALUE!</v>
      </c>
      <c r="AB522" s="905" t="e">
        <f t="shared" si="248"/>
        <v>#VALUE!</v>
      </c>
      <c r="AC522" s="906" t="e">
        <f t="shared" si="255"/>
        <v>#VALUE!</v>
      </c>
      <c r="AD522" s="907">
        <f t="shared" si="256"/>
        <v>0</v>
      </c>
      <c r="AE522" s="904">
        <f>IF(H522&gt;8,tab!C$194,tab!C$197)</f>
        <v>0.5</v>
      </c>
      <c r="AF522" s="907">
        <f t="shared" si="257"/>
        <v>0</v>
      </c>
      <c r="AG522" s="887">
        <f t="shared" si="258"/>
        <v>0</v>
      </c>
      <c r="AH522" s="908" t="e">
        <f t="shared" si="259"/>
        <v>#VALUE!</v>
      </c>
      <c r="AI522" s="815" t="e">
        <f t="shared" si="260"/>
        <v>#VALUE!</v>
      </c>
      <c r="AJ522" s="540">
        <f t="shared" si="261"/>
        <v>30</v>
      </c>
      <c r="AK522" s="540">
        <f t="shared" si="240"/>
        <v>30</v>
      </c>
      <c r="AL522" s="909">
        <f t="shared" si="262"/>
        <v>0</v>
      </c>
      <c r="AN522" s="539">
        <f t="shared" si="249"/>
        <v>0</v>
      </c>
      <c r="AT522" s="317"/>
      <c r="AU522" s="317"/>
    </row>
    <row r="523" spans="3:47" ht="13.15" customHeight="1" x14ac:dyDescent="0.2">
      <c r="C523" s="381"/>
      <c r="D523" s="895" t="str">
        <f>IF(op!D411=0,"",op!D411)</f>
        <v/>
      </c>
      <c r="E523" s="895" t="str">
        <f>IF(op!E411=0,"",op!E411)</f>
        <v/>
      </c>
      <c r="F523" s="390" t="str">
        <f>IF(op!F411="","",op!F411+1)</f>
        <v/>
      </c>
      <c r="G523" s="896" t="str">
        <f>IF(op!G411=0,"",op!G411)</f>
        <v/>
      </c>
      <c r="H523" s="390" t="str">
        <f>IF(op!H411="","",op!H411)</f>
        <v/>
      </c>
      <c r="I523" s="897" t="str">
        <f t="shared" si="250"/>
        <v/>
      </c>
      <c r="J523" s="898" t="str">
        <f>IF(op!J411="","",op!J411)</f>
        <v/>
      </c>
      <c r="K523" s="334"/>
      <c r="L523" s="1140" t="str">
        <f>IF(op!L411="","",op!L411)</f>
        <v/>
      </c>
      <c r="M523" s="1140" t="str">
        <f>IF(op!M411="","",op!M411)</f>
        <v/>
      </c>
      <c r="N523" s="899" t="str">
        <f t="shared" si="242"/>
        <v/>
      </c>
      <c r="O523" s="900" t="str">
        <f t="shared" si="243"/>
        <v/>
      </c>
      <c r="P523" s="901" t="str">
        <f t="shared" si="244"/>
        <v/>
      </c>
      <c r="Q523" s="568" t="str">
        <f t="shared" si="251"/>
        <v/>
      </c>
      <c r="R523" s="902" t="str">
        <f t="shared" si="245"/>
        <v/>
      </c>
      <c r="S523" s="903">
        <f t="shared" si="252"/>
        <v>0</v>
      </c>
      <c r="T523" s="334"/>
      <c r="X523" s="887" t="str">
        <f t="shared" si="253"/>
        <v/>
      </c>
      <c r="Y523" s="904">
        <f t="shared" si="254"/>
        <v>0.6</v>
      </c>
      <c r="Z523" s="905" t="e">
        <f t="shared" si="246"/>
        <v>#VALUE!</v>
      </c>
      <c r="AA523" s="905" t="e">
        <f t="shared" si="247"/>
        <v>#VALUE!</v>
      </c>
      <c r="AB523" s="905" t="e">
        <f t="shared" si="248"/>
        <v>#VALUE!</v>
      </c>
      <c r="AC523" s="906" t="e">
        <f t="shared" si="255"/>
        <v>#VALUE!</v>
      </c>
      <c r="AD523" s="907">
        <f t="shared" si="256"/>
        <v>0</v>
      </c>
      <c r="AE523" s="904">
        <f>IF(H523&gt;8,tab!C$194,tab!C$197)</f>
        <v>0.5</v>
      </c>
      <c r="AF523" s="907">
        <f t="shared" si="257"/>
        <v>0</v>
      </c>
      <c r="AG523" s="887">
        <f t="shared" si="258"/>
        <v>0</v>
      </c>
      <c r="AH523" s="908" t="e">
        <f t="shared" si="259"/>
        <v>#VALUE!</v>
      </c>
      <c r="AI523" s="815" t="e">
        <f t="shared" si="260"/>
        <v>#VALUE!</v>
      </c>
      <c r="AJ523" s="540">
        <f t="shared" si="261"/>
        <v>30</v>
      </c>
      <c r="AK523" s="540">
        <f t="shared" si="240"/>
        <v>30</v>
      </c>
      <c r="AL523" s="909">
        <f t="shared" si="262"/>
        <v>0</v>
      </c>
      <c r="AN523" s="539">
        <f t="shared" si="249"/>
        <v>0</v>
      </c>
      <c r="AT523" s="317"/>
      <c r="AU523" s="317"/>
    </row>
    <row r="524" spans="3:47" ht="13.15" customHeight="1" x14ac:dyDescent="0.2">
      <c r="C524" s="381"/>
      <c r="D524" s="895" t="str">
        <f>IF(op!D412=0,"",op!D412)</f>
        <v/>
      </c>
      <c r="E524" s="895" t="str">
        <f>IF(op!E412=0,"",op!E412)</f>
        <v/>
      </c>
      <c r="F524" s="390" t="str">
        <f>IF(op!F412="","",op!F412+1)</f>
        <v/>
      </c>
      <c r="G524" s="896" t="str">
        <f>IF(op!G412=0,"",op!G412)</f>
        <v/>
      </c>
      <c r="H524" s="390" t="str">
        <f>IF(op!H412="","",op!H412)</f>
        <v/>
      </c>
      <c r="I524" s="897" t="str">
        <f t="shared" si="250"/>
        <v/>
      </c>
      <c r="J524" s="898" t="str">
        <f>IF(op!J412="","",op!J412)</f>
        <v/>
      </c>
      <c r="K524" s="334"/>
      <c r="L524" s="1140" t="str">
        <f>IF(op!L412="","",op!L412)</f>
        <v/>
      </c>
      <c r="M524" s="1140" t="str">
        <f>IF(op!M412="","",op!M412)</f>
        <v/>
      </c>
      <c r="N524" s="899" t="str">
        <f t="shared" si="242"/>
        <v/>
      </c>
      <c r="O524" s="900" t="str">
        <f t="shared" si="243"/>
        <v/>
      </c>
      <c r="P524" s="901" t="str">
        <f t="shared" si="244"/>
        <v/>
      </c>
      <c r="Q524" s="568" t="str">
        <f t="shared" si="251"/>
        <v/>
      </c>
      <c r="R524" s="902" t="str">
        <f t="shared" si="245"/>
        <v/>
      </c>
      <c r="S524" s="903">
        <f t="shared" si="252"/>
        <v>0</v>
      </c>
      <c r="T524" s="334"/>
      <c r="X524" s="887" t="str">
        <f t="shared" si="253"/>
        <v/>
      </c>
      <c r="Y524" s="904">
        <f t="shared" si="254"/>
        <v>0.6</v>
      </c>
      <c r="Z524" s="905" t="e">
        <f t="shared" si="246"/>
        <v>#VALUE!</v>
      </c>
      <c r="AA524" s="905" t="e">
        <f t="shared" si="247"/>
        <v>#VALUE!</v>
      </c>
      <c r="AB524" s="905" t="e">
        <f t="shared" si="248"/>
        <v>#VALUE!</v>
      </c>
      <c r="AC524" s="906" t="e">
        <f t="shared" si="255"/>
        <v>#VALUE!</v>
      </c>
      <c r="AD524" s="907">
        <f t="shared" si="256"/>
        <v>0</v>
      </c>
      <c r="AE524" s="904">
        <f>IF(H524&gt;8,tab!C$194,tab!C$197)</f>
        <v>0.5</v>
      </c>
      <c r="AF524" s="907">
        <f t="shared" si="257"/>
        <v>0</v>
      </c>
      <c r="AG524" s="887">
        <f t="shared" si="258"/>
        <v>0</v>
      </c>
      <c r="AH524" s="908" t="e">
        <f t="shared" si="259"/>
        <v>#VALUE!</v>
      </c>
      <c r="AI524" s="815" t="e">
        <f t="shared" si="260"/>
        <v>#VALUE!</v>
      </c>
      <c r="AJ524" s="540">
        <f t="shared" si="261"/>
        <v>30</v>
      </c>
      <c r="AK524" s="540">
        <f t="shared" si="240"/>
        <v>30</v>
      </c>
      <c r="AL524" s="909">
        <f t="shared" si="262"/>
        <v>0</v>
      </c>
      <c r="AN524" s="539">
        <f t="shared" si="249"/>
        <v>0</v>
      </c>
      <c r="AT524" s="317"/>
      <c r="AU524" s="317"/>
    </row>
    <row r="525" spans="3:47" ht="13.15" customHeight="1" x14ac:dyDescent="0.2">
      <c r="C525" s="381"/>
      <c r="D525" s="895" t="str">
        <f>IF(op!D413=0,"",op!D413)</f>
        <v/>
      </c>
      <c r="E525" s="895" t="str">
        <f>IF(op!E413=0,"",op!E413)</f>
        <v/>
      </c>
      <c r="F525" s="390" t="str">
        <f>IF(op!F413="","",op!F413+1)</f>
        <v/>
      </c>
      <c r="G525" s="896" t="str">
        <f>IF(op!G413=0,"",op!G413)</f>
        <v/>
      </c>
      <c r="H525" s="390" t="str">
        <f>IF(op!H413="","",op!H413)</f>
        <v/>
      </c>
      <c r="I525" s="897" t="str">
        <f t="shared" si="250"/>
        <v/>
      </c>
      <c r="J525" s="898" t="str">
        <f>IF(op!J413="","",op!J413)</f>
        <v/>
      </c>
      <c r="K525" s="334"/>
      <c r="L525" s="1140" t="str">
        <f>IF(op!L413="","",op!L413)</f>
        <v/>
      </c>
      <c r="M525" s="1140" t="str">
        <f>IF(op!M413="","",op!M413)</f>
        <v/>
      </c>
      <c r="N525" s="899" t="str">
        <f t="shared" si="242"/>
        <v/>
      </c>
      <c r="O525" s="900" t="str">
        <f t="shared" si="243"/>
        <v/>
      </c>
      <c r="P525" s="901" t="str">
        <f t="shared" si="244"/>
        <v/>
      </c>
      <c r="Q525" s="568" t="str">
        <f t="shared" si="251"/>
        <v/>
      </c>
      <c r="R525" s="902" t="str">
        <f t="shared" si="245"/>
        <v/>
      </c>
      <c r="S525" s="903">
        <f t="shared" si="252"/>
        <v>0</v>
      </c>
      <c r="T525" s="334"/>
      <c r="X525" s="887" t="str">
        <f t="shared" si="253"/>
        <v/>
      </c>
      <c r="Y525" s="904">
        <f t="shared" si="254"/>
        <v>0.6</v>
      </c>
      <c r="Z525" s="905" t="e">
        <f t="shared" si="246"/>
        <v>#VALUE!</v>
      </c>
      <c r="AA525" s="905" t="e">
        <f t="shared" si="247"/>
        <v>#VALUE!</v>
      </c>
      <c r="AB525" s="905" t="e">
        <f t="shared" si="248"/>
        <v>#VALUE!</v>
      </c>
      <c r="AC525" s="906" t="e">
        <f t="shared" si="255"/>
        <v>#VALUE!</v>
      </c>
      <c r="AD525" s="907">
        <f t="shared" si="256"/>
        <v>0</v>
      </c>
      <c r="AE525" s="904">
        <f>IF(H525&gt;8,tab!C$194,tab!C$197)</f>
        <v>0.5</v>
      </c>
      <c r="AF525" s="907">
        <f t="shared" si="257"/>
        <v>0</v>
      </c>
      <c r="AG525" s="887">
        <f t="shared" si="258"/>
        <v>0</v>
      </c>
      <c r="AH525" s="908" t="e">
        <f t="shared" si="259"/>
        <v>#VALUE!</v>
      </c>
      <c r="AI525" s="815" t="e">
        <f t="shared" si="260"/>
        <v>#VALUE!</v>
      </c>
      <c r="AJ525" s="540">
        <f t="shared" si="261"/>
        <v>30</v>
      </c>
      <c r="AK525" s="540">
        <f t="shared" si="240"/>
        <v>30</v>
      </c>
      <c r="AL525" s="909">
        <f t="shared" si="262"/>
        <v>0</v>
      </c>
      <c r="AN525" s="539">
        <f t="shared" si="249"/>
        <v>0</v>
      </c>
      <c r="AT525" s="317"/>
      <c r="AU525" s="317"/>
    </row>
    <row r="526" spans="3:47" ht="13.15" customHeight="1" x14ac:dyDescent="0.2">
      <c r="C526" s="381"/>
      <c r="D526" s="895" t="str">
        <f>IF(op!D414=0,"",op!D414)</f>
        <v/>
      </c>
      <c r="E526" s="895" t="str">
        <f>IF(op!E414=0,"",op!E414)</f>
        <v/>
      </c>
      <c r="F526" s="390" t="str">
        <f>IF(op!F414="","",op!F414+1)</f>
        <v/>
      </c>
      <c r="G526" s="896" t="str">
        <f>IF(op!G414=0,"",op!G414)</f>
        <v/>
      </c>
      <c r="H526" s="390" t="str">
        <f>IF(op!H414="","",op!H414)</f>
        <v/>
      </c>
      <c r="I526" s="897" t="str">
        <f t="shared" si="250"/>
        <v/>
      </c>
      <c r="J526" s="898" t="str">
        <f>IF(op!J414="","",op!J414)</f>
        <v/>
      </c>
      <c r="K526" s="334"/>
      <c r="L526" s="1140" t="str">
        <f>IF(op!L414="","",op!L414)</f>
        <v/>
      </c>
      <c r="M526" s="1140" t="str">
        <f>IF(op!M414="","",op!M414)</f>
        <v/>
      </c>
      <c r="N526" s="899" t="str">
        <f t="shared" si="242"/>
        <v/>
      </c>
      <c r="O526" s="900" t="str">
        <f t="shared" si="243"/>
        <v/>
      </c>
      <c r="P526" s="901" t="str">
        <f t="shared" si="244"/>
        <v/>
      </c>
      <c r="Q526" s="568" t="str">
        <f t="shared" si="251"/>
        <v/>
      </c>
      <c r="R526" s="902" t="str">
        <f t="shared" si="245"/>
        <v/>
      </c>
      <c r="S526" s="903">
        <f t="shared" si="252"/>
        <v>0</v>
      </c>
      <c r="T526" s="334"/>
      <c r="X526" s="887" t="str">
        <f t="shared" si="253"/>
        <v/>
      </c>
      <c r="Y526" s="904">
        <f t="shared" si="254"/>
        <v>0.6</v>
      </c>
      <c r="Z526" s="905" t="e">
        <f t="shared" si="246"/>
        <v>#VALUE!</v>
      </c>
      <c r="AA526" s="905" t="e">
        <f t="shared" si="247"/>
        <v>#VALUE!</v>
      </c>
      <c r="AB526" s="905" t="e">
        <f t="shared" si="248"/>
        <v>#VALUE!</v>
      </c>
      <c r="AC526" s="906" t="e">
        <f t="shared" si="255"/>
        <v>#VALUE!</v>
      </c>
      <c r="AD526" s="907">
        <f t="shared" si="256"/>
        <v>0</v>
      </c>
      <c r="AE526" s="904">
        <f>IF(H526&gt;8,tab!C$194,tab!C$197)</f>
        <v>0.5</v>
      </c>
      <c r="AF526" s="907">
        <f t="shared" si="257"/>
        <v>0</v>
      </c>
      <c r="AG526" s="887">
        <f t="shared" si="258"/>
        <v>0</v>
      </c>
      <c r="AH526" s="908" t="e">
        <f t="shared" si="259"/>
        <v>#VALUE!</v>
      </c>
      <c r="AI526" s="815" t="e">
        <f t="shared" si="260"/>
        <v>#VALUE!</v>
      </c>
      <c r="AJ526" s="540">
        <f t="shared" si="261"/>
        <v>30</v>
      </c>
      <c r="AK526" s="540">
        <f t="shared" si="240"/>
        <v>30</v>
      </c>
      <c r="AL526" s="909">
        <f t="shared" si="262"/>
        <v>0</v>
      </c>
      <c r="AN526" s="539">
        <f t="shared" si="249"/>
        <v>0</v>
      </c>
      <c r="AT526" s="317"/>
      <c r="AU526" s="317"/>
    </row>
    <row r="527" spans="3:47" ht="13.15" customHeight="1" x14ac:dyDescent="0.2">
      <c r="C527" s="381"/>
      <c r="D527" s="895" t="str">
        <f>IF(op!D415=0,"",op!D415)</f>
        <v/>
      </c>
      <c r="E527" s="895" t="str">
        <f>IF(op!E415=0,"",op!E415)</f>
        <v/>
      </c>
      <c r="F527" s="390" t="str">
        <f>IF(op!F415="","",op!F415+1)</f>
        <v/>
      </c>
      <c r="G527" s="896" t="str">
        <f>IF(op!G415=0,"",op!G415)</f>
        <v/>
      </c>
      <c r="H527" s="390" t="str">
        <f>IF(op!H415="","",op!H415)</f>
        <v/>
      </c>
      <c r="I527" s="897" t="str">
        <f t="shared" si="250"/>
        <v/>
      </c>
      <c r="J527" s="898" t="str">
        <f>IF(op!J415="","",op!J415)</f>
        <v/>
      </c>
      <c r="K527" s="334"/>
      <c r="L527" s="1140" t="str">
        <f>IF(op!L415="","",op!L415)</f>
        <v/>
      </c>
      <c r="M527" s="1140" t="str">
        <f>IF(op!M415="","",op!M415)</f>
        <v/>
      </c>
      <c r="N527" s="899" t="str">
        <f t="shared" si="242"/>
        <v/>
      </c>
      <c r="O527" s="900" t="str">
        <f t="shared" si="243"/>
        <v/>
      </c>
      <c r="P527" s="901" t="str">
        <f t="shared" si="244"/>
        <v/>
      </c>
      <c r="Q527" s="568" t="str">
        <f t="shared" si="251"/>
        <v/>
      </c>
      <c r="R527" s="902" t="str">
        <f t="shared" si="245"/>
        <v/>
      </c>
      <c r="S527" s="903">
        <f t="shared" si="252"/>
        <v>0</v>
      </c>
      <c r="T527" s="334"/>
      <c r="X527" s="887" t="str">
        <f t="shared" si="253"/>
        <v/>
      </c>
      <c r="Y527" s="904">
        <f t="shared" si="254"/>
        <v>0.6</v>
      </c>
      <c r="Z527" s="905" t="e">
        <f t="shared" si="246"/>
        <v>#VALUE!</v>
      </c>
      <c r="AA527" s="905" t="e">
        <f t="shared" si="247"/>
        <v>#VALUE!</v>
      </c>
      <c r="AB527" s="905" t="e">
        <f t="shared" si="248"/>
        <v>#VALUE!</v>
      </c>
      <c r="AC527" s="906" t="e">
        <f t="shared" si="255"/>
        <v>#VALUE!</v>
      </c>
      <c r="AD527" s="907">
        <f t="shared" si="256"/>
        <v>0</v>
      </c>
      <c r="AE527" s="904">
        <f>IF(H527&gt;8,tab!C$194,tab!C$197)</f>
        <v>0.5</v>
      </c>
      <c r="AF527" s="907">
        <f t="shared" si="257"/>
        <v>0</v>
      </c>
      <c r="AG527" s="887">
        <f t="shared" si="258"/>
        <v>0</v>
      </c>
      <c r="AH527" s="908" t="e">
        <f t="shared" si="259"/>
        <v>#VALUE!</v>
      </c>
      <c r="AI527" s="815" t="e">
        <f t="shared" si="260"/>
        <v>#VALUE!</v>
      </c>
      <c r="AJ527" s="540">
        <f t="shared" si="261"/>
        <v>30</v>
      </c>
      <c r="AK527" s="540">
        <f t="shared" si="240"/>
        <v>30</v>
      </c>
      <c r="AL527" s="909">
        <f t="shared" si="262"/>
        <v>0</v>
      </c>
      <c r="AN527" s="539">
        <f t="shared" si="249"/>
        <v>0</v>
      </c>
      <c r="AT527" s="317"/>
      <c r="AU527" s="317"/>
    </row>
    <row r="528" spans="3:47" ht="13.15" customHeight="1" x14ac:dyDescent="0.2">
      <c r="C528" s="381"/>
      <c r="D528" s="895" t="str">
        <f>IF(op!D416=0,"",op!D416)</f>
        <v/>
      </c>
      <c r="E528" s="895" t="str">
        <f>IF(op!E416=0,"",op!E416)</f>
        <v/>
      </c>
      <c r="F528" s="390" t="str">
        <f>IF(op!F416="","",op!F416+1)</f>
        <v/>
      </c>
      <c r="G528" s="896" t="str">
        <f>IF(op!G416=0,"",op!G416)</f>
        <v/>
      </c>
      <c r="H528" s="390" t="str">
        <f>IF(op!H416="","",op!H416)</f>
        <v/>
      </c>
      <c r="I528" s="897" t="str">
        <f t="shared" ref="I528:I559" si="263">IF(E528="","",IF(I416=VLOOKUP(H528,Salaris2021,22,FALSE),I416,I416+1))</f>
        <v/>
      </c>
      <c r="J528" s="898" t="str">
        <f>IF(op!J416="","",op!J416)</f>
        <v/>
      </c>
      <c r="K528" s="334"/>
      <c r="L528" s="1140" t="str">
        <f>IF(op!L416="","",op!L416)</f>
        <v/>
      </c>
      <c r="M528" s="1140" t="str">
        <f>IF(op!M416="","",op!M416)</f>
        <v/>
      </c>
      <c r="N528" s="899" t="str">
        <f t="shared" si="242"/>
        <v/>
      </c>
      <c r="O528" s="900" t="str">
        <f t="shared" si="243"/>
        <v/>
      </c>
      <c r="P528" s="901" t="str">
        <f t="shared" si="244"/>
        <v/>
      </c>
      <c r="Q528" s="568" t="str">
        <f t="shared" ref="Q528:Q559" si="264">IF(J528="","",(1659*J528-P528)*AA528)</f>
        <v/>
      </c>
      <c r="R528" s="902" t="str">
        <f t="shared" si="245"/>
        <v/>
      </c>
      <c r="S528" s="903">
        <f t="shared" ref="S528:S559" si="265">IF(E528=0,0,SUM(Q528:R528))</f>
        <v>0</v>
      </c>
      <c r="T528" s="334"/>
      <c r="X528" s="887" t="str">
        <f t="shared" ref="X528:X563" si="266">IF(H528="","",VLOOKUP(H528,Salaris2021,I528+1,FALSE))</f>
        <v/>
      </c>
      <c r="Y528" s="904">
        <f t="shared" ref="Y528:Y563" si="267">$Y$14</f>
        <v>0.6</v>
      </c>
      <c r="Z528" s="905" t="e">
        <f t="shared" si="246"/>
        <v>#VALUE!</v>
      </c>
      <c r="AA528" s="905" t="e">
        <f t="shared" si="247"/>
        <v>#VALUE!</v>
      </c>
      <c r="AB528" s="905" t="e">
        <f t="shared" si="248"/>
        <v>#VALUE!</v>
      </c>
      <c r="AC528" s="906" t="e">
        <f t="shared" ref="AC528:AC563" si="268">N528+O528</f>
        <v>#VALUE!</v>
      </c>
      <c r="AD528" s="907">
        <f t="shared" ref="AD528:AD563" si="269">SUM(L528:M528)</f>
        <v>0</v>
      </c>
      <c r="AE528" s="904">
        <f>IF(H528&gt;8,tab!C$194,tab!C$197)</f>
        <v>0.5</v>
      </c>
      <c r="AF528" s="907">
        <f t="shared" ref="AF528:AF563" si="270">IF(F528&lt;25,0,IF(F528=25,25,IF(F528&lt;40,0,IF(F528=40,40,IF(F528&gt;=40,0)))))</f>
        <v>0</v>
      </c>
      <c r="AG528" s="887">
        <f t="shared" ref="AG528:AG559" si="271">IF(AF528=25,(X528*1.08*J528/2),IF(AF528=40,(Y528*1.08*J528),IF(AF528=0,0)))</f>
        <v>0</v>
      </c>
      <c r="AH528" s="908" t="e">
        <f t="shared" ref="AH528:AH563" si="272">DATE(YEAR($E$233),MONTH(G528),DAY(G528))&gt;$E$233</f>
        <v>#VALUE!</v>
      </c>
      <c r="AI528" s="815" t="e">
        <f t="shared" ref="AI528:AI559" si="273">YEAR($E$457)-YEAR(G528)-AH528</f>
        <v>#VALUE!</v>
      </c>
      <c r="AJ528" s="540">
        <f t="shared" ref="AJ528:AJ559" si="274">IF((G528=""),30,AI528)</f>
        <v>30</v>
      </c>
      <c r="AK528" s="540">
        <f t="shared" si="240"/>
        <v>30</v>
      </c>
      <c r="AL528" s="909">
        <f t="shared" ref="AL528:AL559" si="275">(AK528*(SUM(J528:J528)))</f>
        <v>0</v>
      </c>
      <c r="AN528" s="539">
        <f t="shared" si="249"/>
        <v>0</v>
      </c>
      <c r="AT528" s="317"/>
      <c r="AU528" s="317"/>
    </row>
    <row r="529" spans="3:47" ht="13.15" customHeight="1" x14ac:dyDescent="0.2">
      <c r="C529" s="381"/>
      <c r="D529" s="895" t="str">
        <f>IF(op!D417=0,"",op!D417)</f>
        <v/>
      </c>
      <c r="E529" s="895" t="str">
        <f>IF(op!E417=0,"",op!E417)</f>
        <v/>
      </c>
      <c r="F529" s="390" t="str">
        <f>IF(op!F417="","",op!F417+1)</f>
        <v/>
      </c>
      <c r="G529" s="896" t="str">
        <f>IF(op!G417=0,"",op!G417)</f>
        <v/>
      </c>
      <c r="H529" s="390" t="str">
        <f>IF(op!H417="","",op!H417)</f>
        <v/>
      </c>
      <c r="I529" s="897" t="str">
        <f t="shared" si="263"/>
        <v/>
      </c>
      <c r="J529" s="898" t="str">
        <f>IF(op!J417="","",op!J417)</f>
        <v/>
      </c>
      <c r="K529" s="334"/>
      <c r="L529" s="1140" t="str">
        <f>IF(op!L417="","",op!L417)</f>
        <v/>
      </c>
      <c r="M529" s="1140" t="str">
        <f>IF(op!M417="","",op!M417)</f>
        <v/>
      </c>
      <c r="N529" s="899" t="str">
        <f t="shared" ref="N529:N563" si="276">IF(J529="","",IF(J529*40&gt;40,40,J529*40))</f>
        <v/>
      </c>
      <c r="O529" s="900" t="str">
        <f t="shared" ref="O529:O563" si="277">IF(H529="","",IF(I529&lt;4,IF(40*J529&gt;40,40,40*J529),0))</f>
        <v/>
      </c>
      <c r="P529" s="901" t="str">
        <f t="shared" ref="P529:P563" si="278">IF(J529="","",SUM(L529:O529))</f>
        <v/>
      </c>
      <c r="Q529" s="568" t="str">
        <f t="shared" si="264"/>
        <v/>
      </c>
      <c r="R529" s="902" t="str">
        <f t="shared" ref="R529:R563" si="279">IF(J529="","",(P529*AB529)+Z529*(AC529+AD529*(1-AE529)))</f>
        <v/>
      </c>
      <c r="S529" s="903">
        <f t="shared" si="265"/>
        <v>0</v>
      </c>
      <c r="T529" s="334"/>
      <c r="X529" s="887" t="str">
        <f t="shared" si="266"/>
        <v/>
      </c>
      <c r="Y529" s="904">
        <f t="shared" si="267"/>
        <v>0.6</v>
      </c>
      <c r="Z529" s="905" t="e">
        <f t="shared" ref="Z529:Z563" si="280">X529*12/1659</f>
        <v>#VALUE!</v>
      </c>
      <c r="AA529" s="905" t="e">
        <f t="shared" ref="AA529:AA563" si="281">X529*12*(1+Y529)/1659</f>
        <v>#VALUE!</v>
      </c>
      <c r="AB529" s="905" t="e">
        <f t="shared" ref="AB529:AB563" si="282">AA529-Z529</f>
        <v>#VALUE!</v>
      </c>
      <c r="AC529" s="906" t="e">
        <f t="shared" si="268"/>
        <v>#VALUE!</v>
      </c>
      <c r="AD529" s="907">
        <f t="shared" si="269"/>
        <v>0</v>
      </c>
      <c r="AE529" s="904">
        <f>IF(H529&gt;8,tab!C$194,tab!C$197)</f>
        <v>0.5</v>
      </c>
      <c r="AF529" s="907">
        <f t="shared" si="270"/>
        <v>0</v>
      </c>
      <c r="AG529" s="887">
        <f t="shared" si="271"/>
        <v>0</v>
      </c>
      <c r="AH529" s="908" t="e">
        <f t="shared" si="272"/>
        <v>#VALUE!</v>
      </c>
      <c r="AI529" s="815" t="e">
        <f t="shared" si="273"/>
        <v>#VALUE!</v>
      </c>
      <c r="AJ529" s="540">
        <f t="shared" si="274"/>
        <v>30</v>
      </c>
      <c r="AK529" s="540">
        <f t="shared" si="240"/>
        <v>30</v>
      </c>
      <c r="AL529" s="909">
        <f t="shared" si="275"/>
        <v>0</v>
      </c>
      <c r="AN529" s="539">
        <f t="shared" si="249"/>
        <v>0</v>
      </c>
      <c r="AT529" s="317"/>
      <c r="AU529" s="317"/>
    </row>
    <row r="530" spans="3:47" ht="13.15" customHeight="1" x14ac:dyDescent="0.2">
      <c r="C530" s="381"/>
      <c r="D530" s="895" t="str">
        <f>IF(op!D418=0,"",op!D418)</f>
        <v/>
      </c>
      <c r="E530" s="895" t="str">
        <f>IF(op!E418=0,"",op!E418)</f>
        <v/>
      </c>
      <c r="F530" s="390" t="str">
        <f>IF(op!F418="","",op!F418+1)</f>
        <v/>
      </c>
      <c r="G530" s="896" t="str">
        <f>IF(op!G418=0,"",op!G418)</f>
        <v/>
      </c>
      <c r="H530" s="390" t="str">
        <f>IF(op!H418="","",op!H418)</f>
        <v/>
      </c>
      <c r="I530" s="897" t="str">
        <f t="shared" si="263"/>
        <v/>
      </c>
      <c r="J530" s="898" t="str">
        <f>IF(op!J418="","",op!J418)</f>
        <v/>
      </c>
      <c r="K530" s="334"/>
      <c r="L530" s="1140" t="str">
        <f>IF(op!L418="","",op!L418)</f>
        <v/>
      </c>
      <c r="M530" s="1140" t="str">
        <f>IF(op!M418="","",op!M418)</f>
        <v/>
      </c>
      <c r="N530" s="899" t="str">
        <f t="shared" si="276"/>
        <v/>
      </c>
      <c r="O530" s="900" t="str">
        <f t="shared" si="277"/>
        <v/>
      </c>
      <c r="P530" s="901" t="str">
        <f t="shared" si="278"/>
        <v/>
      </c>
      <c r="Q530" s="568" t="str">
        <f t="shared" si="264"/>
        <v/>
      </c>
      <c r="R530" s="902" t="str">
        <f t="shared" si="279"/>
        <v/>
      </c>
      <c r="S530" s="903">
        <f t="shared" si="265"/>
        <v>0</v>
      </c>
      <c r="T530" s="334"/>
      <c r="X530" s="887" t="str">
        <f t="shared" si="266"/>
        <v/>
      </c>
      <c r="Y530" s="904">
        <f t="shared" si="267"/>
        <v>0.6</v>
      </c>
      <c r="Z530" s="905" t="e">
        <f t="shared" si="280"/>
        <v>#VALUE!</v>
      </c>
      <c r="AA530" s="905" t="e">
        <f t="shared" si="281"/>
        <v>#VALUE!</v>
      </c>
      <c r="AB530" s="905" t="e">
        <f t="shared" si="282"/>
        <v>#VALUE!</v>
      </c>
      <c r="AC530" s="906" t="e">
        <f t="shared" si="268"/>
        <v>#VALUE!</v>
      </c>
      <c r="AD530" s="907">
        <f t="shared" si="269"/>
        <v>0</v>
      </c>
      <c r="AE530" s="904">
        <f>IF(H530&gt;8,tab!C$194,tab!C$197)</f>
        <v>0.5</v>
      </c>
      <c r="AF530" s="907">
        <f t="shared" si="270"/>
        <v>0</v>
      </c>
      <c r="AG530" s="887">
        <f t="shared" si="271"/>
        <v>0</v>
      </c>
      <c r="AH530" s="908" t="e">
        <f t="shared" si="272"/>
        <v>#VALUE!</v>
      </c>
      <c r="AI530" s="815" t="e">
        <f t="shared" si="273"/>
        <v>#VALUE!</v>
      </c>
      <c r="AJ530" s="540">
        <f t="shared" si="274"/>
        <v>30</v>
      </c>
      <c r="AK530" s="540">
        <f t="shared" si="240"/>
        <v>30</v>
      </c>
      <c r="AL530" s="909">
        <f t="shared" si="275"/>
        <v>0</v>
      </c>
      <c r="AN530" s="539">
        <f t="shared" si="249"/>
        <v>0</v>
      </c>
      <c r="AT530" s="317"/>
      <c r="AU530" s="317"/>
    </row>
    <row r="531" spans="3:47" ht="13.15" customHeight="1" x14ac:dyDescent="0.2">
      <c r="C531" s="381"/>
      <c r="D531" s="895" t="str">
        <f>IF(op!D419=0,"",op!D419)</f>
        <v/>
      </c>
      <c r="E531" s="895" t="str">
        <f>IF(op!E419=0,"",op!E419)</f>
        <v/>
      </c>
      <c r="F531" s="390" t="str">
        <f>IF(op!F419="","",op!F419+1)</f>
        <v/>
      </c>
      <c r="G531" s="896" t="str">
        <f>IF(op!G419=0,"",op!G419)</f>
        <v/>
      </c>
      <c r="H531" s="390" t="str">
        <f>IF(op!H419="","",op!H419)</f>
        <v/>
      </c>
      <c r="I531" s="897" t="str">
        <f t="shared" si="263"/>
        <v/>
      </c>
      <c r="J531" s="898" t="str">
        <f>IF(op!J419="","",op!J419)</f>
        <v/>
      </c>
      <c r="K531" s="334"/>
      <c r="L531" s="1140" t="str">
        <f>IF(op!L419="","",op!L419)</f>
        <v/>
      </c>
      <c r="M531" s="1140" t="str">
        <f>IF(op!M419="","",op!M419)</f>
        <v/>
      </c>
      <c r="N531" s="899" t="str">
        <f t="shared" si="276"/>
        <v/>
      </c>
      <c r="O531" s="900" t="str">
        <f t="shared" si="277"/>
        <v/>
      </c>
      <c r="P531" s="901" t="str">
        <f t="shared" si="278"/>
        <v/>
      </c>
      <c r="Q531" s="568" t="str">
        <f t="shared" si="264"/>
        <v/>
      </c>
      <c r="R531" s="902" t="str">
        <f t="shared" si="279"/>
        <v/>
      </c>
      <c r="S531" s="903">
        <f t="shared" si="265"/>
        <v>0</v>
      </c>
      <c r="T531" s="334"/>
      <c r="X531" s="887" t="str">
        <f t="shared" si="266"/>
        <v/>
      </c>
      <c r="Y531" s="904">
        <f t="shared" si="267"/>
        <v>0.6</v>
      </c>
      <c r="Z531" s="905" t="e">
        <f t="shared" si="280"/>
        <v>#VALUE!</v>
      </c>
      <c r="AA531" s="905" t="e">
        <f t="shared" si="281"/>
        <v>#VALUE!</v>
      </c>
      <c r="AB531" s="905" t="e">
        <f t="shared" si="282"/>
        <v>#VALUE!</v>
      </c>
      <c r="AC531" s="906" t="e">
        <f t="shared" si="268"/>
        <v>#VALUE!</v>
      </c>
      <c r="AD531" s="907">
        <f t="shared" si="269"/>
        <v>0</v>
      </c>
      <c r="AE531" s="904">
        <f>IF(H531&gt;8,tab!C$194,tab!C$197)</f>
        <v>0.5</v>
      </c>
      <c r="AF531" s="907">
        <f t="shared" si="270"/>
        <v>0</v>
      </c>
      <c r="AG531" s="887">
        <f t="shared" si="271"/>
        <v>0</v>
      </c>
      <c r="AH531" s="908" t="e">
        <f t="shared" si="272"/>
        <v>#VALUE!</v>
      </c>
      <c r="AI531" s="815" t="e">
        <f t="shared" si="273"/>
        <v>#VALUE!</v>
      </c>
      <c r="AJ531" s="540">
        <f t="shared" si="274"/>
        <v>30</v>
      </c>
      <c r="AK531" s="540">
        <f t="shared" si="240"/>
        <v>30</v>
      </c>
      <c r="AL531" s="909">
        <f t="shared" si="275"/>
        <v>0</v>
      </c>
      <c r="AN531" s="539">
        <f t="shared" si="249"/>
        <v>0</v>
      </c>
      <c r="AT531" s="317"/>
      <c r="AU531" s="317"/>
    </row>
    <row r="532" spans="3:47" ht="13.15" customHeight="1" x14ac:dyDescent="0.2">
      <c r="C532" s="381"/>
      <c r="D532" s="895" t="str">
        <f>IF(op!D420=0,"",op!D420)</f>
        <v/>
      </c>
      <c r="E532" s="895" t="str">
        <f>IF(op!E420=0,"",op!E420)</f>
        <v/>
      </c>
      <c r="F532" s="390" t="str">
        <f>IF(op!F420="","",op!F420+1)</f>
        <v/>
      </c>
      <c r="G532" s="896" t="str">
        <f>IF(op!G420=0,"",op!G420)</f>
        <v/>
      </c>
      <c r="H532" s="390" t="str">
        <f>IF(op!H420="","",op!H420)</f>
        <v/>
      </c>
      <c r="I532" s="897" t="str">
        <f t="shared" si="263"/>
        <v/>
      </c>
      <c r="J532" s="898" t="str">
        <f>IF(op!J420="","",op!J420)</f>
        <v/>
      </c>
      <c r="K532" s="334"/>
      <c r="L532" s="1140" t="str">
        <f>IF(op!L420="","",op!L420)</f>
        <v/>
      </c>
      <c r="M532" s="1140" t="str">
        <f>IF(op!M420="","",op!M420)</f>
        <v/>
      </c>
      <c r="N532" s="899" t="str">
        <f t="shared" si="276"/>
        <v/>
      </c>
      <c r="O532" s="900" t="str">
        <f t="shared" si="277"/>
        <v/>
      </c>
      <c r="P532" s="901" t="str">
        <f t="shared" si="278"/>
        <v/>
      </c>
      <c r="Q532" s="568" t="str">
        <f t="shared" si="264"/>
        <v/>
      </c>
      <c r="R532" s="902" t="str">
        <f t="shared" si="279"/>
        <v/>
      </c>
      <c r="S532" s="903">
        <f t="shared" si="265"/>
        <v>0</v>
      </c>
      <c r="T532" s="334"/>
      <c r="X532" s="887" t="str">
        <f t="shared" si="266"/>
        <v/>
      </c>
      <c r="Y532" s="904">
        <f t="shared" si="267"/>
        <v>0.6</v>
      </c>
      <c r="Z532" s="905" t="e">
        <f t="shared" si="280"/>
        <v>#VALUE!</v>
      </c>
      <c r="AA532" s="905" t="e">
        <f t="shared" si="281"/>
        <v>#VALUE!</v>
      </c>
      <c r="AB532" s="905" t="e">
        <f t="shared" si="282"/>
        <v>#VALUE!</v>
      </c>
      <c r="AC532" s="906" t="e">
        <f t="shared" si="268"/>
        <v>#VALUE!</v>
      </c>
      <c r="AD532" s="907">
        <f t="shared" si="269"/>
        <v>0</v>
      </c>
      <c r="AE532" s="904">
        <f>IF(H532&gt;8,tab!C$194,tab!C$197)</f>
        <v>0.5</v>
      </c>
      <c r="AF532" s="907">
        <f t="shared" si="270"/>
        <v>0</v>
      </c>
      <c r="AG532" s="887">
        <f t="shared" si="271"/>
        <v>0</v>
      </c>
      <c r="AH532" s="908" t="e">
        <f t="shared" si="272"/>
        <v>#VALUE!</v>
      </c>
      <c r="AI532" s="815" t="e">
        <f t="shared" si="273"/>
        <v>#VALUE!</v>
      </c>
      <c r="AJ532" s="540">
        <f t="shared" si="274"/>
        <v>30</v>
      </c>
      <c r="AK532" s="540">
        <f t="shared" si="240"/>
        <v>30</v>
      </c>
      <c r="AL532" s="909">
        <f t="shared" si="275"/>
        <v>0</v>
      </c>
      <c r="AN532" s="539">
        <f t="shared" si="249"/>
        <v>0</v>
      </c>
      <c r="AT532" s="317"/>
      <c r="AU532" s="317"/>
    </row>
    <row r="533" spans="3:47" ht="13.15" customHeight="1" x14ac:dyDescent="0.2">
      <c r="C533" s="381"/>
      <c r="D533" s="895" t="str">
        <f>IF(op!D421=0,"",op!D421)</f>
        <v/>
      </c>
      <c r="E533" s="895" t="str">
        <f>IF(op!E421=0,"",op!E421)</f>
        <v/>
      </c>
      <c r="F533" s="390" t="str">
        <f>IF(op!F421="","",op!F421+1)</f>
        <v/>
      </c>
      <c r="G533" s="896" t="str">
        <f>IF(op!G421=0,"",op!G421)</f>
        <v/>
      </c>
      <c r="H533" s="390" t="str">
        <f>IF(op!H421="","",op!H421)</f>
        <v/>
      </c>
      <c r="I533" s="897" t="str">
        <f t="shared" si="263"/>
        <v/>
      </c>
      <c r="J533" s="898" t="str">
        <f>IF(op!J421="","",op!J421)</f>
        <v/>
      </c>
      <c r="K533" s="334"/>
      <c r="L533" s="1140" t="str">
        <f>IF(op!L421="","",op!L421)</f>
        <v/>
      </c>
      <c r="M533" s="1140" t="str">
        <f>IF(op!M421="","",op!M421)</f>
        <v/>
      </c>
      <c r="N533" s="899" t="str">
        <f t="shared" si="276"/>
        <v/>
      </c>
      <c r="O533" s="900" t="str">
        <f t="shared" si="277"/>
        <v/>
      </c>
      <c r="P533" s="901" t="str">
        <f t="shared" si="278"/>
        <v/>
      </c>
      <c r="Q533" s="568" t="str">
        <f t="shared" si="264"/>
        <v/>
      </c>
      <c r="R533" s="902" t="str">
        <f t="shared" si="279"/>
        <v/>
      </c>
      <c r="S533" s="903">
        <f t="shared" si="265"/>
        <v>0</v>
      </c>
      <c r="T533" s="334"/>
      <c r="X533" s="887" t="str">
        <f t="shared" si="266"/>
        <v/>
      </c>
      <c r="Y533" s="904">
        <f t="shared" si="267"/>
        <v>0.6</v>
      </c>
      <c r="Z533" s="905" t="e">
        <f t="shared" si="280"/>
        <v>#VALUE!</v>
      </c>
      <c r="AA533" s="905" t="e">
        <f t="shared" si="281"/>
        <v>#VALUE!</v>
      </c>
      <c r="AB533" s="905" t="e">
        <f t="shared" si="282"/>
        <v>#VALUE!</v>
      </c>
      <c r="AC533" s="906" t="e">
        <f t="shared" si="268"/>
        <v>#VALUE!</v>
      </c>
      <c r="AD533" s="907">
        <f t="shared" si="269"/>
        <v>0</v>
      </c>
      <c r="AE533" s="904">
        <f>IF(H533&gt;8,tab!C$194,tab!C$197)</f>
        <v>0.5</v>
      </c>
      <c r="AF533" s="907">
        <f t="shared" si="270"/>
        <v>0</v>
      </c>
      <c r="AG533" s="887">
        <f t="shared" si="271"/>
        <v>0</v>
      </c>
      <c r="AH533" s="908" t="e">
        <f t="shared" si="272"/>
        <v>#VALUE!</v>
      </c>
      <c r="AI533" s="815" t="e">
        <f t="shared" si="273"/>
        <v>#VALUE!</v>
      </c>
      <c r="AJ533" s="540">
        <f t="shared" si="274"/>
        <v>30</v>
      </c>
      <c r="AK533" s="540">
        <f t="shared" si="240"/>
        <v>30</v>
      </c>
      <c r="AL533" s="909">
        <f t="shared" si="275"/>
        <v>0</v>
      </c>
      <c r="AN533" s="539">
        <f t="shared" si="249"/>
        <v>0</v>
      </c>
      <c r="AT533" s="317"/>
      <c r="AU533" s="317"/>
    </row>
    <row r="534" spans="3:47" ht="13.15" customHeight="1" x14ac:dyDescent="0.2">
      <c r="C534" s="381"/>
      <c r="D534" s="895" t="str">
        <f>IF(op!D422=0,"",op!D422)</f>
        <v/>
      </c>
      <c r="E534" s="895" t="str">
        <f>IF(op!E422=0,"",op!E422)</f>
        <v/>
      </c>
      <c r="F534" s="390" t="str">
        <f>IF(op!F422="","",op!F422+1)</f>
        <v/>
      </c>
      <c r="G534" s="896" t="str">
        <f>IF(op!G422=0,"",op!G422)</f>
        <v/>
      </c>
      <c r="H534" s="390" t="str">
        <f>IF(op!H422="","",op!H422)</f>
        <v/>
      </c>
      <c r="I534" s="897" t="str">
        <f t="shared" si="263"/>
        <v/>
      </c>
      <c r="J534" s="898" t="str">
        <f>IF(op!J422="","",op!J422)</f>
        <v/>
      </c>
      <c r="K534" s="334"/>
      <c r="L534" s="1140" t="str">
        <f>IF(op!L422="","",op!L422)</f>
        <v/>
      </c>
      <c r="M534" s="1140" t="str">
        <f>IF(op!M422="","",op!M422)</f>
        <v/>
      </c>
      <c r="N534" s="899" t="str">
        <f t="shared" si="276"/>
        <v/>
      </c>
      <c r="O534" s="900" t="str">
        <f t="shared" si="277"/>
        <v/>
      </c>
      <c r="P534" s="901" t="str">
        <f t="shared" si="278"/>
        <v/>
      </c>
      <c r="Q534" s="568" t="str">
        <f t="shared" si="264"/>
        <v/>
      </c>
      <c r="R534" s="902" t="str">
        <f t="shared" si="279"/>
        <v/>
      </c>
      <c r="S534" s="903">
        <f t="shared" si="265"/>
        <v>0</v>
      </c>
      <c r="T534" s="334"/>
      <c r="X534" s="887" t="str">
        <f t="shared" si="266"/>
        <v/>
      </c>
      <c r="Y534" s="904">
        <f t="shared" si="267"/>
        <v>0.6</v>
      </c>
      <c r="Z534" s="905" t="e">
        <f t="shared" si="280"/>
        <v>#VALUE!</v>
      </c>
      <c r="AA534" s="905" t="e">
        <f t="shared" si="281"/>
        <v>#VALUE!</v>
      </c>
      <c r="AB534" s="905" t="e">
        <f t="shared" si="282"/>
        <v>#VALUE!</v>
      </c>
      <c r="AC534" s="906" t="e">
        <f t="shared" si="268"/>
        <v>#VALUE!</v>
      </c>
      <c r="AD534" s="907">
        <f t="shared" si="269"/>
        <v>0</v>
      </c>
      <c r="AE534" s="904">
        <f>IF(H534&gt;8,tab!C$194,tab!C$197)</f>
        <v>0.5</v>
      </c>
      <c r="AF534" s="907">
        <f t="shared" si="270"/>
        <v>0</v>
      </c>
      <c r="AG534" s="887">
        <f t="shared" si="271"/>
        <v>0</v>
      </c>
      <c r="AH534" s="908" t="e">
        <f t="shared" si="272"/>
        <v>#VALUE!</v>
      </c>
      <c r="AI534" s="815" t="e">
        <f t="shared" si="273"/>
        <v>#VALUE!</v>
      </c>
      <c r="AJ534" s="540">
        <f t="shared" si="274"/>
        <v>30</v>
      </c>
      <c r="AK534" s="540">
        <f t="shared" si="240"/>
        <v>30</v>
      </c>
      <c r="AL534" s="909">
        <f t="shared" si="275"/>
        <v>0</v>
      </c>
      <c r="AN534" s="539">
        <f t="shared" si="249"/>
        <v>0</v>
      </c>
      <c r="AT534" s="317"/>
      <c r="AU534" s="317"/>
    </row>
    <row r="535" spans="3:47" ht="13.15" customHeight="1" x14ac:dyDescent="0.2">
      <c r="C535" s="381"/>
      <c r="D535" s="895" t="str">
        <f>IF(op!D423=0,"",op!D423)</f>
        <v/>
      </c>
      <c r="E535" s="895" t="str">
        <f>IF(op!E423=0,"",op!E423)</f>
        <v/>
      </c>
      <c r="F535" s="390" t="str">
        <f>IF(op!F423="","",op!F423+1)</f>
        <v/>
      </c>
      <c r="G535" s="896" t="str">
        <f>IF(op!G423=0,"",op!G423)</f>
        <v/>
      </c>
      <c r="H535" s="390" t="str">
        <f>IF(op!H423="","",op!H423)</f>
        <v/>
      </c>
      <c r="I535" s="897" t="str">
        <f t="shared" si="263"/>
        <v/>
      </c>
      <c r="J535" s="898" t="str">
        <f>IF(op!J423="","",op!J423)</f>
        <v/>
      </c>
      <c r="K535" s="334"/>
      <c r="L535" s="1140" t="str">
        <f>IF(op!L423="","",op!L423)</f>
        <v/>
      </c>
      <c r="M535" s="1140" t="str">
        <f>IF(op!M423="","",op!M423)</f>
        <v/>
      </c>
      <c r="N535" s="899" t="str">
        <f t="shared" si="276"/>
        <v/>
      </c>
      <c r="O535" s="900" t="str">
        <f t="shared" si="277"/>
        <v/>
      </c>
      <c r="P535" s="901" t="str">
        <f t="shared" si="278"/>
        <v/>
      </c>
      <c r="Q535" s="568" t="str">
        <f t="shared" si="264"/>
        <v/>
      </c>
      <c r="R535" s="902" t="str">
        <f t="shared" si="279"/>
        <v/>
      </c>
      <c r="S535" s="903">
        <f t="shared" si="265"/>
        <v>0</v>
      </c>
      <c r="T535" s="334"/>
      <c r="X535" s="887" t="str">
        <f t="shared" si="266"/>
        <v/>
      </c>
      <c r="Y535" s="904">
        <f t="shared" si="267"/>
        <v>0.6</v>
      </c>
      <c r="Z535" s="905" t="e">
        <f t="shared" si="280"/>
        <v>#VALUE!</v>
      </c>
      <c r="AA535" s="905" t="e">
        <f t="shared" si="281"/>
        <v>#VALUE!</v>
      </c>
      <c r="AB535" s="905" t="e">
        <f t="shared" si="282"/>
        <v>#VALUE!</v>
      </c>
      <c r="AC535" s="906" t="e">
        <f t="shared" si="268"/>
        <v>#VALUE!</v>
      </c>
      <c r="AD535" s="907">
        <f t="shared" si="269"/>
        <v>0</v>
      </c>
      <c r="AE535" s="904">
        <f>IF(H535&gt;8,tab!C$194,tab!C$197)</f>
        <v>0.5</v>
      </c>
      <c r="AF535" s="907">
        <f t="shared" si="270"/>
        <v>0</v>
      </c>
      <c r="AG535" s="887">
        <f t="shared" si="271"/>
        <v>0</v>
      </c>
      <c r="AH535" s="908" t="e">
        <f t="shared" si="272"/>
        <v>#VALUE!</v>
      </c>
      <c r="AI535" s="815" t="e">
        <f t="shared" si="273"/>
        <v>#VALUE!</v>
      </c>
      <c r="AJ535" s="540">
        <f t="shared" si="274"/>
        <v>30</v>
      </c>
      <c r="AK535" s="540">
        <f t="shared" si="240"/>
        <v>30</v>
      </c>
      <c r="AL535" s="909">
        <f t="shared" si="275"/>
        <v>0</v>
      </c>
      <c r="AN535" s="539">
        <f t="shared" si="249"/>
        <v>0</v>
      </c>
      <c r="AT535" s="317"/>
      <c r="AU535" s="317"/>
    </row>
    <row r="536" spans="3:47" ht="13.15" customHeight="1" x14ac:dyDescent="0.2">
      <c r="C536" s="381"/>
      <c r="D536" s="895" t="str">
        <f>IF(op!D424=0,"",op!D424)</f>
        <v/>
      </c>
      <c r="E536" s="895" t="str">
        <f>IF(op!E424=0,"",op!E424)</f>
        <v/>
      </c>
      <c r="F536" s="390" t="str">
        <f>IF(op!F424="","",op!F424+1)</f>
        <v/>
      </c>
      <c r="G536" s="896" t="str">
        <f>IF(op!G424=0,"",op!G424)</f>
        <v/>
      </c>
      <c r="H536" s="390" t="str">
        <f>IF(op!H424="","",op!H424)</f>
        <v/>
      </c>
      <c r="I536" s="897" t="str">
        <f t="shared" si="263"/>
        <v/>
      </c>
      <c r="J536" s="898" t="str">
        <f>IF(op!J424="","",op!J424)</f>
        <v/>
      </c>
      <c r="K536" s="334"/>
      <c r="L536" s="1140" t="str">
        <f>IF(op!L424="","",op!L424)</f>
        <v/>
      </c>
      <c r="M536" s="1140" t="str">
        <f>IF(op!M424="","",op!M424)</f>
        <v/>
      </c>
      <c r="N536" s="899" t="str">
        <f t="shared" si="276"/>
        <v/>
      </c>
      <c r="O536" s="900" t="str">
        <f t="shared" si="277"/>
        <v/>
      </c>
      <c r="P536" s="901" t="str">
        <f t="shared" si="278"/>
        <v/>
      </c>
      <c r="Q536" s="568" t="str">
        <f t="shared" si="264"/>
        <v/>
      </c>
      <c r="R536" s="902" t="str">
        <f t="shared" si="279"/>
        <v/>
      </c>
      <c r="S536" s="903">
        <f t="shared" si="265"/>
        <v>0</v>
      </c>
      <c r="T536" s="334"/>
      <c r="X536" s="887" t="str">
        <f t="shared" si="266"/>
        <v/>
      </c>
      <c r="Y536" s="904">
        <f t="shared" si="267"/>
        <v>0.6</v>
      </c>
      <c r="Z536" s="905" t="e">
        <f t="shared" si="280"/>
        <v>#VALUE!</v>
      </c>
      <c r="AA536" s="905" t="e">
        <f t="shared" si="281"/>
        <v>#VALUE!</v>
      </c>
      <c r="AB536" s="905" t="e">
        <f t="shared" si="282"/>
        <v>#VALUE!</v>
      </c>
      <c r="AC536" s="906" t="e">
        <f t="shared" si="268"/>
        <v>#VALUE!</v>
      </c>
      <c r="AD536" s="907">
        <f t="shared" si="269"/>
        <v>0</v>
      </c>
      <c r="AE536" s="904">
        <f>IF(H536&gt;8,tab!C$194,tab!C$197)</f>
        <v>0.5</v>
      </c>
      <c r="AF536" s="907">
        <f t="shared" si="270"/>
        <v>0</v>
      </c>
      <c r="AG536" s="887">
        <f t="shared" si="271"/>
        <v>0</v>
      </c>
      <c r="AH536" s="908" t="e">
        <f t="shared" si="272"/>
        <v>#VALUE!</v>
      </c>
      <c r="AI536" s="815" t="e">
        <f t="shared" si="273"/>
        <v>#VALUE!</v>
      </c>
      <c r="AJ536" s="540">
        <f t="shared" si="274"/>
        <v>30</v>
      </c>
      <c r="AK536" s="540">
        <f t="shared" si="240"/>
        <v>30</v>
      </c>
      <c r="AL536" s="909">
        <f t="shared" si="275"/>
        <v>0</v>
      </c>
      <c r="AN536" s="539">
        <f t="shared" si="249"/>
        <v>0</v>
      </c>
      <c r="AT536" s="317"/>
      <c r="AU536" s="317"/>
    </row>
    <row r="537" spans="3:47" ht="13.15" customHeight="1" x14ac:dyDescent="0.2">
      <c r="C537" s="381"/>
      <c r="D537" s="895" t="str">
        <f>IF(op!D425=0,"",op!D425)</f>
        <v/>
      </c>
      <c r="E537" s="895" t="str">
        <f>IF(op!E425=0,"",op!E425)</f>
        <v/>
      </c>
      <c r="F537" s="390" t="str">
        <f>IF(op!F425="","",op!F425+1)</f>
        <v/>
      </c>
      <c r="G537" s="896" t="str">
        <f>IF(op!G425=0,"",op!G425)</f>
        <v/>
      </c>
      <c r="H537" s="390" t="str">
        <f>IF(op!H425="","",op!H425)</f>
        <v/>
      </c>
      <c r="I537" s="897" t="str">
        <f t="shared" si="263"/>
        <v/>
      </c>
      <c r="J537" s="898" t="str">
        <f>IF(op!J425="","",op!J425)</f>
        <v/>
      </c>
      <c r="K537" s="334"/>
      <c r="L537" s="1140" t="str">
        <f>IF(op!L425="","",op!L425)</f>
        <v/>
      </c>
      <c r="M537" s="1140" t="str">
        <f>IF(op!M425="","",op!M425)</f>
        <v/>
      </c>
      <c r="N537" s="899" t="str">
        <f t="shared" si="276"/>
        <v/>
      </c>
      <c r="O537" s="900" t="str">
        <f t="shared" si="277"/>
        <v/>
      </c>
      <c r="P537" s="901" t="str">
        <f t="shared" si="278"/>
        <v/>
      </c>
      <c r="Q537" s="568" t="str">
        <f t="shared" si="264"/>
        <v/>
      </c>
      <c r="R537" s="902" t="str">
        <f t="shared" si="279"/>
        <v/>
      </c>
      <c r="S537" s="903">
        <f t="shared" si="265"/>
        <v>0</v>
      </c>
      <c r="T537" s="334"/>
      <c r="X537" s="887" t="str">
        <f t="shared" si="266"/>
        <v/>
      </c>
      <c r="Y537" s="904">
        <f t="shared" si="267"/>
        <v>0.6</v>
      </c>
      <c r="Z537" s="905" t="e">
        <f t="shared" si="280"/>
        <v>#VALUE!</v>
      </c>
      <c r="AA537" s="905" t="e">
        <f t="shared" si="281"/>
        <v>#VALUE!</v>
      </c>
      <c r="AB537" s="905" t="e">
        <f t="shared" si="282"/>
        <v>#VALUE!</v>
      </c>
      <c r="AC537" s="906" t="e">
        <f t="shared" si="268"/>
        <v>#VALUE!</v>
      </c>
      <c r="AD537" s="907">
        <f t="shared" si="269"/>
        <v>0</v>
      </c>
      <c r="AE537" s="904">
        <f>IF(H537&gt;8,tab!C$194,tab!C$197)</f>
        <v>0.5</v>
      </c>
      <c r="AF537" s="907">
        <f t="shared" si="270"/>
        <v>0</v>
      </c>
      <c r="AG537" s="887">
        <f t="shared" si="271"/>
        <v>0</v>
      </c>
      <c r="AH537" s="908" t="e">
        <f t="shared" si="272"/>
        <v>#VALUE!</v>
      </c>
      <c r="AI537" s="815" t="e">
        <f t="shared" si="273"/>
        <v>#VALUE!</v>
      </c>
      <c r="AJ537" s="540">
        <f t="shared" si="274"/>
        <v>30</v>
      </c>
      <c r="AK537" s="540">
        <f t="shared" si="240"/>
        <v>30</v>
      </c>
      <c r="AL537" s="909">
        <f t="shared" si="275"/>
        <v>0</v>
      </c>
      <c r="AN537" s="539">
        <f t="shared" si="249"/>
        <v>0</v>
      </c>
      <c r="AT537" s="317"/>
      <c r="AU537" s="317"/>
    </row>
    <row r="538" spans="3:47" ht="13.15" customHeight="1" x14ac:dyDescent="0.2">
      <c r="C538" s="381"/>
      <c r="D538" s="895" t="str">
        <f>IF(op!D426=0,"",op!D426)</f>
        <v/>
      </c>
      <c r="E538" s="895" t="str">
        <f>IF(op!E426=0,"",op!E426)</f>
        <v/>
      </c>
      <c r="F538" s="390" t="str">
        <f>IF(op!F426="","",op!F426+1)</f>
        <v/>
      </c>
      <c r="G538" s="896" t="str">
        <f>IF(op!G426=0,"",op!G426)</f>
        <v/>
      </c>
      <c r="H538" s="390" t="str">
        <f>IF(op!H426="","",op!H426)</f>
        <v/>
      </c>
      <c r="I538" s="897" t="str">
        <f t="shared" si="263"/>
        <v/>
      </c>
      <c r="J538" s="898" t="str">
        <f>IF(op!J426="","",op!J426)</f>
        <v/>
      </c>
      <c r="K538" s="334"/>
      <c r="L538" s="1140" t="str">
        <f>IF(op!L426="","",op!L426)</f>
        <v/>
      </c>
      <c r="M538" s="1140" t="str">
        <f>IF(op!M426="","",op!M426)</f>
        <v/>
      </c>
      <c r="N538" s="899" t="str">
        <f t="shared" si="276"/>
        <v/>
      </c>
      <c r="O538" s="900" t="str">
        <f t="shared" si="277"/>
        <v/>
      </c>
      <c r="P538" s="901" t="str">
        <f t="shared" si="278"/>
        <v/>
      </c>
      <c r="Q538" s="568" t="str">
        <f t="shared" si="264"/>
        <v/>
      </c>
      <c r="R538" s="902" t="str">
        <f t="shared" si="279"/>
        <v/>
      </c>
      <c r="S538" s="903">
        <f t="shared" si="265"/>
        <v>0</v>
      </c>
      <c r="T538" s="334"/>
      <c r="X538" s="887" t="str">
        <f t="shared" si="266"/>
        <v/>
      </c>
      <c r="Y538" s="904">
        <f t="shared" si="267"/>
        <v>0.6</v>
      </c>
      <c r="Z538" s="905" t="e">
        <f t="shared" si="280"/>
        <v>#VALUE!</v>
      </c>
      <c r="AA538" s="905" t="e">
        <f t="shared" si="281"/>
        <v>#VALUE!</v>
      </c>
      <c r="AB538" s="905" t="e">
        <f t="shared" si="282"/>
        <v>#VALUE!</v>
      </c>
      <c r="AC538" s="906" t="e">
        <f t="shared" si="268"/>
        <v>#VALUE!</v>
      </c>
      <c r="AD538" s="907">
        <f t="shared" si="269"/>
        <v>0</v>
      </c>
      <c r="AE538" s="904">
        <f>IF(H538&gt;8,tab!C$194,tab!C$197)</f>
        <v>0.5</v>
      </c>
      <c r="AF538" s="907">
        <f t="shared" si="270"/>
        <v>0</v>
      </c>
      <c r="AG538" s="887">
        <f t="shared" si="271"/>
        <v>0</v>
      </c>
      <c r="AH538" s="908" t="e">
        <f t="shared" si="272"/>
        <v>#VALUE!</v>
      </c>
      <c r="AI538" s="815" t="e">
        <f t="shared" si="273"/>
        <v>#VALUE!</v>
      </c>
      <c r="AJ538" s="540">
        <f t="shared" si="274"/>
        <v>30</v>
      </c>
      <c r="AK538" s="540">
        <f t="shared" si="240"/>
        <v>30</v>
      </c>
      <c r="AL538" s="909">
        <f t="shared" si="275"/>
        <v>0</v>
      </c>
      <c r="AN538" s="539">
        <f t="shared" si="249"/>
        <v>0</v>
      </c>
      <c r="AT538" s="317"/>
      <c r="AU538" s="317"/>
    </row>
    <row r="539" spans="3:47" ht="13.15" customHeight="1" x14ac:dyDescent="0.2">
      <c r="C539" s="381"/>
      <c r="D539" s="895" t="str">
        <f>IF(op!D427=0,"",op!D427)</f>
        <v/>
      </c>
      <c r="E539" s="895" t="str">
        <f>IF(op!E427=0,"",op!E427)</f>
        <v/>
      </c>
      <c r="F539" s="390" t="str">
        <f>IF(op!F427="","",op!F427+1)</f>
        <v/>
      </c>
      <c r="G539" s="896" t="str">
        <f>IF(op!G427=0,"",op!G427)</f>
        <v/>
      </c>
      <c r="H539" s="390" t="str">
        <f>IF(op!H427="","",op!H427)</f>
        <v/>
      </c>
      <c r="I539" s="897" t="str">
        <f t="shared" si="263"/>
        <v/>
      </c>
      <c r="J539" s="898" t="str">
        <f>IF(op!J427="","",op!J427)</f>
        <v/>
      </c>
      <c r="K539" s="334"/>
      <c r="L539" s="1140" t="str">
        <f>IF(op!L427="","",op!L427)</f>
        <v/>
      </c>
      <c r="M539" s="1140" t="str">
        <f>IF(op!M427="","",op!M427)</f>
        <v/>
      </c>
      <c r="N539" s="899" t="str">
        <f t="shared" si="276"/>
        <v/>
      </c>
      <c r="O539" s="900" t="str">
        <f t="shared" si="277"/>
        <v/>
      </c>
      <c r="P539" s="901" t="str">
        <f t="shared" si="278"/>
        <v/>
      </c>
      <c r="Q539" s="568" t="str">
        <f t="shared" si="264"/>
        <v/>
      </c>
      <c r="R539" s="902" t="str">
        <f t="shared" si="279"/>
        <v/>
      </c>
      <c r="S539" s="903">
        <f t="shared" si="265"/>
        <v>0</v>
      </c>
      <c r="T539" s="334"/>
      <c r="X539" s="887" t="str">
        <f t="shared" si="266"/>
        <v/>
      </c>
      <c r="Y539" s="904">
        <f t="shared" si="267"/>
        <v>0.6</v>
      </c>
      <c r="Z539" s="905" t="e">
        <f t="shared" si="280"/>
        <v>#VALUE!</v>
      </c>
      <c r="AA539" s="905" t="e">
        <f t="shared" si="281"/>
        <v>#VALUE!</v>
      </c>
      <c r="AB539" s="905" t="e">
        <f t="shared" si="282"/>
        <v>#VALUE!</v>
      </c>
      <c r="AC539" s="906" t="e">
        <f t="shared" si="268"/>
        <v>#VALUE!</v>
      </c>
      <c r="AD539" s="907">
        <f t="shared" si="269"/>
        <v>0</v>
      </c>
      <c r="AE539" s="904">
        <f>IF(H539&gt;8,tab!C$194,tab!C$197)</f>
        <v>0.5</v>
      </c>
      <c r="AF539" s="907">
        <f t="shared" si="270"/>
        <v>0</v>
      </c>
      <c r="AG539" s="887">
        <f t="shared" si="271"/>
        <v>0</v>
      </c>
      <c r="AH539" s="908" t="e">
        <f t="shared" si="272"/>
        <v>#VALUE!</v>
      </c>
      <c r="AI539" s="815" t="e">
        <f t="shared" si="273"/>
        <v>#VALUE!</v>
      </c>
      <c r="AJ539" s="540">
        <f t="shared" si="274"/>
        <v>30</v>
      </c>
      <c r="AK539" s="540">
        <f t="shared" si="240"/>
        <v>30</v>
      </c>
      <c r="AL539" s="909">
        <f t="shared" si="275"/>
        <v>0</v>
      </c>
      <c r="AN539" s="539">
        <f t="shared" si="249"/>
        <v>0</v>
      </c>
      <c r="AT539" s="317"/>
      <c r="AU539" s="317"/>
    </row>
    <row r="540" spans="3:47" ht="13.15" customHeight="1" x14ac:dyDescent="0.2">
      <c r="C540" s="381"/>
      <c r="D540" s="895" t="str">
        <f>IF(op!D428=0,"",op!D428)</f>
        <v/>
      </c>
      <c r="E540" s="895" t="str">
        <f>IF(op!E428=0,"",op!E428)</f>
        <v/>
      </c>
      <c r="F540" s="390" t="str">
        <f>IF(op!F428="","",op!F428+1)</f>
        <v/>
      </c>
      <c r="G540" s="896" t="str">
        <f>IF(op!G428=0,"",op!G428)</f>
        <v/>
      </c>
      <c r="H540" s="390" t="str">
        <f>IF(op!H428="","",op!H428)</f>
        <v/>
      </c>
      <c r="I540" s="897" t="str">
        <f t="shared" si="263"/>
        <v/>
      </c>
      <c r="J540" s="898" t="str">
        <f>IF(op!J428="","",op!J428)</f>
        <v/>
      </c>
      <c r="K540" s="334"/>
      <c r="L540" s="1140" t="str">
        <f>IF(op!L428="","",op!L428)</f>
        <v/>
      </c>
      <c r="M540" s="1140" t="str">
        <f>IF(op!M428="","",op!M428)</f>
        <v/>
      </c>
      <c r="N540" s="899" t="str">
        <f t="shared" si="276"/>
        <v/>
      </c>
      <c r="O540" s="900" t="str">
        <f t="shared" si="277"/>
        <v/>
      </c>
      <c r="P540" s="901" t="str">
        <f t="shared" si="278"/>
        <v/>
      </c>
      <c r="Q540" s="568" t="str">
        <f t="shared" si="264"/>
        <v/>
      </c>
      <c r="R540" s="902" t="str">
        <f t="shared" si="279"/>
        <v/>
      </c>
      <c r="S540" s="903">
        <f t="shared" si="265"/>
        <v>0</v>
      </c>
      <c r="T540" s="334"/>
      <c r="X540" s="887" t="str">
        <f t="shared" si="266"/>
        <v/>
      </c>
      <c r="Y540" s="904">
        <f t="shared" si="267"/>
        <v>0.6</v>
      </c>
      <c r="Z540" s="905" t="e">
        <f t="shared" si="280"/>
        <v>#VALUE!</v>
      </c>
      <c r="AA540" s="905" t="e">
        <f t="shared" si="281"/>
        <v>#VALUE!</v>
      </c>
      <c r="AB540" s="905" t="e">
        <f t="shared" si="282"/>
        <v>#VALUE!</v>
      </c>
      <c r="AC540" s="906" t="e">
        <f t="shared" si="268"/>
        <v>#VALUE!</v>
      </c>
      <c r="AD540" s="907">
        <f t="shared" si="269"/>
        <v>0</v>
      </c>
      <c r="AE540" s="904">
        <f>IF(H540&gt;8,tab!C$194,tab!C$197)</f>
        <v>0.5</v>
      </c>
      <c r="AF540" s="907">
        <f t="shared" si="270"/>
        <v>0</v>
      </c>
      <c r="AG540" s="887">
        <f t="shared" si="271"/>
        <v>0</v>
      </c>
      <c r="AH540" s="908" t="e">
        <f t="shared" si="272"/>
        <v>#VALUE!</v>
      </c>
      <c r="AI540" s="815" t="e">
        <f t="shared" si="273"/>
        <v>#VALUE!</v>
      </c>
      <c r="AJ540" s="540">
        <f t="shared" si="274"/>
        <v>30</v>
      </c>
      <c r="AK540" s="540">
        <f t="shared" si="240"/>
        <v>30</v>
      </c>
      <c r="AL540" s="909">
        <f t="shared" si="275"/>
        <v>0</v>
      </c>
      <c r="AN540" s="539">
        <f t="shared" si="249"/>
        <v>0</v>
      </c>
      <c r="AT540" s="317"/>
      <c r="AU540" s="317"/>
    </row>
    <row r="541" spans="3:47" ht="13.15" customHeight="1" x14ac:dyDescent="0.2">
      <c r="C541" s="381"/>
      <c r="D541" s="895" t="str">
        <f>IF(op!D429=0,"",op!D429)</f>
        <v/>
      </c>
      <c r="E541" s="895" t="str">
        <f>IF(op!E429=0,"",op!E429)</f>
        <v/>
      </c>
      <c r="F541" s="390" t="str">
        <f>IF(op!F429="","",op!F429+1)</f>
        <v/>
      </c>
      <c r="G541" s="896" t="str">
        <f>IF(op!G429=0,"",op!G429)</f>
        <v/>
      </c>
      <c r="H541" s="390" t="str">
        <f>IF(op!H429="","",op!H429)</f>
        <v/>
      </c>
      <c r="I541" s="897" t="str">
        <f t="shared" si="263"/>
        <v/>
      </c>
      <c r="J541" s="898" t="str">
        <f>IF(op!J429="","",op!J429)</f>
        <v/>
      </c>
      <c r="K541" s="334"/>
      <c r="L541" s="1140" t="str">
        <f>IF(op!L429="","",op!L429)</f>
        <v/>
      </c>
      <c r="M541" s="1140" t="str">
        <f>IF(op!M429="","",op!M429)</f>
        <v/>
      </c>
      <c r="N541" s="899" t="str">
        <f t="shared" si="276"/>
        <v/>
      </c>
      <c r="O541" s="900" t="str">
        <f t="shared" si="277"/>
        <v/>
      </c>
      <c r="P541" s="901" t="str">
        <f t="shared" si="278"/>
        <v/>
      </c>
      <c r="Q541" s="568" t="str">
        <f t="shared" si="264"/>
        <v/>
      </c>
      <c r="R541" s="902" t="str">
        <f t="shared" si="279"/>
        <v/>
      </c>
      <c r="S541" s="903">
        <f t="shared" si="265"/>
        <v>0</v>
      </c>
      <c r="T541" s="334"/>
      <c r="X541" s="887" t="str">
        <f t="shared" si="266"/>
        <v/>
      </c>
      <c r="Y541" s="904">
        <f t="shared" si="267"/>
        <v>0.6</v>
      </c>
      <c r="Z541" s="905" t="e">
        <f t="shared" si="280"/>
        <v>#VALUE!</v>
      </c>
      <c r="AA541" s="905" t="e">
        <f t="shared" si="281"/>
        <v>#VALUE!</v>
      </c>
      <c r="AB541" s="905" t="e">
        <f t="shared" si="282"/>
        <v>#VALUE!</v>
      </c>
      <c r="AC541" s="906" t="e">
        <f t="shared" si="268"/>
        <v>#VALUE!</v>
      </c>
      <c r="AD541" s="907">
        <f t="shared" si="269"/>
        <v>0</v>
      </c>
      <c r="AE541" s="904">
        <f>IF(H541&gt;8,tab!C$194,tab!C$197)</f>
        <v>0.5</v>
      </c>
      <c r="AF541" s="907">
        <f t="shared" si="270"/>
        <v>0</v>
      </c>
      <c r="AG541" s="887">
        <f t="shared" si="271"/>
        <v>0</v>
      </c>
      <c r="AH541" s="908" t="e">
        <f t="shared" si="272"/>
        <v>#VALUE!</v>
      </c>
      <c r="AI541" s="815" t="e">
        <f t="shared" si="273"/>
        <v>#VALUE!</v>
      </c>
      <c r="AJ541" s="540">
        <f t="shared" si="274"/>
        <v>30</v>
      </c>
      <c r="AK541" s="540">
        <f t="shared" si="240"/>
        <v>30</v>
      </c>
      <c r="AL541" s="909">
        <f t="shared" si="275"/>
        <v>0</v>
      </c>
      <c r="AN541" s="539">
        <f t="shared" si="249"/>
        <v>0</v>
      </c>
      <c r="AT541" s="317"/>
      <c r="AU541" s="317"/>
    </row>
    <row r="542" spans="3:47" ht="13.15" customHeight="1" x14ac:dyDescent="0.2">
      <c r="C542" s="381"/>
      <c r="D542" s="895" t="str">
        <f>IF(op!D430=0,"",op!D430)</f>
        <v/>
      </c>
      <c r="E542" s="895" t="str">
        <f>IF(op!E430=0,"",op!E430)</f>
        <v/>
      </c>
      <c r="F542" s="390" t="str">
        <f>IF(op!F430="","",op!F430+1)</f>
        <v/>
      </c>
      <c r="G542" s="896" t="str">
        <f>IF(op!G430=0,"",op!G430)</f>
        <v/>
      </c>
      <c r="H542" s="390" t="str">
        <f>IF(op!H430="","",op!H430)</f>
        <v/>
      </c>
      <c r="I542" s="897" t="str">
        <f t="shared" si="263"/>
        <v/>
      </c>
      <c r="J542" s="898" t="str">
        <f>IF(op!J430="","",op!J430)</f>
        <v/>
      </c>
      <c r="K542" s="334"/>
      <c r="L542" s="1140" t="str">
        <f>IF(op!L430="","",op!L430)</f>
        <v/>
      </c>
      <c r="M542" s="1140" t="str">
        <f>IF(op!M430="","",op!M430)</f>
        <v/>
      </c>
      <c r="N542" s="899" t="str">
        <f t="shared" si="276"/>
        <v/>
      </c>
      <c r="O542" s="900" t="str">
        <f t="shared" si="277"/>
        <v/>
      </c>
      <c r="P542" s="901" t="str">
        <f t="shared" si="278"/>
        <v/>
      </c>
      <c r="Q542" s="568" t="str">
        <f t="shared" si="264"/>
        <v/>
      </c>
      <c r="R542" s="902" t="str">
        <f t="shared" si="279"/>
        <v/>
      </c>
      <c r="S542" s="903">
        <f t="shared" si="265"/>
        <v>0</v>
      </c>
      <c r="T542" s="334"/>
      <c r="X542" s="887" t="str">
        <f t="shared" si="266"/>
        <v/>
      </c>
      <c r="Y542" s="904">
        <f t="shared" si="267"/>
        <v>0.6</v>
      </c>
      <c r="Z542" s="905" t="e">
        <f t="shared" si="280"/>
        <v>#VALUE!</v>
      </c>
      <c r="AA542" s="905" t="e">
        <f t="shared" si="281"/>
        <v>#VALUE!</v>
      </c>
      <c r="AB542" s="905" t="e">
        <f t="shared" si="282"/>
        <v>#VALUE!</v>
      </c>
      <c r="AC542" s="906" t="e">
        <f t="shared" si="268"/>
        <v>#VALUE!</v>
      </c>
      <c r="AD542" s="907">
        <f t="shared" si="269"/>
        <v>0</v>
      </c>
      <c r="AE542" s="904">
        <f>IF(H542&gt;8,tab!C$194,tab!C$197)</f>
        <v>0.5</v>
      </c>
      <c r="AF542" s="907">
        <f t="shared" si="270"/>
        <v>0</v>
      </c>
      <c r="AG542" s="887">
        <f t="shared" si="271"/>
        <v>0</v>
      </c>
      <c r="AH542" s="908" t="e">
        <f t="shared" si="272"/>
        <v>#VALUE!</v>
      </c>
      <c r="AI542" s="815" t="e">
        <f t="shared" si="273"/>
        <v>#VALUE!</v>
      </c>
      <c r="AJ542" s="540">
        <f t="shared" si="274"/>
        <v>30</v>
      </c>
      <c r="AK542" s="540">
        <f t="shared" si="240"/>
        <v>30</v>
      </c>
      <c r="AL542" s="909">
        <f t="shared" si="275"/>
        <v>0</v>
      </c>
      <c r="AN542" s="539">
        <f t="shared" si="249"/>
        <v>0</v>
      </c>
      <c r="AT542" s="317"/>
      <c r="AU542" s="317"/>
    </row>
    <row r="543" spans="3:47" ht="13.15" customHeight="1" x14ac:dyDescent="0.2">
      <c r="C543" s="381"/>
      <c r="D543" s="895" t="str">
        <f>IF(op!D431=0,"",op!D431)</f>
        <v/>
      </c>
      <c r="E543" s="895" t="str">
        <f>IF(op!E431=0,"",op!E431)</f>
        <v/>
      </c>
      <c r="F543" s="390" t="str">
        <f>IF(op!F431="","",op!F431+1)</f>
        <v/>
      </c>
      <c r="G543" s="896" t="str">
        <f>IF(op!G431=0,"",op!G431)</f>
        <v/>
      </c>
      <c r="H543" s="390" t="str">
        <f>IF(op!H431="","",op!H431)</f>
        <v/>
      </c>
      <c r="I543" s="897" t="str">
        <f t="shared" si="263"/>
        <v/>
      </c>
      <c r="J543" s="898" t="str">
        <f>IF(op!J431="","",op!J431)</f>
        <v/>
      </c>
      <c r="K543" s="334"/>
      <c r="L543" s="1140" t="str">
        <f>IF(op!L431="","",op!L431)</f>
        <v/>
      </c>
      <c r="M543" s="1140" t="str">
        <f>IF(op!M431="","",op!M431)</f>
        <v/>
      </c>
      <c r="N543" s="899" t="str">
        <f t="shared" si="276"/>
        <v/>
      </c>
      <c r="O543" s="900" t="str">
        <f t="shared" si="277"/>
        <v/>
      </c>
      <c r="P543" s="901" t="str">
        <f t="shared" si="278"/>
        <v/>
      </c>
      <c r="Q543" s="568" t="str">
        <f t="shared" si="264"/>
        <v/>
      </c>
      <c r="R543" s="902" t="str">
        <f t="shared" si="279"/>
        <v/>
      </c>
      <c r="S543" s="903">
        <f t="shared" si="265"/>
        <v>0</v>
      </c>
      <c r="T543" s="334"/>
      <c r="X543" s="887" t="str">
        <f t="shared" si="266"/>
        <v/>
      </c>
      <c r="Y543" s="904">
        <f t="shared" si="267"/>
        <v>0.6</v>
      </c>
      <c r="Z543" s="905" t="e">
        <f t="shared" si="280"/>
        <v>#VALUE!</v>
      </c>
      <c r="AA543" s="905" t="e">
        <f t="shared" si="281"/>
        <v>#VALUE!</v>
      </c>
      <c r="AB543" s="905" t="e">
        <f t="shared" si="282"/>
        <v>#VALUE!</v>
      </c>
      <c r="AC543" s="906" t="e">
        <f t="shared" si="268"/>
        <v>#VALUE!</v>
      </c>
      <c r="AD543" s="907">
        <f t="shared" si="269"/>
        <v>0</v>
      </c>
      <c r="AE543" s="904">
        <f>IF(H543&gt;8,tab!C$194,tab!C$197)</f>
        <v>0.5</v>
      </c>
      <c r="AF543" s="907">
        <f t="shared" si="270"/>
        <v>0</v>
      </c>
      <c r="AG543" s="887">
        <f t="shared" si="271"/>
        <v>0</v>
      </c>
      <c r="AH543" s="908" t="e">
        <f t="shared" si="272"/>
        <v>#VALUE!</v>
      </c>
      <c r="AI543" s="815" t="e">
        <f t="shared" si="273"/>
        <v>#VALUE!</v>
      </c>
      <c r="AJ543" s="540">
        <f t="shared" si="274"/>
        <v>30</v>
      </c>
      <c r="AK543" s="540">
        <f t="shared" si="240"/>
        <v>30</v>
      </c>
      <c r="AL543" s="909">
        <f t="shared" si="275"/>
        <v>0</v>
      </c>
      <c r="AN543" s="539">
        <f t="shared" si="249"/>
        <v>0</v>
      </c>
      <c r="AT543" s="317"/>
      <c r="AU543" s="317"/>
    </row>
    <row r="544" spans="3:47" ht="13.15" customHeight="1" x14ac:dyDescent="0.2">
      <c r="C544" s="381"/>
      <c r="D544" s="895" t="str">
        <f>IF(op!D432=0,"",op!D432)</f>
        <v/>
      </c>
      <c r="E544" s="895" t="str">
        <f>IF(op!E432=0,"",op!E432)</f>
        <v/>
      </c>
      <c r="F544" s="390" t="str">
        <f>IF(op!F432="","",op!F432+1)</f>
        <v/>
      </c>
      <c r="G544" s="896" t="str">
        <f>IF(op!G432=0,"",op!G432)</f>
        <v/>
      </c>
      <c r="H544" s="390" t="str">
        <f>IF(op!H432="","",op!H432)</f>
        <v/>
      </c>
      <c r="I544" s="897" t="str">
        <f t="shared" si="263"/>
        <v/>
      </c>
      <c r="J544" s="898" t="str">
        <f>IF(op!J432="","",op!J432)</f>
        <v/>
      </c>
      <c r="K544" s="334"/>
      <c r="L544" s="1140" t="str">
        <f>IF(op!L432="","",op!L432)</f>
        <v/>
      </c>
      <c r="M544" s="1140" t="str">
        <f>IF(op!M432="","",op!M432)</f>
        <v/>
      </c>
      <c r="N544" s="899" t="str">
        <f t="shared" si="276"/>
        <v/>
      </c>
      <c r="O544" s="900" t="str">
        <f t="shared" si="277"/>
        <v/>
      </c>
      <c r="P544" s="901" t="str">
        <f t="shared" si="278"/>
        <v/>
      </c>
      <c r="Q544" s="568" t="str">
        <f t="shared" si="264"/>
        <v/>
      </c>
      <c r="R544" s="902" t="str">
        <f t="shared" si="279"/>
        <v/>
      </c>
      <c r="S544" s="903">
        <f t="shared" si="265"/>
        <v>0</v>
      </c>
      <c r="T544" s="334"/>
      <c r="X544" s="887" t="str">
        <f t="shared" si="266"/>
        <v/>
      </c>
      <c r="Y544" s="904">
        <f t="shared" si="267"/>
        <v>0.6</v>
      </c>
      <c r="Z544" s="905" t="e">
        <f t="shared" si="280"/>
        <v>#VALUE!</v>
      </c>
      <c r="AA544" s="905" t="e">
        <f t="shared" si="281"/>
        <v>#VALUE!</v>
      </c>
      <c r="AB544" s="905" t="e">
        <f t="shared" si="282"/>
        <v>#VALUE!</v>
      </c>
      <c r="AC544" s="906" t="e">
        <f t="shared" si="268"/>
        <v>#VALUE!</v>
      </c>
      <c r="AD544" s="907">
        <f t="shared" si="269"/>
        <v>0</v>
      </c>
      <c r="AE544" s="904">
        <f>IF(H544&gt;8,tab!C$194,tab!C$197)</f>
        <v>0.5</v>
      </c>
      <c r="AF544" s="907">
        <f t="shared" si="270"/>
        <v>0</v>
      </c>
      <c r="AG544" s="887">
        <f t="shared" si="271"/>
        <v>0</v>
      </c>
      <c r="AH544" s="908" t="e">
        <f t="shared" si="272"/>
        <v>#VALUE!</v>
      </c>
      <c r="AI544" s="815" t="e">
        <f t="shared" si="273"/>
        <v>#VALUE!</v>
      </c>
      <c r="AJ544" s="540">
        <f t="shared" si="274"/>
        <v>30</v>
      </c>
      <c r="AK544" s="540">
        <f t="shared" si="240"/>
        <v>30</v>
      </c>
      <c r="AL544" s="909">
        <f t="shared" si="275"/>
        <v>0</v>
      </c>
      <c r="AN544" s="539">
        <f t="shared" ref="AN544:AN563" si="283">IF(AND(AL544&gt;0.01,AL544&lt;50.01),1,0)</f>
        <v>0</v>
      </c>
      <c r="AT544" s="317"/>
      <c r="AU544" s="317"/>
    </row>
    <row r="545" spans="3:47" ht="13.15" customHeight="1" x14ac:dyDescent="0.2">
      <c r="C545" s="381"/>
      <c r="D545" s="895" t="str">
        <f>IF(op!D433=0,"",op!D433)</f>
        <v/>
      </c>
      <c r="E545" s="895" t="str">
        <f>IF(op!E433=0,"",op!E433)</f>
        <v/>
      </c>
      <c r="F545" s="390" t="str">
        <f>IF(op!F433="","",op!F433+1)</f>
        <v/>
      </c>
      <c r="G545" s="896" t="str">
        <f>IF(op!G433=0,"",op!G433)</f>
        <v/>
      </c>
      <c r="H545" s="390" t="str">
        <f>IF(op!H433="","",op!H433)</f>
        <v/>
      </c>
      <c r="I545" s="897" t="str">
        <f t="shared" si="263"/>
        <v/>
      </c>
      <c r="J545" s="898" t="str">
        <f>IF(op!J433="","",op!J433)</f>
        <v/>
      </c>
      <c r="K545" s="334"/>
      <c r="L545" s="1140" t="str">
        <f>IF(op!L433="","",op!L433)</f>
        <v/>
      </c>
      <c r="M545" s="1140" t="str">
        <f>IF(op!M433="","",op!M433)</f>
        <v/>
      </c>
      <c r="N545" s="899" t="str">
        <f t="shared" si="276"/>
        <v/>
      </c>
      <c r="O545" s="900" t="str">
        <f t="shared" si="277"/>
        <v/>
      </c>
      <c r="P545" s="901" t="str">
        <f t="shared" si="278"/>
        <v/>
      </c>
      <c r="Q545" s="568" t="str">
        <f t="shared" si="264"/>
        <v/>
      </c>
      <c r="R545" s="902" t="str">
        <f t="shared" si="279"/>
        <v/>
      </c>
      <c r="S545" s="903">
        <f t="shared" si="265"/>
        <v>0</v>
      </c>
      <c r="T545" s="334"/>
      <c r="X545" s="887" t="str">
        <f t="shared" si="266"/>
        <v/>
      </c>
      <c r="Y545" s="904">
        <f t="shared" si="267"/>
        <v>0.6</v>
      </c>
      <c r="Z545" s="905" t="e">
        <f t="shared" si="280"/>
        <v>#VALUE!</v>
      </c>
      <c r="AA545" s="905" t="e">
        <f t="shared" si="281"/>
        <v>#VALUE!</v>
      </c>
      <c r="AB545" s="905" t="e">
        <f t="shared" si="282"/>
        <v>#VALUE!</v>
      </c>
      <c r="AC545" s="906" t="e">
        <f t="shared" si="268"/>
        <v>#VALUE!</v>
      </c>
      <c r="AD545" s="907">
        <f t="shared" si="269"/>
        <v>0</v>
      </c>
      <c r="AE545" s="904">
        <f>IF(H545&gt;8,tab!C$194,tab!C$197)</f>
        <v>0.5</v>
      </c>
      <c r="AF545" s="907">
        <f t="shared" si="270"/>
        <v>0</v>
      </c>
      <c r="AG545" s="887">
        <f t="shared" si="271"/>
        <v>0</v>
      </c>
      <c r="AH545" s="908" t="e">
        <f t="shared" si="272"/>
        <v>#VALUE!</v>
      </c>
      <c r="AI545" s="815" t="e">
        <f t="shared" si="273"/>
        <v>#VALUE!</v>
      </c>
      <c r="AJ545" s="540">
        <f t="shared" si="274"/>
        <v>30</v>
      </c>
      <c r="AK545" s="540">
        <f t="shared" si="240"/>
        <v>30</v>
      </c>
      <c r="AL545" s="909">
        <f t="shared" si="275"/>
        <v>0</v>
      </c>
      <c r="AN545" s="539">
        <f t="shared" si="283"/>
        <v>0</v>
      </c>
      <c r="AT545" s="317"/>
      <c r="AU545" s="317"/>
    </row>
    <row r="546" spans="3:47" ht="13.15" customHeight="1" x14ac:dyDescent="0.2">
      <c r="C546" s="381"/>
      <c r="D546" s="895" t="str">
        <f>IF(op!D434=0,"",op!D434)</f>
        <v/>
      </c>
      <c r="E546" s="895" t="str">
        <f>IF(op!E434=0,"",op!E434)</f>
        <v/>
      </c>
      <c r="F546" s="390" t="str">
        <f>IF(op!F434="","",op!F434+1)</f>
        <v/>
      </c>
      <c r="G546" s="896" t="str">
        <f>IF(op!G434=0,"",op!G434)</f>
        <v/>
      </c>
      <c r="H546" s="390" t="str">
        <f>IF(op!H434="","",op!H434)</f>
        <v/>
      </c>
      <c r="I546" s="897" t="str">
        <f t="shared" si="263"/>
        <v/>
      </c>
      <c r="J546" s="898" t="str">
        <f>IF(op!J434="","",op!J434)</f>
        <v/>
      </c>
      <c r="K546" s="334"/>
      <c r="L546" s="1140" t="str">
        <f>IF(op!L434="","",op!L434)</f>
        <v/>
      </c>
      <c r="M546" s="1140" t="str">
        <f>IF(op!M434="","",op!M434)</f>
        <v/>
      </c>
      <c r="N546" s="899" t="str">
        <f t="shared" si="276"/>
        <v/>
      </c>
      <c r="O546" s="900" t="str">
        <f t="shared" si="277"/>
        <v/>
      </c>
      <c r="P546" s="901" t="str">
        <f t="shared" si="278"/>
        <v/>
      </c>
      <c r="Q546" s="568" t="str">
        <f t="shared" si="264"/>
        <v/>
      </c>
      <c r="R546" s="902" t="str">
        <f t="shared" si="279"/>
        <v/>
      </c>
      <c r="S546" s="903">
        <f t="shared" si="265"/>
        <v>0</v>
      </c>
      <c r="T546" s="334"/>
      <c r="X546" s="887" t="str">
        <f t="shared" si="266"/>
        <v/>
      </c>
      <c r="Y546" s="904">
        <f t="shared" si="267"/>
        <v>0.6</v>
      </c>
      <c r="Z546" s="905" t="e">
        <f t="shared" si="280"/>
        <v>#VALUE!</v>
      </c>
      <c r="AA546" s="905" t="e">
        <f t="shared" si="281"/>
        <v>#VALUE!</v>
      </c>
      <c r="AB546" s="905" t="e">
        <f t="shared" si="282"/>
        <v>#VALUE!</v>
      </c>
      <c r="AC546" s="906" t="e">
        <f t="shared" si="268"/>
        <v>#VALUE!</v>
      </c>
      <c r="AD546" s="907">
        <f t="shared" si="269"/>
        <v>0</v>
      </c>
      <c r="AE546" s="904">
        <f>IF(H546&gt;8,tab!C$194,tab!C$197)</f>
        <v>0.5</v>
      </c>
      <c r="AF546" s="907">
        <f t="shared" si="270"/>
        <v>0</v>
      </c>
      <c r="AG546" s="887">
        <f t="shared" si="271"/>
        <v>0</v>
      </c>
      <c r="AH546" s="908" t="e">
        <f t="shared" si="272"/>
        <v>#VALUE!</v>
      </c>
      <c r="AI546" s="815" t="e">
        <f t="shared" si="273"/>
        <v>#VALUE!</v>
      </c>
      <c r="AJ546" s="540">
        <f t="shared" si="274"/>
        <v>30</v>
      </c>
      <c r="AK546" s="540">
        <f t="shared" si="240"/>
        <v>30</v>
      </c>
      <c r="AL546" s="909">
        <f t="shared" si="275"/>
        <v>0</v>
      </c>
      <c r="AN546" s="539">
        <f t="shared" si="283"/>
        <v>0</v>
      </c>
      <c r="AT546" s="317"/>
      <c r="AU546" s="317"/>
    </row>
    <row r="547" spans="3:47" ht="13.15" customHeight="1" x14ac:dyDescent="0.2">
      <c r="C547" s="381"/>
      <c r="D547" s="895" t="str">
        <f>IF(op!D435=0,"",op!D435)</f>
        <v/>
      </c>
      <c r="E547" s="895" t="str">
        <f>IF(op!E435=0,"",op!E435)</f>
        <v/>
      </c>
      <c r="F547" s="390" t="str">
        <f>IF(op!F435="","",op!F435+1)</f>
        <v/>
      </c>
      <c r="G547" s="896" t="str">
        <f>IF(op!G435=0,"",op!G435)</f>
        <v/>
      </c>
      <c r="H547" s="390" t="str">
        <f>IF(op!H435="","",op!H435)</f>
        <v/>
      </c>
      <c r="I547" s="897" t="str">
        <f t="shared" si="263"/>
        <v/>
      </c>
      <c r="J547" s="898" t="str">
        <f>IF(op!J435="","",op!J435)</f>
        <v/>
      </c>
      <c r="K547" s="334"/>
      <c r="L547" s="1140" t="str">
        <f>IF(op!L435="","",op!L435)</f>
        <v/>
      </c>
      <c r="M547" s="1140" t="str">
        <f>IF(op!M435="","",op!M435)</f>
        <v/>
      </c>
      <c r="N547" s="899" t="str">
        <f t="shared" si="276"/>
        <v/>
      </c>
      <c r="O547" s="900" t="str">
        <f t="shared" si="277"/>
        <v/>
      </c>
      <c r="P547" s="901" t="str">
        <f t="shared" si="278"/>
        <v/>
      </c>
      <c r="Q547" s="568" t="str">
        <f t="shared" si="264"/>
        <v/>
      </c>
      <c r="R547" s="902" t="str">
        <f t="shared" si="279"/>
        <v/>
      </c>
      <c r="S547" s="903">
        <f t="shared" si="265"/>
        <v>0</v>
      </c>
      <c r="T547" s="334"/>
      <c r="X547" s="887" t="str">
        <f t="shared" si="266"/>
        <v/>
      </c>
      <c r="Y547" s="904">
        <f t="shared" si="267"/>
        <v>0.6</v>
      </c>
      <c r="Z547" s="905" t="e">
        <f t="shared" si="280"/>
        <v>#VALUE!</v>
      </c>
      <c r="AA547" s="905" t="e">
        <f t="shared" si="281"/>
        <v>#VALUE!</v>
      </c>
      <c r="AB547" s="905" t="e">
        <f t="shared" si="282"/>
        <v>#VALUE!</v>
      </c>
      <c r="AC547" s="906" t="e">
        <f t="shared" si="268"/>
        <v>#VALUE!</v>
      </c>
      <c r="AD547" s="907">
        <f t="shared" si="269"/>
        <v>0</v>
      </c>
      <c r="AE547" s="904">
        <f>IF(H547&gt;8,tab!C$194,tab!C$197)</f>
        <v>0.5</v>
      </c>
      <c r="AF547" s="907">
        <f t="shared" si="270"/>
        <v>0</v>
      </c>
      <c r="AG547" s="887">
        <f t="shared" si="271"/>
        <v>0</v>
      </c>
      <c r="AH547" s="908" t="e">
        <f t="shared" si="272"/>
        <v>#VALUE!</v>
      </c>
      <c r="AI547" s="815" t="e">
        <f t="shared" si="273"/>
        <v>#VALUE!</v>
      </c>
      <c r="AJ547" s="540">
        <f t="shared" si="274"/>
        <v>30</v>
      </c>
      <c r="AK547" s="540">
        <f t="shared" si="240"/>
        <v>30</v>
      </c>
      <c r="AL547" s="909">
        <f t="shared" si="275"/>
        <v>0</v>
      </c>
      <c r="AN547" s="539">
        <f t="shared" si="283"/>
        <v>0</v>
      </c>
      <c r="AT547" s="317"/>
      <c r="AU547" s="317"/>
    </row>
    <row r="548" spans="3:47" ht="13.15" customHeight="1" x14ac:dyDescent="0.2">
      <c r="C548" s="381"/>
      <c r="D548" s="895" t="str">
        <f>IF(op!D436=0,"",op!D436)</f>
        <v/>
      </c>
      <c r="E548" s="895" t="str">
        <f>IF(op!E436=0,"",op!E436)</f>
        <v/>
      </c>
      <c r="F548" s="390" t="str">
        <f>IF(op!F436="","",op!F436+1)</f>
        <v/>
      </c>
      <c r="G548" s="896" t="str">
        <f>IF(op!G436=0,"",op!G436)</f>
        <v/>
      </c>
      <c r="H548" s="390" t="str">
        <f>IF(op!H436="","",op!H436)</f>
        <v/>
      </c>
      <c r="I548" s="897" t="str">
        <f t="shared" si="263"/>
        <v/>
      </c>
      <c r="J548" s="898" t="str">
        <f>IF(op!J436="","",op!J436)</f>
        <v/>
      </c>
      <c r="K548" s="334"/>
      <c r="L548" s="1140" t="str">
        <f>IF(op!L436="","",op!L436)</f>
        <v/>
      </c>
      <c r="M548" s="1140" t="str">
        <f>IF(op!M436="","",op!M436)</f>
        <v/>
      </c>
      <c r="N548" s="899" t="str">
        <f t="shared" si="276"/>
        <v/>
      </c>
      <c r="O548" s="900" t="str">
        <f t="shared" si="277"/>
        <v/>
      </c>
      <c r="P548" s="901" t="str">
        <f t="shared" si="278"/>
        <v/>
      </c>
      <c r="Q548" s="568" t="str">
        <f t="shared" si="264"/>
        <v/>
      </c>
      <c r="R548" s="902" t="str">
        <f t="shared" si="279"/>
        <v/>
      </c>
      <c r="S548" s="903">
        <f t="shared" si="265"/>
        <v>0</v>
      </c>
      <c r="T548" s="334"/>
      <c r="X548" s="887" t="str">
        <f t="shared" si="266"/>
        <v/>
      </c>
      <c r="Y548" s="904">
        <f t="shared" si="267"/>
        <v>0.6</v>
      </c>
      <c r="Z548" s="905" t="e">
        <f t="shared" si="280"/>
        <v>#VALUE!</v>
      </c>
      <c r="AA548" s="905" t="e">
        <f t="shared" si="281"/>
        <v>#VALUE!</v>
      </c>
      <c r="AB548" s="905" t="e">
        <f t="shared" si="282"/>
        <v>#VALUE!</v>
      </c>
      <c r="AC548" s="906" t="e">
        <f t="shared" si="268"/>
        <v>#VALUE!</v>
      </c>
      <c r="AD548" s="907">
        <f t="shared" si="269"/>
        <v>0</v>
      </c>
      <c r="AE548" s="904">
        <f>IF(H548&gt;8,tab!C$194,tab!C$197)</f>
        <v>0.5</v>
      </c>
      <c r="AF548" s="907">
        <f t="shared" si="270"/>
        <v>0</v>
      </c>
      <c r="AG548" s="887">
        <f t="shared" si="271"/>
        <v>0</v>
      </c>
      <c r="AH548" s="908" t="e">
        <f t="shared" si="272"/>
        <v>#VALUE!</v>
      </c>
      <c r="AI548" s="815" t="e">
        <f t="shared" si="273"/>
        <v>#VALUE!</v>
      </c>
      <c r="AJ548" s="540">
        <f t="shared" si="274"/>
        <v>30</v>
      </c>
      <c r="AK548" s="540">
        <f t="shared" si="240"/>
        <v>30</v>
      </c>
      <c r="AL548" s="909">
        <f t="shared" si="275"/>
        <v>0</v>
      </c>
      <c r="AN548" s="539">
        <f t="shared" si="283"/>
        <v>0</v>
      </c>
      <c r="AT548" s="317"/>
      <c r="AU548" s="317"/>
    </row>
    <row r="549" spans="3:47" ht="13.15" customHeight="1" x14ac:dyDescent="0.2">
      <c r="C549" s="381"/>
      <c r="D549" s="895" t="str">
        <f>IF(op!D437=0,"",op!D437)</f>
        <v/>
      </c>
      <c r="E549" s="895" t="str">
        <f>IF(op!E437=0,"",op!E437)</f>
        <v/>
      </c>
      <c r="F549" s="390" t="str">
        <f>IF(op!F437="","",op!F437+1)</f>
        <v/>
      </c>
      <c r="G549" s="896" t="str">
        <f>IF(op!G437=0,"",op!G437)</f>
        <v/>
      </c>
      <c r="H549" s="390" t="str">
        <f>IF(op!H437="","",op!H437)</f>
        <v/>
      </c>
      <c r="I549" s="897" t="str">
        <f t="shared" si="263"/>
        <v/>
      </c>
      <c r="J549" s="898" t="str">
        <f>IF(op!J437="","",op!J437)</f>
        <v/>
      </c>
      <c r="K549" s="334"/>
      <c r="L549" s="1140" t="str">
        <f>IF(op!L437="","",op!L437)</f>
        <v/>
      </c>
      <c r="M549" s="1140" t="str">
        <f>IF(op!M437="","",op!M437)</f>
        <v/>
      </c>
      <c r="N549" s="899" t="str">
        <f t="shared" si="276"/>
        <v/>
      </c>
      <c r="O549" s="900" t="str">
        <f t="shared" si="277"/>
        <v/>
      </c>
      <c r="P549" s="901" t="str">
        <f t="shared" si="278"/>
        <v/>
      </c>
      <c r="Q549" s="568" t="str">
        <f t="shared" si="264"/>
        <v/>
      </c>
      <c r="R549" s="902" t="str">
        <f t="shared" si="279"/>
        <v/>
      </c>
      <c r="S549" s="903">
        <f t="shared" si="265"/>
        <v>0</v>
      </c>
      <c r="T549" s="334"/>
      <c r="X549" s="887" t="str">
        <f t="shared" si="266"/>
        <v/>
      </c>
      <c r="Y549" s="904">
        <f t="shared" si="267"/>
        <v>0.6</v>
      </c>
      <c r="Z549" s="905" t="e">
        <f t="shared" si="280"/>
        <v>#VALUE!</v>
      </c>
      <c r="AA549" s="905" t="e">
        <f t="shared" si="281"/>
        <v>#VALUE!</v>
      </c>
      <c r="AB549" s="905" t="e">
        <f t="shared" si="282"/>
        <v>#VALUE!</v>
      </c>
      <c r="AC549" s="906" t="e">
        <f t="shared" si="268"/>
        <v>#VALUE!</v>
      </c>
      <c r="AD549" s="907">
        <f t="shared" si="269"/>
        <v>0</v>
      </c>
      <c r="AE549" s="904">
        <f>IF(H549&gt;8,tab!C$194,tab!C$197)</f>
        <v>0.5</v>
      </c>
      <c r="AF549" s="907">
        <f t="shared" si="270"/>
        <v>0</v>
      </c>
      <c r="AG549" s="887">
        <f t="shared" si="271"/>
        <v>0</v>
      </c>
      <c r="AH549" s="908" t="e">
        <f t="shared" si="272"/>
        <v>#VALUE!</v>
      </c>
      <c r="AI549" s="815" t="e">
        <f t="shared" si="273"/>
        <v>#VALUE!</v>
      </c>
      <c r="AJ549" s="540">
        <f t="shared" si="274"/>
        <v>30</v>
      </c>
      <c r="AK549" s="540">
        <f t="shared" si="240"/>
        <v>30</v>
      </c>
      <c r="AL549" s="909">
        <f t="shared" si="275"/>
        <v>0</v>
      </c>
      <c r="AN549" s="539">
        <f t="shared" si="283"/>
        <v>0</v>
      </c>
      <c r="AT549" s="317"/>
      <c r="AU549" s="317"/>
    </row>
    <row r="550" spans="3:47" ht="13.15" customHeight="1" x14ac:dyDescent="0.2">
      <c r="C550" s="381"/>
      <c r="D550" s="895" t="str">
        <f>IF(op!D438=0,"",op!D438)</f>
        <v/>
      </c>
      <c r="E550" s="895" t="str">
        <f>IF(op!E438=0,"",op!E438)</f>
        <v/>
      </c>
      <c r="F550" s="390" t="str">
        <f>IF(op!F438="","",op!F438+1)</f>
        <v/>
      </c>
      <c r="G550" s="896" t="str">
        <f>IF(op!G438=0,"",op!G438)</f>
        <v/>
      </c>
      <c r="H550" s="390" t="str">
        <f>IF(op!H438="","",op!H438)</f>
        <v/>
      </c>
      <c r="I550" s="897" t="str">
        <f t="shared" si="263"/>
        <v/>
      </c>
      <c r="J550" s="898" t="str">
        <f>IF(op!J438="","",op!J438)</f>
        <v/>
      </c>
      <c r="K550" s="334"/>
      <c r="L550" s="1140" t="str">
        <f>IF(op!L438="","",op!L438)</f>
        <v/>
      </c>
      <c r="M550" s="1140" t="str">
        <f>IF(op!M438="","",op!M438)</f>
        <v/>
      </c>
      <c r="N550" s="899" t="str">
        <f t="shared" si="276"/>
        <v/>
      </c>
      <c r="O550" s="900" t="str">
        <f t="shared" si="277"/>
        <v/>
      </c>
      <c r="P550" s="901" t="str">
        <f t="shared" si="278"/>
        <v/>
      </c>
      <c r="Q550" s="568" t="str">
        <f t="shared" si="264"/>
        <v/>
      </c>
      <c r="R550" s="902" t="str">
        <f t="shared" si="279"/>
        <v/>
      </c>
      <c r="S550" s="903">
        <f t="shared" si="265"/>
        <v>0</v>
      </c>
      <c r="T550" s="334"/>
      <c r="X550" s="887" t="str">
        <f t="shared" si="266"/>
        <v/>
      </c>
      <c r="Y550" s="904">
        <f t="shared" si="267"/>
        <v>0.6</v>
      </c>
      <c r="Z550" s="905" t="e">
        <f t="shared" si="280"/>
        <v>#VALUE!</v>
      </c>
      <c r="AA550" s="905" t="e">
        <f t="shared" si="281"/>
        <v>#VALUE!</v>
      </c>
      <c r="AB550" s="905" t="e">
        <f t="shared" si="282"/>
        <v>#VALUE!</v>
      </c>
      <c r="AC550" s="906" t="e">
        <f t="shared" si="268"/>
        <v>#VALUE!</v>
      </c>
      <c r="AD550" s="907">
        <f t="shared" si="269"/>
        <v>0</v>
      </c>
      <c r="AE550" s="904">
        <f>IF(H550&gt;8,tab!C$194,tab!C$197)</f>
        <v>0.5</v>
      </c>
      <c r="AF550" s="907">
        <f t="shared" si="270"/>
        <v>0</v>
      </c>
      <c r="AG550" s="887">
        <f t="shared" si="271"/>
        <v>0</v>
      </c>
      <c r="AH550" s="908" t="e">
        <f t="shared" si="272"/>
        <v>#VALUE!</v>
      </c>
      <c r="AI550" s="815" t="e">
        <f t="shared" si="273"/>
        <v>#VALUE!</v>
      </c>
      <c r="AJ550" s="540">
        <f t="shared" si="274"/>
        <v>30</v>
      </c>
      <c r="AK550" s="540">
        <f t="shared" si="240"/>
        <v>30</v>
      </c>
      <c r="AL550" s="909">
        <f t="shared" si="275"/>
        <v>0</v>
      </c>
      <c r="AN550" s="539">
        <f t="shared" si="283"/>
        <v>0</v>
      </c>
      <c r="AT550" s="317"/>
      <c r="AU550" s="317"/>
    </row>
    <row r="551" spans="3:47" ht="13.15" customHeight="1" x14ac:dyDescent="0.2">
      <c r="C551" s="381"/>
      <c r="D551" s="895" t="str">
        <f>IF(op!D439=0,"",op!D439)</f>
        <v/>
      </c>
      <c r="E551" s="895" t="str">
        <f>IF(op!E439=0,"",op!E439)</f>
        <v/>
      </c>
      <c r="F551" s="390" t="str">
        <f>IF(op!F439="","",op!F439+1)</f>
        <v/>
      </c>
      <c r="G551" s="896" t="str">
        <f>IF(op!G439=0,"",op!G439)</f>
        <v/>
      </c>
      <c r="H551" s="390" t="str">
        <f>IF(op!H439="","",op!H439)</f>
        <v/>
      </c>
      <c r="I551" s="897" t="str">
        <f t="shared" si="263"/>
        <v/>
      </c>
      <c r="J551" s="898" t="str">
        <f>IF(op!J439="","",op!J439)</f>
        <v/>
      </c>
      <c r="K551" s="334"/>
      <c r="L551" s="1140" t="str">
        <f>IF(op!L439="","",op!L439)</f>
        <v/>
      </c>
      <c r="M551" s="1140" t="str">
        <f>IF(op!M439="","",op!M439)</f>
        <v/>
      </c>
      <c r="N551" s="899" t="str">
        <f t="shared" si="276"/>
        <v/>
      </c>
      <c r="O551" s="900" t="str">
        <f t="shared" si="277"/>
        <v/>
      </c>
      <c r="P551" s="901" t="str">
        <f t="shared" si="278"/>
        <v/>
      </c>
      <c r="Q551" s="568" t="str">
        <f t="shared" si="264"/>
        <v/>
      </c>
      <c r="R551" s="902" t="str">
        <f t="shared" si="279"/>
        <v/>
      </c>
      <c r="S551" s="903">
        <f t="shared" si="265"/>
        <v>0</v>
      </c>
      <c r="T551" s="334"/>
      <c r="X551" s="887" t="str">
        <f t="shared" si="266"/>
        <v/>
      </c>
      <c r="Y551" s="904">
        <f t="shared" si="267"/>
        <v>0.6</v>
      </c>
      <c r="Z551" s="905" t="e">
        <f t="shared" si="280"/>
        <v>#VALUE!</v>
      </c>
      <c r="AA551" s="905" t="e">
        <f t="shared" si="281"/>
        <v>#VALUE!</v>
      </c>
      <c r="AB551" s="905" t="e">
        <f t="shared" si="282"/>
        <v>#VALUE!</v>
      </c>
      <c r="AC551" s="906" t="e">
        <f t="shared" si="268"/>
        <v>#VALUE!</v>
      </c>
      <c r="AD551" s="907">
        <f t="shared" si="269"/>
        <v>0</v>
      </c>
      <c r="AE551" s="904">
        <f>IF(H551&gt;8,tab!C$194,tab!C$197)</f>
        <v>0.5</v>
      </c>
      <c r="AF551" s="907">
        <f t="shared" si="270"/>
        <v>0</v>
      </c>
      <c r="AG551" s="887">
        <f t="shared" si="271"/>
        <v>0</v>
      </c>
      <c r="AH551" s="908" t="e">
        <f t="shared" si="272"/>
        <v>#VALUE!</v>
      </c>
      <c r="AI551" s="815" t="e">
        <f t="shared" si="273"/>
        <v>#VALUE!</v>
      </c>
      <c r="AJ551" s="540">
        <f t="shared" si="274"/>
        <v>30</v>
      </c>
      <c r="AK551" s="540">
        <f t="shared" si="240"/>
        <v>30</v>
      </c>
      <c r="AL551" s="909">
        <f t="shared" si="275"/>
        <v>0</v>
      </c>
      <c r="AN551" s="539">
        <f t="shared" si="283"/>
        <v>0</v>
      </c>
      <c r="AT551" s="317"/>
      <c r="AU551" s="317"/>
    </row>
    <row r="552" spans="3:47" ht="13.15" customHeight="1" x14ac:dyDescent="0.2">
      <c r="C552" s="381"/>
      <c r="D552" s="895" t="str">
        <f>IF(op!D440=0,"",op!D440)</f>
        <v/>
      </c>
      <c r="E552" s="895" t="str">
        <f>IF(op!E440=0,"",op!E440)</f>
        <v/>
      </c>
      <c r="F552" s="390" t="str">
        <f>IF(op!F440="","",op!F440+1)</f>
        <v/>
      </c>
      <c r="G552" s="896" t="str">
        <f>IF(op!G440=0,"",op!G440)</f>
        <v/>
      </c>
      <c r="H552" s="390" t="str">
        <f>IF(op!H440="","",op!H440)</f>
        <v/>
      </c>
      <c r="I552" s="897" t="str">
        <f t="shared" si="263"/>
        <v/>
      </c>
      <c r="J552" s="898" t="str">
        <f>IF(op!J440="","",op!J440)</f>
        <v/>
      </c>
      <c r="K552" s="334"/>
      <c r="L552" s="1140" t="str">
        <f>IF(op!L440="","",op!L440)</f>
        <v/>
      </c>
      <c r="M552" s="1140" t="str">
        <f>IF(op!M440="","",op!M440)</f>
        <v/>
      </c>
      <c r="N552" s="899" t="str">
        <f t="shared" si="276"/>
        <v/>
      </c>
      <c r="O552" s="900" t="str">
        <f t="shared" si="277"/>
        <v/>
      </c>
      <c r="P552" s="901" t="str">
        <f t="shared" si="278"/>
        <v/>
      </c>
      <c r="Q552" s="568" t="str">
        <f t="shared" si="264"/>
        <v/>
      </c>
      <c r="R552" s="902" t="str">
        <f t="shared" si="279"/>
        <v/>
      </c>
      <c r="S552" s="903">
        <f t="shared" si="265"/>
        <v>0</v>
      </c>
      <c r="T552" s="334"/>
      <c r="X552" s="887" t="str">
        <f t="shared" si="266"/>
        <v/>
      </c>
      <c r="Y552" s="904">
        <f t="shared" si="267"/>
        <v>0.6</v>
      </c>
      <c r="Z552" s="905" t="e">
        <f t="shared" si="280"/>
        <v>#VALUE!</v>
      </c>
      <c r="AA552" s="905" t="e">
        <f t="shared" si="281"/>
        <v>#VALUE!</v>
      </c>
      <c r="AB552" s="905" t="e">
        <f t="shared" si="282"/>
        <v>#VALUE!</v>
      </c>
      <c r="AC552" s="906" t="e">
        <f t="shared" si="268"/>
        <v>#VALUE!</v>
      </c>
      <c r="AD552" s="907">
        <f t="shared" si="269"/>
        <v>0</v>
      </c>
      <c r="AE552" s="904">
        <f>IF(H552&gt;8,tab!C$194,tab!C$197)</f>
        <v>0.5</v>
      </c>
      <c r="AF552" s="907">
        <f t="shared" si="270"/>
        <v>0</v>
      </c>
      <c r="AG552" s="887">
        <f t="shared" si="271"/>
        <v>0</v>
      </c>
      <c r="AH552" s="908" t="e">
        <f t="shared" si="272"/>
        <v>#VALUE!</v>
      </c>
      <c r="AI552" s="815" t="e">
        <f t="shared" si="273"/>
        <v>#VALUE!</v>
      </c>
      <c r="AJ552" s="540">
        <f t="shared" si="274"/>
        <v>30</v>
      </c>
      <c r="AK552" s="540">
        <f t="shared" si="240"/>
        <v>30</v>
      </c>
      <c r="AL552" s="909">
        <f t="shared" si="275"/>
        <v>0</v>
      </c>
      <c r="AN552" s="539">
        <f t="shared" si="283"/>
        <v>0</v>
      </c>
      <c r="AT552" s="317"/>
      <c r="AU552" s="317"/>
    </row>
    <row r="553" spans="3:47" ht="13.15" customHeight="1" x14ac:dyDescent="0.2">
      <c r="C553" s="381"/>
      <c r="D553" s="895" t="str">
        <f>IF(op!D441=0,"",op!D441)</f>
        <v/>
      </c>
      <c r="E553" s="895" t="str">
        <f>IF(op!E441=0,"",op!E441)</f>
        <v/>
      </c>
      <c r="F553" s="390" t="str">
        <f>IF(op!F441="","",op!F441+1)</f>
        <v/>
      </c>
      <c r="G553" s="896" t="str">
        <f>IF(op!G441=0,"",op!G441)</f>
        <v/>
      </c>
      <c r="H553" s="390" t="str">
        <f>IF(op!H441="","",op!H441)</f>
        <v/>
      </c>
      <c r="I553" s="897" t="str">
        <f t="shared" si="263"/>
        <v/>
      </c>
      <c r="J553" s="898" t="str">
        <f>IF(op!J441="","",op!J441)</f>
        <v/>
      </c>
      <c r="K553" s="334"/>
      <c r="L553" s="1140" t="str">
        <f>IF(op!L441="","",op!L441)</f>
        <v/>
      </c>
      <c r="M553" s="1140" t="str">
        <f>IF(op!M441="","",op!M441)</f>
        <v/>
      </c>
      <c r="N553" s="899" t="str">
        <f t="shared" si="276"/>
        <v/>
      </c>
      <c r="O553" s="900" t="str">
        <f t="shared" si="277"/>
        <v/>
      </c>
      <c r="P553" s="901" t="str">
        <f t="shared" si="278"/>
        <v/>
      </c>
      <c r="Q553" s="568" t="str">
        <f t="shared" si="264"/>
        <v/>
      </c>
      <c r="R553" s="902" t="str">
        <f t="shared" si="279"/>
        <v/>
      </c>
      <c r="S553" s="903">
        <f t="shared" si="265"/>
        <v>0</v>
      </c>
      <c r="T553" s="334"/>
      <c r="X553" s="887" t="str">
        <f t="shared" si="266"/>
        <v/>
      </c>
      <c r="Y553" s="904">
        <f t="shared" si="267"/>
        <v>0.6</v>
      </c>
      <c r="Z553" s="905" t="e">
        <f t="shared" si="280"/>
        <v>#VALUE!</v>
      </c>
      <c r="AA553" s="905" t="e">
        <f t="shared" si="281"/>
        <v>#VALUE!</v>
      </c>
      <c r="AB553" s="905" t="e">
        <f t="shared" si="282"/>
        <v>#VALUE!</v>
      </c>
      <c r="AC553" s="906" t="e">
        <f t="shared" si="268"/>
        <v>#VALUE!</v>
      </c>
      <c r="AD553" s="907">
        <f t="shared" si="269"/>
        <v>0</v>
      </c>
      <c r="AE553" s="904">
        <f>IF(H553&gt;8,tab!C$194,tab!C$197)</f>
        <v>0.5</v>
      </c>
      <c r="AF553" s="907">
        <f t="shared" si="270"/>
        <v>0</v>
      </c>
      <c r="AG553" s="887">
        <f t="shared" si="271"/>
        <v>0</v>
      </c>
      <c r="AH553" s="908" t="e">
        <f t="shared" si="272"/>
        <v>#VALUE!</v>
      </c>
      <c r="AI553" s="815" t="e">
        <f t="shared" si="273"/>
        <v>#VALUE!</v>
      </c>
      <c r="AJ553" s="540">
        <f t="shared" si="274"/>
        <v>30</v>
      </c>
      <c r="AK553" s="540">
        <f t="shared" si="240"/>
        <v>30</v>
      </c>
      <c r="AL553" s="909">
        <f t="shared" si="275"/>
        <v>0</v>
      </c>
      <c r="AN553" s="539">
        <f t="shared" si="283"/>
        <v>0</v>
      </c>
      <c r="AT553" s="317"/>
      <c r="AU553" s="317"/>
    </row>
    <row r="554" spans="3:47" ht="13.15" customHeight="1" x14ac:dyDescent="0.2">
      <c r="C554" s="381"/>
      <c r="D554" s="895" t="str">
        <f>IF(op!D442=0,"",op!D442)</f>
        <v/>
      </c>
      <c r="E554" s="895" t="str">
        <f>IF(op!E442=0,"",op!E442)</f>
        <v/>
      </c>
      <c r="F554" s="390" t="str">
        <f>IF(op!F442="","",op!F442+1)</f>
        <v/>
      </c>
      <c r="G554" s="896" t="str">
        <f>IF(op!G442=0,"",op!G442)</f>
        <v/>
      </c>
      <c r="H554" s="390" t="str">
        <f>IF(op!H442="","",op!H442)</f>
        <v/>
      </c>
      <c r="I554" s="897" t="str">
        <f t="shared" si="263"/>
        <v/>
      </c>
      <c r="J554" s="898" t="str">
        <f>IF(op!J442="","",op!J442)</f>
        <v/>
      </c>
      <c r="K554" s="334"/>
      <c r="L554" s="1140" t="str">
        <f>IF(op!L442="","",op!L442)</f>
        <v/>
      </c>
      <c r="M554" s="1140" t="str">
        <f>IF(op!M442="","",op!M442)</f>
        <v/>
      </c>
      <c r="N554" s="899" t="str">
        <f t="shared" si="276"/>
        <v/>
      </c>
      <c r="O554" s="900" t="str">
        <f t="shared" si="277"/>
        <v/>
      </c>
      <c r="P554" s="901" t="str">
        <f t="shared" si="278"/>
        <v/>
      </c>
      <c r="Q554" s="568" t="str">
        <f t="shared" si="264"/>
        <v/>
      </c>
      <c r="R554" s="902" t="str">
        <f t="shared" si="279"/>
        <v/>
      </c>
      <c r="S554" s="903">
        <f t="shared" si="265"/>
        <v>0</v>
      </c>
      <c r="T554" s="334"/>
      <c r="X554" s="887" t="str">
        <f t="shared" si="266"/>
        <v/>
      </c>
      <c r="Y554" s="904">
        <f t="shared" si="267"/>
        <v>0.6</v>
      </c>
      <c r="Z554" s="905" t="e">
        <f t="shared" si="280"/>
        <v>#VALUE!</v>
      </c>
      <c r="AA554" s="905" t="e">
        <f t="shared" si="281"/>
        <v>#VALUE!</v>
      </c>
      <c r="AB554" s="905" t="e">
        <f t="shared" si="282"/>
        <v>#VALUE!</v>
      </c>
      <c r="AC554" s="906" t="e">
        <f t="shared" si="268"/>
        <v>#VALUE!</v>
      </c>
      <c r="AD554" s="907">
        <f t="shared" si="269"/>
        <v>0</v>
      </c>
      <c r="AE554" s="904">
        <f>IF(H554&gt;8,tab!C$194,tab!C$197)</f>
        <v>0.5</v>
      </c>
      <c r="AF554" s="907">
        <f t="shared" si="270"/>
        <v>0</v>
      </c>
      <c r="AG554" s="887">
        <f t="shared" si="271"/>
        <v>0</v>
      </c>
      <c r="AH554" s="908" t="e">
        <f t="shared" si="272"/>
        <v>#VALUE!</v>
      </c>
      <c r="AI554" s="815" t="e">
        <f t="shared" si="273"/>
        <v>#VALUE!</v>
      </c>
      <c r="AJ554" s="540">
        <f t="shared" si="274"/>
        <v>30</v>
      </c>
      <c r="AK554" s="540">
        <f t="shared" si="240"/>
        <v>30</v>
      </c>
      <c r="AL554" s="909">
        <f t="shared" si="275"/>
        <v>0</v>
      </c>
      <c r="AN554" s="539">
        <f t="shared" si="283"/>
        <v>0</v>
      </c>
      <c r="AT554" s="317"/>
      <c r="AU554" s="317"/>
    </row>
    <row r="555" spans="3:47" ht="13.15" customHeight="1" x14ac:dyDescent="0.2">
      <c r="C555" s="381"/>
      <c r="D555" s="895" t="str">
        <f>IF(op!D443=0,"",op!D443)</f>
        <v/>
      </c>
      <c r="E555" s="895" t="str">
        <f>IF(op!E443=0,"",op!E443)</f>
        <v/>
      </c>
      <c r="F555" s="390" t="str">
        <f>IF(op!F443="","",op!F443+1)</f>
        <v/>
      </c>
      <c r="G555" s="896" t="str">
        <f>IF(op!G443=0,"",op!G443)</f>
        <v/>
      </c>
      <c r="H555" s="390" t="str">
        <f>IF(op!H443="","",op!H443)</f>
        <v/>
      </c>
      <c r="I555" s="897" t="str">
        <f t="shared" si="263"/>
        <v/>
      </c>
      <c r="J555" s="898" t="str">
        <f>IF(op!J443="","",op!J443)</f>
        <v/>
      </c>
      <c r="K555" s="334"/>
      <c r="L555" s="1140" t="str">
        <f>IF(op!L443="","",op!L443)</f>
        <v/>
      </c>
      <c r="M555" s="1140" t="str">
        <f>IF(op!M443="","",op!M443)</f>
        <v/>
      </c>
      <c r="N555" s="899" t="str">
        <f t="shared" si="276"/>
        <v/>
      </c>
      <c r="O555" s="900" t="str">
        <f t="shared" si="277"/>
        <v/>
      </c>
      <c r="P555" s="901" t="str">
        <f t="shared" si="278"/>
        <v/>
      </c>
      <c r="Q555" s="568" t="str">
        <f t="shared" si="264"/>
        <v/>
      </c>
      <c r="R555" s="902" t="str">
        <f t="shared" si="279"/>
        <v/>
      </c>
      <c r="S555" s="903">
        <f t="shared" si="265"/>
        <v>0</v>
      </c>
      <c r="T555" s="334"/>
      <c r="X555" s="887" t="str">
        <f t="shared" si="266"/>
        <v/>
      </c>
      <c r="Y555" s="904">
        <f t="shared" si="267"/>
        <v>0.6</v>
      </c>
      <c r="Z555" s="905" t="e">
        <f t="shared" si="280"/>
        <v>#VALUE!</v>
      </c>
      <c r="AA555" s="905" t="e">
        <f t="shared" si="281"/>
        <v>#VALUE!</v>
      </c>
      <c r="AB555" s="905" t="e">
        <f t="shared" si="282"/>
        <v>#VALUE!</v>
      </c>
      <c r="AC555" s="906" t="e">
        <f t="shared" si="268"/>
        <v>#VALUE!</v>
      </c>
      <c r="AD555" s="907">
        <f t="shared" si="269"/>
        <v>0</v>
      </c>
      <c r="AE555" s="904">
        <f>IF(H555&gt;8,tab!C$194,tab!C$197)</f>
        <v>0.5</v>
      </c>
      <c r="AF555" s="907">
        <f t="shared" si="270"/>
        <v>0</v>
      </c>
      <c r="AG555" s="887">
        <f t="shared" si="271"/>
        <v>0</v>
      </c>
      <c r="AH555" s="908" t="e">
        <f t="shared" si="272"/>
        <v>#VALUE!</v>
      </c>
      <c r="AI555" s="815" t="e">
        <f t="shared" si="273"/>
        <v>#VALUE!</v>
      </c>
      <c r="AJ555" s="540">
        <f t="shared" si="274"/>
        <v>30</v>
      </c>
      <c r="AK555" s="540">
        <f t="shared" si="240"/>
        <v>30</v>
      </c>
      <c r="AL555" s="909">
        <f t="shared" si="275"/>
        <v>0</v>
      </c>
      <c r="AN555" s="539">
        <f t="shared" si="283"/>
        <v>0</v>
      </c>
      <c r="AT555" s="317"/>
      <c r="AU555" s="317"/>
    </row>
    <row r="556" spans="3:47" ht="13.15" customHeight="1" x14ac:dyDescent="0.2">
      <c r="C556" s="381"/>
      <c r="D556" s="895" t="str">
        <f>IF(op!D444=0,"",op!D444)</f>
        <v/>
      </c>
      <c r="E556" s="895" t="str">
        <f>IF(op!E444=0,"",op!E444)</f>
        <v/>
      </c>
      <c r="F556" s="390" t="str">
        <f>IF(op!F444="","",op!F444+1)</f>
        <v/>
      </c>
      <c r="G556" s="896" t="str">
        <f>IF(op!G444=0,"",op!G444)</f>
        <v/>
      </c>
      <c r="H556" s="390" t="str">
        <f>IF(op!H444="","",op!H444)</f>
        <v/>
      </c>
      <c r="I556" s="897" t="str">
        <f t="shared" si="263"/>
        <v/>
      </c>
      <c r="J556" s="898" t="str">
        <f>IF(op!J444="","",op!J444)</f>
        <v/>
      </c>
      <c r="K556" s="334"/>
      <c r="L556" s="1140" t="str">
        <f>IF(op!L444="","",op!L444)</f>
        <v/>
      </c>
      <c r="M556" s="1140" t="str">
        <f>IF(op!M444="","",op!M444)</f>
        <v/>
      </c>
      <c r="N556" s="899" t="str">
        <f t="shared" si="276"/>
        <v/>
      </c>
      <c r="O556" s="900" t="str">
        <f t="shared" si="277"/>
        <v/>
      </c>
      <c r="P556" s="901" t="str">
        <f t="shared" si="278"/>
        <v/>
      </c>
      <c r="Q556" s="568" t="str">
        <f t="shared" si="264"/>
        <v/>
      </c>
      <c r="R556" s="902" t="str">
        <f t="shared" si="279"/>
        <v/>
      </c>
      <c r="S556" s="903">
        <f t="shared" si="265"/>
        <v>0</v>
      </c>
      <c r="T556" s="334"/>
      <c r="X556" s="887" t="str">
        <f t="shared" si="266"/>
        <v/>
      </c>
      <c r="Y556" s="904">
        <f t="shared" si="267"/>
        <v>0.6</v>
      </c>
      <c r="Z556" s="905" t="e">
        <f t="shared" si="280"/>
        <v>#VALUE!</v>
      </c>
      <c r="AA556" s="905" t="e">
        <f t="shared" si="281"/>
        <v>#VALUE!</v>
      </c>
      <c r="AB556" s="905" t="e">
        <f t="shared" si="282"/>
        <v>#VALUE!</v>
      </c>
      <c r="AC556" s="906" t="e">
        <f t="shared" si="268"/>
        <v>#VALUE!</v>
      </c>
      <c r="AD556" s="907">
        <f t="shared" si="269"/>
        <v>0</v>
      </c>
      <c r="AE556" s="904">
        <f>IF(H556&gt;8,tab!C$194,tab!C$197)</f>
        <v>0.5</v>
      </c>
      <c r="AF556" s="907">
        <f t="shared" si="270"/>
        <v>0</v>
      </c>
      <c r="AG556" s="887">
        <f t="shared" si="271"/>
        <v>0</v>
      </c>
      <c r="AH556" s="908" t="e">
        <f t="shared" si="272"/>
        <v>#VALUE!</v>
      </c>
      <c r="AI556" s="815" t="e">
        <f t="shared" si="273"/>
        <v>#VALUE!</v>
      </c>
      <c r="AJ556" s="540">
        <f t="shared" si="274"/>
        <v>30</v>
      </c>
      <c r="AK556" s="540">
        <f t="shared" si="240"/>
        <v>30</v>
      </c>
      <c r="AL556" s="909">
        <f t="shared" si="275"/>
        <v>0</v>
      </c>
      <c r="AN556" s="539">
        <f t="shared" si="283"/>
        <v>0</v>
      </c>
      <c r="AT556" s="317"/>
      <c r="AU556" s="317"/>
    </row>
    <row r="557" spans="3:47" ht="13.15" customHeight="1" x14ac:dyDescent="0.2">
      <c r="C557" s="381"/>
      <c r="D557" s="895" t="str">
        <f>IF(op!D445=0,"",op!D445)</f>
        <v/>
      </c>
      <c r="E557" s="895" t="str">
        <f>IF(op!E445=0,"",op!E445)</f>
        <v/>
      </c>
      <c r="F557" s="390" t="str">
        <f>IF(op!F445="","",op!F445+1)</f>
        <v/>
      </c>
      <c r="G557" s="896" t="str">
        <f>IF(op!G445=0,"",op!G445)</f>
        <v/>
      </c>
      <c r="H557" s="390" t="str">
        <f>IF(op!H445="","",op!H445)</f>
        <v/>
      </c>
      <c r="I557" s="897" t="str">
        <f t="shared" si="263"/>
        <v/>
      </c>
      <c r="J557" s="898" t="str">
        <f>IF(op!J445="","",op!J445)</f>
        <v/>
      </c>
      <c r="K557" s="334"/>
      <c r="L557" s="1140" t="str">
        <f>IF(op!L445="","",op!L445)</f>
        <v/>
      </c>
      <c r="M557" s="1140" t="str">
        <f>IF(op!M445="","",op!M445)</f>
        <v/>
      </c>
      <c r="N557" s="899" t="str">
        <f t="shared" si="276"/>
        <v/>
      </c>
      <c r="O557" s="900" t="str">
        <f t="shared" si="277"/>
        <v/>
      </c>
      <c r="P557" s="901" t="str">
        <f t="shared" si="278"/>
        <v/>
      </c>
      <c r="Q557" s="568" t="str">
        <f t="shared" si="264"/>
        <v/>
      </c>
      <c r="R557" s="902" t="str">
        <f t="shared" si="279"/>
        <v/>
      </c>
      <c r="S557" s="903">
        <f t="shared" si="265"/>
        <v>0</v>
      </c>
      <c r="T557" s="334"/>
      <c r="X557" s="887" t="str">
        <f t="shared" si="266"/>
        <v/>
      </c>
      <c r="Y557" s="904">
        <f t="shared" si="267"/>
        <v>0.6</v>
      </c>
      <c r="Z557" s="905" t="e">
        <f t="shared" si="280"/>
        <v>#VALUE!</v>
      </c>
      <c r="AA557" s="905" t="e">
        <f t="shared" si="281"/>
        <v>#VALUE!</v>
      </c>
      <c r="AB557" s="905" t="e">
        <f t="shared" si="282"/>
        <v>#VALUE!</v>
      </c>
      <c r="AC557" s="906" t="e">
        <f t="shared" si="268"/>
        <v>#VALUE!</v>
      </c>
      <c r="AD557" s="907">
        <f t="shared" si="269"/>
        <v>0</v>
      </c>
      <c r="AE557" s="904">
        <f>IF(H557&gt;8,tab!C$194,tab!C$197)</f>
        <v>0.5</v>
      </c>
      <c r="AF557" s="907">
        <f t="shared" si="270"/>
        <v>0</v>
      </c>
      <c r="AG557" s="887">
        <f t="shared" si="271"/>
        <v>0</v>
      </c>
      <c r="AH557" s="908" t="e">
        <f t="shared" si="272"/>
        <v>#VALUE!</v>
      </c>
      <c r="AI557" s="815" t="e">
        <f t="shared" si="273"/>
        <v>#VALUE!</v>
      </c>
      <c r="AJ557" s="540">
        <f t="shared" si="274"/>
        <v>30</v>
      </c>
      <c r="AK557" s="540">
        <f t="shared" si="240"/>
        <v>30</v>
      </c>
      <c r="AL557" s="909">
        <f t="shared" si="275"/>
        <v>0</v>
      </c>
      <c r="AN557" s="539">
        <f t="shared" si="283"/>
        <v>0</v>
      </c>
      <c r="AT557" s="317"/>
      <c r="AU557" s="317"/>
    </row>
    <row r="558" spans="3:47" ht="13.15" customHeight="1" x14ac:dyDescent="0.2">
      <c r="C558" s="381"/>
      <c r="D558" s="895" t="str">
        <f>IF(op!D446=0,"",op!D446)</f>
        <v/>
      </c>
      <c r="E558" s="895" t="str">
        <f>IF(op!E446=0,"",op!E446)</f>
        <v/>
      </c>
      <c r="F558" s="390" t="str">
        <f>IF(op!F446="","",op!F446+1)</f>
        <v/>
      </c>
      <c r="G558" s="896" t="str">
        <f>IF(op!G446=0,"",op!G446)</f>
        <v/>
      </c>
      <c r="H558" s="390" t="str">
        <f>IF(op!H446="","",op!H446)</f>
        <v/>
      </c>
      <c r="I558" s="897" t="str">
        <f t="shared" si="263"/>
        <v/>
      </c>
      <c r="J558" s="898" t="str">
        <f>IF(op!J446="","",op!J446)</f>
        <v/>
      </c>
      <c r="K558" s="334"/>
      <c r="L558" s="1140" t="str">
        <f>IF(op!L446="","",op!L446)</f>
        <v/>
      </c>
      <c r="M558" s="1140" t="str">
        <f>IF(op!M446="","",op!M446)</f>
        <v/>
      </c>
      <c r="N558" s="899" t="str">
        <f t="shared" si="276"/>
        <v/>
      </c>
      <c r="O558" s="900" t="str">
        <f t="shared" si="277"/>
        <v/>
      </c>
      <c r="P558" s="901" t="str">
        <f t="shared" si="278"/>
        <v/>
      </c>
      <c r="Q558" s="568" t="str">
        <f t="shared" si="264"/>
        <v/>
      </c>
      <c r="R558" s="902" t="str">
        <f t="shared" si="279"/>
        <v/>
      </c>
      <c r="S558" s="903">
        <f t="shared" si="265"/>
        <v>0</v>
      </c>
      <c r="T558" s="334"/>
      <c r="X558" s="887" t="str">
        <f t="shared" si="266"/>
        <v/>
      </c>
      <c r="Y558" s="904">
        <f t="shared" si="267"/>
        <v>0.6</v>
      </c>
      <c r="Z558" s="905" t="e">
        <f t="shared" si="280"/>
        <v>#VALUE!</v>
      </c>
      <c r="AA558" s="905" t="e">
        <f t="shared" si="281"/>
        <v>#VALUE!</v>
      </c>
      <c r="AB558" s="905" t="e">
        <f t="shared" si="282"/>
        <v>#VALUE!</v>
      </c>
      <c r="AC558" s="906" t="e">
        <f t="shared" si="268"/>
        <v>#VALUE!</v>
      </c>
      <c r="AD558" s="907">
        <f t="shared" si="269"/>
        <v>0</v>
      </c>
      <c r="AE558" s="904">
        <f>IF(H558&gt;8,tab!C$194,tab!C$197)</f>
        <v>0.5</v>
      </c>
      <c r="AF558" s="907">
        <f t="shared" si="270"/>
        <v>0</v>
      </c>
      <c r="AG558" s="887">
        <f t="shared" si="271"/>
        <v>0</v>
      </c>
      <c r="AH558" s="908" t="e">
        <f t="shared" si="272"/>
        <v>#VALUE!</v>
      </c>
      <c r="AI558" s="815" t="e">
        <f t="shared" si="273"/>
        <v>#VALUE!</v>
      </c>
      <c r="AJ558" s="540">
        <f t="shared" si="274"/>
        <v>30</v>
      </c>
      <c r="AK558" s="540">
        <f t="shared" si="240"/>
        <v>30</v>
      </c>
      <c r="AL558" s="909">
        <f t="shared" si="275"/>
        <v>0</v>
      </c>
      <c r="AN558" s="539">
        <f t="shared" si="283"/>
        <v>0</v>
      </c>
      <c r="AT558" s="317"/>
      <c r="AU558" s="317"/>
    </row>
    <row r="559" spans="3:47" ht="13.15" customHeight="1" x14ac:dyDescent="0.2">
      <c r="C559" s="381"/>
      <c r="D559" s="895" t="str">
        <f>IF(op!D447=0,"",op!D447)</f>
        <v/>
      </c>
      <c r="E559" s="895" t="str">
        <f>IF(op!E447=0,"",op!E447)</f>
        <v/>
      </c>
      <c r="F559" s="390" t="str">
        <f>IF(op!F447="","",op!F447+1)</f>
        <v/>
      </c>
      <c r="G559" s="896" t="str">
        <f>IF(op!G447=0,"",op!G447)</f>
        <v/>
      </c>
      <c r="H559" s="390" t="str">
        <f>IF(op!H447="","",op!H447)</f>
        <v/>
      </c>
      <c r="I559" s="897" t="str">
        <f t="shared" si="263"/>
        <v/>
      </c>
      <c r="J559" s="898" t="str">
        <f>IF(op!J447="","",op!J447)</f>
        <v/>
      </c>
      <c r="K559" s="334"/>
      <c r="L559" s="1140" t="str">
        <f>IF(op!L447="","",op!L447)</f>
        <v/>
      </c>
      <c r="M559" s="1140" t="str">
        <f>IF(op!M447="","",op!M447)</f>
        <v/>
      </c>
      <c r="N559" s="899" t="str">
        <f t="shared" si="276"/>
        <v/>
      </c>
      <c r="O559" s="900" t="str">
        <f t="shared" si="277"/>
        <v/>
      </c>
      <c r="P559" s="901" t="str">
        <f t="shared" si="278"/>
        <v/>
      </c>
      <c r="Q559" s="568" t="str">
        <f t="shared" si="264"/>
        <v/>
      </c>
      <c r="R559" s="902" t="str">
        <f t="shared" si="279"/>
        <v/>
      </c>
      <c r="S559" s="903">
        <f t="shared" si="265"/>
        <v>0</v>
      </c>
      <c r="T559" s="334"/>
      <c r="X559" s="887" t="str">
        <f t="shared" si="266"/>
        <v/>
      </c>
      <c r="Y559" s="904">
        <f t="shared" si="267"/>
        <v>0.6</v>
      </c>
      <c r="Z559" s="905" t="e">
        <f t="shared" si="280"/>
        <v>#VALUE!</v>
      </c>
      <c r="AA559" s="905" t="e">
        <f t="shared" si="281"/>
        <v>#VALUE!</v>
      </c>
      <c r="AB559" s="905" t="e">
        <f t="shared" si="282"/>
        <v>#VALUE!</v>
      </c>
      <c r="AC559" s="906" t="e">
        <f t="shared" si="268"/>
        <v>#VALUE!</v>
      </c>
      <c r="AD559" s="907">
        <f t="shared" si="269"/>
        <v>0</v>
      </c>
      <c r="AE559" s="904">
        <f>IF(H559&gt;8,tab!C$194,tab!C$197)</f>
        <v>0.5</v>
      </c>
      <c r="AF559" s="907">
        <f t="shared" si="270"/>
        <v>0</v>
      </c>
      <c r="AG559" s="887">
        <f t="shared" si="271"/>
        <v>0</v>
      </c>
      <c r="AH559" s="908" t="e">
        <f t="shared" si="272"/>
        <v>#VALUE!</v>
      </c>
      <c r="AI559" s="815" t="e">
        <f t="shared" si="273"/>
        <v>#VALUE!</v>
      </c>
      <c r="AJ559" s="540">
        <f t="shared" si="274"/>
        <v>30</v>
      </c>
      <c r="AK559" s="540">
        <f t="shared" si="240"/>
        <v>30</v>
      </c>
      <c r="AL559" s="909">
        <f t="shared" si="275"/>
        <v>0</v>
      </c>
      <c r="AN559" s="539">
        <f t="shared" si="283"/>
        <v>0</v>
      </c>
      <c r="AT559" s="317"/>
      <c r="AU559" s="317"/>
    </row>
    <row r="560" spans="3:47" ht="13.15" customHeight="1" x14ac:dyDescent="0.2">
      <c r="C560" s="381"/>
      <c r="D560" s="895" t="str">
        <f>IF(op!D448=0,"",op!D448)</f>
        <v/>
      </c>
      <c r="E560" s="895" t="str">
        <f>IF(op!E448=0,"",op!E448)</f>
        <v/>
      </c>
      <c r="F560" s="390" t="str">
        <f>IF(op!F448="","",op!F448+1)</f>
        <v/>
      </c>
      <c r="G560" s="896" t="str">
        <f>IF(op!G448=0,"",op!G448)</f>
        <v/>
      </c>
      <c r="H560" s="390" t="str">
        <f>IF(op!H448="","",op!H448)</f>
        <v/>
      </c>
      <c r="I560" s="897" t="str">
        <f>IF(E560="","",IF(I448=VLOOKUP(H560,Salaris2021,22,FALSE),I448,I448+1))</f>
        <v/>
      </c>
      <c r="J560" s="898" t="str">
        <f>IF(op!J448="","",op!J448)</f>
        <v/>
      </c>
      <c r="K560" s="334"/>
      <c r="L560" s="1140" t="str">
        <f>IF(op!L448="","",op!L448)</f>
        <v/>
      </c>
      <c r="M560" s="1140" t="str">
        <f>IF(op!M448="","",op!M448)</f>
        <v/>
      </c>
      <c r="N560" s="899" t="str">
        <f t="shared" si="276"/>
        <v/>
      </c>
      <c r="O560" s="900" t="str">
        <f t="shared" si="277"/>
        <v/>
      </c>
      <c r="P560" s="901" t="str">
        <f t="shared" si="278"/>
        <v/>
      </c>
      <c r="Q560" s="568" t="str">
        <f>IF(J560="","",(1659*J560-P560)*AA560)</f>
        <v/>
      </c>
      <c r="R560" s="902" t="str">
        <f t="shared" si="279"/>
        <v/>
      </c>
      <c r="S560" s="903">
        <f>IF(E560=0,0,SUM(Q560:R560))</f>
        <v>0</v>
      </c>
      <c r="T560" s="334"/>
      <c r="X560" s="887" t="str">
        <f t="shared" si="266"/>
        <v/>
      </c>
      <c r="Y560" s="904">
        <f t="shared" si="267"/>
        <v>0.6</v>
      </c>
      <c r="Z560" s="905" t="e">
        <f t="shared" si="280"/>
        <v>#VALUE!</v>
      </c>
      <c r="AA560" s="905" t="e">
        <f t="shared" si="281"/>
        <v>#VALUE!</v>
      </c>
      <c r="AB560" s="905" t="e">
        <f t="shared" si="282"/>
        <v>#VALUE!</v>
      </c>
      <c r="AC560" s="906" t="e">
        <f t="shared" si="268"/>
        <v>#VALUE!</v>
      </c>
      <c r="AD560" s="907">
        <f t="shared" si="269"/>
        <v>0</v>
      </c>
      <c r="AE560" s="904">
        <f>IF(H560&gt;8,tab!C$194,tab!C$197)</f>
        <v>0.5</v>
      </c>
      <c r="AF560" s="907">
        <f t="shared" si="270"/>
        <v>0</v>
      </c>
      <c r="AG560" s="887">
        <f>IF(AF560=25,(X560*1.08*J560/2),IF(AF560=40,(Y560*1.08*J560),IF(AF560=0,0)))</f>
        <v>0</v>
      </c>
      <c r="AH560" s="908" t="e">
        <f t="shared" si="272"/>
        <v>#VALUE!</v>
      </c>
      <c r="AI560" s="815" t="e">
        <f>YEAR($E$457)-YEAR(G560)-AH560</f>
        <v>#VALUE!</v>
      </c>
      <c r="AJ560" s="540">
        <f>IF((G560=""),30,AI560)</f>
        <v>30</v>
      </c>
      <c r="AK560" s="540">
        <f t="shared" si="240"/>
        <v>30</v>
      </c>
      <c r="AL560" s="909">
        <f>(AK560*(SUM(J560:J560)))</f>
        <v>0</v>
      </c>
      <c r="AN560" s="539">
        <f t="shared" si="283"/>
        <v>0</v>
      </c>
      <c r="AT560" s="317"/>
      <c r="AU560" s="317"/>
    </row>
    <row r="561" spans="3:47" ht="13.15" customHeight="1" x14ac:dyDescent="0.2">
      <c r="C561" s="381"/>
      <c r="D561" s="895" t="str">
        <f>IF(op!D449=0,"",op!D449)</f>
        <v/>
      </c>
      <c r="E561" s="895" t="str">
        <f>IF(op!E449=0,"",op!E449)</f>
        <v/>
      </c>
      <c r="F561" s="390" t="str">
        <f>IF(op!F449="","",op!F449+1)</f>
        <v/>
      </c>
      <c r="G561" s="896" t="str">
        <f>IF(op!G449=0,"",op!G449)</f>
        <v/>
      </c>
      <c r="H561" s="390" t="str">
        <f>IF(op!H449="","",op!H449)</f>
        <v/>
      </c>
      <c r="I561" s="897" t="str">
        <f>IF(E561="","",IF(I449=VLOOKUP(H561,Salaris2021,22,FALSE),I449,I449+1))</f>
        <v/>
      </c>
      <c r="J561" s="898" t="str">
        <f>IF(op!J449="","",op!J449)</f>
        <v/>
      </c>
      <c r="K561" s="334"/>
      <c r="L561" s="1140" t="str">
        <f>IF(op!L449="","",op!L449)</f>
        <v/>
      </c>
      <c r="M561" s="1140" t="str">
        <f>IF(op!M449="","",op!M449)</f>
        <v/>
      </c>
      <c r="N561" s="899" t="str">
        <f t="shared" si="276"/>
        <v/>
      </c>
      <c r="O561" s="900" t="str">
        <f t="shared" si="277"/>
        <v/>
      </c>
      <c r="P561" s="901" t="str">
        <f t="shared" si="278"/>
        <v/>
      </c>
      <c r="Q561" s="568" t="str">
        <f>IF(J561="","",(1659*J561-P561)*AA561)</f>
        <v/>
      </c>
      <c r="R561" s="902" t="str">
        <f t="shared" si="279"/>
        <v/>
      </c>
      <c r="S561" s="903">
        <f>IF(E561=0,0,SUM(Q561:R561))</f>
        <v>0</v>
      </c>
      <c r="T561" s="334"/>
      <c r="X561" s="887" t="str">
        <f t="shared" si="266"/>
        <v/>
      </c>
      <c r="Y561" s="904">
        <f t="shared" si="267"/>
        <v>0.6</v>
      </c>
      <c r="Z561" s="905" t="e">
        <f t="shared" si="280"/>
        <v>#VALUE!</v>
      </c>
      <c r="AA561" s="905" t="e">
        <f t="shared" si="281"/>
        <v>#VALUE!</v>
      </c>
      <c r="AB561" s="905" t="e">
        <f t="shared" si="282"/>
        <v>#VALUE!</v>
      </c>
      <c r="AC561" s="906" t="e">
        <f t="shared" si="268"/>
        <v>#VALUE!</v>
      </c>
      <c r="AD561" s="907">
        <f t="shared" si="269"/>
        <v>0</v>
      </c>
      <c r="AE561" s="904">
        <f>IF(H561&gt;8,tab!C$194,tab!C$197)</f>
        <v>0.5</v>
      </c>
      <c r="AF561" s="907">
        <f t="shared" si="270"/>
        <v>0</v>
      </c>
      <c r="AG561" s="887">
        <f>IF(AF561=25,(X561*1.08*J561/2),IF(AF561=40,(Y561*1.08*J561),IF(AF561=0,0)))</f>
        <v>0</v>
      </c>
      <c r="AH561" s="908" t="e">
        <f t="shared" si="272"/>
        <v>#VALUE!</v>
      </c>
      <c r="AI561" s="815" t="e">
        <f>YEAR($E$457)-YEAR(G561)-AH561</f>
        <v>#VALUE!</v>
      </c>
      <c r="AJ561" s="540">
        <f>IF((G561=""),30,AI561)</f>
        <v>30</v>
      </c>
      <c r="AK561" s="540">
        <f t="shared" si="240"/>
        <v>30</v>
      </c>
      <c r="AL561" s="909">
        <f>(AK561*(SUM(J561:J561)))</f>
        <v>0</v>
      </c>
      <c r="AN561" s="539">
        <f t="shared" si="283"/>
        <v>0</v>
      </c>
      <c r="AT561" s="317"/>
      <c r="AU561" s="317"/>
    </row>
    <row r="562" spans="3:47" ht="13.15" customHeight="1" x14ac:dyDescent="0.2">
      <c r="C562" s="381"/>
      <c r="D562" s="895" t="str">
        <f>IF(op!D450=0,"",op!D450)</f>
        <v/>
      </c>
      <c r="E562" s="895" t="str">
        <f>IF(op!E450=0,"",op!E450)</f>
        <v/>
      </c>
      <c r="F562" s="390" t="str">
        <f>IF(op!F450="","",op!F450+1)</f>
        <v/>
      </c>
      <c r="G562" s="896" t="str">
        <f>IF(op!G450=0,"",op!G450)</f>
        <v/>
      </c>
      <c r="H562" s="390" t="str">
        <f>IF(op!H450="","",op!H450)</f>
        <v/>
      </c>
      <c r="I562" s="897" t="str">
        <f>IF(E562="","",IF(I450=VLOOKUP(H562,Salaris2021,22,FALSE),I450,I450+1))</f>
        <v/>
      </c>
      <c r="J562" s="898" t="str">
        <f>IF(op!J450="","",op!J450)</f>
        <v/>
      </c>
      <c r="K562" s="334"/>
      <c r="L562" s="1140" t="str">
        <f>IF(op!L450="","",op!L450)</f>
        <v/>
      </c>
      <c r="M562" s="1140" t="str">
        <f>IF(op!M450="","",op!M450)</f>
        <v/>
      </c>
      <c r="N562" s="899" t="str">
        <f t="shared" si="276"/>
        <v/>
      </c>
      <c r="O562" s="900" t="str">
        <f t="shared" si="277"/>
        <v/>
      </c>
      <c r="P562" s="901" t="str">
        <f t="shared" si="278"/>
        <v/>
      </c>
      <c r="Q562" s="568" t="str">
        <f>IF(J562="","",(1659*J562-P562)*AA562)</f>
        <v/>
      </c>
      <c r="R562" s="902" t="str">
        <f t="shared" si="279"/>
        <v/>
      </c>
      <c r="S562" s="903">
        <f>IF(E562=0,0,SUM(Q562:R562))</f>
        <v>0</v>
      </c>
      <c r="T562" s="334"/>
      <c r="X562" s="887" t="str">
        <f t="shared" si="266"/>
        <v/>
      </c>
      <c r="Y562" s="904">
        <f t="shared" si="267"/>
        <v>0.6</v>
      </c>
      <c r="Z562" s="905" t="e">
        <f t="shared" si="280"/>
        <v>#VALUE!</v>
      </c>
      <c r="AA562" s="905" t="e">
        <f t="shared" si="281"/>
        <v>#VALUE!</v>
      </c>
      <c r="AB562" s="905" t="e">
        <f t="shared" si="282"/>
        <v>#VALUE!</v>
      </c>
      <c r="AC562" s="906" t="e">
        <f t="shared" si="268"/>
        <v>#VALUE!</v>
      </c>
      <c r="AD562" s="907">
        <f t="shared" si="269"/>
        <v>0</v>
      </c>
      <c r="AE562" s="904">
        <f>IF(H562&gt;8,tab!C$194,tab!C$197)</f>
        <v>0.5</v>
      </c>
      <c r="AF562" s="907">
        <f t="shared" si="270"/>
        <v>0</v>
      </c>
      <c r="AG562" s="887">
        <f>IF(AF562=25,(X562*1.08*J562/2),IF(AF562=40,(Y562*1.08*J562),IF(AF562=0,0)))</f>
        <v>0</v>
      </c>
      <c r="AH562" s="908" t="e">
        <f t="shared" si="272"/>
        <v>#VALUE!</v>
      </c>
      <c r="AI562" s="815" t="e">
        <f>YEAR($E$457)-YEAR(G562)-AH562</f>
        <v>#VALUE!</v>
      </c>
      <c r="AJ562" s="540">
        <f>IF((G562=""),30,AI562)</f>
        <v>30</v>
      </c>
      <c r="AK562" s="540">
        <f t="shared" si="240"/>
        <v>30</v>
      </c>
      <c r="AL562" s="909">
        <f>(AK562*(SUM(J562:J562)))</f>
        <v>0</v>
      </c>
      <c r="AN562" s="539">
        <f t="shared" si="283"/>
        <v>0</v>
      </c>
      <c r="AT562" s="317"/>
      <c r="AU562" s="317"/>
    </row>
    <row r="563" spans="3:47" ht="13.15" customHeight="1" x14ac:dyDescent="0.2">
      <c r="C563" s="381"/>
      <c r="D563" s="895" t="str">
        <f>IF(op!D451=0,"",op!D451)</f>
        <v/>
      </c>
      <c r="E563" s="895" t="str">
        <f>IF(op!E451=0,"",op!E451)</f>
        <v/>
      </c>
      <c r="F563" s="390" t="str">
        <f>IF(op!F451="","",op!F451+1)</f>
        <v/>
      </c>
      <c r="G563" s="896" t="str">
        <f>IF(op!G451=0,"",op!G451)</f>
        <v/>
      </c>
      <c r="H563" s="390" t="str">
        <f>IF(op!H451="","",op!H451)</f>
        <v/>
      </c>
      <c r="I563" s="897" t="str">
        <f>IF(E563="","",IF(I451=VLOOKUP(H563,Salaris2021,22,FALSE),I451,I451+1))</f>
        <v/>
      </c>
      <c r="J563" s="898" t="str">
        <f>IF(op!J451="","",op!J451)</f>
        <v/>
      </c>
      <c r="K563" s="334"/>
      <c r="L563" s="1140" t="str">
        <f>IF(op!L451="","",op!L451)</f>
        <v/>
      </c>
      <c r="M563" s="1140" t="str">
        <f>IF(op!M451="","",op!M451)</f>
        <v/>
      </c>
      <c r="N563" s="899" t="str">
        <f t="shared" si="276"/>
        <v/>
      </c>
      <c r="O563" s="900" t="str">
        <f t="shared" si="277"/>
        <v/>
      </c>
      <c r="P563" s="901" t="str">
        <f t="shared" si="278"/>
        <v/>
      </c>
      <c r="Q563" s="568" t="str">
        <f>IF(J563="","",(1659*J563-P563)*AA563)</f>
        <v/>
      </c>
      <c r="R563" s="902" t="str">
        <f t="shared" si="279"/>
        <v/>
      </c>
      <c r="S563" s="903">
        <f>IF(E563=0,0,SUM(Q563:R563))</f>
        <v>0</v>
      </c>
      <c r="T563" s="334"/>
      <c r="X563" s="887" t="str">
        <f t="shared" si="266"/>
        <v/>
      </c>
      <c r="Y563" s="904">
        <f t="shared" si="267"/>
        <v>0.6</v>
      </c>
      <c r="Z563" s="905" t="e">
        <f t="shared" si="280"/>
        <v>#VALUE!</v>
      </c>
      <c r="AA563" s="905" t="e">
        <f t="shared" si="281"/>
        <v>#VALUE!</v>
      </c>
      <c r="AB563" s="905" t="e">
        <f t="shared" si="282"/>
        <v>#VALUE!</v>
      </c>
      <c r="AC563" s="906" t="e">
        <f t="shared" si="268"/>
        <v>#VALUE!</v>
      </c>
      <c r="AD563" s="907">
        <f t="shared" si="269"/>
        <v>0</v>
      </c>
      <c r="AE563" s="904">
        <f>IF(H563&gt;8,tab!C$194,tab!C$197)</f>
        <v>0.5</v>
      </c>
      <c r="AF563" s="907">
        <f t="shared" si="270"/>
        <v>0</v>
      </c>
      <c r="AG563" s="887">
        <f>IF(AF563=25,(X563*1.08*J563/2),IF(AF563=40,(Y563*1.08*J563),IF(AF563=0,0)))</f>
        <v>0</v>
      </c>
      <c r="AH563" s="908" t="e">
        <f t="shared" si="272"/>
        <v>#VALUE!</v>
      </c>
      <c r="AI563" s="815" t="e">
        <f>YEAR($E$457)-YEAR(G563)-AH563</f>
        <v>#VALUE!</v>
      </c>
      <c r="AJ563" s="540">
        <f>IF((G563=""),30,AI563)</f>
        <v>30</v>
      </c>
      <c r="AK563" s="540">
        <f t="shared" si="240"/>
        <v>30</v>
      </c>
      <c r="AL563" s="909">
        <f>(AK563*(SUM(J563:J563)))</f>
        <v>0</v>
      </c>
      <c r="AN563" s="539">
        <f t="shared" si="283"/>
        <v>0</v>
      </c>
      <c r="AT563" s="317"/>
      <c r="AU563" s="317"/>
    </row>
    <row r="564" spans="3:47" ht="13.15" customHeight="1" x14ac:dyDescent="0.2">
      <c r="C564" s="381"/>
      <c r="D564" s="319"/>
      <c r="E564" s="342"/>
      <c r="F564" s="319"/>
      <c r="G564" s="910"/>
      <c r="H564" s="342"/>
      <c r="I564" s="911"/>
      <c r="J564" s="912">
        <f>SUM(J464:J563)</f>
        <v>1</v>
      </c>
      <c r="K564" s="319"/>
      <c r="L564" s="913">
        <f t="shared" ref="L564:S564" si="284">SUM(L464:L563)</f>
        <v>0</v>
      </c>
      <c r="M564" s="913">
        <f t="shared" si="284"/>
        <v>0</v>
      </c>
      <c r="N564" s="913">
        <f t="shared" si="284"/>
        <v>40</v>
      </c>
      <c r="O564" s="913">
        <f t="shared" si="284"/>
        <v>0</v>
      </c>
      <c r="P564" s="914">
        <f t="shared" si="284"/>
        <v>40</v>
      </c>
      <c r="Q564" s="571">
        <f t="shared" si="284"/>
        <v>77009.359855334536</v>
      </c>
      <c r="R564" s="915">
        <f t="shared" si="284"/>
        <v>1902.6401446654611</v>
      </c>
      <c r="S564" s="571">
        <f t="shared" si="284"/>
        <v>78912</v>
      </c>
      <c r="T564" s="319"/>
      <c r="AG564" s="575">
        <f>SUM(AG464:AG563)</f>
        <v>0</v>
      </c>
      <c r="AH564" s="563"/>
      <c r="AI564" s="563"/>
      <c r="AL564" s="909">
        <f>ROUND(SUM(AL464:AL563)/AN564,2)</f>
        <v>46</v>
      </c>
      <c r="AN564" s="539">
        <f>SUM(AN464:AN563)</f>
        <v>1</v>
      </c>
      <c r="AT564" s="317"/>
      <c r="AU564" s="317"/>
    </row>
    <row r="565" spans="3:47" ht="13.15" customHeight="1" x14ac:dyDescent="0.2"/>
    <row r="566" spans="3:47" ht="13.15" customHeight="1" x14ac:dyDescent="0.2"/>
    <row r="567" spans="3:47" ht="13.15" customHeight="1" x14ac:dyDescent="0.2"/>
    <row r="568" spans="3:47" ht="13.15" customHeight="1" x14ac:dyDescent="0.2">
      <c r="C568" s="317" t="s">
        <v>48</v>
      </c>
      <c r="E568" s="950" t="str">
        <f>tab!I2</f>
        <v>2024/25</v>
      </c>
    </row>
    <row r="569" spans="3:47" ht="13.15" customHeight="1" x14ac:dyDescent="0.2">
      <c r="C569" s="317" t="s">
        <v>125</v>
      </c>
      <c r="E569" s="950">
        <f>tab!J3</f>
        <v>45566</v>
      </c>
    </row>
    <row r="570" spans="3:47" ht="13.15" customHeight="1" x14ac:dyDescent="0.2"/>
    <row r="571" spans="3:47" ht="13.15" customHeight="1" x14ac:dyDescent="0.2">
      <c r="C571" s="928"/>
      <c r="D571" s="374"/>
      <c r="E571" s="562"/>
      <c r="F571" s="349"/>
      <c r="G571" s="929"/>
      <c r="H571" s="930"/>
      <c r="I571" s="930"/>
      <c r="J571" s="931"/>
      <c r="K571" s="347"/>
      <c r="L571" s="930"/>
      <c r="M571" s="349"/>
      <c r="N571" s="349"/>
      <c r="O571" s="349"/>
      <c r="P571" s="932"/>
      <c r="Q571" s="933"/>
      <c r="R571" s="954"/>
      <c r="T571" s="347"/>
    </row>
    <row r="572" spans="3:47" ht="13.15" customHeight="1" x14ac:dyDescent="0.2">
      <c r="C572" s="935"/>
      <c r="D572" s="1346" t="s">
        <v>126</v>
      </c>
      <c r="E572" s="1347"/>
      <c r="F572" s="1347"/>
      <c r="G572" s="1347"/>
      <c r="H572" s="1347"/>
      <c r="I572" s="1347"/>
      <c r="J572" s="1347"/>
      <c r="K572" s="868"/>
      <c r="L572" s="579" t="s">
        <v>440</v>
      </c>
      <c r="M572" s="869"/>
      <c r="N572" s="869"/>
      <c r="O572" s="869"/>
      <c r="P572" s="870"/>
      <c r="Q572" s="579" t="s">
        <v>450</v>
      </c>
      <c r="R572" s="869"/>
      <c r="S572" s="869"/>
      <c r="T572" s="936"/>
      <c r="AH572" s="540"/>
      <c r="AI572" s="540"/>
      <c r="AL572" s="540"/>
    </row>
    <row r="573" spans="3:47" ht="13.15" customHeight="1" x14ac:dyDescent="0.2">
      <c r="C573" s="406"/>
      <c r="D573" s="871" t="s">
        <v>529</v>
      </c>
      <c r="E573" s="871" t="s">
        <v>88</v>
      </c>
      <c r="F573" s="872" t="s">
        <v>128</v>
      </c>
      <c r="G573" s="873" t="s">
        <v>129</v>
      </c>
      <c r="H573" s="872" t="s">
        <v>130</v>
      </c>
      <c r="I573" s="872" t="s">
        <v>131</v>
      </c>
      <c r="J573" s="874" t="s">
        <v>132</v>
      </c>
      <c r="K573" s="871"/>
      <c r="L573" s="775" t="s">
        <v>441</v>
      </c>
      <c r="M573" s="775" t="s">
        <v>444</v>
      </c>
      <c r="N573" s="775" t="s">
        <v>446</v>
      </c>
      <c r="O573" s="775" t="s">
        <v>443</v>
      </c>
      <c r="P573" s="875" t="s">
        <v>449</v>
      </c>
      <c r="Q573" s="775" t="s">
        <v>133</v>
      </c>
      <c r="R573" s="876" t="s">
        <v>453</v>
      </c>
      <c r="S573" s="877" t="s">
        <v>133</v>
      </c>
      <c r="T573" s="321"/>
      <c r="X573" s="879" t="s">
        <v>139</v>
      </c>
      <c r="Y573" s="880" t="s">
        <v>454</v>
      </c>
      <c r="Z573" s="586" t="s">
        <v>455</v>
      </c>
      <c r="AA573" s="586" t="s">
        <v>455</v>
      </c>
      <c r="AB573" s="586" t="s">
        <v>456</v>
      </c>
      <c r="AC573" s="878" t="s">
        <v>457</v>
      </c>
      <c r="AD573" s="586" t="s">
        <v>458</v>
      </c>
      <c r="AE573" s="586" t="s">
        <v>459</v>
      </c>
      <c r="AF573" s="586" t="s">
        <v>134</v>
      </c>
      <c r="AG573" s="877" t="s">
        <v>135</v>
      </c>
      <c r="AH573" s="881" t="s">
        <v>143</v>
      </c>
      <c r="AI573" s="881" t="s">
        <v>144</v>
      </c>
      <c r="AJ573" s="881" t="s">
        <v>145</v>
      </c>
      <c r="AK573" s="586" t="s">
        <v>146</v>
      </c>
      <c r="AL573" s="879" t="s">
        <v>1</v>
      </c>
    </row>
    <row r="574" spans="3:47" ht="13.15" customHeight="1" x14ac:dyDescent="0.2">
      <c r="C574" s="381"/>
      <c r="D574" s="883"/>
      <c r="E574" s="871"/>
      <c r="F574" s="872" t="s">
        <v>136</v>
      </c>
      <c r="G574" s="873" t="s">
        <v>137</v>
      </c>
      <c r="H574" s="872"/>
      <c r="I574" s="872"/>
      <c r="J574" s="874" t="s">
        <v>138</v>
      </c>
      <c r="K574" s="871"/>
      <c r="L574" s="775" t="s">
        <v>442</v>
      </c>
      <c r="M574" s="775" t="s">
        <v>445</v>
      </c>
      <c r="N574" s="775" t="s">
        <v>447</v>
      </c>
      <c r="O574" s="775" t="s">
        <v>448</v>
      </c>
      <c r="P574" s="875" t="s">
        <v>141</v>
      </c>
      <c r="Q574" s="586" t="s">
        <v>451</v>
      </c>
      <c r="R574" s="876" t="s">
        <v>452</v>
      </c>
      <c r="S574" s="884" t="s">
        <v>141</v>
      </c>
      <c r="T574" s="321"/>
      <c r="X574" s="586" t="s">
        <v>460</v>
      </c>
      <c r="Y574" s="885">
        <f>tab!C$193</f>
        <v>0.6</v>
      </c>
      <c r="Z574" s="586" t="s">
        <v>461</v>
      </c>
      <c r="AA574" s="586" t="s">
        <v>462</v>
      </c>
      <c r="AB574" s="586" t="s">
        <v>463</v>
      </c>
      <c r="AC574" s="878" t="s">
        <v>464</v>
      </c>
      <c r="AD574" s="586" t="s">
        <v>464</v>
      </c>
      <c r="AE574" s="586" t="s">
        <v>465</v>
      </c>
      <c r="AF574" s="586"/>
      <c r="AG574" s="586" t="s">
        <v>140</v>
      </c>
      <c r="AH574" s="886" t="s">
        <v>147</v>
      </c>
      <c r="AI574" s="886" t="s">
        <v>147</v>
      </c>
      <c r="AJ574" s="881"/>
      <c r="AK574" s="586" t="s">
        <v>1</v>
      </c>
      <c r="AL574" s="879"/>
    </row>
    <row r="575" spans="3:47" ht="13.15" customHeight="1" x14ac:dyDescent="0.2">
      <c r="C575" s="381"/>
      <c r="D575" s="334"/>
      <c r="E575" s="334"/>
      <c r="F575" s="334"/>
      <c r="G575" s="888"/>
      <c r="H575" s="889"/>
      <c r="I575" s="889"/>
      <c r="J575" s="890"/>
      <c r="K575" s="334"/>
      <c r="L575" s="891"/>
      <c r="M575" s="776"/>
      <c r="N575" s="776"/>
      <c r="O575" s="776"/>
      <c r="P575" s="892"/>
      <c r="Q575" s="893"/>
      <c r="R575" s="776"/>
      <c r="S575" s="776"/>
      <c r="T575" s="334"/>
      <c r="X575" s="878"/>
      <c r="Y575" s="878"/>
      <c r="Z575" s="878"/>
      <c r="AA575" s="878"/>
      <c r="AB575" s="878"/>
      <c r="AC575" s="878"/>
      <c r="AD575" s="878"/>
      <c r="AE575" s="878"/>
      <c r="AF575" s="878"/>
      <c r="AG575" s="878"/>
      <c r="AL575" s="879"/>
    </row>
    <row r="576" spans="3:47" ht="13.15" customHeight="1" x14ac:dyDescent="0.2">
      <c r="C576" s="381"/>
      <c r="D576" s="895" t="str">
        <f>IF(op!D464=0,"",op!D464)</f>
        <v/>
      </c>
      <c r="E576" s="895" t="str">
        <f>IF(op!E464=0,"",op!E464)</f>
        <v>piet</v>
      </c>
      <c r="F576" s="390" t="str">
        <f>IF(op!F464="","",op!F464+1)</f>
        <v/>
      </c>
      <c r="G576" s="896">
        <f>IF(op!G464=0,"",op!G464)</f>
        <v>28140</v>
      </c>
      <c r="H576" s="390" t="str">
        <f>IF(op!H464="","",op!H464)</f>
        <v>L11</v>
      </c>
      <c r="I576" s="897">
        <f t="shared" ref="I576:I607" si="285">IF(E576="","",IF(I464=VLOOKUP(H576,Salaris2021,22,FALSE),I464,I464+1))</f>
        <v>14</v>
      </c>
      <c r="J576" s="898">
        <f>IF(op!J464="","",op!J464)</f>
        <v>1</v>
      </c>
      <c r="K576" s="334"/>
      <c r="L576" s="1140" t="str">
        <f>IF(op!L464="","",op!L464)</f>
        <v/>
      </c>
      <c r="M576" s="1140" t="str">
        <f>IF(op!M464="","",op!M464)</f>
        <v/>
      </c>
      <c r="N576" s="899">
        <f>IF(J576="","",IF(J576*40&gt;40,40,J576*40))</f>
        <v>40</v>
      </c>
      <c r="O576" s="900">
        <f>IF(H576="","",IF(I576&lt;4,IF(40*J576&gt;40,40,40*J576),0))</f>
        <v>0</v>
      </c>
      <c r="P576" s="901">
        <f>IF(J576="","",SUM(L576:O576))</f>
        <v>40</v>
      </c>
      <c r="Q576" s="568">
        <f t="shared" ref="Q576:Q607" si="286">IF(J576="","",(1659*J576-P576)*AA576)</f>
        <v>79613.812658227849</v>
      </c>
      <c r="R576" s="902">
        <f>IF(J576="","",(P576*AB576)+Z576*(AC576+AD576*(1-AE576)))</f>
        <v>1966.9873417721519</v>
      </c>
      <c r="S576" s="903">
        <f t="shared" ref="S576:S607" si="287">IF(E576=0,0,SUM(Q576:R576))</f>
        <v>81580.800000000003</v>
      </c>
      <c r="T576" s="334"/>
      <c r="X576" s="887">
        <f t="shared" ref="X576:X607" si="288">IF(H576="","",VLOOKUP(H576,Salaris2021,I576+1,FALSE))</f>
        <v>4249</v>
      </c>
      <c r="Y576" s="904">
        <f t="shared" ref="Y576:Y607" si="289">$Y$14</f>
        <v>0.6</v>
      </c>
      <c r="Z576" s="905">
        <f>X576*12/1659</f>
        <v>30.734177215189874</v>
      </c>
      <c r="AA576" s="905">
        <f>X576*12*(1+Y576)/1659</f>
        <v>49.174683544303797</v>
      </c>
      <c r="AB576" s="905">
        <f>AA576-Z576</f>
        <v>18.440506329113923</v>
      </c>
      <c r="AC576" s="906">
        <f t="shared" ref="AC576:AC607" si="290">N576+O576</f>
        <v>40</v>
      </c>
      <c r="AD576" s="907">
        <f t="shared" ref="AD576:AD607" si="291">SUM(L576:M576)</f>
        <v>0</v>
      </c>
      <c r="AE576" s="904">
        <f>IF(H576&gt;8,tab!C$194,tab!C$197)</f>
        <v>0.5</v>
      </c>
      <c r="AF576" s="907">
        <f t="shared" ref="AF576:AF607" si="292">IF(F576&lt;25,0,IF(F576=25,25,IF(F576&lt;40,0,IF(F576=40,40,IF(F576&gt;=40,0)))))</f>
        <v>0</v>
      </c>
      <c r="AG576" s="887">
        <f t="shared" ref="AG576:AG607" si="293">IF(AF576=25,(X576*1.08*J576/2),IF(AF576=40,(Y576*1.08*J576),IF(AF576=0,0)))</f>
        <v>0</v>
      </c>
      <c r="AH576" s="908" t="b">
        <f t="shared" ref="AH576:AH607" si="294">DATE(YEAR($E$233),MONTH(G576),DAY(G576))&gt;$E$233</f>
        <v>0</v>
      </c>
      <c r="AI576" s="815">
        <f t="shared" ref="AI576:AI607" si="295">YEAR($E$569)-YEAR(G576)-AH576</f>
        <v>47</v>
      </c>
      <c r="AJ576" s="540">
        <f t="shared" ref="AJ576:AJ607" si="296">IF((G576=""),30,AI576)</f>
        <v>47</v>
      </c>
      <c r="AK576" s="540">
        <f t="shared" ref="AK576:AK675" si="297">IF((AJ576)&gt;50,50,(AJ576))</f>
        <v>47</v>
      </c>
      <c r="AL576" s="909">
        <f t="shared" ref="AL576:AL607" si="298">(AK576*(SUM(J576:J576)))</f>
        <v>47</v>
      </c>
      <c r="AN576" s="539">
        <f t="shared" ref="AN576:AN639" si="299">IF(AND(AL576&gt;0.01,AL576&lt;50.01),1,0)</f>
        <v>1</v>
      </c>
    </row>
    <row r="577" spans="3:47" ht="13.15" customHeight="1" x14ac:dyDescent="0.2">
      <c r="C577" s="381"/>
      <c r="D577" s="895" t="str">
        <f>IF(op!D465=0,"",op!D465)</f>
        <v/>
      </c>
      <c r="E577" s="895" t="str">
        <f>IF(op!E465=0,"",op!E465)</f>
        <v/>
      </c>
      <c r="F577" s="390" t="str">
        <f>IF(op!F465="","",op!F465+1)</f>
        <v/>
      </c>
      <c r="G577" s="896" t="str">
        <f>IF(op!G465=0,"",op!G465)</f>
        <v/>
      </c>
      <c r="H577" s="390" t="str">
        <f>IF(op!H465="","",op!H465)</f>
        <v/>
      </c>
      <c r="I577" s="897" t="str">
        <f t="shared" si="285"/>
        <v/>
      </c>
      <c r="J577" s="898" t="str">
        <f>IF(op!J465="","",op!J465)</f>
        <v/>
      </c>
      <c r="K577" s="334"/>
      <c r="L577" s="1140" t="str">
        <f>IF(op!L465="","",op!L465)</f>
        <v/>
      </c>
      <c r="M577" s="1140" t="str">
        <f>IF(op!M465="","",op!M465)</f>
        <v/>
      </c>
      <c r="N577" s="899" t="str">
        <f t="shared" ref="N577:N640" si="300">IF(J577="","",IF(J577*40&gt;40,40,J577*40))</f>
        <v/>
      </c>
      <c r="O577" s="900" t="str">
        <f t="shared" ref="O577:O640" si="301">IF(H577="","",IF(I577&lt;4,IF(40*J577&gt;40,40,40*J577),0))</f>
        <v/>
      </c>
      <c r="P577" s="901" t="str">
        <f t="shared" ref="P577:P640" si="302">IF(J577="","",SUM(L577:O577))</f>
        <v/>
      </c>
      <c r="Q577" s="568" t="str">
        <f t="shared" si="286"/>
        <v/>
      </c>
      <c r="R577" s="902" t="str">
        <f t="shared" ref="R577:R640" si="303">IF(J577="","",(P577*AB577)+Z577*(AC577+AD577*(1-AE577)))</f>
        <v/>
      </c>
      <c r="S577" s="903">
        <f t="shared" si="287"/>
        <v>0</v>
      </c>
      <c r="T577" s="334"/>
      <c r="X577" s="887" t="str">
        <f t="shared" si="288"/>
        <v/>
      </c>
      <c r="Y577" s="904">
        <f t="shared" si="289"/>
        <v>0.6</v>
      </c>
      <c r="Z577" s="905" t="e">
        <f t="shared" ref="Z577:Z640" si="304">X577*12/1659</f>
        <v>#VALUE!</v>
      </c>
      <c r="AA577" s="905" t="e">
        <f t="shared" ref="AA577:AA640" si="305">X577*12*(1+Y577)/1659</f>
        <v>#VALUE!</v>
      </c>
      <c r="AB577" s="905" t="e">
        <f t="shared" ref="AB577:AB640" si="306">AA577-Z577</f>
        <v>#VALUE!</v>
      </c>
      <c r="AC577" s="906" t="e">
        <f t="shared" si="290"/>
        <v>#VALUE!</v>
      </c>
      <c r="AD577" s="907">
        <f t="shared" si="291"/>
        <v>0</v>
      </c>
      <c r="AE577" s="904">
        <f>IF(H577&gt;8,tab!C$194,tab!C$197)</f>
        <v>0.5</v>
      </c>
      <c r="AF577" s="907">
        <f t="shared" si="292"/>
        <v>0</v>
      </c>
      <c r="AG577" s="887">
        <f t="shared" si="293"/>
        <v>0</v>
      </c>
      <c r="AH577" s="908" t="e">
        <f t="shared" si="294"/>
        <v>#VALUE!</v>
      </c>
      <c r="AI577" s="815" t="e">
        <f t="shared" si="295"/>
        <v>#VALUE!</v>
      </c>
      <c r="AJ577" s="540">
        <f t="shared" si="296"/>
        <v>30</v>
      </c>
      <c r="AK577" s="540">
        <f t="shared" si="297"/>
        <v>30</v>
      </c>
      <c r="AL577" s="909">
        <f t="shared" si="298"/>
        <v>0</v>
      </c>
      <c r="AN577" s="539">
        <f t="shared" si="299"/>
        <v>0</v>
      </c>
      <c r="AT577" s="317"/>
      <c r="AU577" s="317"/>
    </row>
    <row r="578" spans="3:47" ht="13.15" customHeight="1" x14ac:dyDescent="0.2">
      <c r="C578" s="381"/>
      <c r="D578" s="895" t="str">
        <f>IF(op!D466=0,"",op!D466)</f>
        <v/>
      </c>
      <c r="E578" s="895" t="str">
        <f>IF(op!E466=0,"",op!E466)</f>
        <v/>
      </c>
      <c r="F578" s="390" t="str">
        <f>IF(op!F466="","",op!F466+1)</f>
        <v/>
      </c>
      <c r="G578" s="896" t="str">
        <f>IF(op!G466=0,"",op!G466)</f>
        <v/>
      </c>
      <c r="H578" s="390" t="str">
        <f>IF(op!H466="","",op!H466)</f>
        <v/>
      </c>
      <c r="I578" s="897" t="str">
        <f t="shared" si="285"/>
        <v/>
      </c>
      <c r="J578" s="898" t="str">
        <f>IF(op!J466="","",op!J466)</f>
        <v/>
      </c>
      <c r="K578" s="334"/>
      <c r="L578" s="1140" t="str">
        <f>IF(op!L466="","",op!L466)</f>
        <v/>
      </c>
      <c r="M578" s="1140" t="str">
        <f>IF(op!M466="","",op!M466)</f>
        <v/>
      </c>
      <c r="N578" s="899" t="str">
        <f t="shared" si="300"/>
        <v/>
      </c>
      <c r="O578" s="900" t="str">
        <f t="shared" si="301"/>
        <v/>
      </c>
      <c r="P578" s="901" t="str">
        <f t="shared" si="302"/>
        <v/>
      </c>
      <c r="Q578" s="568" t="str">
        <f t="shared" si="286"/>
        <v/>
      </c>
      <c r="R578" s="902" t="str">
        <f t="shared" si="303"/>
        <v/>
      </c>
      <c r="S578" s="903">
        <f t="shared" si="287"/>
        <v>0</v>
      </c>
      <c r="T578" s="334"/>
      <c r="X578" s="887" t="str">
        <f t="shared" si="288"/>
        <v/>
      </c>
      <c r="Y578" s="904">
        <f t="shared" si="289"/>
        <v>0.6</v>
      </c>
      <c r="Z578" s="905" t="e">
        <f t="shared" si="304"/>
        <v>#VALUE!</v>
      </c>
      <c r="AA578" s="905" t="e">
        <f t="shared" si="305"/>
        <v>#VALUE!</v>
      </c>
      <c r="AB578" s="905" t="e">
        <f t="shared" si="306"/>
        <v>#VALUE!</v>
      </c>
      <c r="AC578" s="906" t="e">
        <f t="shared" si="290"/>
        <v>#VALUE!</v>
      </c>
      <c r="AD578" s="907">
        <f t="shared" si="291"/>
        <v>0</v>
      </c>
      <c r="AE578" s="904">
        <f>IF(H578&gt;8,tab!C$194,tab!C$197)</f>
        <v>0.5</v>
      </c>
      <c r="AF578" s="907">
        <f t="shared" si="292"/>
        <v>0</v>
      </c>
      <c r="AG578" s="887">
        <f t="shared" si="293"/>
        <v>0</v>
      </c>
      <c r="AH578" s="908" t="e">
        <f t="shared" si="294"/>
        <v>#VALUE!</v>
      </c>
      <c r="AI578" s="815" t="e">
        <f t="shared" si="295"/>
        <v>#VALUE!</v>
      </c>
      <c r="AJ578" s="540">
        <f t="shared" si="296"/>
        <v>30</v>
      </c>
      <c r="AK578" s="540">
        <f t="shared" si="297"/>
        <v>30</v>
      </c>
      <c r="AL578" s="909">
        <f t="shared" si="298"/>
        <v>0</v>
      </c>
      <c r="AN578" s="539">
        <f t="shared" si="299"/>
        <v>0</v>
      </c>
      <c r="AT578" s="317"/>
      <c r="AU578" s="317"/>
    </row>
    <row r="579" spans="3:47" ht="13.15" customHeight="1" x14ac:dyDescent="0.2">
      <c r="C579" s="381"/>
      <c r="D579" s="895" t="str">
        <f>IF(op!D467=0,"",op!D467)</f>
        <v/>
      </c>
      <c r="E579" s="895" t="str">
        <f>IF(op!E467=0,"",op!E467)</f>
        <v/>
      </c>
      <c r="F579" s="390" t="str">
        <f>IF(op!F467="","",op!F467+1)</f>
        <v/>
      </c>
      <c r="G579" s="896" t="str">
        <f>IF(op!G467=0,"",op!G467)</f>
        <v/>
      </c>
      <c r="H579" s="390" t="str">
        <f>IF(op!H467="","",op!H467)</f>
        <v/>
      </c>
      <c r="I579" s="897" t="str">
        <f t="shared" si="285"/>
        <v/>
      </c>
      <c r="J579" s="898" t="str">
        <f>IF(op!J467="","",op!J467)</f>
        <v/>
      </c>
      <c r="K579" s="334"/>
      <c r="L579" s="1140" t="str">
        <f>IF(op!L467="","",op!L467)</f>
        <v/>
      </c>
      <c r="M579" s="1140" t="str">
        <f>IF(op!M467="","",op!M467)</f>
        <v/>
      </c>
      <c r="N579" s="899" t="str">
        <f t="shared" si="300"/>
        <v/>
      </c>
      <c r="O579" s="900" t="str">
        <f t="shared" si="301"/>
        <v/>
      </c>
      <c r="P579" s="901" t="str">
        <f t="shared" si="302"/>
        <v/>
      </c>
      <c r="Q579" s="568" t="str">
        <f t="shared" si="286"/>
        <v/>
      </c>
      <c r="R579" s="902" t="str">
        <f t="shared" si="303"/>
        <v/>
      </c>
      <c r="S579" s="903">
        <f t="shared" si="287"/>
        <v>0</v>
      </c>
      <c r="T579" s="334"/>
      <c r="X579" s="887" t="str">
        <f t="shared" si="288"/>
        <v/>
      </c>
      <c r="Y579" s="904">
        <f t="shared" si="289"/>
        <v>0.6</v>
      </c>
      <c r="Z579" s="905" t="e">
        <f t="shared" si="304"/>
        <v>#VALUE!</v>
      </c>
      <c r="AA579" s="905" t="e">
        <f t="shared" si="305"/>
        <v>#VALUE!</v>
      </c>
      <c r="AB579" s="905" t="e">
        <f t="shared" si="306"/>
        <v>#VALUE!</v>
      </c>
      <c r="AC579" s="906" t="e">
        <f t="shared" si="290"/>
        <v>#VALUE!</v>
      </c>
      <c r="AD579" s="907">
        <f t="shared" si="291"/>
        <v>0</v>
      </c>
      <c r="AE579" s="904">
        <f>IF(H579&gt;8,tab!C$194,tab!C$197)</f>
        <v>0.5</v>
      </c>
      <c r="AF579" s="907">
        <f t="shared" si="292"/>
        <v>0</v>
      </c>
      <c r="AG579" s="887">
        <f t="shared" si="293"/>
        <v>0</v>
      </c>
      <c r="AH579" s="908" t="e">
        <f t="shared" si="294"/>
        <v>#VALUE!</v>
      </c>
      <c r="AI579" s="815" t="e">
        <f t="shared" si="295"/>
        <v>#VALUE!</v>
      </c>
      <c r="AJ579" s="540">
        <f t="shared" si="296"/>
        <v>30</v>
      </c>
      <c r="AK579" s="540">
        <f t="shared" si="297"/>
        <v>30</v>
      </c>
      <c r="AL579" s="909">
        <f t="shared" si="298"/>
        <v>0</v>
      </c>
      <c r="AN579" s="539">
        <f t="shared" si="299"/>
        <v>0</v>
      </c>
      <c r="AT579" s="317"/>
      <c r="AU579" s="317"/>
    </row>
    <row r="580" spans="3:47" ht="13.15" customHeight="1" x14ac:dyDescent="0.2">
      <c r="C580" s="381"/>
      <c r="D580" s="895" t="str">
        <f>IF(op!D468=0,"",op!D468)</f>
        <v/>
      </c>
      <c r="E580" s="895" t="str">
        <f>IF(op!E468=0,"",op!E468)</f>
        <v/>
      </c>
      <c r="F580" s="390" t="str">
        <f>IF(op!F468="","",op!F468+1)</f>
        <v/>
      </c>
      <c r="G580" s="896" t="str">
        <f>IF(op!G468=0,"",op!G468)</f>
        <v/>
      </c>
      <c r="H580" s="390" t="str">
        <f>IF(op!H468="","",op!H468)</f>
        <v/>
      </c>
      <c r="I580" s="897" t="str">
        <f t="shared" si="285"/>
        <v/>
      </c>
      <c r="J580" s="898" t="str">
        <f>IF(op!J468="","",op!J468)</f>
        <v/>
      </c>
      <c r="K580" s="334"/>
      <c r="L580" s="1140" t="str">
        <f>IF(op!L468="","",op!L468)</f>
        <v/>
      </c>
      <c r="M580" s="1140" t="str">
        <f>IF(op!M468="","",op!M468)</f>
        <v/>
      </c>
      <c r="N580" s="899" t="str">
        <f t="shared" si="300"/>
        <v/>
      </c>
      <c r="O580" s="900" t="str">
        <f t="shared" si="301"/>
        <v/>
      </c>
      <c r="P580" s="901" t="str">
        <f t="shared" si="302"/>
        <v/>
      </c>
      <c r="Q580" s="568" t="str">
        <f t="shared" si="286"/>
        <v/>
      </c>
      <c r="R580" s="902" t="str">
        <f t="shared" si="303"/>
        <v/>
      </c>
      <c r="S580" s="903">
        <f t="shared" si="287"/>
        <v>0</v>
      </c>
      <c r="T580" s="334"/>
      <c r="X580" s="887" t="str">
        <f t="shared" si="288"/>
        <v/>
      </c>
      <c r="Y580" s="904">
        <f t="shared" si="289"/>
        <v>0.6</v>
      </c>
      <c r="Z580" s="905" t="e">
        <f t="shared" si="304"/>
        <v>#VALUE!</v>
      </c>
      <c r="AA580" s="905" t="e">
        <f t="shared" si="305"/>
        <v>#VALUE!</v>
      </c>
      <c r="AB580" s="905" t="e">
        <f t="shared" si="306"/>
        <v>#VALUE!</v>
      </c>
      <c r="AC580" s="906" t="e">
        <f t="shared" si="290"/>
        <v>#VALUE!</v>
      </c>
      <c r="AD580" s="907">
        <f t="shared" si="291"/>
        <v>0</v>
      </c>
      <c r="AE580" s="904">
        <f>IF(H580&gt;8,tab!C$194,tab!C$197)</f>
        <v>0.5</v>
      </c>
      <c r="AF580" s="907">
        <f t="shared" si="292"/>
        <v>0</v>
      </c>
      <c r="AG580" s="887">
        <f t="shared" si="293"/>
        <v>0</v>
      </c>
      <c r="AH580" s="908" t="e">
        <f t="shared" si="294"/>
        <v>#VALUE!</v>
      </c>
      <c r="AI580" s="815" t="e">
        <f t="shared" si="295"/>
        <v>#VALUE!</v>
      </c>
      <c r="AJ580" s="540">
        <f t="shared" si="296"/>
        <v>30</v>
      </c>
      <c r="AK580" s="540">
        <f t="shared" si="297"/>
        <v>30</v>
      </c>
      <c r="AL580" s="909">
        <f t="shared" si="298"/>
        <v>0</v>
      </c>
      <c r="AN580" s="539">
        <f t="shared" si="299"/>
        <v>0</v>
      </c>
      <c r="AT580" s="317"/>
      <c r="AU580" s="317"/>
    </row>
    <row r="581" spans="3:47" ht="13.15" customHeight="1" x14ac:dyDescent="0.2">
      <c r="C581" s="381"/>
      <c r="D581" s="895" t="str">
        <f>IF(op!D469=0,"",op!D469)</f>
        <v/>
      </c>
      <c r="E581" s="895" t="str">
        <f>IF(op!E469=0,"",op!E469)</f>
        <v/>
      </c>
      <c r="F581" s="390" t="str">
        <f>IF(op!F469="","",op!F469+1)</f>
        <v/>
      </c>
      <c r="G581" s="896" t="str">
        <f>IF(op!G469=0,"",op!G469)</f>
        <v/>
      </c>
      <c r="H581" s="390" t="str">
        <f>IF(op!H469="","",op!H469)</f>
        <v/>
      </c>
      <c r="I581" s="897" t="str">
        <f t="shared" si="285"/>
        <v/>
      </c>
      <c r="J581" s="898" t="str">
        <f>IF(op!J469="","",op!J469)</f>
        <v/>
      </c>
      <c r="K581" s="334"/>
      <c r="L581" s="1140" t="str">
        <f>IF(op!L469="","",op!L469)</f>
        <v/>
      </c>
      <c r="M581" s="1140" t="str">
        <f>IF(op!M469="","",op!M469)</f>
        <v/>
      </c>
      <c r="N581" s="899" t="str">
        <f t="shared" si="300"/>
        <v/>
      </c>
      <c r="O581" s="900" t="str">
        <f t="shared" si="301"/>
        <v/>
      </c>
      <c r="P581" s="901" t="str">
        <f t="shared" si="302"/>
        <v/>
      </c>
      <c r="Q581" s="568" t="str">
        <f t="shared" si="286"/>
        <v/>
      </c>
      <c r="R581" s="902" t="str">
        <f t="shared" si="303"/>
        <v/>
      </c>
      <c r="S581" s="903">
        <f t="shared" si="287"/>
        <v>0</v>
      </c>
      <c r="T581" s="334"/>
      <c r="X581" s="887" t="str">
        <f t="shared" si="288"/>
        <v/>
      </c>
      <c r="Y581" s="904">
        <f t="shared" si="289"/>
        <v>0.6</v>
      </c>
      <c r="Z581" s="905" t="e">
        <f t="shared" si="304"/>
        <v>#VALUE!</v>
      </c>
      <c r="AA581" s="905" t="e">
        <f t="shared" si="305"/>
        <v>#VALUE!</v>
      </c>
      <c r="AB581" s="905" t="e">
        <f t="shared" si="306"/>
        <v>#VALUE!</v>
      </c>
      <c r="AC581" s="906" t="e">
        <f t="shared" si="290"/>
        <v>#VALUE!</v>
      </c>
      <c r="AD581" s="907">
        <f t="shared" si="291"/>
        <v>0</v>
      </c>
      <c r="AE581" s="904">
        <f>IF(H581&gt;8,tab!C$194,tab!C$197)</f>
        <v>0.5</v>
      </c>
      <c r="AF581" s="907">
        <f t="shared" si="292"/>
        <v>0</v>
      </c>
      <c r="AG581" s="887">
        <f t="shared" si="293"/>
        <v>0</v>
      </c>
      <c r="AH581" s="908" t="e">
        <f t="shared" si="294"/>
        <v>#VALUE!</v>
      </c>
      <c r="AI581" s="815" t="e">
        <f t="shared" si="295"/>
        <v>#VALUE!</v>
      </c>
      <c r="AJ581" s="540">
        <f t="shared" si="296"/>
        <v>30</v>
      </c>
      <c r="AK581" s="540">
        <f t="shared" si="297"/>
        <v>30</v>
      </c>
      <c r="AL581" s="909">
        <f t="shared" si="298"/>
        <v>0</v>
      </c>
      <c r="AN581" s="539">
        <f t="shared" si="299"/>
        <v>0</v>
      </c>
      <c r="AT581" s="317"/>
      <c r="AU581" s="317"/>
    </row>
    <row r="582" spans="3:47" ht="13.15" customHeight="1" x14ac:dyDescent="0.2">
      <c r="C582" s="381"/>
      <c r="D582" s="895" t="str">
        <f>IF(op!D470=0,"",op!D470)</f>
        <v/>
      </c>
      <c r="E582" s="895" t="str">
        <f>IF(op!E470=0,"",op!E470)</f>
        <v/>
      </c>
      <c r="F582" s="390" t="str">
        <f>IF(op!F470="","",op!F470+1)</f>
        <v/>
      </c>
      <c r="G582" s="896" t="str">
        <f>IF(op!G470=0,"",op!G470)</f>
        <v/>
      </c>
      <c r="H582" s="390" t="str">
        <f>IF(op!H470="","",op!H470)</f>
        <v/>
      </c>
      <c r="I582" s="897" t="str">
        <f t="shared" si="285"/>
        <v/>
      </c>
      <c r="J582" s="898" t="str">
        <f>IF(op!J470="","",op!J470)</f>
        <v/>
      </c>
      <c r="K582" s="334"/>
      <c r="L582" s="1140" t="str">
        <f>IF(op!L470="","",op!L470)</f>
        <v/>
      </c>
      <c r="M582" s="1140" t="str">
        <f>IF(op!M470="","",op!M470)</f>
        <v/>
      </c>
      <c r="N582" s="899" t="str">
        <f t="shared" si="300"/>
        <v/>
      </c>
      <c r="O582" s="900" t="str">
        <f t="shared" si="301"/>
        <v/>
      </c>
      <c r="P582" s="901" t="str">
        <f t="shared" si="302"/>
        <v/>
      </c>
      <c r="Q582" s="568" t="str">
        <f t="shared" si="286"/>
        <v/>
      </c>
      <c r="R582" s="902" t="str">
        <f t="shared" si="303"/>
        <v/>
      </c>
      <c r="S582" s="903">
        <f t="shared" si="287"/>
        <v>0</v>
      </c>
      <c r="T582" s="334"/>
      <c r="X582" s="887" t="str">
        <f t="shared" si="288"/>
        <v/>
      </c>
      <c r="Y582" s="904">
        <f t="shared" si="289"/>
        <v>0.6</v>
      </c>
      <c r="Z582" s="905" t="e">
        <f t="shared" si="304"/>
        <v>#VALUE!</v>
      </c>
      <c r="AA582" s="905" t="e">
        <f t="shared" si="305"/>
        <v>#VALUE!</v>
      </c>
      <c r="AB582" s="905" t="e">
        <f t="shared" si="306"/>
        <v>#VALUE!</v>
      </c>
      <c r="AC582" s="906" t="e">
        <f t="shared" si="290"/>
        <v>#VALUE!</v>
      </c>
      <c r="AD582" s="907">
        <f t="shared" si="291"/>
        <v>0</v>
      </c>
      <c r="AE582" s="904">
        <f>IF(H582&gt;8,tab!C$194,tab!C$197)</f>
        <v>0.5</v>
      </c>
      <c r="AF582" s="907">
        <f t="shared" si="292"/>
        <v>0</v>
      </c>
      <c r="AG582" s="887">
        <f t="shared" si="293"/>
        <v>0</v>
      </c>
      <c r="AH582" s="908" t="e">
        <f t="shared" si="294"/>
        <v>#VALUE!</v>
      </c>
      <c r="AI582" s="815" t="e">
        <f t="shared" si="295"/>
        <v>#VALUE!</v>
      </c>
      <c r="AJ582" s="540">
        <f t="shared" si="296"/>
        <v>30</v>
      </c>
      <c r="AK582" s="540">
        <f t="shared" si="297"/>
        <v>30</v>
      </c>
      <c r="AL582" s="909">
        <f t="shared" si="298"/>
        <v>0</v>
      </c>
      <c r="AN582" s="539">
        <f t="shared" si="299"/>
        <v>0</v>
      </c>
      <c r="AT582" s="317"/>
      <c r="AU582" s="317"/>
    </row>
    <row r="583" spans="3:47" ht="13.15" customHeight="1" x14ac:dyDescent="0.2">
      <c r="C583" s="381"/>
      <c r="D583" s="895" t="str">
        <f>IF(op!D471=0,"",op!D471)</f>
        <v/>
      </c>
      <c r="E583" s="895" t="str">
        <f>IF(op!E471=0,"",op!E471)</f>
        <v/>
      </c>
      <c r="F583" s="390" t="str">
        <f>IF(op!F471="","",op!F471+1)</f>
        <v/>
      </c>
      <c r="G583" s="896" t="str">
        <f>IF(op!G471=0,"",op!G471)</f>
        <v/>
      </c>
      <c r="H583" s="390" t="str">
        <f>IF(op!H471="","",op!H471)</f>
        <v/>
      </c>
      <c r="I583" s="897" t="str">
        <f t="shared" si="285"/>
        <v/>
      </c>
      <c r="J583" s="898" t="str">
        <f>IF(op!J471="","",op!J471)</f>
        <v/>
      </c>
      <c r="K583" s="334"/>
      <c r="L583" s="1140" t="str">
        <f>IF(op!L471="","",op!L471)</f>
        <v/>
      </c>
      <c r="M583" s="1140" t="str">
        <f>IF(op!M471="","",op!M471)</f>
        <v/>
      </c>
      <c r="N583" s="899" t="str">
        <f t="shared" si="300"/>
        <v/>
      </c>
      <c r="O583" s="900" t="str">
        <f t="shared" si="301"/>
        <v/>
      </c>
      <c r="P583" s="901" t="str">
        <f t="shared" si="302"/>
        <v/>
      </c>
      <c r="Q583" s="568" t="str">
        <f t="shared" si="286"/>
        <v/>
      </c>
      <c r="R583" s="902" t="str">
        <f t="shared" si="303"/>
        <v/>
      </c>
      <c r="S583" s="903">
        <f t="shared" si="287"/>
        <v>0</v>
      </c>
      <c r="T583" s="334"/>
      <c r="X583" s="887" t="str">
        <f t="shared" si="288"/>
        <v/>
      </c>
      <c r="Y583" s="904">
        <f t="shared" si="289"/>
        <v>0.6</v>
      </c>
      <c r="Z583" s="905" t="e">
        <f t="shared" si="304"/>
        <v>#VALUE!</v>
      </c>
      <c r="AA583" s="905" t="e">
        <f t="shared" si="305"/>
        <v>#VALUE!</v>
      </c>
      <c r="AB583" s="905" t="e">
        <f t="shared" si="306"/>
        <v>#VALUE!</v>
      </c>
      <c r="AC583" s="906" t="e">
        <f t="shared" si="290"/>
        <v>#VALUE!</v>
      </c>
      <c r="AD583" s="907">
        <f t="shared" si="291"/>
        <v>0</v>
      </c>
      <c r="AE583" s="904">
        <f>IF(H583&gt;8,tab!C$194,tab!C$197)</f>
        <v>0.5</v>
      </c>
      <c r="AF583" s="907">
        <f t="shared" si="292"/>
        <v>0</v>
      </c>
      <c r="AG583" s="887">
        <f t="shared" si="293"/>
        <v>0</v>
      </c>
      <c r="AH583" s="908" t="e">
        <f t="shared" si="294"/>
        <v>#VALUE!</v>
      </c>
      <c r="AI583" s="815" t="e">
        <f t="shared" si="295"/>
        <v>#VALUE!</v>
      </c>
      <c r="AJ583" s="540">
        <f t="shared" si="296"/>
        <v>30</v>
      </c>
      <c r="AK583" s="540">
        <f t="shared" si="297"/>
        <v>30</v>
      </c>
      <c r="AL583" s="909">
        <f t="shared" si="298"/>
        <v>0</v>
      </c>
      <c r="AN583" s="539">
        <f t="shared" si="299"/>
        <v>0</v>
      </c>
      <c r="AT583" s="317"/>
      <c r="AU583" s="317"/>
    </row>
    <row r="584" spans="3:47" ht="13.15" customHeight="1" x14ac:dyDescent="0.2">
      <c r="C584" s="381"/>
      <c r="D584" s="895" t="str">
        <f>IF(op!D472=0,"",op!D472)</f>
        <v/>
      </c>
      <c r="E584" s="895" t="str">
        <f>IF(op!E472=0,"",op!E472)</f>
        <v/>
      </c>
      <c r="F584" s="390" t="str">
        <f>IF(op!F472="","",op!F472+1)</f>
        <v/>
      </c>
      <c r="G584" s="896" t="str">
        <f>IF(op!G472=0,"",op!G472)</f>
        <v/>
      </c>
      <c r="H584" s="390" t="str">
        <f>IF(op!H472="","",op!H472)</f>
        <v/>
      </c>
      <c r="I584" s="897" t="str">
        <f t="shared" si="285"/>
        <v/>
      </c>
      <c r="J584" s="898" t="str">
        <f>IF(op!J472="","",op!J472)</f>
        <v/>
      </c>
      <c r="K584" s="334"/>
      <c r="L584" s="1140" t="str">
        <f>IF(op!L472="","",op!L472)</f>
        <v/>
      </c>
      <c r="M584" s="1140" t="str">
        <f>IF(op!M472="","",op!M472)</f>
        <v/>
      </c>
      <c r="N584" s="899" t="str">
        <f t="shared" si="300"/>
        <v/>
      </c>
      <c r="O584" s="900" t="str">
        <f t="shared" si="301"/>
        <v/>
      </c>
      <c r="P584" s="901" t="str">
        <f t="shared" si="302"/>
        <v/>
      </c>
      <c r="Q584" s="568" t="str">
        <f t="shared" si="286"/>
        <v/>
      </c>
      <c r="R584" s="902" t="str">
        <f t="shared" si="303"/>
        <v/>
      </c>
      <c r="S584" s="903">
        <f t="shared" si="287"/>
        <v>0</v>
      </c>
      <c r="T584" s="334"/>
      <c r="X584" s="887" t="str">
        <f t="shared" si="288"/>
        <v/>
      </c>
      <c r="Y584" s="904">
        <f t="shared" si="289"/>
        <v>0.6</v>
      </c>
      <c r="Z584" s="905" t="e">
        <f t="shared" si="304"/>
        <v>#VALUE!</v>
      </c>
      <c r="AA584" s="905" t="e">
        <f t="shared" si="305"/>
        <v>#VALUE!</v>
      </c>
      <c r="AB584" s="905" t="e">
        <f t="shared" si="306"/>
        <v>#VALUE!</v>
      </c>
      <c r="AC584" s="906" t="e">
        <f t="shared" si="290"/>
        <v>#VALUE!</v>
      </c>
      <c r="AD584" s="907">
        <f t="shared" si="291"/>
        <v>0</v>
      </c>
      <c r="AE584" s="904">
        <f>IF(H584&gt;8,tab!C$194,tab!C$197)</f>
        <v>0.5</v>
      </c>
      <c r="AF584" s="907">
        <f t="shared" si="292"/>
        <v>0</v>
      </c>
      <c r="AG584" s="887">
        <f t="shared" si="293"/>
        <v>0</v>
      </c>
      <c r="AH584" s="908" t="e">
        <f t="shared" si="294"/>
        <v>#VALUE!</v>
      </c>
      <c r="AI584" s="815" t="e">
        <f t="shared" si="295"/>
        <v>#VALUE!</v>
      </c>
      <c r="AJ584" s="540">
        <f t="shared" si="296"/>
        <v>30</v>
      </c>
      <c r="AK584" s="540">
        <f t="shared" si="297"/>
        <v>30</v>
      </c>
      <c r="AL584" s="909">
        <f t="shared" si="298"/>
        <v>0</v>
      </c>
      <c r="AN584" s="539">
        <f t="shared" si="299"/>
        <v>0</v>
      </c>
      <c r="AT584" s="317"/>
      <c r="AU584" s="317"/>
    </row>
    <row r="585" spans="3:47" ht="13.15" customHeight="1" x14ac:dyDescent="0.2">
      <c r="C585" s="381"/>
      <c r="D585" s="895" t="str">
        <f>IF(op!D473=0,"",op!D473)</f>
        <v/>
      </c>
      <c r="E585" s="895" t="str">
        <f>IF(op!E473=0,"",op!E473)</f>
        <v/>
      </c>
      <c r="F585" s="390" t="str">
        <f>IF(op!F473="","",op!F473+1)</f>
        <v/>
      </c>
      <c r="G585" s="896" t="str">
        <f>IF(op!G473=0,"",op!G473)</f>
        <v/>
      </c>
      <c r="H585" s="390" t="str">
        <f>IF(op!H473="","",op!H473)</f>
        <v/>
      </c>
      <c r="I585" s="897" t="str">
        <f t="shared" si="285"/>
        <v/>
      </c>
      <c r="J585" s="898" t="str">
        <f>IF(op!J473="","",op!J473)</f>
        <v/>
      </c>
      <c r="K585" s="334"/>
      <c r="L585" s="1140" t="str">
        <f>IF(op!L473="","",op!L473)</f>
        <v/>
      </c>
      <c r="M585" s="1140" t="str">
        <f>IF(op!M473="","",op!M473)</f>
        <v/>
      </c>
      <c r="N585" s="899" t="str">
        <f t="shared" si="300"/>
        <v/>
      </c>
      <c r="O585" s="900" t="str">
        <f t="shared" si="301"/>
        <v/>
      </c>
      <c r="P585" s="901" t="str">
        <f t="shared" si="302"/>
        <v/>
      </c>
      <c r="Q585" s="568" t="str">
        <f t="shared" si="286"/>
        <v/>
      </c>
      <c r="R585" s="902" t="str">
        <f t="shared" si="303"/>
        <v/>
      </c>
      <c r="S585" s="903">
        <f t="shared" si="287"/>
        <v>0</v>
      </c>
      <c r="T585" s="334"/>
      <c r="X585" s="887" t="str">
        <f t="shared" si="288"/>
        <v/>
      </c>
      <c r="Y585" s="904">
        <f t="shared" si="289"/>
        <v>0.6</v>
      </c>
      <c r="Z585" s="905" t="e">
        <f t="shared" si="304"/>
        <v>#VALUE!</v>
      </c>
      <c r="AA585" s="905" t="e">
        <f t="shared" si="305"/>
        <v>#VALUE!</v>
      </c>
      <c r="AB585" s="905" t="e">
        <f t="shared" si="306"/>
        <v>#VALUE!</v>
      </c>
      <c r="AC585" s="906" t="e">
        <f t="shared" si="290"/>
        <v>#VALUE!</v>
      </c>
      <c r="AD585" s="907">
        <f t="shared" si="291"/>
        <v>0</v>
      </c>
      <c r="AE585" s="904">
        <f>IF(H585&gt;8,tab!C$194,tab!C$197)</f>
        <v>0.5</v>
      </c>
      <c r="AF585" s="907">
        <f t="shared" si="292"/>
        <v>0</v>
      </c>
      <c r="AG585" s="887">
        <f t="shared" si="293"/>
        <v>0</v>
      </c>
      <c r="AH585" s="908" t="e">
        <f t="shared" si="294"/>
        <v>#VALUE!</v>
      </c>
      <c r="AI585" s="815" t="e">
        <f t="shared" si="295"/>
        <v>#VALUE!</v>
      </c>
      <c r="AJ585" s="540">
        <f t="shared" si="296"/>
        <v>30</v>
      </c>
      <c r="AK585" s="540">
        <f t="shared" si="297"/>
        <v>30</v>
      </c>
      <c r="AL585" s="909">
        <f t="shared" si="298"/>
        <v>0</v>
      </c>
      <c r="AN585" s="539">
        <f t="shared" si="299"/>
        <v>0</v>
      </c>
      <c r="AT585" s="317"/>
      <c r="AU585" s="317"/>
    </row>
    <row r="586" spans="3:47" ht="13.15" customHeight="1" x14ac:dyDescent="0.2">
      <c r="C586" s="381"/>
      <c r="D586" s="895" t="str">
        <f>IF(op!D474=0,"",op!D474)</f>
        <v/>
      </c>
      <c r="E586" s="895" t="str">
        <f>IF(op!E474=0,"",op!E474)</f>
        <v/>
      </c>
      <c r="F586" s="390" t="str">
        <f>IF(op!F474="","",op!F474+1)</f>
        <v/>
      </c>
      <c r="G586" s="896" t="str">
        <f>IF(op!G474=0,"",op!G474)</f>
        <v/>
      </c>
      <c r="H586" s="390" t="str">
        <f>IF(op!H474="","",op!H474)</f>
        <v/>
      </c>
      <c r="I586" s="897" t="str">
        <f t="shared" si="285"/>
        <v/>
      </c>
      <c r="J586" s="898" t="str">
        <f>IF(op!J474="","",op!J474)</f>
        <v/>
      </c>
      <c r="K586" s="334"/>
      <c r="L586" s="1140" t="str">
        <f>IF(op!L474="","",op!L474)</f>
        <v/>
      </c>
      <c r="M586" s="1140" t="str">
        <f>IF(op!M474="","",op!M474)</f>
        <v/>
      </c>
      <c r="N586" s="899" t="str">
        <f t="shared" si="300"/>
        <v/>
      </c>
      <c r="O586" s="900" t="str">
        <f t="shared" si="301"/>
        <v/>
      </c>
      <c r="P586" s="901" t="str">
        <f t="shared" si="302"/>
        <v/>
      </c>
      <c r="Q586" s="568" t="str">
        <f t="shared" si="286"/>
        <v/>
      </c>
      <c r="R586" s="902" t="str">
        <f t="shared" si="303"/>
        <v/>
      </c>
      <c r="S586" s="903">
        <f t="shared" si="287"/>
        <v>0</v>
      </c>
      <c r="T586" s="334"/>
      <c r="X586" s="887" t="str">
        <f t="shared" si="288"/>
        <v/>
      </c>
      <c r="Y586" s="904">
        <f t="shared" si="289"/>
        <v>0.6</v>
      </c>
      <c r="Z586" s="905" t="e">
        <f t="shared" si="304"/>
        <v>#VALUE!</v>
      </c>
      <c r="AA586" s="905" t="e">
        <f t="shared" si="305"/>
        <v>#VALUE!</v>
      </c>
      <c r="AB586" s="905" t="e">
        <f t="shared" si="306"/>
        <v>#VALUE!</v>
      </c>
      <c r="AC586" s="906" t="e">
        <f t="shared" si="290"/>
        <v>#VALUE!</v>
      </c>
      <c r="AD586" s="907">
        <f t="shared" si="291"/>
        <v>0</v>
      </c>
      <c r="AE586" s="904">
        <f>IF(H586&gt;8,tab!C$194,tab!C$197)</f>
        <v>0.5</v>
      </c>
      <c r="AF586" s="907">
        <f t="shared" si="292"/>
        <v>0</v>
      </c>
      <c r="AG586" s="887">
        <f t="shared" si="293"/>
        <v>0</v>
      </c>
      <c r="AH586" s="908" t="e">
        <f t="shared" si="294"/>
        <v>#VALUE!</v>
      </c>
      <c r="AI586" s="815" t="e">
        <f t="shared" si="295"/>
        <v>#VALUE!</v>
      </c>
      <c r="AJ586" s="540">
        <f t="shared" si="296"/>
        <v>30</v>
      </c>
      <c r="AK586" s="540">
        <f t="shared" si="297"/>
        <v>30</v>
      </c>
      <c r="AL586" s="909">
        <f t="shared" si="298"/>
        <v>0</v>
      </c>
      <c r="AN586" s="539">
        <f t="shared" si="299"/>
        <v>0</v>
      </c>
      <c r="AT586" s="317"/>
      <c r="AU586" s="317"/>
    </row>
    <row r="587" spans="3:47" ht="13.15" customHeight="1" x14ac:dyDescent="0.2">
      <c r="C587" s="381"/>
      <c r="D587" s="895" t="str">
        <f>IF(op!D475=0,"",op!D475)</f>
        <v/>
      </c>
      <c r="E587" s="895" t="str">
        <f>IF(op!E475=0,"",op!E475)</f>
        <v/>
      </c>
      <c r="F587" s="390" t="str">
        <f>IF(op!F475="","",op!F475+1)</f>
        <v/>
      </c>
      <c r="G587" s="896" t="str">
        <f>IF(op!G475=0,"",op!G475)</f>
        <v/>
      </c>
      <c r="H587" s="390" t="str">
        <f>IF(op!H475="","",op!H475)</f>
        <v/>
      </c>
      <c r="I587" s="897" t="str">
        <f t="shared" si="285"/>
        <v/>
      </c>
      <c r="J587" s="898" t="str">
        <f>IF(op!J475="","",op!J475)</f>
        <v/>
      </c>
      <c r="K587" s="334"/>
      <c r="L587" s="1140" t="str">
        <f>IF(op!L475="","",op!L475)</f>
        <v/>
      </c>
      <c r="M587" s="1140" t="str">
        <f>IF(op!M475="","",op!M475)</f>
        <v/>
      </c>
      <c r="N587" s="899" t="str">
        <f t="shared" si="300"/>
        <v/>
      </c>
      <c r="O587" s="900" t="str">
        <f t="shared" si="301"/>
        <v/>
      </c>
      <c r="P587" s="901" t="str">
        <f t="shared" si="302"/>
        <v/>
      </c>
      <c r="Q587" s="568" t="str">
        <f t="shared" si="286"/>
        <v/>
      </c>
      <c r="R587" s="902" t="str">
        <f t="shared" si="303"/>
        <v/>
      </c>
      <c r="S587" s="903">
        <f t="shared" si="287"/>
        <v>0</v>
      </c>
      <c r="T587" s="334"/>
      <c r="X587" s="887" t="str">
        <f t="shared" si="288"/>
        <v/>
      </c>
      <c r="Y587" s="904">
        <f t="shared" si="289"/>
        <v>0.6</v>
      </c>
      <c r="Z587" s="905" t="e">
        <f t="shared" si="304"/>
        <v>#VALUE!</v>
      </c>
      <c r="AA587" s="905" t="e">
        <f t="shared" si="305"/>
        <v>#VALUE!</v>
      </c>
      <c r="AB587" s="905" t="e">
        <f t="shared" si="306"/>
        <v>#VALUE!</v>
      </c>
      <c r="AC587" s="906" t="e">
        <f t="shared" si="290"/>
        <v>#VALUE!</v>
      </c>
      <c r="AD587" s="907">
        <f t="shared" si="291"/>
        <v>0</v>
      </c>
      <c r="AE587" s="904">
        <f>IF(H587&gt;8,tab!C$194,tab!C$197)</f>
        <v>0.5</v>
      </c>
      <c r="AF587" s="907">
        <f t="shared" si="292"/>
        <v>0</v>
      </c>
      <c r="AG587" s="887">
        <f t="shared" si="293"/>
        <v>0</v>
      </c>
      <c r="AH587" s="908" t="e">
        <f t="shared" si="294"/>
        <v>#VALUE!</v>
      </c>
      <c r="AI587" s="815" t="e">
        <f t="shared" si="295"/>
        <v>#VALUE!</v>
      </c>
      <c r="AJ587" s="540">
        <f t="shared" si="296"/>
        <v>30</v>
      </c>
      <c r="AK587" s="540">
        <f t="shared" si="297"/>
        <v>30</v>
      </c>
      <c r="AL587" s="909">
        <f t="shared" si="298"/>
        <v>0</v>
      </c>
      <c r="AN587" s="539">
        <f t="shared" si="299"/>
        <v>0</v>
      </c>
      <c r="AT587" s="317"/>
      <c r="AU587" s="317"/>
    </row>
    <row r="588" spans="3:47" ht="13.15" customHeight="1" x14ac:dyDescent="0.2">
      <c r="C588" s="381"/>
      <c r="D588" s="895" t="str">
        <f>IF(op!D476=0,"",op!D476)</f>
        <v/>
      </c>
      <c r="E588" s="895" t="str">
        <f>IF(op!E476=0,"",op!E476)</f>
        <v/>
      </c>
      <c r="F588" s="390" t="str">
        <f>IF(op!F476="","",op!F476+1)</f>
        <v/>
      </c>
      <c r="G588" s="896" t="str">
        <f>IF(op!G476=0,"",op!G476)</f>
        <v/>
      </c>
      <c r="H588" s="390" t="str">
        <f>IF(op!H476="","",op!H476)</f>
        <v/>
      </c>
      <c r="I588" s="897" t="str">
        <f t="shared" si="285"/>
        <v/>
      </c>
      <c r="J588" s="898" t="str">
        <f>IF(op!J476="","",op!J476)</f>
        <v/>
      </c>
      <c r="K588" s="334"/>
      <c r="L588" s="1140" t="str">
        <f>IF(op!L476="","",op!L476)</f>
        <v/>
      </c>
      <c r="M588" s="1140" t="str">
        <f>IF(op!M476="","",op!M476)</f>
        <v/>
      </c>
      <c r="N588" s="899" t="str">
        <f t="shared" si="300"/>
        <v/>
      </c>
      <c r="O588" s="900" t="str">
        <f t="shared" si="301"/>
        <v/>
      </c>
      <c r="P588" s="901" t="str">
        <f t="shared" si="302"/>
        <v/>
      </c>
      <c r="Q588" s="568" t="str">
        <f t="shared" si="286"/>
        <v/>
      </c>
      <c r="R588" s="902" t="str">
        <f t="shared" si="303"/>
        <v/>
      </c>
      <c r="S588" s="903">
        <f t="shared" si="287"/>
        <v>0</v>
      </c>
      <c r="T588" s="334"/>
      <c r="X588" s="887" t="str">
        <f t="shared" si="288"/>
        <v/>
      </c>
      <c r="Y588" s="904">
        <f t="shared" si="289"/>
        <v>0.6</v>
      </c>
      <c r="Z588" s="905" t="e">
        <f t="shared" si="304"/>
        <v>#VALUE!</v>
      </c>
      <c r="AA588" s="905" t="e">
        <f t="shared" si="305"/>
        <v>#VALUE!</v>
      </c>
      <c r="AB588" s="905" t="e">
        <f t="shared" si="306"/>
        <v>#VALUE!</v>
      </c>
      <c r="AC588" s="906" t="e">
        <f t="shared" si="290"/>
        <v>#VALUE!</v>
      </c>
      <c r="AD588" s="907">
        <f t="shared" si="291"/>
        <v>0</v>
      </c>
      <c r="AE588" s="904">
        <f>IF(H588&gt;8,tab!C$194,tab!C$197)</f>
        <v>0.5</v>
      </c>
      <c r="AF588" s="907">
        <f t="shared" si="292"/>
        <v>0</v>
      </c>
      <c r="AG588" s="887">
        <f t="shared" si="293"/>
        <v>0</v>
      </c>
      <c r="AH588" s="908" t="e">
        <f t="shared" si="294"/>
        <v>#VALUE!</v>
      </c>
      <c r="AI588" s="815" t="e">
        <f t="shared" si="295"/>
        <v>#VALUE!</v>
      </c>
      <c r="AJ588" s="540">
        <f t="shared" si="296"/>
        <v>30</v>
      </c>
      <c r="AK588" s="540">
        <f t="shared" si="297"/>
        <v>30</v>
      </c>
      <c r="AL588" s="909">
        <f t="shared" si="298"/>
        <v>0</v>
      </c>
      <c r="AN588" s="539">
        <f t="shared" si="299"/>
        <v>0</v>
      </c>
      <c r="AT588" s="317"/>
      <c r="AU588" s="317"/>
    </row>
    <row r="589" spans="3:47" ht="13.15" customHeight="1" x14ac:dyDescent="0.2">
      <c r="C589" s="381"/>
      <c r="D589" s="895" t="str">
        <f>IF(op!D477=0,"",op!D477)</f>
        <v/>
      </c>
      <c r="E589" s="895" t="str">
        <f>IF(op!E477=0,"",op!E477)</f>
        <v/>
      </c>
      <c r="F589" s="390" t="str">
        <f>IF(op!F477="","",op!F477+1)</f>
        <v/>
      </c>
      <c r="G589" s="896" t="str">
        <f>IF(op!G477=0,"",op!G477)</f>
        <v/>
      </c>
      <c r="H589" s="390" t="str">
        <f>IF(op!H477="","",op!H477)</f>
        <v/>
      </c>
      <c r="I589" s="897" t="str">
        <f t="shared" si="285"/>
        <v/>
      </c>
      <c r="J589" s="898" t="str">
        <f>IF(op!J477="","",op!J477)</f>
        <v/>
      </c>
      <c r="K589" s="334"/>
      <c r="L589" s="1140" t="str">
        <f>IF(op!L477="","",op!L477)</f>
        <v/>
      </c>
      <c r="M589" s="1140" t="str">
        <f>IF(op!M477="","",op!M477)</f>
        <v/>
      </c>
      <c r="N589" s="899" t="str">
        <f t="shared" si="300"/>
        <v/>
      </c>
      <c r="O589" s="900" t="str">
        <f t="shared" si="301"/>
        <v/>
      </c>
      <c r="P589" s="901" t="str">
        <f t="shared" si="302"/>
        <v/>
      </c>
      <c r="Q589" s="568" t="str">
        <f t="shared" si="286"/>
        <v/>
      </c>
      <c r="R589" s="902" t="str">
        <f t="shared" si="303"/>
        <v/>
      </c>
      <c r="S589" s="903">
        <f t="shared" si="287"/>
        <v>0</v>
      </c>
      <c r="T589" s="334"/>
      <c r="X589" s="887" t="str">
        <f t="shared" si="288"/>
        <v/>
      </c>
      <c r="Y589" s="904">
        <f t="shared" si="289"/>
        <v>0.6</v>
      </c>
      <c r="Z589" s="905" t="e">
        <f t="shared" si="304"/>
        <v>#VALUE!</v>
      </c>
      <c r="AA589" s="905" t="e">
        <f t="shared" si="305"/>
        <v>#VALUE!</v>
      </c>
      <c r="AB589" s="905" t="e">
        <f t="shared" si="306"/>
        <v>#VALUE!</v>
      </c>
      <c r="AC589" s="906" t="e">
        <f t="shared" si="290"/>
        <v>#VALUE!</v>
      </c>
      <c r="AD589" s="907">
        <f t="shared" si="291"/>
        <v>0</v>
      </c>
      <c r="AE589" s="904">
        <f>IF(H589&gt;8,tab!C$194,tab!C$197)</f>
        <v>0.5</v>
      </c>
      <c r="AF589" s="907">
        <f t="shared" si="292"/>
        <v>0</v>
      </c>
      <c r="AG589" s="887">
        <f t="shared" si="293"/>
        <v>0</v>
      </c>
      <c r="AH589" s="908" t="e">
        <f t="shared" si="294"/>
        <v>#VALUE!</v>
      </c>
      <c r="AI589" s="815" t="e">
        <f t="shared" si="295"/>
        <v>#VALUE!</v>
      </c>
      <c r="AJ589" s="540">
        <f t="shared" si="296"/>
        <v>30</v>
      </c>
      <c r="AK589" s="540">
        <f t="shared" si="297"/>
        <v>30</v>
      </c>
      <c r="AL589" s="909">
        <f t="shared" si="298"/>
        <v>0</v>
      </c>
      <c r="AN589" s="539">
        <f t="shared" si="299"/>
        <v>0</v>
      </c>
      <c r="AT589" s="317"/>
      <c r="AU589" s="317"/>
    </row>
    <row r="590" spans="3:47" ht="13.15" customHeight="1" x14ac:dyDescent="0.2">
      <c r="C590" s="381"/>
      <c r="D590" s="895" t="str">
        <f>IF(op!D478=0,"",op!D478)</f>
        <v/>
      </c>
      <c r="E590" s="895" t="str">
        <f>IF(op!E478=0,"",op!E478)</f>
        <v/>
      </c>
      <c r="F590" s="390" t="str">
        <f>IF(op!F478="","",op!F478+1)</f>
        <v/>
      </c>
      <c r="G590" s="896" t="str">
        <f>IF(op!G478=0,"",op!G478)</f>
        <v/>
      </c>
      <c r="H590" s="390" t="str">
        <f>IF(op!H478="","",op!H478)</f>
        <v/>
      </c>
      <c r="I590" s="897" t="str">
        <f t="shared" si="285"/>
        <v/>
      </c>
      <c r="J590" s="898" t="str">
        <f>IF(op!J478="","",op!J478)</f>
        <v/>
      </c>
      <c r="K590" s="334"/>
      <c r="L590" s="1140" t="str">
        <f>IF(op!L478="","",op!L478)</f>
        <v/>
      </c>
      <c r="M590" s="1140" t="str">
        <f>IF(op!M478="","",op!M478)</f>
        <v/>
      </c>
      <c r="N590" s="899" t="str">
        <f t="shared" si="300"/>
        <v/>
      </c>
      <c r="O590" s="900" t="str">
        <f t="shared" si="301"/>
        <v/>
      </c>
      <c r="P590" s="901" t="str">
        <f t="shared" si="302"/>
        <v/>
      </c>
      <c r="Q590" s="568" t="str">
        <f t="shared" si="286"/>
        <v/>
      </c>
      <c r="R590" s="902" t="str">
        <f t="shared" si="303"/>
        <v/>
      </c>
      <c r="S590" s="903">
        <f t="shared" si="287"/>
        <v>0</v>
      </c>
      <c r="T590" s="334"/>
      <c r="X590" s="887" t="str">
        <f t="shared" si="288"/>
        <v/>
      </c>
      <c r="Y590" s="904">
        <f t="shared" si="289"/>
        <v>0.6</v>
      </c>
      <c r="Z590" s="905" t="e">
        <f t="shared" si="304"/>
        <v>#VALUE!</v>
      </c>
      <c r="AA590" s="905" t="e">
        <f t="shared" si="305"/>
        <v>#VALUE!</v>
      </c>
      <c r="AB590" s="905" t="e">
        <f t="shared" si="306"/>
        <v>#VALUE!</v>
      </c>
      <c r="AC590" s="906" t="e">
        <f t="shared" si="290"/>
        <v>#VALUE!</v>
      </c>
      <c r="AD590" s="907">
        <f t="shared" si="291"/>
        <v>0</v>
      </c>
      <c r="AE590" s="904">
        <f>IF(H590&gt;8,tab!C$194,tab!C$197)</f>
        <v>0.5</v>
      </c>
      <c r="AF590" s="907">
        <f t="shared" si="292"/>
        <v>0</v>
      </c>
      <c r="AG590" s="887">
        <f t="shared" si="293"/>
        <v>0</v>
      </c>
      <c r="AH590" s="908" t="e">
        <f t="shared" si="294"/>
        <v>#VALUE!</v>
      </c>
      <c r="AI590" s="815" t="e">
        <f t="shared" si="295"/>
        <v>#VALUE!</v>
      </c>
      <c r="AJ590" s="540">
        <f t="shared" si="296"/>
        <v>30</v>
      </c>
      <c r="AK590" s="540">
        <f t="shared" si="297"/>
        <v>30</v>
      </c>
      <c r="AL590" s="909">
        <f t="shared" si="298"/>
        <v>0</v>
      </c>
      <c r="AN590" s="539">
        <f t="shared" si="299"/>
        <v>0</v>
      </c>
      <c r="AT590" s="317"/>
      <c r="AU590" s="317"/>
    </row>
    <row r="591" spans="3:47" ht="13.15" customHeight="1" x14ac:dyDescent="0.2">
      <c r="C591" s="381"/>
      <c r="D591" s="895" t="str">
        <f>IF(op!D479=0,"",op!D479)</f>
        <v/>
      </c>
      <c r="E591" s="895" t="str">
        <f>IF(op!E479=0,"",op!E479)</f>
        <v/>
      </c>
      <c r="F591" s="390" t="str">
        <f>IF(op!F479="","",op!F479+1)</f>
        <v/>
      </c>
      <c r="G591" s="896" t="str">
        <f>IF(op!G479=0,"",op!G479)</f>
        <v/>
      </c>
      <c r="H591" s="390" t="str">
        <f>IF(op!H479="","",op!H479)</f>
        <v/>
      </c>
      <c r="I591" s="897" t="str">
        <f t="shared" si="285"/>
        <v/>
      </c>
      <c r="J591" s="898" t="str">
        <f>IF(op!J479="","",op!J479)</f>
        <v/>
      </c>
      <c r="K591" s="334"/>
      <c r="L591" s="1140" t="str">
        <f>IF(op!L479="","",op!L479)</f>
        <v/>
      </c>
      <c r="M591" s="1140" t="str">
        <f>IF(op!M479="","",op!M479)</f>
        <v/>
      </c>
      <c r="N591" s="899" t="str">
        <f t="shared" si="300"/>
        <v/>
      </c>
      <c r="O591" s="900" t="str">
        <f t="shared" si="301"/>
        <v/>
      </c>
      <c r="P591" s="901" t="str">
        <f t="shared" si="302"/>
        <v/>
      </c>
      <c r="Q591" s="568" t="str">
        <f t="shared" si="286"/>
        <v/>
      </c>
      <c r="R591" s="902" t="str">
        <f t="shared" si="303"/>
        <v/>
      </c>
      <c r="S591" s="903">
        <f t="shared" si="287"/>
        <v>0</v>
      </c>
      <c r="T591" s="334"/>
      <c r="X591" s="887" t="str">
        <f t="shared" si="288"/>
        <v/>
      </c>
      <c r="Y591" s="904">
        <f t="shared" si="289"/>
        <v>0.6</v>
      </c>
      <c r="Z591" s="905" t="e">
        <f t="shared" si="304"/>
        <v>#VALUE!</v>
      </c>
      <c r="AA591" s="905" t="e">
        <f t="shared" si="305"/>
        <v>#VALUE!</v>
      </c>
      <c r="AB591" s="905" t="e">
        <f t="shared" si="306"/>
        <v>#VALUE!</v>
      </c>
      <c r="AC591" s="906" t="e">
        <f t="shared" si="290"/>
        <v>#VALUE!</v>
      </c>
      <c r="AD591" s="907">
        <f t="shared" si="291"/>
        <v>0</v>
      </c>
      <c r="AE591" s="904">
        <f>IF(H591&gt;8,tab!C$194,tab!C$197)</f>
        <v>0.5</v>
      </c>
      <c r="AF591" s="907">
        <f t="shared" si="292"/>
        <v>0</v>
      </c>
      <c r="AG591" s="887">
        <f t="shared" si="293"/>
        <v>0</v>
      </c>
      <c r="AH591" s="908" t="e">
        <f t="shared" si="294"/>
        <v>#VALUE!</v>
      </c>
      <c r="AI591" s="815" t="e">
        <f t="shared" si="295"/>
        <v>#VALUE!</v>
      </c>
      <c r="AJ591" s="540">
        <f t="shared" si="296"/>
        <v>30</v>
      </c>
      <c r="AK591" s="540">
        <f t="shared" si="297"/>
        <v>30</v>
      </c>
      <c r="AL591" s="909">
        <f t="shared" si="298"/>
        <v>0</v>
      </c>
      <c r="AN591" s="539">
        <f t="shared" si="299"/>
        <v>0</v>
      </c>
      <c r="AT591" s="317"/>
      <c r="AU591" s="317"/>
    </row>
    <row r="592" spans="3:47" ht="13.15" customHeight="1" x14ac:dyDescent="0.2">
      <c r="C592" s="381"/>
      <c r="D592" s="895" t="str">
        <f>IF(op!D480=0,"",op!D480)</f>
        <v/>
      </c>
      <c r="E592" s="895" t="str">
        <f>IF(op!E480=0,"",op!E480)</f>
        <v/>
      </c>
      <c r="F592" s="390" t="str">
        <f>IF(op!F480="","",op!F480+1)</f>
        <v/>
      </c>
      <c r="G592" s="896" t="str">
        <f>IF(op!G480=0,"",op!G480)</f>
        <v/>
      </c>
      <c r="H592" s="390" t="str">
        <f>IF(op!H480="","",op!H480)</f>
        <v/>
      </c>
      <c r="I592" s="897" t="str">
        <f t="shared" si="285"/>
        <v/>
      </c>
      <c r="J592" s="898" t="str">
        <f>IF(op!J480="","",op!J480)</f>
        <v/>
      </c>
      <c r="K592" s="334"/>
      <c r="L592" s="1140" t="str">
        <f>IF(op!L480="","",op!L480)</f>
        <v/>
      </c>
      <c r="M592" s="1140" t="str">
        <f>IF(op!M480="","",op!M480)</f>
        <v/>
      </c>
      <c r="N592" s="899" t="str">
        <f t="shared" si="300"/>
        <v/>
      </c>
      <c r="O592" s="900" t="str">
        <f t="shared" si="301"/>
        <v/>
      </c>
      <c r="P592" s="901" t="str">
        <f t="shared" si="302"/>
        <v/>
      </c>
      <c r="Q592" s="568" t="str">
        <f t="shared" si="286"/>
        <v/>
      </c>
      <c r="R592" s="902" t="str">
        <f t="shared" si="303"/>
        <v/>
      </c>
      <c r="S592" s="903">
        <f t="shared" si="287"/>
        <v>0</v>
      </c>
      <c r="T592" s="334"/>
      <c r="X592" s="887" t="str">
        <f t="shared" si="288"/>
        <v/>
      </c>
      <c r="Y592" s="904">
        <f t="shared" si="289"/>
        <v>0.6</v>
      </c>
      <c r="Z592" s="905" t="e">
        <f t="shared" si="304"/>
        <v>#VALUE!</v>
      </c>
      <c r="AA592" s="905" t="e">
        <f t="shared" si="305"/>
        <v>#VALUE!</v>
      </c>
      <c r="AB592" s="905" t="e">
        <f t="shared" si="306"/>
        <v>#VALUE!</v>
      </c>
      <c r="AC592" s="906" t="e">
        <f t="shared" si="290"/>
        <v>#VALUE!</v>
      </c>
      <c r="AD592" s="907">
        <f t="shared" si="291"/>
        <v>0</v>
      </c>
      <c r="AE592" s="904">
        <f>IF(H592&gt;8,tab!C$194,tab!C$197)</f>
        <v>0.5</v>
      </c>
      <c r="AF592" s="907">
        <f t="shared" si="292"/>
        <v>0</v>
      </c>
      <c r="AG592" s="887">
        <f t="shared" si="293"/>
        <v>0</v>
      </c>
      <c r="AH592" s="908" t="e">
        <f t="shared" si="294"/>
        <v>#VALUE!</v>
      </c>
      <c r="AI592" s="815" t="e">
        <f t="shared" si="295"/>
        <v>#VALUE!</v>
      </c>
      <c r="AJ592" s="540">
        <f t="shared" si="296"/>
        <v>30</v>
      </c>
      <c r="AK592" s="540">
        <f t="shared" si="297"/>
        <v>30</v>
      </c>
      <c r="AL592" s="909">
        <f t="shared" si="298"/>
        <v>0</v>
      </c>
      <c r="AN592" s="539">
        <f t="shared" si="299"/>
        <v>0</v>
      </c>
      <c r="AT592" s="317"/>
      <c r="AU592" s="317"/>
    </row>
    <row r="593" spans="3:47" ht="13.15" customHeight="1" x14ac:dyDescent="0.2">
      <c r="C593" s="381"/>
      <c r="D593" s="895" t="str">
        <f>IF(op!D481=0,"",op!D481)</f>
        <v/>
      </c>
      <c r="E593" s="895" t="str">
        <f>IF(op!E481=0,"",op!E481)</f>
        <v/>
      </c>
      <c r="F593" s="390" t="str">
        <f>IF(op!F481="","",op!F481+1)</f>
        <v/>
      </c>
      <c r="G593" s="896" t="str">
        <f>IF(op!G481=0,"",op!G481)</f>
        <v/>
      </c>
      <c r="H593" s="390" t="str">
        <f>IF(op!H481="","",op!H481)</f>
        <v/>
      </c>
      <c r="I593" s="897" t="str">
        <f t="shared" si="285"/>
        <v/>
      </c>
      <c r="J593" s="898" t="str">
        <f>IF(op!J481="","",op!J481)</f>
        <v/>
      </c>
      <c r="K593" s="334"/>
      <c r="L593" s="1140" t="str">
        <f>IF(op!L481="","",op!L481)</f>
        <v/>
      </c>
      <c r="M593" s="1140" t="str">
        <f>IF(op!M481="","",op!M481)</f>
        <v/>
      </c>
      <c r="N593" s="899" t="str">
        <f t="shared" si="300"/>
        <v/>
      </c>
      <c r="O593" s="900" t="str">
        <f t="shared" si="301"/>
        <v/>
      </c>
      <c r="P593" s="901" t="str">
        <f t="shared" si="302"/>
        <v/>
      </c>
      <c r="Q593" s="568" t="str">
        <f t="shared" si="286"/>
        <v/>
      </c>
      <c r="R593" s="902" t="str">
        <f t="shared" si="303"/>
        <v/>
      </c>
      <c r="S593" s="903">
        <f t="shared" si="287"/>
        <v>0</v>
      </c>
      <c r="T593" s="334"/>
      <c r="X593" s="887" t="str">
        <f t="shared" si="288"/>
        <v/>
      </c>
      <c r="Y593" s="904">
        <f t="shared" si="289"/>
        <v>0.6</v>
      </c>
      <c r="Z593" s="905" t="e">
        <f t="shared" si="304"/>
        <v>#VALUE!</v>
      </c>
      <c r="AA593" s="905" t="e">
        <f t="shared" si="305"/>
        <v>#VALUE!</v>
      </c>
      <c r="AB593" s="905" t="e">
        <f t="shared" si="306"/>
        <v>#VALUE!</v>
      </c>
      <c r="AC593" s="906" t="e">
        <f t="shared" si="290"/>
        <v>#VALUE!</v>
      </c>
      <c r="AD593" s="907">
        <f t="shared" si="291"/>
        <v>0</v>
      </c>
      <c r="AE593" s="904">
        <f>IF(H593&gt;8,tab!C$194,tab!C$197)</f>
        <v>0.5</v>
      </c>
      <c r="AF593" s="907">
        <f t="shared" si="292"/>
        <v>0</v>
      </c>
      <c r="AG593" s="887">
        <f t="shared" si="293"/>
        <v>0</v>
      </c>
      <c r="AH593" s="908" t="e">
        <f t="shared" si="294"/>
        <v>#VALUE!</v>
      </c>
      <c r="AI593" s="815" t="e">
        <f t="shared" si="295"/>
        <v>#VALUE!</v>
      </c>
      <c r="AJ593" s="540">
        <f t="shared" si="296"/>
        <v>30</v>
      </c>
      <c r="AK593" s="540">
        <f t="shared" si="297"/>
        <v>30</v>
      </c>
      <c r="AL593" s="909">
        <f t="shared" si="298"/>
        <v>0</v>
      </c>
      <c r="AN593" s="539">
        <f t="shared" si="299"/>
        <v>0</v>
      </c>
      <c r="AT593" s="317"/>
      <c r="AU593" s="317"/>
    </row>
    <row r="594" spans="3:47" ht="13.15" customHeight="1" x14ac:dyDescent="0.2">
      <c r="C594" s="381"/>
      <c r="D594" s="895" t="str">
        <f>IF(op!D482=0,"",op!D482)</f>
        <v/>
      </c>
      <c r="E594" s="895" t="str">
        <f>IF(op!E482=0,"",op!E482)</f>
        <v/>
      </c>
      <c r="F594" s="390" t="str">
        <f>IF(op!F482="","",op!F482+1)</f>
        <v/>
      </c>
      <c r="G594" s="896" t="str">
        <f>IF(op!G482=0,"",op!G482)</f>
        <v/>
      </c>
      <c r="H594" s="390" t="str">
        <f>IF(op!H482="","",op!H482)</f>
        <v/>
      </c>
      <c r="I594" s="897" t="str">
        <f t="shared" si="285"/>
        <v/>
      </c>
      <c r="J594" s="898" t="str">
        <f>IF(op!J482="","",op!J482)</f>
        <v/>
      </c>
      <c r="K594" s="334"/>
      <c r="L594" s="1140" t="str">
        <f>IF(op!L482="","",op!L482)</f>
        <v/>
      </c>
      <c r="M594" s="1140" t="str">
        <f>IF(op!M482="","",op!M482)</f>
        <v/>
      </c>
      <c r="N594" s="899" t="str">
        <f t="shared" si="300"/>
        <v/>
      </c>
      <c r="O594" s="900" t="str">
        <f t="shared" si="301"/>
        <v/>
      </c>
      <c r="P594" s="901" t="str">
        <f t="shared" si="302"/>
        <v/>
      </c>
      <c r="Q594" s="568" t="str">
        <f t="shared" si="286"/>
        <v/>
      </c>
      <c r="R594" s="902" t="str">
        <f t="shared" si="303"/>
        <v/>
      </c>
      <c r="S594" s="903">
        <f t="shared" si="287"/>
        <v>0</v>
      </c>
      <c r="T594" s="334"/>
      <c r="X594" s="887" t="str">
        <f t="shared" si="288"/>
        <v/>
      </c>
      <c r="Y594" s="904">
        <f t="shared" si="289"/>
        <v>0.6</v>
      </c>
      <c r="Z594" s="905" t="e">
        <f t="shared" si="304"/>
        <v>#VALUE!</v>
      </c>
      <c r="AA594" s="905" t="e">
        <f t="shared" si="305"/>
        <v>#VALUE!</v>
      </c>
      <c r="AB594" s="905" t="e">
        <f t="shared" si="306"/>
        <v>#VALUE!</v>
      </c>
      <c r="AC594" s="906" t="e">
        <f t="shared" si="290"/>
        <v>#VALUE!</v>
      </c>
      <c r="AD594" s="907">
        <f t="shared" si="291"/>
        <v>0</v>
      </c>
      <c r="AE594" s="904">
        <f>IF(H594&gt;8,tab!C$194,tab!C$197)</f>
        <v>0.5</v>
      </c>
      <c r="AF594" s="907">
        <f t="shared" si="292"/>
        <v>0</v>
      </c>
      <c r="AG594" s="887">
        <f t="shared" si="293"/>
        <v>0</v>
      </c>
      <c r="AH594" s="908" t="e">
        <f t="shared" si="294"/>
        <v>#VALUE!</v>
      </c>
      <c r="AI594" s="815" t="e">
        <f t="shared" si="295"/>
        <v>#VALUE!</v>
      </c>
      <c r="AJ594" s="540">
        <f t="shared" si="296"/>
        <v>30</v>
      </c>
      <c r="AK594" s="540">
        <f t="shared" si="297"/>
        <v>30</v>
      </c>
      <c r="AL594" s="909">
        <f t="shared" si="298"/>
        <v>0</v>
      </c>
      <c r="AN594" s="539">
        <f t="shared" si="299"/>
        <v>0</v>
      </c>
      <c r="AT594" s="317"/>
      <c r="AU594" s="317"/>
    </row>
    <row r="595" spans="3:47" ht="13.15" customHeight="1" x14ac:dyDescent="0.2">
      <c r="C595" s="381"/>
      <c r="D595" s="895" t="str">
        <f>IF(op!D483=0,"",op!D483)</f>
        <v/>
      </c>
      <c r="E595" s="895" t="str">
        <f>IF(op!E483=0,"",op!E483)</f>
        <v/>
      </c>
      <c r="F595" s="390" t="str">
        <f>IF(op!F483="","",op!F483+1)</f>
        <v/>
      </c>
      <c r="G595" s="896" t="str">
        <f>IF(op!G483=0,"",op!G483)</f>
        <v/>
      </c>
      <c r="H595" s="390" t="str">
        <f>IF(op!H483="","",op!H483)</f>
        <v/>
      </c>
      <c r="I595" s="897" t="str">
        <f t="shared" si="285"/>
        <v/>
      </c>
      <c r="J595" s="898" t="str">
        <f>IF(op!J483="","",op!J483)</f>
        <v/>
      </c>
      <c r="K595" s="334"/>
      <c r="L595" s="1140" t="str">
        <f>IF(op!L483="","",op!L483)</f>
        <v/>
      </c>
      <c r="M595" s="1140" t="str">
        <f>IF(op!M483="","",op!M483)</f>
        <v/>
      </c>
      <c r="N595" s="899" t="str">
        <f t="shared" si="300"/>
        <v/>
      </c>
      <c r="O595" s="900" t="str">
        <f t="shared" si="301"/>
        <v/>
      </c>
      <c r="P595" s="901" t="str">
        <f t="shared" si="302"/>
        <v/>
      </c>
      <c r="Q595" s="568" t="str">
        <f t="shared" si="286"/>
        <v/>
      </c>
      <c r="R595" s="902" t="str">
        <f t="shared" si="303"/>
        <v/>
      </c>
      <c r="S595" s="903">
        <f t="shared" si="287"/>
        <v>0</v>
      </c>
      <c r="T595" s="334"/>
      <c r="X595" s="887" t="str">
        <f t="shared" si="288"/>
        <v/>
      </c>
      <c r="Y595" s="904">
        <f t="shared" si="289"/>
        <v>0.6</v>
      </c>
      <c r="Z595" s="905" t="e">
        <f t="shared" si="304"/>
        <v>#VALUE!</v>
      </c>
      <c r="AA595" s="905" t="e">
        <f t="shared" si="305"/>
        <v>#VALUE!</v>
      </c>
      <c r="AB595" s="905" t="e">
        <f t="shared" si="306"/>
        <v>#VALUE!</v>
      </c>
      <c r="AC595" s="906" t="e">
        <f t="shared" si="290"/>
        <v>#VALUE!</v>
      </c>
      <c r="AD595" s="907">
        <f t="shared" si="291"/>
        <v>0</v>
      </c>
      <c r="AE595" s="904">
        <f>IF(H595&gt;8,tab!C$194,tab!C$197)</f>
        <v>0.5</v>
      </c>
      <c r="AF595" s="907">
        <f t="shared" si="292"/>
        <v>0</v>
      </c>
      <c r="AG595" s="887">
        <f t="shared" si="293"/>
        <v>0</v>
      </c>
      <c r="AH595" s="908" t="e">
        <f t="shared" si="294"/>
        <v>#VALUE!</v>
      </c>
      <c r="AI595" s="815" t="e">
        <f t="shared" si="295"/>
        <v>#VALUE!</v>
      </c>
      <c r="AJ595" s="540">
        <f t="shared" si="296"/>
        <v>30</v>
      </c>
      <c r="AK595" s="540">
        <f t="shared" si="297"/>
        <v>30</v>
      </c>
      <c r="AL595" s="909">
        <f t="shared" si="298"/>
        <v>0</v>
      </c>
      <c r="AN595" s="539">
        <f t="shared" si="299"/>
        <v>0</v>
      </c>
      <c r="AT595" s="317"/>
      <c r="AU595" s="317"/>
    </row>
    <row r="596" spans="3:47" ht="13.15" customHeight="1" x14ac:dyDescent="0.2">
      <c r="C596" s="381"/>
      <c r="D596" s="895" t="str">
        <f>IF(op!D484=0,"",op!D484)</f>
        <v/>
      </c>
      <c r="E596" s="895" t="str">
        <f>IF(op!E484=0,"",op!E484)</f>
        <v/>
      </c>
      <c r="F596" s="390" t="str">
        <f>IF(op!F484="","",op!F484+1)</f>
        <v/>
      </c>
      <c r="G596" s="896" t="str">
        <f>IF(op!G484=0,"",op!G484)</f>
        <v/>
      </c>
      <c r="H596" s="390" t="str">
        <f>IF(op!H484="","",op!H484)</f>
        <v/>
      </c>
      <c r="I596" s="897" t="str">
        <f t="shared" si="285"/>
        <v/>
      </c>
      <c r="J596" s="898" t="str">
        <f>IF(op!J484="","",op!J484)</f>
        <v/>
      </c>
      <c r="K596" s="334"/>
      <c r="L596" s="1140" t="str">
        <f>IF(op!L484="","",op!L484)</f>
        <v/>
      </c>
      <c r="M596" s="1140" t="str">
        <f>IF(op!M484="","",op!M484)</f>
        <v/>
      </c>
      <c r="N596" s="899" t="str">
        <f t="shared" si="300"/>
        <v/>
      </c>
      <c r="O596" s="900" t="str">
        <f t="shared" si="301"/>
        <v/>
      </c>
      <c r="P596" s="901" t="str">
        <f t="shared" si="302"/>
        <v/>
      </c>
      <c r="Q596" s="568" t="str">
        <f t="shared" si="286"/>
        <v/>
      </c>
      <c r="R596" s="902" t="str">
        <f t="shared" si="303"/>
        <v/>
      </c>
      <c r="S596" s="903">
        <f t="shared" si="287"/>
        <v>0</v>
      </c>
      <c r="T596" s="334"/>
      <c r="X596" s="887" t="str">
        <f t="shared" si="288"/>
        <v/>
      </c>
      <c r="Y596" s="904">
        <f t="shared" si="289"/>
        <v>0.6</v>
      </c>
      <c r="Z596" s="905" t="e">
        <f t="shared" si="304"/>
        <v>#VALUE!</v>
      </c>
      <c r="AA596" s="905" t="e">
        <f t="shared" si="305"/>
        <v>#VALUE!</v>
      </c>
      <c r="AB596" s="905" t="e">
        <f t="shared" si="306"/>
        <v>#VALUE!</v>
      </c>
      <c r="AC596" s="906" t="e">
        <f t="shared" si="290"/>
        <v>#VALUE!</v>
      </c>
      <c r="AD596" s="907">
        <f t="shared" si="291"/>
        <v>0</v>
      </c>
      <c r="AE596" s="904">
        <f>IF(H596&gt;8,tab!C$194,tab!C$197)</f>
        <v>0.5</v>
      </c>
      <c r="AF596" s="907">
        <f t="shared" si="292"/>
        <v>0</v>
      </c>
      <c r="AG596" s="887">
        <f t="shared" si="293"/>
        <v>0</v>
      </c>
      <c r="AH596" s="908" t="e">
        <f t="shared" si="294"/>
        <v>#VALUE!</v>
      </c>
      <c r="AI596" s="815" t="e">
        <f t="shared" si="295"/>
        <v>#VALUE!</v>
      </c>
      <c r="AJ596" s="540">
        <f t="shared" si="296"/>
        <v>30</v>
      </c>
      <c r="AK596" s="540">
        <f t="shared" si="297"/>
        <v>30</v>
      </c>
      <c r="AL596" s="909">
        <f t="shared" si="298"/>
        <v>0</v>
      </c>
      <c r="AN596" s="539">
        <f t="shared" si="299"/>
        <v>0</v>
      </c>
      <c r="AT596" s="317"/>
      <c r="AU596" s="317"/>
    </row>
    <row r="597" spans="3:47" ht="13.15" customHeight="1" x14ac:dyDescent="0.2">
      <c r="C597" s="381"/>
      <c r="D597" s="895" t="str">
        <f>IF(op!D485=0,"",op!D485)</f>
        <v/>
      </c>
      <c r="E597" s="895" t="str">
        <f>IF(op!E485=0,"",op!E485)</f>
        <v/>
      </c>
      <c r="F597" s="390" t="str">
        <f>IF(op!F485="","",op!F485+1)</f>
        <v/>
      </c>
      <c r="G597" s="896" t="str">
        <f>IF(op!G485=0,"",op!G485)</f>
        <v/>
      </c>
      <c r="H597" s="390" t="str">
        <f>IF(op!H485="","",op!H485)</f>
        <v/>
      </c>
      <c r="I597" s="897" t="str">
        <f t="shared" si="285"/>
        <v/>
      </c>
      <c r="J597" s="898" t="str">
        <f>IF(op!J485="","",op!J485)</f>
        <v/>
      </c>
      <c r="K597" s="334"/>
      <c r="L597" s="1140" t="str">
        <f>IF(op!L485="","",op!L485)</f>
        <v/>
      </c>
      <c r="M597" s="1140" t="str">
        <f>IF(op!M485="","",op!M485)</f>
        <v/>
      </c>
      <c r="N597" s="899" t="str">
        <f t="shared" si="300"/>
        <v/>
      </c>
      <c r="O597" s="900" t="str">
        <f t="shared" si="301"/>
        <v/>
      </c>
      <c r="P597" s="901" t="str">
        <f t="shared" si="302"/>
        <v/>
      </c>
      <c r="Q597" s="568" t="str">
        <f t="shared" si="286"/>
        <v/>
      </c>
      <c r="R597" s="902" t="str">
        <f t="shared" si="303"/>
        <v/>
      </c>
      <c r="S597" s="903">
        <f t="shared" si="287"/>
        <v>0</v>
      </c>
      <c r="T597" s="334"/>
      <c r="X597" s="887" t="str">
        <f t="shared" si="288"/>
        <v/>
      </c>
      <c r="Y597" s="904">
        <f t="shared" si="289"/>
        <v>0.6</v>
      </c>
      <c r="Z597" s="905" t="e">
        <f t="shared" si="304"/>
        <v>#VALUE!</v>
      </c>
      <c r="AA597" s="905" t="e">
        <f t="shared" si="305"/>
        <v>#VALUE!</v>
      </c>
      <c r="AB597" s="905" t="e">
        <f t="shared" si="306"/>
        <v>#VALUE!</v>
      </c>
      <c r="AC597" s="906" t="e">
        <f t="shared" si="290"/>
        <v>#VALUE!</v>
      </c>
      <c r="AD597" s="907">
        <f t="shared" si="291"/>
        <v>0</v>
      </c>
      <c r="AE597" s="904">
        <f>IF(H597&gt;8,tab!C$194,tab!C$197)</f>
        <v>0.5</v>
      </c>
      <c r="AF597" s="907">
        <f t="shared" si="292"/>
        <v>0</v>
      </c>
      <c r="AG597" s="887">
        <f t="shared" si="293"/>
        <v>0</v>
      </c>
      <c r="AH597" s="908" t="e">
        <f t="shared" si="294"/>
        <v>#VALUE!</v>
      </c>
      <c r="AI597" s="815" t="e">
        <f t="shared" si="295"/>
        <v>#VALUE!</v>
      </c>
      <c r="AJ597" s="540">
        <f t="shared" si="296"/>
        <v>30</v>
      </c>
      <c r="AK597" s="540">
        <f t="shared" si="297"/>
        <v>30</v>
      </c>
      <c r="AL597" s="909">
        <f t="shared" si="298"/>
        <v>0</v>
      </c>
      <c r="AN597" s="539">
        <f t="shared" si="299"/>
        <v>0</v>
      </c>
      <c r="AT597" s="317"/>
      <c r="AU597" s="317"/>
    </row>
    <row r="598" spans="3:47" ht="13.15" customHeight="1" x14ac:dyDescent="0.2">
      <c r="C598" s="381"/>
      <c r="D598" s="895" t="str">
        <f>IF(op!D486=0,"",op!D486)</f>
        <v/>
      </c>
      <c r="E598" s="895" t="str">
        <f>IF(op!E486=0,"",op!E486)</f>
        <v/>
      </c>
      <c r="F598" s="390" t="str">
        <f>IF(op!F486="","",op!F486+1)</f>
        <v/>
      </c>
      <c r="G598" s="896" t="str">
        <f>IF(op!G486=0,"",op!G486)</f>
        <v/>
      </c>
      <c r="H598" s="390" t="str">
        <f>IF(op!H486="","",op!H486)</f>
        <v/>
      </c>
      <c r="I598" s="897" t="str">
        <f t="shared" si="285"/>
        <v/>
      </c>
      <c r="J598" s="898" t="str">
        <f>IF(op!J486="","",op!J486)</f>
        <v/>
      </c>
      <c r="K598" s="334"/>
      <c r="L598" s="1140" t="str">
        <f>IF(op!L486="","",op!L486)</f>
        <v/>
      </c>
      <c r="M598" s="1140" t="str">
        <f>IF(op!M486="","",op!M486)</f>
        <v/>
      </c>
      <c r="N598" s="899" t="str">
        <f t="shared" si="300"/>
        <v/>
      </c>
      <c r="O598" s="900" t="str">
        <f t="shared" si="301"/>
        <v/>
      </c>
      <c r="P598" s="901" t="str">
        <f t="shared" si="302"/>
        <v/>
      </c>
      <c r="Q598" s="568" t="str">
        <f t="shared" si="286"/>
        <v/>
      </c>
      <c r="R598" s="902" t="str">
        <f t="shared" si="303"/>
        <v/>
      </c>
      <c r="S598" s="903">
        <f t="shared" si="287"/>
        <v>0</v>
      </c>
      <c r="T598" s="334"/>
      <c r="X598" s="887" t="str">
        <f t="shared" si="288"/>
        <v/>
      </c>
      <c r="Y598" s="904">
        <f t="shared" si="289"/>
        <v>0.6</v>
      </c>
      <c r="Z598" s="905" t="e">
        <f t="shared" si="304"/>
        <v>#VALUE!</v>
      </c>
      <c r="AA598" s="905" t="e">
        <f t="shared" si="305"/>
        <v>#VALUE!</v>
      </c>
      <c r="AB598" s="905" t="e">
        <f t="shared" si="306"/>
        <v>#VALUE!</v>
      </c>
      <c r="AC598" s="906" t="e">
        <f t="shared" si="290"/>
        <v>#VALUE!</v>
      </c>
      <c r="AD598" s="907">
        <f t="shared" si="291"/>
        <v>0</v>
      </c>
      <c r="AE598" s="904">
        <f>IF(H598&gt;8,tab!C$194,tab!C$197)</f>
        <v>0.5</v>
      </c>
      <c r="AF598" s="907">
        <f t="shared" si="292"/>
        <v>0</v>
      </c>
      <c r="AG598" s="887">
        <f t="shared" si="293"/>
        <v>0</v>
      </c>
      <c r="AH598" s="908" t="e">
        <f t="shared" si="294"/>
        <v>#VALUE!</v>
      </c>
      <c r="AI598" s="815" t="e">
        <f t="shared" si="295"/>
        <v>#VALUE!</v>
      </c>
      <c r="AJ598" s="540">
        <f t="shared" si="296"/>
        <v>30</v>
      </c>
      <c r="AK598" s="540">
        <f t="shared" si="297"/>
        <v>30</v>
      </c>
      <c r="AL598" s="909">
        <f t="shared" si="298"/>
        <v>0</v>
      </c>
      <c r="AN598" s="539">
        <f t="shared" si="299"/>
        <v>0</v>
      </c>
      <c r="AT598" s="317"/>
      <c r="AU598" s="317"/>
    </row>
    <row r="599" spans="3:47" ht="13.15" customHeight="1" x14ac:dyDescent="0.2">
      <c r="C599" s="381"/>
      <c r="D599" s="895" t="str">
        <f>IF(op!D487=0,"",op!D487)</f>
        <v/>
      </c>
      <c r="E599" s="895" t="str">
        <f>IF(op!E487=0,"",op!E487)</f>
        <v/>
      </c>
      <c r="F599" s="390" t="str">
        <f>IF(op!F487="","",op!F487+1)</f>
        <v/>
      </c>
      <c r="G599" s="896" t="str">
        <f>IF(op!G487=0,"",op!G487)</f>
        <v/>
      </c>
      <c r="H599" s="390" t="str">
        <f>IF(op!H487="","",op!H487)</f>
        <v/>
      </c>
      <c r="I599" s="897" t="str">
        <f t="shared" si="285"/>
        <v/>
      </c>
      <c r="J599" s="898" t="str">
        <f>IF(op!J487="","",op!J487)</f>
        <v/>
      </c>
      <c r="K599" s="334"/>
      <c r="L599" s="1140" t="str">
        <f>IF(op!L487="","",op!L487)</f>
        <v/>
      </c>
      <c r="M599" s="1140" t="str">
        <f>IF(op!M487="","",op!M487)</f>
        <v/>
      </c>
      <c r="N599" s="899" t="str">
        <f t="shared" si="300"/>
        <v/>
      </c>
      <c r="O599" s="900" t="str">
        <f t="shared" si="301"/>
        <v/>
      </c>
      <c r="P599" s="901" t="str">
        <f t="shared" si="302"/>
        <v/>
      </c>
      <c r="Q599" s="568" t="str">
        <f t="shared" si="286"/>
        <v/>
      </c>
      <c r="R599" s="902" t="str">
        <f t="shared" si="303"/>
        <v/>
      </c>
      <c r="S599" s="903">
        <f t="shared" si="287"/>
        <v>0</v>
      </c>
      <c r="T599" s="334"/>
      <c r="X599" s="887" t="str">
        <f t="shared" si="288"/>
        <v/>
      </c>
      <c r="Y599" s="904">
        <f t="shared" si="289"/>
        <v>0.6</v>
      </c>
      <c r="Z599" s="905" t="e">
        <f t="shared" si="304"/>
        <v>#VALUE!</v>
      </c>
      <c r="AA599" s="905" t="e">
        <f t="shared" si="305"/>
        <v>#VALUE!</v>
      </c>
      <c r="AB599" s="905" t="e">
        <f t="shared" si="306"/>
        <v>#VALUE!</v>
      </c>
      <c r="AC599" s="906" t="e">
        <f t="shared" si="290"/>
        <v>#VALUE!</v>
      </c>
      <c r="AD599" s="907">
        <f t="shared" si="291"/>
        <v>0</v>
      </c>
      <c r="AE599" s="904">
        <f>IF(H599&gt;8,tab!C$194,tab!C$197)</f>
        <v>0.5</v>
      </c>
      <c r="AF599" s="907">
        <f t="shared" si="292"/>
        <v>0</v>
      </c>
      <c r="AG599" s="887">
        <f t="shared" si="293"/>
        <v>0</v>
      </c>
      <c r="AH599" s="908" t="e">
        <f t="shared" si="294"/>
        <v>#VALUE!</v>
      </c>
      <c r="AI599" s="815" t="e">
        <f t="shared" si="295"/>
        <v>#VALUE!</v>
      </c>
      <c r="AJ599" s="540">
        <f t="shared" si="296"/>
        <v>30</v>
      </c>
      <c r="AK599" s="540">
        <f t="shared" si="297"/>
        <v>30</v>
      </c>
      <c r="AL599" s="909">
        <f t="shared" si="298"/>
        <v>0</v>
      </c>
      <c r="AN599" s="539">
        <f t="shared" si="299"/>
        <v>0</v>
      </c>
      <c r="AT599" s="317"/>
      <c r="AU599" s="317"/>
    </row>
    <row r="600" spans="3:47" ht="13.15" customHeight="1" x14ac:dyDescent="0.2">
      <c r="C600" s="381"/>
      <c r="D600" s="895" t="str">
        <f>IF(op!D488=0,"",op!D488)</f>
        <v/>
      </c>
      <c r="E600" s="895" t="str">
        <f>IF(op!E488=0,"",op!E488)</f>
        <v/>
      </c>
      <c r="F600" s="390" t="str">
        <f>IF(op!F488="","",op!F488+1)</f>
        <v/>
      </c>
      <c r="G600" s="896" t="str">
        <f>IF(op!G488=0,"",op!G488)</f>
        <v/>
      </c>
      <c r="H600" s="390" t="str">
        <f>IF(op!H488="","",op!H488)</f>
        <v/>
      </c>
      <c r="I600" s="897" t="str">
        <f t="shared" si="285"/>
        <v/>
      </c>
      <c r="J600" s="898" t="str">
        <f>IF(op!J488="","",op!J488)</f>
        <v/>
      </c>
      <c r="K600" s="334"/>
      <c r="L600" s="1140" t="str">
        <f>IF(op!L488="","",op!L488)</f>
        <v/>
      </c>
      <c r="M600" s="1140" t="str">
        <f>IF(op!M488="","",op!M488)</f>
        <v/>
      </c>
      <c r="N600" s="899" t="str">
        <f t="shared" si="300"/>
        <v/>
      </c>
      <c r="O600" s="900" t="str">
        <f t="shared" si="301"/>
        <v/>
      </c>
      <c r="P600" s="901" t="str">
        <f t="shared" si="302"/>
        <v/>
      </c>
      <c r="Q600" s="568" t="str">
        <f t="shared" si="286"/>
        <v/>
      </c>
      <c r="R600" s="902" t="str">
        <f t="shared" si="303"/>
        <v/>
      </c>
      <c r="S600" s="903">
        <f t="shared" si="287"/>
        <v>0</v>
      </c>
      <c r="T600" s="334"/>
      <c r="X600" s="887" t="str">
        <f t="shared" si="288"/>
        <v/>
      </c>
      <c r="Y600" s="904">
        <f t="shared" si="289"/>
        <v>0.6</v>
      </c>
      <c r="Z600" s="905" t="e">
        <f t="shared" si="304"/>
        <v>#VALUE!</v>
      </c>
      <c r="AA600" s="905" t="e">
        <f t="shared" si="305"/>
        <v>#VALUE!</v>
      </c>
      <c r="AB600" s="905" t="e">
        <f t="shared" si="306"/>
        <v>#VALUE!</v>
      </c>
      <c r="AC600" s="906" t="e">
        <f t="shared" si="290"/>
        <v>#VALUE!</v>
      </c>
      <c r="AD600" s="907">
        <f t="shared" si="291"/>
        <v>0</v>
      </c>
      <c r="AE600" s="904">
        <f>IF(H600&gt;8,tab!C$194,tab!C$197)</f>
        <v>0.5</v>
      </c>
      <c r="AF600" s="907">
        <f t="shared" si="292"/>
        <v>0</v>
      </c>
      <c r="AG600" s="887">
        <f t="shared" si="293"/>
        <v>0</v>
      </c>
      <c r="AH600" s="908" t="e">
        <f t="shared" si="294"/>
        <v>#VALUE!</v>
      </c>
      <c r="AI600" s="815" t="e">
        <f t="shared" si="295"/>
        <v>#VALUE!</v>
      </c>
      <c r="AJ600" s="540">
        <f t="shared" si="296"/>
        <v>30</v>
      </c>
      <c r="AK600" s="540">
        <f t="shared" si="297"/>
        <v>30</v>
      </c>
      <c r="AL600" s="909">
        <f t="shared" si="298"/>
        <v>0</v>
      </c>
      <c r="AN600" s="539">
        <f t="shared" si="299"/>
        <v>0</v>
      </c>
      <c r="AT600" s="317"/>
      <c r="AU600" s="317"/>
    </row>
    <row r="601" spans="3:47" ht="13.15" customHeight="1" x14ac:dyDescent="0.2">
      <c r="C601" s="381"/>
      <c r="D601" s="895" t="str">
        <f>IF(op!D489=0,"",op!D489)</f>
        <v/>
      </c>
      <c r="E601" s="895" t="str">
        <f>IF(op!E489=0,"",op!E489)</f>
        <v/>
      </c>
      <c r="F601" s="390" t="str">
        <f>IF(op!F489="","",op!F489+1)</f>
        <v/>
      </c>
      <c r="G601" s="896" t="str">
        <f>IF(op!G489=0,"",op!G489)</f>
        <v/>
      </c>
      <c r="H601" s="390" t="str">
        <f>IF(op!H489="","",op!H489)</f>
        <v/>
      </c>
      <c r="I601" s="897" t="str">
        <f t="shared" si="285"/>
        <v/>
      </c>
      <c r="J601" s="898" t="str">
        <f>IF(op!J489="","",op!J489)</f>
        <v/>
      </c>
      <c r="K601" s="334"/>
      <c r="L601" s="1140" t="str">
        <f>IF(op!L489="","",op!L489)</f>
        <v/>
      </c>
      <c r="M601" s="1140" t="str">
        <f>IF(op!M489="","",op!M489)</f>
        <v/>
      </c>
      <c r="N601" s="899" t="str">
        <f t="shared" si="300"/>
        <v/>
      </c>
      <c r="O601" s="900" t="str">
        <f t="shared" si="301"/>
        <v/>
      </c>
      <c r="P601" s="901" t="str">
        <f t="shared" si="302"/>
        <v/>
      </c>
      <c r="Q601" s="568" t="str">
        <f t="shared" si="286"/>
        <v/>
      </c>
      <c r="R601" s="902" t="str">
        <f t="shared" si="303"/>
        <v/>
      </c>
      <c r="S601" s="903">
        <f t="shared" si="287"/>
        <v>0</v>
      </c>
      <c r="T601" s="334"/>
      <c r="X601" s="887" t="str">
        <f t="shared" si="288"/>
        <v/>
      </c>
      <c r="Y601" s="904">
        <f t="shared" si="289"/>
        <v>0.6</v>
      </c>
      <c r="Z601" s="905" t="e">
        <f t="shared" si="304"/>
        <v>#VALUE!</v>
      </c>
      <c r="AA601" s="905" t="e">
        <f t="shared" si="305"/>
        <v>#VALUE!</v>
      </c>
      <c r="AB601" s="905" t="e">
        <f t="shared" si="306"/>
        <v>#VALUE!</v>
      </c>
      <c r="AC601" s="906" t="e">
        <f t="shared" si="290"/>
        <v>#VALUE!</v>
      </c>
      <c r="AD601" s="907">
        <f t="shared" si="291"/>
        <v>0</v>
      </c>
      <c r="AE601" s="904">
        <f>IF(H601&gt;8,tab!C$194,tab!C$197)</f>
        <v>0.5</v>
      </c>
      <c r="AF601" s="907">
        <f t="shared" si="292"/>
        <v>0</v>
      </c>
      <c r="AG601" s="887">
        <f t="shared" si="293"/>
        <v>0</v>
      </c>
      <c r="AH601" s="908" t="e">
        <f t="shared" si="294"/>
        <v>#VALUE!</v>
      </c>
      <c r="AI601" s="815" t="e">
        <f t="shared" si="295"/>
        <v>#VALUE!</v>
      </c>
      <c r="AJ601" s="540">
        <f t="shared" si="296"/>
        <v>30</v>
      </c>
      <c r="AK601" s="540">
        <f t="shared" si="297"/>
        <v>30</v>
      </c>
      <c r="AL601" s="909">
        <f t="shared" si="298"/>
        <v>0</v>
      </c>
      <c r="AN601" s="539">
        <f t="shared" si="299"/>
        <v>0</v>
      </c>
      <c r="AT601" s="317"/>
      <c r="AU601" s="317"/>
    </row>
    <row r="602" spans="3:47" ht="13.15" customHeight="1" x14ac:dyDescent="0.2">
      <c r="C602" s="381"/>
      <c r="D602" s="895" t="str">
        <f>IF(op!D490=0,"",op!D490)</f>
        <v/>
      </c>
      <c r="E602" s="895" t="str">
        <f>IF(op!E490=0,"",op!E490)</f>
        <v/>
      </c>
      <c r="F602" s="390" t="str">
        <f>IF(op!F490="","",op!F490+1)</f>
        <v/>
      </c>
      <c r="G602" s="896" t="str">
        <f>IF(op!G490=0,"",op!G490)</f>
        <v/>
      </c>
      <c r="H602" s="390" t="str">
        <f>IF(op!H490="","",op!H490)</f>
        <v/>
      </c>
      <c r="I602" s="897" t="str">
        <f t="shared" si="285"/>
        <v/>
      </c>
      <c r="J602" s="898" t="str">
        <f>IF(op!J490="","",op!J490)</f>
        <v/>
      </c>
      <c r="K602" s="334"/>
      <c r="L602" s="1140" t="str">
        <f>IF(op!L490="","",op!L490)</f>
        <v/>
      </c>
      <c r="M602" s="1140" t="str">
        <f>IF(op!M490="","",op!M490)</f>
        <v/>
      </c>
      <c r="N602" s="899" t="str">
        <f t="shared" si="300"/>
        <v/>
      </c>
      <c r="O602" s="900" t="str">
        <f t="shared" si="301"/>
        <v/>
      </c>
      <c r="P602" s="901" t="str">
        <f t="shared" si="302"/>
        <v/>
      </c>
      <c r="Q602" s="568" t="str">
        <f t="shared" si="286"/>
        <v/>
      </c>
      <c r="R602" s="902" t="str">
        <f t="shared" si="303"/>
        <v/>
      </c>
      <c r="S602" s="903">
        <f t="shared" si="287"/>
        <v>0</v>
      </c>
      <c r="T602" s="334"/>
      <c r="X602" s="887" t="str">
        <f t="shared" si="288"/>
        <v/>
      </c>
      <c r="Y602" s="904">
        <f t="shared" si="289"/>
        <v>0.6</v>
      </c>
      <c r="Z602" s="905" t="e">
        <f t="shared" si="304"/>
        <v>#VALUE!</v>
      </c>
      <c r="AA602" s="905" t="e">
        <f t="shared" si="305"/>
        <v>#VALUE!</v>
      </c>
      <c r="AB602" s="905" t="e">
        <f t="shared" si="306"/>
        <v>#VALUE!</v>
      </c>
      <c r="AC602" s="906" t="e">
        <f t="shared" si="290"/>
        <v>#VALUE!</v>
      </c>
      <c r="AD602" s="907">
        <f t="shared" si="291"/>
        <v>0</v>
      </c>
      <c r="AE602" s="904">
        <f>IF(H602&gt;8,tab!C$194,tab!C$197)</f>
        <v>0.5</v>
      </c>
      <c r="AF602" s="907">
        <f t="shared" si="292"/>
        <v>0</v>
      </c>
      <c r="AG602" s="887">
        <f t="shared" si="293"/>
        <v>0</v>
      </c>
      <c r="AH602" s="908" t="e">
        <f t="shared" si="294"/>
        <v>#VALUE!</v>
      </c>
      <c r="AI602" s="815" t="e">
        <f t="shared" si="295"/>
        <v>#VALUE!</v>
      </c>
      <c r="AJ602" s="540">
        <f t="shared" si="296"/>
        <v>30</v>
      </c>
      <c r="AK602" s="540">
        <f t="shared" si="297"/>
        <v>30</v>
      </c>
      <c r="AL602" s="909">
        <f t="shared" si="298"/>
        <v>0</v>
      </c>
      <c r="AN602" s="539">
        <f t="shared" si="299"/>
        <v>0</v>
      </c>
      <c r="AT602" s="317"/>
      <c r="AU602" s="317"/>
    </row>
    <row r="603" spans="3:47" ht="13.15" customHeight="1" x14ac:dyDescent="0.2">
      <c r="C603" s="381"/>
      <c r="D603" s="895" t="str">
        <f>IF(op!D491=0,"",op!D491)</f>
        <v/>
      </c>
      <c r="E603" s="895" t="str">
        <f>IF(op!E491=0,"",op!E491)</f>
        <v/>
      </c>
      <c r="F603" s="390" t="str">
        <f>IF(op!F491="","",op!F491+1)</f>
        <v/>
      </c>
      <c r="G603" s="896" t="str">
        <f>IF(op!G491=0,"",op!G491)</f>
        <v/>
      </c>
      <c r="H603" s="390" t="str">
        <f>IF(op!H491="","",op!H491)</f>
        <v/>
      </c>
      <c r="I603" s="897" t="str">
        <f t="shared" si="285"/>
        <v/>
      </c>
      <c r="J603" s="898" t="str">
        <f>IF(op!J491="","",op!J491)</f>
        <v/>
      </c>
      <c r="K603" s="334"/>
      <c r="L603" s="1140" t="str">
        <f>IF(op!L491="","",op!L491)</f>
        <v/>
      </c>
      <c r="M603" s="1140" t="str">
        <f>IF(op!M491="","",op!M491)</f>
        <v/>
      </c>
      <c r="N603" s="899" t="str">
        <f t="shared" si="300"/>
        <v/>
      </c>
      <c r="O603" s="900" t="str">
        <f t="shared" si="301"/>
        <v/>
      </c>
      <c r="P603" s="901" t="str">
        <f t="shared" si="302"/>
        <v/>
      </c>
      <c r="Q603" s="568" t="str">
        <f t="shared" si="286"/>
        <v/>
      </c>
      <c r="R603" s="902" t="str">
        <f t="shared" si="303"/>
        <v/>
      </c>
      <c r="S603" s="903">
        <f t="shared" si="287"/>
        <v>0</v>
      </c>
      <c r="T603" s="334"/>
      <c r="X603" s="887" t="str">
        <f t="shared" si="288"/>
        <v/>
      </c>
      <c r="Y603" s="904">
        <f t="shared" si="289"/>
        <v>0.6</v>
      </c>
      <c r="Z603" s="905" t="e">
        <f t="shared" si="304"/>
        <v>#VALUE!</v>
      </c>
      <c r="AA603" s="905" t="e">
        <f t="shared" si="305"/>
        <v>#VALUE!</v>
      </c>
      <c r="AB603" s="905" t="e">
        <f t="shared" si="306"/>
        <v>#VALUE!</v>
      </c>
      <c r="AC603" s="906" t="e">
        <f t="shared" si="290"/>
        <v>#VALUE!</v>
      </c>
      <c r="AD603" s="907">
        <f t="shared" si="291"/>
        <v>0</v>
      </c>
      <c r="AE603" s="904">
        <f>IF(H603&gt;8,tab!C$194,tab!C$197)</f>
        <v>0.5</v>
      </c>
      <c r="AF603" s="907">
        <f t="shared" si="292"/>
        <v>0</v>
      </c>
      <c r="AG603" s="887">
        <f t="shared" si="293"/>
        <v>0</v>
      </c>
      <c r="AH603" s="908" t="e">
        <f t="shared" si="294"/>
        <v>#VALUE!</v>
      </c>
      <c r="AI603" s="815" t="e">
        <f t="shared" si="295"/>
        <v>#VALUE!</v>
      </c>
      <c r="AJ603" s="540">
        <f t="shared" si="296"/>
        <v>30</v>
      </c>
      <c r="AK603" s="540">
        <f t="shared" si="297"/>
        <v>30</v>
      </c>
      <c r="AL603" s="909">
        <f t="shared" si="298"/>
        <v>0</v>
      </c>
      <c r="AN603" s="539">
        <f t="shared" si="299"/>
        <v>0</v>
      </c>
      <c r="AT603" s="317"/>
      <c r="AU603" s="317"/>
    </row>
    <row r="604" spans="3:47" ht="13.15" customHeight="1" x14ac:dyDescent="0.2">
      <c r="C604" s="381"/>
      <c r="D604" s="895" t="str">
        <f>IF(op!D492=0,"",op!D492)</f>
        <v/>
      </c>
      <c r="E604" s="895" t="str">
        <f>IF(op!E492=0,"",op!E492)</f>
        <v/>
      </c>
      <c r="F604" s="390" t="str">
        <f>IF(op!F492="","",op!F492+1)</f>
        <v/>
      </c>
      <c r="G604" s="896" t="str">
        <f>IF(op!G492=0,"",op!G492)</f>
        <v/>
      </c>
      <c r="H604" s="390" t="str">
        <f>IF(op!H492="","",op!H492)</f>
        <v/>
      </c>
      <c r="I604" s="897" t="str">
        <f t="shared" si="285"/>
        <v/>
      </c>
      <c r="J604" s="898" t="str">
        <f>IF(op!J492="","",op!J492)</f>
        <v/>
      </c>
      <c r="K604" s="334"/>
      <c r="L604" s="1140" t="str">
        <f>IF(op!L492="","",op!L492)</f>
        <v/>
      </c>
      <c r="M604" s="1140" t="str">
        <f>IF(op!M492="","",op!M492)</f>
        <v/>
      </c>
      <c r="N604" s="899" t="str">
        <f t="shared" si="300"/>
        <v/>
      </c>
      <c r="O604" s="900" t="str">
        <f t="shared" si="301"/>
        <v/>
      </c>
      <c r="P604" s="901" t="str">
        <f t="shared" si="302"/>
        <v/>
      </c>
      <c r="Q604" s="568" t="str">
        <f t="shared" si="286"/>
        <v/>
      </c>
      <c r="R604" s="902" t="str">
        <f t="shared" si="303"/>
        <v/>
      </c>
      <c r="S604" s="903">
        <f t="shared" si="287"/>
        <v>0</v>
      </c>
      <c r="T604" s="334"/>
      <c r="X604" s="887" t="str">
        <f t="shared" si="288"/>
        <v/>
      </c>
      <c r="Y604" s="904">
        <f t="shared" si="289"/>
        <v>0.6</v>
      </c>
      <c r="Z604" s="905" t="e">
        <f t="shared" si="304"/>
        <v>#VALUE!</v>
      </c>
      <c r="AA604" s="905" t="e">
        <f t="shared" si="305"/>
        <v>#VALUE!</v>
      </c>
      <c r="AB604" s="905" t="e">
        <f t="shared" si="306"/>
        <v>#VALUE!</v>
      </c>
      <c r="AC604" s="906" t="e">
        <f t="shared" si="290"/>
        <v>#VALUE!</v>
      </c>
      <c r="AD604" s="907">
        <f t="shared" si="291"/>
        <v>0</v>
      </c>
      <c r="AE604" s="904">
        <f>IF(H604&gt;8,tab!C$194,tab!C$197)</f>
        <v>0.5</v>
      </c>
      <c r="AF604" s="907">
        <f t="shared" si="292"/>
        <v>0</v>
      </c>
      <c r="AG604" s="887">
        <f t="shared" si="293"/>
        <v>0</v>
      </c>
      <c r="AH604" s="908" t="e">
        <f t="shared" si="294"/>
        <v>#VALUE!</v>
      </c>
      <c r="AI604" s="815" t="e">
        <f t="shared" si="295"/>
        <v>#VALUE!</v>
      </c>
      <c r="AJ604" s="540">
        <f t="shared" si="296"/>
        <v>30</v>
      </c>
      <c r="AK604" s="540">
        <f t="shared" si="297"/>
        <v>30</v>
      </c>
      <c r="AL604" s="909">
        <f t="shared" si="298"/>
        <v>0</v>
      </c>
      <c r="AN604" s="539">
        <f t="shared" si="299"/>
        <v>0</v>
      </c>
      <c r="AT604" s="317"/>
      <c r="AU604" s="317"/>
    </row>
    <row r="605" spans="3:47" ht="13.15" customHeight="1" x14ac:dyDescent="0.2">
      <c r="C605" s="381"/>
      <c r="D605" s="895" t="str">
        <f>IF(op!D493=0,"",op!D493)</f>
        <v/>
      </c>
      <c r="E605" s="895" t="str">
        <f>IF(op!E493=0,"",op!E493)</f>
        <v/>
      </c>
      <c r="F605" s="390" t="str">
        <f>IF(op!F493="","",op!F493+1)</f>
        <v/>
      </c>
      <c r="G605" s="896" t="str">
        <f>IF(op!G493=0,"",op!G493)</f>
        <v/>
      </c>
      <c r="H605" s="390" t="str">
        <f>IF(op!H493="","",op!H493)</f>
        <v/>
      </c>
      <c r="I605" s="897" t="str">
        <f t="shared" si="285"/>
        <v/>
      </c>
      <c r="J605" s="898" t="str">
        <f>IF(op!J493="","",op!J493)</f>
        <v/>
      </c>
      <c r="K605" s="334"/>
      <c r="L605" s="1140" t="str">
        <f>IF(op!L493="","",op!L493)</f>
        <v/>
      </c>
      <c r="M605" s="1140" t="str">
        <f>IF(op!M493="","",op!M493)</f>
        <v/>
      </c>
      <c r="N605" s="899" t="str">
        <f t="shared" si="300"/>
        <v/>
      </c>
      <c r="O605" s="900" t="str">
        <f t="shared" si="301"/>
        <v/>
      </c>
      <c r="P605" s="901" t="str">
        <f t="shared" si="302"/>
        <v/>
      </c>
      <c r="Q605" s="568" t="str">
        <f t="shared" si="286"/>
        <v/>
      </c>
      <c r="R605" s="902" t="str">
        <f t="shared" si="303"/>
        <v/>
      </c>
      <c r="S605" s="903">
        <f t="shared" si="287"/>
        <v>0</v>
      </c>
      <c r="T605" s="334"/>
      <c r="X605" s="887" t="str">
        <f t="shared" si="288"/>
        <v/>
      </c>
      <c r="Y605" s="904">
        <f t="shared" si="289"/>
        <v>0.6</v>
      </c>
      <c r="Z605" s="905" t="e">
        <f t="shared" si="304"/>
        <v>#VALUE!</v>
      </c>
      <c r="AA605" s="905" t="e">
        <f t="shared" si="305"/>
        <v>#VALUE!</v>
      </c>
      <c r="AB605" s="905" t="e">
        <f t="shared" si="306"/>
        <v>#VALUE!</v>
      </c>
      <c r="AC605" s="906" t="e">
        <f t="shared" si="290"/>
        <v>#VALUE!</v>
      </c>
      <c r="AD605" s="907">
        <f t="shared" si="291"/>
        <v>0</v>
      </c>
      <c r="AE605" s="904">
        <f>IF(H605&gt;8,tab!C$194,tab!C$197)</f>
        <v>0.5</v>
      </c>
      <c r="AF605" s="907">
        <f t="shared" si="292"/>
        <v>0</v>
      </c>
      <c r="AG605" s="887">
        <f t="shared" si="293"/>
        <v>0</v>
      </c>
      <c r="AH605" s="908" t="e">
        <f t="shared" si="294"/>
        <v>#VALUE!</v>
      </c>
      <c r="AI605" s="815" t="e">
        <f t="shared" si="295"/>
        <v>#VALUE!</v>
      </c>
      <c r="AJ605" s="540">
        <f t="shared" si="296"/>
        <v>30</v>
      </c>
      <c r="AK605" s="540">
        <f t="shared" si="297"/>
        <v>30</v>
      </c>
      <c r="AL605" s="909">
        <f t="shared" si="298"/>
        <v>0</v>
      </c>
      <c r="AN605" s="539">
        <f t="shared" si="299"/>
        <v>0</v>
      </c>
      <c r="AT605" s="317"/>
      <c r="AU605" s="317"/>
    </row>
    <row r="606" spans="3:47" ht="13.15" customHeight="1" x14ac:dyDescent="0.2">
      <c r="C606" s="381"/>
      <c r="D606" s="895" t="str">
        <f>IF(op!D494=0,"",op!D494)</f>
        <v/>
      </c>
      <c r="E606" s="895" t="str">
        <f>IF(op!E494=0,"",op!E494)</f>
        <v/>
      </c>
      <c r="F606" s="390" t="str">
        <f>IF(op!F494="","",op!F494+1)</f>
        <v/>
      </c>
      <c r="G606" s="896" t="str">
        <f>IF(op!G494=0,"",op!G494)</f>
        <v/>
      </c>
      <c r="H606" s="390" t="str">
        <f>IF(op!H494="","",op!H494)</f>
        <v/>
      </c>
      <c r="I606" s="897" t="str">
        <f t="shared" si="285"/>
        <v/>
      </c>
      <c r="J606" s="898" t="str">
        <f>IF(op!J494="","",op!J494)</f>
        <v/>
      </c>
      <c r="K606" s="334"/>
      <c r="L606" s="1140" t="str">
        <f>IF(op!L494="","",op!L494)</f>
        <v/>
      </c>
      <c r="M606" s="1140" t="str">
        <f>IF(op!M494="","",op!M494)</f>
        <v/>
      </c>
      <c r="N606" s="899" t="str">
        <f t="shared" si="300"/>
        <v/>
      </c>
      <c r="O606" s="900" t="str">
        <f t="shared" si="301"/>
        <v/>
      </c>
      <c r="P606" s="901" t="str">
        <f t="shared" si="302"/>
        <v/>
      </c>
      <c r="Q606" s="568" t="str">
        <f t="shared" si="286"/>
        <v/>
      </c>
      <c r="R606" s="902" t="str">
        <f t="shared" si="303"/>
        <v/>
      </c>
      <c r="S606" s="903">
        <f t="shared" si="287"/>
        <v>0</v>
      </c>
      <c r="T606" s="334"/>
      <c r="X606" s="887" t="str">
        <f t="shared" si="288"/>
        <v/>
      </c>
      <c r="Y606" s="904">
        <f t="shared" si="289"/>
        <v>0.6</v>
      </c>
      <c r="Z606" s="905" t="e">
        <f t="shared" si="304"/>
        <v>#VALUE!</v>
      </c>
      <c r="AA606" s="905" t="e">
        <f t="shared" si="305"/>
        <v>#VALUE!</v>
      </c>
      <c r="AB606" s="905" t="e">
        <f t="shared" si="306"/>
        <v>#VALUE!</v>
      </c>
      <c r="AC606" s="906" t="e">
        <f t="shared" si="290"/>
        <v>#VALUE!</v>
      </c>
      <c r="AD606" s="907">
        <f t="shared" si="291"/>
        <v>0</v>
      </c>
      <c r="AE606" s="904">
        <f>IF(H606&gt;8,tab!C$194,tab!C$197)</f>
        <v>0.5</v>
      </c>
      <c r="AF606" s="907">
        <f t="shared" si="292"/>
        <v>0</v>
      </c>
      <c r="AG606" s="887">
        <f t="shared" si="293"/>
        <v>0</v>
      </c>
      <c r="AH606" s="908" t="e">
        <f t="shared" si="294"/>
        <v>#VALUE!</v>
      </c>
      <c r="AI606" s="815" t="e">
        <f t="shared" si="295"/>
        <v>#VALUE!</v>
      </c>
      <c r="AJ606" s="540">
        <f t="shared" si="296"/>
        <v>30</v>
      </c>
      <c r="AK606" s="540">
        <f t="shared" si="297"/>
        <v>30</v>
      </c>
      <c r="AL606" s="909">
        <f t="shared" si="298"/>
        <v>0</v>
      </c>
      <c r="AN606" s="539">
        <f t="shared" si="299"/>
        <v>0</v>
      </c>
      <c r="AT606" s="317"/>
      <c r="AU606" s="317"/>
    </row>
    <row r="607" spans="3:47" ht="13.15" customHeight="1" x14ac:dyDescent="0.2">
      <c r="C607" s="381"/>
      <c r="D607" s="895" t="str">
        <f>IF(op!D495=0,"",op!D495)</f>
        <v/>
      </c>
      <c r="E607" s="895" t="str">
        <f>IF(op!E495=0,"",op!E495)</f>
        <v/>
      </c>
      <c r="F607" s="390" t="str">
        <f>IF(op!F495="","",op!F495+1)</f>
        <v/>
      </c>
      <c r="G607" s="896" t="str">
        <f>IF(op!G495=0,"",op!G495)</f>
        <v/>
      </c>
      <c r="H607" s="390" t="str">
        <f>IF(op!H495="","",op!H495)</f>
        <v/>
      </c>
      <c r="I607" s="897" t="str">
        <f t="shared" si="285"/>
        <v/>
      </c>
      <c r="J607" s="898" t="str">
        <f>IF(op!J495="","",op!J495)</f>
        <v/>
      </c>
      <c r="K607" s="334"/>
      <c r="L607" s="1140" t="str">
        <f>IF(op!L495="","",op!L495)</f>
        <v/>
      </c>
      <c r="M607" s="1140" t="str">
        <f>IF(op!M495="","",op!M495)</f>
        <v/>
      </c>
      <c r="N607" s="899" t="str">
        <f t="shared" si="300"/>
        <v/>
      </c>
      <c r="O607" s="900" t="str">
        <f t="shared" si="301"/>
        <v/>
      </c>
      <c r="P607" s="901" t="str">
        <f t="shared" si="302"/>
        <v/>
      </c>
      <c r="Q607" s="568" t="str">
        <f t="shared" si="286"/>
        <v/>
      </c>
      <c r="R607" s="902" t="str">
        <f t="shared" si="303"/>
        <v/>
      </c>
      <c r="S607" s="903">
        <f t="shared" si="287"/>
        <v>0</v>
      </c>
      <c r="T607" s="334"/>
      <c r="X607" s="887" t="str">
        <f t="shared" si="288"/>
        <v/>
      </c>
      <c r="Y607" s="904">
        <f t="shared" si="289"/>
        <v>0.6</v>
      </c>
      <c r="Z607" s="905" t="e">
        <f t="shared" si="304"/>
        <v>#VALUE!</v>
      </c>
      <c r="AA607" s="905" t="e">
        <f t="shared" si="305"/>
        <v>#VALUE!</v>
      </c>
      <c r="AB607" s="905" t="e">
        <f t="shared" si="306"/>
        <v>#VALUE!</v>
      </c>
      <c r="AC607" s="906" t="e">
        <f t="shared" si="290"/>
        <v>#VALUE!</v>
      </c>
      <c r="AD607" s="907">
        <f t="shared" si="291"/>
        <v>0</v>
      </c>
      <c r="AE607" s="904">
        <f>IF(H607&gt;8,tab!C$194,tab!C$197)</f>
        <v>0.5</v>
      </c>
      <c r="AF607" s="907">
        <f t="shared" si="292"/>
        <v>0</v>
      </c>
      <c r="AG607" s="887">
        <f t="shared" si="293"/>
        <v>0</v>
      </c>
      <c r="AH607" s="908" t="e">
        <f t="shared" si="294"/>
        <v>#VALUE!</v>
      </c>
      <c r="AI607" s="815" t="e">
        <f t="shared" si="295"/>
        <v>#VALUE!</v>
      </c>
      <c r="AJ607" s="540">
        <f t="shared" si="296"/>
        <v>30</v>
      </c>
      <c r="AK607" s="540">
        <f t="shared" si="297"/>
        <v>30</v>
      </c>
      <c r="AL607" s="909">
        <f t="shared" si="298"/>
        <v>0</v>
      </c>
      <c r="AN607" s="539">
        <f t="shared" si="299"/>
        <v>0</v>
      </c>
      <c r="AT607" s="317"/>
      <c r="AU607" s="317"/>
    </row>
    <row r="608" spans="3:47" ht="13.15" customHeight="1" x14ac:dyDescent="0.2">
      <c r="C608" s="381"/>
      <c r="D608" s="895" t="str">
        <f>IF(op!D496=0,"",op!D496)</f>
        <v/>
      </c>
      <c r="E608" s="895" t="str">
        <f>IF(op!E496=0,"",op!E496)</f>
        <v/>
      </c>
      <c r="F608" s="390" t="str">
        <f>IF(op!F496="","",op!F496+1)</f>
        <v/>
      </c>
      <c r="G608" s="896" t="str">
        <f>IF(op!G496=0,"",op!G496)</f>
        <v/>
      </c>
      <c r="H608" s="390" t="str">
        <f>IF(op!H496="","",op!H496)</f>
        <v/>
      </c>
      <c r="I608" s="897" t="str">
        <f t="shared" ref="I608:I639" si="307">IF(E608="","",IF(I496=VLOOKUP(H608,Salaris2021,22,FALSE),I496,I496+1))</f>
        <v/>
      </c>
      <c r="J608" s="898" t="str">
        <f>IF(op!J496="","",op!J496)</f>
        <v/>
      </c>
      <c r="K608" s="334"/>
      <c r="L608" s="1140" t="str">
        <f>IF(op!L496="","",op!L496)</f>
        <v/>
      </c>
      <c r="M608" s="1140" t="str">
        <f>IF(op!M496="","",op!M496)</f>
        <v/>
      </c>
      <c r="N608" s="899" t="str">
        <f t="shared" si="300"/>
        <v/>
      </c>
      <c r="O608" s="900" t="str">
        <f t="shared" si="301"/>
        <v/>
      </c>
      <c r="P608" s="901" t="str">
        <f t="shared" si="302"/>
        <v/>
      </c>
      <c r="Q608" s="568" t="str">
        <f t="shared" ref="Q608:Q639" si="308">IF(J608="","",(1659*J608-P608)*AA608)</f>
        <v/>
      </c>
      <c r="R608" s="902" t="str">
        <f t="shared" si="303"/>
        <v/>
      </c>
      <c r="S608" s="903">
        <f t="shared" ref="S608:S639" si="309">IF(E608=0,0,SUM(Q608:R608))</f>
        <v>0</v>
      </c>
      <c r="T608" s="334"/>
      <c r="X608" s="887" t="str">
        <f t="shared" ref="X608:X639" si="310">IF(H608="","",VLOOKUP(H608,Salaris2021,I608+1,FALSE))</f>
        <v/>
      </c>
      <c r="Y608" s="904">
        <f t="shared" ref="Y608:Y639" si="311">$Y$14</f>
        <v>0.6</v>
      </c>
      <c r="Z608" s="905" t="e">
        <f t="shared" si="304"/>
        <v>#VALUE!</v>
      </c>
      <c r="AA608" s="905" t="e">
        <f t="shared" si="305"/>
        <v>#VALUE!</v>
      </c>
      <c r="AB608" s="905" t="e">
        <f t="shared" si="306"/>
        <v>#VALUE!</v>
      </c>
      <c r="AC608" s="906" t="e">
        <f t="shared" ref="AC608:AC639" si="312">N608+O608</f>
        <v>#VALUE!</v>
      </c>
      <c r="AD608" s="907">
        <f t="shared" ref="AD608:AD639" si="313">SUM(L608:M608)</f>
        <v>0</v>
      </c>
      <c r="AE608" s="904">
        <f>IF(H608&gt;8,tab!C$194,tab!C$197)</f>
        <v>0.5</v>
      </c>
      <c r="AF608" s="907">
        <f t="shared" ref="AF608:AF639" si="314">IF(F608&lt;25,0,IF(F608=25,25,IF(F608&lt;40,0,IF(F608=40,40,IF(F608&gt;=40,0)))))</f>
        <v>0</v>
      </c>
      <c r="AG608" s="887">
        <f t="shared" ref="AG608:AG639" si="315">IF(AF608=25,(X608*1.08*J608/2),IF(AF608=40,(Y608*1.08*J608),IF(AF608=0,0)))</f>
        <v>0</v>
      </c>
      <c r="AH608" s="908" t="e">
        <f t="shared" ref="AH608:AH639" si="316">DATE(YEAR($E$233),MONTH(G608),DAY(G608))&gt;$E$233</f>
        <v>#VALUE!</v>
      </c>
      <c r="AI608" s="815" t="e">
        <f t="shared" ref="AI608:AI639" si="317">YEAR($E$569)-YEAR(G608)-AH608</f>
        <v>#VALUE!</v>
      </c>
      <c r="AJ608" s="540">
        <f t="shared" ref="AJ608:AJ639" si="318">IF((G608=""),30,AI608)</f>
        <v>30</v>
      </c>
      <c r="AK608" s="540">
        <f t="shared" si="297"/>
        <v>30</v>
      </c>
      <c r="AL608" s="909">
        <f t="shared" ref="AL608:AL639" si="319">(AK608*(SUM(J608:J608)))</f>
        <v>0</v>
      </c>
      <c r="AN608" s="539">
        <f t="shared" si="299"/>
        <v>0</v>
      </c>
      <c r="AT608" s="317"/>
      <c r="AU608" s="317"/>
    </row>
    <row r="609" spans="3:47" ht="13.15" customHeight="1" x14ac:dyDescent="0.2">
      <c r="C609" s="381"/>
      <c r="D609" s="895" t="str">
        <f>IF(op!D497=0,"",op!D497)</f>
        <v/>
      </c>
      <c r="E609" s="895" t="str">
        <f>IF(op!E497=0,"",op!E497)</f>
        <v/>
      </c>
      <c r="F609" s="390" t="str">
        <f>IF(op!F497="","",op!F497+1)</f>
        <v/>
      </c>
      <c r="G609" s="896" t="str">
        <f>IF(op!G497=0,"",op!G497)</f>
        <v/>
      </c>
      <c r="H609" s="390" t="str">
        <f>IF(op!H497="","",op!H497)</f>
        <v/>
      </c>
      <c r="I609" s="897" t="str">
        <f t="shared" si="307"/>
        <v/>
      </c>
      <c r="J609" s="898" t="str">
        <f>IF(op!J497="","",op!J497)</f>
        <v/>
      </c>
      <c r="K609" s="334"/>
      <c r="L609" s="1140" t="str">
        <f>IF(op!L497="","",op!L497)</f>
        <v/>
      </c>
      <c r="M609" s="1140" t="str">
        <f>IF(op!M497="","",op!M497)</f>
        <v/>
      </c>
      <c r="N609" s="899" t="str">
        <f t="shared" si="300"/>
        <v/>
      </c>
      <c r="O609" s="900" t="str">
        <f t="shared" si="301"/>
        <v/>
      </c>
      <c r="P609" s="901" t="str">
        <f t="shared" si="302"/>
        <v/>
      </c>
      <c r="Q609" s="568" t="str">
        <f t="shared" si="308"/>
        <v/>
      </c>
      <c r="R609" s="902" t="str">
        <f t="shared" si="303"/>
        <v/>
      </c>
      <c r="S609" s="903">
        <f t="shared" si="309"/>
        <v>0</v>
      </c>
      <c r="T609" s="334"/>
      <c r="X609" s="887" t="str">
        <f t="shared" si="310"/>
        <v/>
      </c>
      <c r="Y609" s="904">
        <f t="shared" si="311"/>
        <v>0.6</v>
      </c>
      <c r="Z609" s="905" t="e">
        <f t="shared" si="304"/>
        <v>#VALUE!</v>
      </c>
      <c r="AA609" s="905" t="e">
        <f t="shared" si="305"/>
        <v>#VALUE!</v>
      </c>
      <c r="AB609" s="905" t="e">
        <f t="shared" si="306"/>
        <v>#VALUE!</v>
      </c>
      <c r="AC609" s="906" t="e">
        <f t="shared" si="312"/>
        <v>#VALUE!</v>
      </c>
      <c r="AD609" s="907">
        <f t="shared" si="313"/>
        <v>0</v>
      </c>
      <c r="AE609" s="904">
        <f>IF(H609&gt;8,tab!C$194,tab!C$197)</f>
        <v>0.5</v>
      </c>
      <c r="AF609" s="907">
        <f t="shared" si="314"/>
        <v>0</v>
      </c>
      <c r="AG609" s="887">
        <f t="shared" si="315"/>
        <v>0</v>
      </c>
      <c r="AH609" s="908" t="e">
        <f t="shared" si="316"/>
        <v>#VALUE!</v>
      </c>
      <c r="AI609" s="815" t="e">
        <f t="shared" si="317"/>
        <v>#VALUE!</v>
      </c>
      <c r="AJ609" s="540">
        <f t="shared" si="318"/>
        <v>30</v>
      </c>
      <c r="AK609" s="540">
        <f t="shared" si="297"/>
        <v>30</v>
      </c>
      <c r="AL609" s="909">
        <f t="shared" si="319"/>
        <v>0</v>
      </c>
      <c r="AN609" s="539">
        <f t="shared" si="299"/>
        <v>0</v>
      </c>
      <c r="AT609" s="317"/>
      <c r="AU609" s="317"/>
    </row>
    <row r="610" spans="3:47" ht="13.15" customHeight="1" x14ac:dyDescent="0.2">
      <c r="C610" s="381"/>
      <c r="D610" s="895" t="str">
        <f>IF(op!D498=0,"",op!D498)</f>
        <v/>
      </c>
      <c r="E610" s="895" t="str">
        <f>IF(op!E498=0,"",op!E498)</f>
        <v/>
      </c>
      <c r="F610" s="390" t="str">
        <f>IF(op!F498="","",op!F498+1)</f>
        <v/>
      </c>
      <c r="G610" s="896" t="str">
        <f>IF(op!G498=0,"",op!G498)</f>
        <v/>
      </c>
      <c r="H610" s="390" t="str">
        <f>IF(op!H498="","",op!H498)</f>
        <v/>
      </c>
      <c r="I610" s="897" t="str">
        <f t="shared" si="307"/>
        <v/>
      </c>
      <c r="J610" s="898" t="str">
        <f>IF(op!J498="","",op!J498)</f>
        <v/>
      </c>
      <c r="K610" s="334"/>
      <c r="L610" s="1140" t="str">
        <f>IF(op!L498="","",op!L498)</f>
        <v/>
      </c>
      <c r="M610" s="1140" t="str">
        <f>IF(op!M498="","",op!M498)</f>
        <v/>
      </c>
      <c r="N610" s="899" t="str">
        <f t="shared" si="300"/>
        <v/>
      </c>
      <c r="O610" s="900" t="str">
        <f t="shared" si="301"/>
        <v/>
      </c>
      <c r="P610" s="901" t="str">
        <f t="shared" si="302"/>
        <v/>
      </c>
      <c r="Q610" s="568" t="str">
        <f t="shared" si="308"/>
        <v/>
      </c>
      <c r="R610" s="902" t="str">
        <f t="shared" si="303"/>
        <v/>
      </c>
      <c r="S610" s="903">
        <f t="shared" si="309"/>
        <v>0</v>
      </c>
      <c r="T610" s="334"/>
      <c r="X610" s="887" t="str">
        <f t="shared" si="310"/>
        <v/>
      </c>
      <c r="Y610" s="904">
        <f t="shared" si="311"/>
        <v>0.6</v>
      </c>
      <c r="Z610" s="905" t="e">
        <f t="shared" si="304"/>
        <v>#VALUE!</v>
      </c>
      <c r="AA610" s="905" t="e">
        <f t="shared" si="305"/>
        <v>#VALUE!</v>
      </c>
      <c r="AB610" s="905" t="e">
        <f t="shared" si="306"/>
        <v>#VALUE!</v>
      </c>
      <c r="AC610" s="906" t="e">
        <f t="shared" si="312"/>
        <v>#VALUE!</v>
      </c>
      <c r="AD610" s="907">
        <f t="shared" si="313"/>
        <v>0</v>
      </c>
      <c r="AE610" s="904">
        <f>IF(H610&gt;8,tab!C$194,tab!C$197)</f>
        <v>0.5</v>
      </c>
      <c r="AF610" s="907">
        <f t="shared" si="314"/>
        <v>0</v>
      </c>
      <c r="AG610" s="887">
        <f t="shared" si="315"/>
        <v>0</v>
      </c>
      <c r="AH610" s="908" t="e">
        <f t="shared" si="316"/>
        <v>#VALUE!</v>
      </c>
      <c r="AI610" s="815" t="e">
        <f t="shared" si="317"/>
        <v>#VALUE!</v>
      </c>
      <c r="AJ610" s="540">
        <f t="shared" si="318"/>
        <v>30</v>
      </c>
      <c r="AK610" s="540">
        <f t="shared" si="297"/>
        <v>30</v>
      </c>
      <c r="AL610" s="909">
        <f t="shared" si="319"/>
        <v>0</v>
      </c>
      <c r="AN610" s="539">
        <f t="shared" si="299"/>
        <v>0</v>
      </c>
      <c r="AT610" s="317"/>
      <c r="AU610" s="317"/>
    </row>
    <row r="611" spans="3:47" ht="13.15" customHeight="1" x14ac:dyDescent="0.2">
      <c r="C611" s="381"/>
      <c r="D611" s="895" t="str">
        <f>IF(op!D499=0,"",op!D499)</f>
        <v/>
      </c>
      <c r="E611" s="895" t="str">
        <f>IF(op!E499=0,"",op!E499)</f>
        <v/>
      </c>
      <c r="F611" s="390" t="str">
        <f>IF(op!F499="","",op!F499+1)</f>
        <v/>
      </c>
      <c r="G611" s="896" t="str">
        <f>IF(op!G499=0,"",op!G499)</f>
        <v/>
      </c>
      <c r="H611" s="390" t="str">
        <f>IF(op!H499="","",op!H499)</f>
        <v/>
      </c>
      <c r="I611" s="897" t="str">
        <f t="shared" si="307"/>
        <v/>
      </c>
      <c r="J611" s="898" t="str">
        <f>IF(op!J499="","",op!J499)</f>
        <v/>
      </c>
      <c r="K611" s="334"/>
      <c r="L611" s="1140" t="str">
        <f>IF(op!L499="","",op!L499)</f>
        <v/>
      </c>
      <c r="M611" s="1140" t="str">
        <f>IF(op!M499="","",op!M499)</f>
        <v/>
      </c>
      <c r="N611" s="899" t="str">
        <f t="shared" si="300"/>
        <v/>
      </c>
      <c r="O611" s="900" t="str">
        <f t="shared" si="301"/>
        <v/>
      </c>
      <c r="P611" s="901" t="str">
        <f t="shared" si="302"/>
        <v/>
      </c>
      <c r="Q611" s="568" t="str">
        <f t="shared" si="308"/>
        <v/>
      </c>
      <c r="R611" s="902" t="str">
        <f t="shared" si="303"/>
        <v/>
      </c>
      <c r="S611" s="903">
        <f t="shared" si="309"/>
        <v>0</v>
      </c>
      <c r="T611" s="334"/>
      <c r="X611" s="887" t="str">
        <f t="shared" si="310"/>
        <v/>
      </c>
      <c r="Y611" s="904">
        <f t="shared" si="311"/>
        <v>0.6</v>
      </c>
      <c r="Z611" s="905" t="e">
        <f t="shared" si="304"/>
        <v>#VALUE!</v>
      </c>
      <c r="AA611" s="905" t="e">
        <f t="shared" si="305"/>
        <v>#VALUE!</v>
      </c>
      <c r="AB611" s="905" t="e">
        <f t="shared" si="306"/>
        <v>#VALUE!</v>
      </c>
      <c r="AC611" s="906" t="e">
        <f t="shared" si="312"/>
        <v>#VALUE!</v>
      </c>
      <c r="AD611" s="907">
        <f t="shared" si="313"/>
        <v>0</v>
      </c>
      <c r="AE611" s="904">
        <f>IF(H611&gt;8,tab!C$194,tab!C$197)</f>
        <v>0.5</v>
      </c>
      <c r="AF611" s="907">
        <f t="shared" si="314"/>
        <v>0</v>
      </c>
      <c r="AG611" s="887">
        <f t="shared" si="315"/>
        <v>0</v>
      </c>
      <c r="AH611" s="908" t="e">
        <f t="shared" si="316"/>
        <v>#VALUE!</v>
      </c>
      <c r="AI611" s="815" t="e">
        <f t="shared" si="317"/>
        <v>#VALUE!</v>
      </c>
      <c r="AJ611" s="540">
        <f t="shared" si="318"/>
        <v>30</v>
      </c>
      <c r="AK611" s="540">
        <f t="shared" si="297"/>
        <v>30</v>
      </c>
      <c r="AL611" s="909">
        <f t="shared" si="319"/>
        <v>0</v>
      </c>
      <c r="AN611" s="539">
        <f t="shared" si="299"/>
        <v>0</v>
      </c>
      <c r="AT611" s="317"/>
      <c r="AU611" s="317"/>
    </row>
    <row r="612" spans="3:47" ht="13.15" customHeight="1" x14ac:dyDescent="0.2">
      <c r="C612" s="381"/>
      <c r="D612" s="895" t="str">
        <f>IF(op!D500=0,"",op!D500)</f>
        <v/>
      </c>
      <c r="E612" s="895" t="str">
        <f>IF(op!E500=0,"",op!E500)</f>
        <v/>
      </c>
      <c r="F612" s="390" t="str">
        <f>IF(op!F500="","",op!F500+1)</f>
        <v/>
      </c>
      <c r="G612" s="896" t="str">
        <f>IF(op!G500=0,"",op!G500)</f>
        <v/>
      </c>
      <c r="H612" s="390" t="str">
        <f>IF(op!H500="","",op!H500)</f>
        <v/>
      </c>
      <c r="I612" s="897" t="str">
        <f t="shared" si="307"/>
        <v/>
      </c>
      <c r="J612" s="898" t="str">
        <f>IF(op!J500="","",op!J500)</f>
        <v/>
      </c>
      <c r="K612" s="334"/>
      <c r="L612" s="1140" t="str">
        <f>IF(op!L500="","",op!L500)</f>
        <v/>
      </c>
      <c r="M612" s="1140" t="str">
        <f>IF(op!M500="","",op!M500)</f>
        <v/>
      </c>
      <c r="N612" s="899" t="str">
        <f t="shared" si="300"/>
        <v/>
      </c>
      <c r="O612" s="900" t="str">
        <f t="shared" si="301"/>
        <v/>
      </c>
      <c r="P612" s="901" t="str">
        <f t="shared" si="302"/>
        <v/>
      </c>
      <c r="Q612" s="568" t="str">
        <f t="shared" si="308"/>
        <v/>
      </c>
      <c r="R612" s="902" t="str">
        <f t="shared" si="303"/>
        <v/>
      </c>
      <c r="S612" s="903">
        <f t="shared" si="309"/>
        <v>0</v>
      </c>
      <c r="T612" s="334"/>
      <c r="X612" s="887" t="str">
        <f t="shared" si="310"/>
        <v/>
      </c>
      <c r="Y612" s="904">
        <f t="shared" si="311"/>
        <v>0.6</v>
      </c>
      <c r="Z612" s="905" t="e">
        <f t="shared" si="304"/>
        <v>#VALUE!</v>
      </c>
      <c r="AA612" s="905" t="e">
        <f t="shared" si="305"/>
        <v>#VALUE!</v>
      </c>
      <c r="AB612" s="905" t="e">
        <f t="shared" si="306"/>
        <v>#VALUE!</v>
      </c>
      <c r="AC612" s="906" t="e">
        <f t="shared" si="312"/>
        <v>#VALUE!</v>
      </c>
      <c r="AD612" s="907">
        <f t="shared" si="313"/>
        <v>0</v>
      </c>
      <c r="AE612" s="904">
        <f>IF(H612&gt;8,tab!C$194,tab!C$197)</f>
        <v>0.5</v>
      </c>
      <c r="AF612" s="907">
        <f t="shared" si="314"/>
        <v>0</v>
      </c>
      <c r="AG612" s="887">
        <f t="shared" si="315"/>
        <v>0</v>
      </c>
      <c r="AH612" s="908" t="e">
        <f t="shared" si="316"/>
        <v>#VALUE!</v>
      </c>
      <c r="AI612" s="815" t="e">
        <f t="shared" si="317"/>
        <v>#VALUE!</v>
      </c>
      <c r="AJ612" s="540">
        <f t="shared" si="318"/>
        <v>30</v>
      </c>
      <c r="AK612" s="540">
        <f t="shared" si="297"/>
        <v>30</v>
      </c>
      <c r="AL612" s="909">
        <f t="shared" si="319"/>
        <v>0</v>
      </c>
      <c r="AN612" s="539">
        <f t="shared" si="299"/>
        <v>0</v>
      </c>
      <c r="AT612" s="317"/>
      <c r="AU612" s="317"/>
    </row>
    <row r="613" spans="3:47" ht="13.15" customHeight="1" x14ac:dyDescent="0.2">
      <c r="C613" s="381"/>
      <c r="D613" s="895" t="str">
        <f>IF(op!D501=0,"",op!D501)</f>
        <v/>
      </c>
      <c r="E613" s="895" t="str">
        <f>IF(op!E501=0,"",op!E501)</f>
        <v/>
      </c>
      <c r="F613" s="390" t="str">
        <f>IF(op!F501="","",op!F501+1)</f>
        <v/>
      </c>
      <c r="G613" s="896" t="str">
        <f>IF(op!G501=0,"",op!G501)</f>
        <v/>
      </c>
      <c r="H613" s="390" t="str">
        <f>IF(op!H501="","",op!H501)</f>
        <v/>
      </c>
      <c r="I613" s="897" t="str">
        <f t="shared" si="307"/>
        <v/>
      </c>
      <c r="J613" s="898" t="str">
        <f>IF(op!J501="","",op!J501)</f>
        <v/>
      </c>
      <c r="K613" s="334"/>
      <c r="L613" s="1140" t="str">
        <f>IF(op!L501="","",op!L501)</f>
        <v/>
      </c>
      <c r="M613" s="1140" t="str">
        <f>IF(op!M501="","",op!M501)</f>
        <v/>
      </c>
      <c r="N613" s="899" t="str">
        <f t="shared" si="300"/>
        <v/>
      </c>
      <c r="O613" s="900" t="str">
        <f t="shared" si="301"/>
        <v/>
      </c>
      <c r="P613" s="901" t="str">
        <f t="shared" si="302"/>
        <v/>
      </c>
      <c r="Q613" s="568" t="str">
        <f t="shared" si="308"/>
        <v/>
      </c>
      <c r="R613" s="902" t="str">
        <f t="shared" si="303"/>
        <v/>
      </c>
      <c r="S613" s="903">
        <f t="shared" si="309"/>
        <v>0</v>
      </c>
      <c r="T613" s="334"/>
      <c r="X613" s="887" t="str">
        <f t="shared" si="310"/>
        <v/>
      </c>
      <c r="Y613" s="904">
        <f t="shared" si="311"/>
        <v>0.6</v>
      </c>
      <c r="Z613" s="905" t="e">
        <f t="shared" si="304"/>
        <v>#VALUE!</v>
      </c>
      <c r="AA613" s="905" t="e">
        <f t="shared" si="305"/>
        <v>#VALUE!</v>
      </c>
      <c r="AB613" s="905" t="e">
        <f t="shared" si="306"/>
        <v>#VALUE!</v>
      </c>
      <c r="AC613" s="906" t="e">
        <f t="shared" si="312"/>
        <v>#VALUE!</v>
      </c>
      <c r="AD613" s="907">
        <f t="shared" si="313"/>
        <v>0</v>
      </c>
      <c r="AE613" s="904">
        <f>IF(H613&gt;8,tab!C$194,tab!C$197)</f>
        <v>0.5</v>
      </c>
      <c r="AF613" s="907">
        <f t="shared" si="314"/>
        <v>0</v>
      </c>
      <c r="AG613" s="887">
        <f t="shared" si="315"/>
        <v>0</v>
      </c>
      <c r="AH613" s="908" t="e">
        <f t="shared" si="316"/>
        <v>#VALUE!</v>
      </c>
      <c r="AI613" s="815" t="e">
        <f t="shared" si="317"/>
        <v>#VALUE!</v>
      </c>
      <c r="AJ613" s="540">
        <f t="shared" si="318"/>
        <v>30</v>
      </c>
      <c r="AK613" s="540">
        <f t="shared" si="297"/>
        <v>30</v>
      </c>
      <c r="AL613" s="909">
        <f t="shared" si="319"/>
        <v>0</v>
      </c>
      <c r="AN613" s="539">
        <f t="shared" si="299"/>
        <v>0</v>
      </c>
      <c r="AT613" s="317"/>
      <c r="AU613" s="317"/>
    </row>
    <row r="614" spans="3:47" ht="13.15" customHeight="1" x14ac:dyDescent="0.2">
      <c r="C614" s="381"/>
      <c r="D614" s="895" t="str">
        <f>IF(op!D502=0,"",op!D502)</f>
        <v/>
      </c>
      <c r="E614" s="895" t="str">
        <f>IF(op!E502=0,"",op!E502)</f>
        <v/>
      </c>
      <c r="F614" s="390" t="str">
        <f>IF(op!F502="","",op!F502+1)</f>
        <v/>
      </c>
      <c r="G614" s="896" t="str">
        <f>IF(op!G502=0,"",op!G502)</f>
        <v/>
      </c>
      <c r="H614" s="390" t="str">
        <f>IF(op!H502="","",op!H502)</f>
        <v/>
      </c>
      <c r="I614" s="897" t="str">
        <f t="shared" si="307"/>
        <v/>
      </c>
      <c r="J614" s="898" t="str">
        <f>IF(op!J502="","",op!J502)</f>
        <v/>
      </c>
      <c r="K614" s="334"/>
      <c r="L614" s="1140" t="str">
        <f>IF(op!L502="","",op!L502)</f>
        <v/>
      </c>
      <c r="M614" s="1140" t="str">
        <f>IF(op!M502="","",op!M502)</f>
        <v/>
      </c>
      <c r="N614" s="899" t="str">
        <f t="shared" si="300"/>
        <v/>
      </c>
      <c r="O614" s="900" t="str">
        <f t="shared" si="301"/>
        <v/>
      </c>
      <c r="P614" s="901" t="str">
        <f t="shared" si="302"/>
        <v/>
      </c>
      <c r="Q614" s="568" t="str">
        <f t="shared" si="308"/>
        <v/>
      </c>
      <c r="R614" s="902" t="str">
        <f t="shared" si="303"/>
        <v/>
      </c>
      <c r="S614" s="903">
        <f t="shared" si="309"/>
        <v>0</v>
      </c>
      <c r="T614" s="334"/>
      <c r="X614" s="887" t="str">
        <f t="shared" si="310"/>
        <v/>
      </c>
      <c r="Y614" s="904">
        <f t="shared" si="311"/>
        <v>0.6</v>
      </c>
      <c r="Z614" s="905" t="e">
        <f t="shared" si="304"/>
        <v>#VALUE!</v>
      </c>
      <c r="AA614" s="905" t="e">
        <f t="shared" si="305"/>
        <v>#VALUE!</v>
      </c>
      <c r="AB614" s="905" t="e">
        <f t="shared" si="306"/>
        <v>#VALUE!</v>
      </c>
      <c r="AC614" s="906" t="e">
        <f t="shared" si="312"/>
        <v>#VALUE!</v>
      </c>
      <c r="AD614" s="907">
        <f t="shared" si="313"/>
        <v>0</v>
      </c>
      <c r="AE614" s="904">
        <f>IF(H614&gt;8,tab!C$194,tab!C$197)</f>
        <v>0.5</v>
      </c>
      <c r="AF614" s="907">
        <f t="shared" si="314"/>
        <v>0</v>
      </c>
      <c r="AG614" s="887">
        <f t="shared" si="315"/>
        <v>0</v>
      </c>
      <c r="AH614" s="908" t="e">
        <f t="shared" si="316"/>
        <v>#VALUE!</v>
      </c>
      <c r="AI614" s="815" t="e">
        <f t="shared" si="317"/>
        <v>#VALUE!</v>
      </c>
      <c r="AJ614" s="540">
        <f t="shared" si="318"/>
        <v>30</v>
      </c>
      <c r="AK614" s="540">
        <f t="shared" si="297"/>
        <v>30</v>
      </c>
      <c r="AL614" s="909">
        <f t="shared" si="319"/>
        <v>0</v>
      </c>
      <c r="AN614" s="539">
        <f t="shared" si="299"/>
        <v>0</v>
      </c>
      <c r="AT614" s="317"/>
      <c r="AU614" s="317"/>
    </row>
    <row r="615" spans="3:47" ht="13.15" customHeight="1" x14ac:dyDescent="0.2">
      <c r="C615" s="381"/>
      <c r="D615" s="895" t="str">
        <f>IF(op!D503=0,"",op!D503)</f>
        <v/>
      </c>
      <c r="E615" s="895" t="str">
        <f>IF(op!E503=0,"",op!E503)</f>
        <v/>
      </c>
      <c r="F615" s="390" t="str">
        <f>IF(op!F503="","",op!F503+1)</f>
        <v/>
      </c>
      <c r="G615" s="896" t="str">
        <f>IF(op!G503=0,"",op!G503)</f>
        <v/>
      </c>
      <c r="H615" s="390" t="str">
        <f>IF(op!H503="","",op!H503)</f>
        <v/>
      </c>
      <c r="I615" s="897" t="str">
        <f t="shared" si="307"/>
        <v/>
      </c>
      <c r="J615" s="898" t="str">
        <f>IF(op!J503="","",op!J503)</f>
        <v/>
      </c>
      <c r="K615" s="334"/>
      <c r="L615" s="1140" t="str">
        <f>IF(op!L503="","",op!L503)</f>
        <v/>
      </c>
      <c r="M615" s="1140" t="str">
        <f>IF(op!M503="","",op!M503)</f>
        <v/>
      </c>
      <c r="N615" s="899" t="str">
        <f t="shared" si="300"/>
        <v/>
      </c>
      <c r="O615" s="900" t="str">
        <f t="shared" si="301"/>
        <v/>
      </c>
      <c r="P615" s="901" t="str">
        <f t="shared" si="302"/>
        <v/>
      </c>
      <c r="Q615" s="568" t="str">
        <f t="shared" si="308"/>
        <v/>
      </c>
      <c r="R615" s="902" t="str">
        <f t="shared" si="303"/>
        <v/>
      </c>
      <c r="S615" s="903">
        <f t="shared" si="309"/>
        <v>0</v>
      </c>
      <c r="T615" s="334"/>
      <c r="X615" s="887" t="str">
        <f t="shared" si="310"/>
        <v/>
      </c>
      <c r="Y615" s="904">
        <f t="shared" si="311"/>
        <v>0.6</v>
      </c>
      <c r="Z615" s="905" t="e">
        <f t="shared" si="304"/>
        <v>#VALUE!</v>
      </c>
      <c r="AA615" s="905" t="e">
        <f t="shared" si="305"/>
        <v>#VALUE!</v>
      </c>
      <c r="AB615" s="905" t="e">
        <f t="shared" si="306"/>
        <v>#VALUE!</v>
      </c>
      <c r="AC615" s="906" t="e">
        <f t="shared" si="312"/>
        <v>#VALUE!</v>
      </c>
      <c r="AD615" s="907">
        <f t="shared" si="313"/>
        <v>0</v>
      </c>
      <c r="AE615" s="904">
        <f>IF(H615&gt;8,tab!C$194,tab!C$197)</f>
        <v>0.5</v>
      </c>
      <c r="AF615" s="907">
        <f t="shared" si="314"/>
        <v>0</v>
      </c>
      <c r="AG615" s="887">
        <f t="shared" si="315"/>
        <v>0</v>
      </c>
      <c r="AH615" s="908" t="e">
        <f t="shared" si="316"/>
        <v>#VALUE!</v>
      </c>
      <c r="AI615" s="815" t="e">
        <f t="shared" si="317"/>
        <v>#VALUE!</v>
      </c>
      <c r="AJ615" s="540">
        <f t="shared" si="318"/>
        <v>30</v>
      </c>
      <c r="AK615" s="540">
        <f t="shared" si="297"/>
        <v>30</v>
      </c>
      <c r="AL615" s="909">
        <f t="shared" si="319"/>
        <v>0</v>
      </c>
      <c r="AN615" s="539">
        <f t="shared" si="299"/>
        <v>0</v>
      </c>
      <c r="AT615" s="317"/>
      <c r="AU615" s="317"/>
    </row>
    <row r="616" spans="3:47" ht="13.15" customHeight="1" x14ac:dyDescent="0.2">
      <c r="C616" s="381"/>
      <c r="D616" s="895" t="str">
        <f>IF(op!D504=0,"",op!D504)</f>
        <v/>
      </c>
      <c r="E616" s="895" t="str">
        <f>IF(op!E504=0,"",op!E504)</f>
        <v/>
      </c>
      <c r="F616" s="390" t="str">
        <f>IF(op!F504="","",op!F504+1)</f>
        <v/>
      </c>
      <c r="G616" s="896" t="str">
        <f>IF(op!G504=0,"",op!G504)</f>
        <v/>
      </c>
      <c r="H616" s="390" t="str">
        <f>IF(op!H504="","",op!H504)</f>
        <v/>
      </c>
      <c r="I616" s="897" t="str">
        <f t="shared" si="307"/>
        <v/>
      </c>
      <c r="J616" s="898" t="str">
        <f>IF(op!J504="","",op!J504)</f>
        <v/>
      </c>
      <c r="K616" s="334"/>
      <c r="L616" s="1140" t="str">
        <f>IF(op!L504="","",op!L504)</f>
        <v/>
      </c>
      <c r="M616" s="1140" t="str">
        <f>IF(op!M504="","",op!M504)</f>
        <v/>
      </c>
      <c r="N616" s="899" t="str">
        <f t="shared" si="300"/>
        <v/>
      </c>
      <c r="O616" s="900" t="str">
        <f t="shared" si="301"/>
        <v/>
      </c>
      <c r="P616" s="901" t="str">
        <f t="shared" si="302"/>
        <v/>
      </c>
      <c r="Q616" s="568" t="str">
        <f t="shared" si="308"/>
        <v/>
      </c>
      <c r="R616" s="902" t="str">
        <f t="shared" si="303"/>
        <v/>
      </c>
      <c r="S616" s="903">
        <f t="shared" si="309"/>
        <v>0</v>
      </c>
      <c r="T616" s="334"/>
      <c r="X616" s="887" t="str">
        <f t="shared" si="310"/>
        <v/>
      </c>
      <c r="Y616" s="904">
        <f t="shared" si="311"/>
        <v>0.6</v>
      </c>
      <c r="Z616" s="905" t="e">
        <f t="shared" si="304"/>
        <v>#VALUE!</v>
      </c>
      <c r="AA616" s="905" t="e">
        <f t="shared" si="305"/>
        <v>#VALUE!</v>
      </c>
      <c r="AB616" s="905" t="e">
        <f t="shared" si="306"/>
        <v>#VALUE!</v>
      </c>
      <c r="AC616" s="906" t="e">
        <f t="shared" si="312"/>
        <v>#VALUE!</v>
      </c>
      <c r="AD616" s="907">
        <f t="shared" si="313"/>
        <v>0</v>
      </c>
      <c r="AE616" s="904">
        <f>IF(H616&gt;8,tab!C$194,tab!C$197)</f>
        <v>0.5</v>
      </c>
      <c r="AF616" s="907">
        <f t="shared" si="314"/>
        <v>0</v>
      </c>
      <c r="AG616" s="887">
        <f t="shared" si="315"/>
        <v>0</v>
      </c>
      <c r="AH616" s="908" t="e">
        <f t="shared" si="316"/>
        <v>#VALUE!</v>
      </c>
      <c r="AI616" s="815" t="e">
        <f t="shared" si="317"/>
        <v>#VALUE!</v>
      </c>
      <c r="AJ616" s="540">
        <f t="shared" si="318"/>
        <v>30</v>
      </c>
      <c r="AK616" s="540">
        <f t="shared" si="297"/>
        <v>30</v>
      </c>
      <c r="AL616" s="909">
        <f t="shared" si="319"/>
        <v>0</v>
      </c>
      <c r="AN616" s="539">
        <f t="shared" si="299"/>
        <v>0</v>
      </c>
      <c r="AT616" s="317"/>
      <c r="AU616" s="317"/>
    </row>
    <row r="617" spans="3:47" ht="13.15" customHeight="1" x14ac:dyDescent="0.2">
      <c r="C617" s="381"/>
      <c r="D617" s="895" t="str">
        <f>IF(op!D505=0,"",op!D505)</f>
        <v/>
      </c>
      <c r="E617" s="895" t="str">
        <f>IF(op!E505=0,"",op!E505)</f>
        <v/>
      </c>
      <c r="F617" s="390" t="str">
        <f>IF(op!F505="","",op!F505+1)</f>
        <v/>
      </c>
      <c r="G617" s="896" t="str">
        <f>IF(op!G505=0,"",op!G505)</f>
        <v/>
      </c>
      <c r="H617" s="390" t="str">
        <f>IF(op!H505="","",op!H505)</f>
        <v/>
      </c>
      <c r="I617" s="897" t="str">
        <f t="shared" si="307"/>
        <v/>
      </c>
      <c r="J617" s="898" t="str">
        <f>IF(op!J505="","",op!J505)</f>
        <v/>
      </c>
      <c r="K617" s="334"/>
      <c r="L617" s="1140" t="str">
        <f>IF(op!L505="","",op!L505)</f>
        <v/>
      </c>
      <c r="M617" s="1140" t="str">
        <f>IF(op!M505="","",op!M505)</f>
        <v/>
      </c>
      <c r="N617" s="899" t="str">
        <f t="shared" si="300"/>
        <v/>
      </c>
      <c r="O617" s="900" t="str">
        <f t="shared" si="301"/>
        <v/>
      </c>
      <c r="P617" s="901" t="str">
        <f t="shared" si="302"/>
        <v/>
      </c>
      <c r="Q617" s="568" t="str">
        <f t="shared" si="308"/>
        <v/>
      </c>
      <c r="R617" s="902" t="str">
        <f t="shared" si="303"/>
        <v/>
      </c>
      <c r="S617" s="903">
        <f t="shared" si="309"/>
        <v>0</v>
      </c>
      <c r="T617" s="334"/>
      <c r="X617" s="887" t="str">
        <f t="shared" si="310"/>
        <v/>
      </c>
      <c r="Y617" s="904">
        <f t="shared" si="311"/>
        <v>0.6</v>
      </c>
      <c r="Z617" s="905" t="e">
        <f t="shared" si="304"/>
        <v>#VALUE!</v>
      </c>
      <c r="AA617" s="905" t="e">
        <f t="shared" si="305"/>
        <v>#VALUE!</v>
      </c>
      <c r="AB617" s="905" t="e">
        <f t="shared" si="306"/>
        <v>#VALUE!</v>
      </c>
      <c r="AC617" s="906" t="e">
        <f t="shared" si="312"/>
        <v>#VALUE!</v>
      </c>
      <c r="AD617" s="907">
        <f t="shared" si="313"/>
        <v>0</v>
      </c>
      <c r="AE617" s="904">
        <f>IF(H617&gt;8,tab!C$194,tab!C$197)</f>
        <v>0.5</v>
      </c>
      <c r="AF617" s="907">
        <f t="shared" si="314"/>
        <v>0</v>
      </c>
      <c r="AG617" s="887">
        <f t="shared" si="315"/>
        <v>0</v>
      </c>
      <c r="AH617" s="908" t="e">
        <f t="shared" si="316"/>
        <v>#VALUE!</v>
      </c>
      <c r="AI617" s="815" t="e">
        <f t="shared" si="317"/>
        <v>#VALUE!</v>
      </c>
      <c r="AJ617" s="540">
        <f t="shared" si="318"/>
        <v>30</v>
      </c>
      <c r="AK617" s="540">
        <f t="shared" si="297"/>
        <v>30</v>
      </c>
      <c r="AL617" s="909">
        <f t="shared" si="319"/>
        <v>0</v>
      </c>
      <c r="AN617" s="539">
        <f t="shared" si="299"/>
        <v>0</v>
      </c>
      <c r="AT617" s="317"/>
      <c r="AU617" s="317"/>
    </row>
    <row r="618" spans="3:47" ht="13.15" customHeight="1" x14ac:dyDescent="0.2">
      <c r="C618" s="381"/>
      <c r="D618" s="895" t="str">
        <f>IF(op!D506=0,"",op!D506)</f>
        <v/>
      </c>
      <c r="E618" s="895" t="str">
        <f>IF(op!E506=0,"",op!E506)</f>
        <v/>
      </c>
      <c r="F618" s="390" t="str">
        <f>IF(op!F506="","",op!F506+1)</f>
        <v/>
      </c>
      <c r="G618" s="896" t="str">
        <f>IF(op!G506=0,"",op!G506)</f>
        <v/>
      </c>
      <c r="H618" s="390" t="str">
        <f>IF(op!H506="","",op!H506)</f>
        <v/>
      </c>
      <c r="I618" s="897" t="str">
        <f t="shared" si="307"/>
        <v/>
      </c>
      <c r="J618" s="898" t="str">
        <f>IF(op!J506="","",op!J506)</f>
        <v/>
      </c>
      <c r="K618" s="334"/>
      <c r="L618" s="1140" t="str">
        <f>IF(op!L506="","",op!L506)</f>
        <v/>
      </c>
      <c r="M618" s="1140" t="str">
        <f>IF(op!M506="","",op!M506)</f>
        <v/>
      </c>
      <c r="N618" s="899" t="str">
        <f t="shared" si="300"/>
        <v/>
      </c>
      <c r="O618" s="900" t="str">
        <f t="shared" si="301"/>
        <v/>
      </c>
      <c r="P618" s="901" t="str">
        <f t="shared" si="302"/>
        <v/>
      </c>
      <c r="Q618" s="568" t="str">
        <f t="shared" si="308"/>
        <v/>
      </c>
      <c r="R618" s="902" t="str">
        <f t="shared" si="303"/>
        <v/>
      </c>
      <c r="S618" s="903">
        <f t="shared" si="309"/>
        <v>0</v>
      </c>
      <c r="T618" s="334"/>
      <c r="X618" s="887" t="str">
        <f t="shared" si="310"/>
        <v/>
      </c>
      <c r="Y618" s="904">
        <f t="shared" si="311"/>
        <v>0.6</v>
      </c>
      <c r="Z618" s="905" t="e">
        <f t="shared" si="304"/>
        <v>#VALUE!</v>
      </c>
      <c r="AA618" s="905" t="e">
        <f t="shared" si="305"/>
        <v>#VALUE!</v>
      </c>
      <c r="AB618" s="905" t="e">
        <f t="shared" si="306"/>
        <v>#VALUE!</v>
      </c>
      <c r="AC618" s="906" t="e">
        <f t="shared" si="312"/>
        <v>#VALUE!</v>
      </c>
      <c r="AD618" s="907">
        <f t="shared" si="313"/>
        <v>0</v>
      </c>
      <c r="AE618" s="904">
        <f>IF(H618&gt;8,tab!C$194,tab!C$197)</f>
        <v>0.5</v>
      </c>
      <c r="AF618" s="907">
        <f t="shared" si="314"/>
        <v>0</v>
      </c>
      <c r="AG618" s="887">
        <f t="shared" si="315"/>
        <v>0</v>
      </c>
      <c r="AH618" s="908" t="e">
        <f t="shared" si="316"/>
        <v>#VALUE!</v>
      </c>
      <c r="AI618" s="815" t="e">
        <f t="shared" si="317"/>
        <v>#VALUE!</v>
      </c>
      <c r="AJ618" s="540">
        <f t="shared" si="318"/>
        <v>30</v>
      </c>
      <c r="AK618" s="540">
        <f t="shared" si="297"/>
        <v>30</v>
      </c>
      <c r="AL618" s="909">
        <f t="shared" si="319"/>
        <v>0</v>
      </c>
      <c r="AN618" s="539">
        <f t="shared" si="299"/>
        <v>0</v>
      </c>
      <c r="AT618" s="317"/>
      <c r="AU618" s="317"/>
    </row>
    <row r="619" spans="3:47" ht="13.15" customHeight="1" x14ac:dyDescent="0.2">
      <c r="C619" s="381"/>
      <c r="D619" s="895" t="str">
        <f>IF(op!D507=0,"",op!D507)</f>
        <v/>
      </c>
      <c r="E619" s="895" t="str">
        <f>IF(op!E507=0,"",op!E507)</f>
        <v/>
      </c>
      <c r="F619" s="390" t="str">
        <f>IF(op!F507="","",op!F507+1)</f>
        <v/>
      </c>
      <c r="G619" s="896" t="str">
        <f>IF(op!G507=0,"",op!G507)</f>
        <v/>
      </c>
      <c r="H619" s="390" t="str">
        <f>IF(op!H507="","",op!H507)</f>
        <v/>
      </c>
      <c r="I619" s="897" t="str">
        <f t="shared" si="307"/>
        <v/>
      </c>
      <c r="J619" s="898" t="str">
        <f>IF(op!J507="","",op!J507)</f>
        <v/>
      </c>
      <c r="K619" s="334"/>
      <c r="L619" s="1140" t="str">
        <f>IF(op!L507="","",op!L507)</f>
        <v/>
      </c>
      <c r="M619" s="1140" t="str">
        <f>IF(op!M507="","",op!M507)</f>
        <v/>
      </c>
      <c r="N619" s="899" t="str">
        <f t="shared" si="300"/>
        <v/>
      </c>
      <c r="O619" s="900" t="str">
        <f t="shared" si="301"/>
        <v/>
      </c>
      <c r="P619" s="901" t="str">
        <f t="shared" si="302"/>
        <v/>
      </c>
      <c r="Q619" s="568" t="str">
        <f t="shared" si="308"/>
        <v/>
      </c>
      <c r="R619" s="902" t="str">
        <f t="shared" si="303"/>
        <v/>
      </c>
      <c r="S619" s="903">
        <f t="shared" si="309"/>
        <v>0</v>
      </c>
      <c r="T619" s="334"/>
      <c r="X619" s="887" t="str">
        <f t="shared" si="310"/>
        <v/>
      </c>
      <c r="Y619" s="904">
        <f t="shared" si="311"/>
        <v>0.6</v>
      </c>
      <c r="Z619" s="905" t="e">
        <f t="shared" si="304"/>
        <v>#VALUE!</v>
      </c>
      <c r="AA619" s="905" t="e">
        <f t="shared" si="305"/>
        <v>#VALUE!</v>
      </c>
      <c r="AB619" s="905" t="e">
        <f t="shared" si="306"/>
        <v>#VALUE!</v>
      </c>
      <c r="AC619" s="906" t="e">
        <f t="shared" si="312"/>
        <v>#VALUE!</v>
      </c>
      <c r="AD619" s="907">
        <f t="shared" si="313"/>
        <v>0</v>
      </c>
      <c r="AE619" s="904">
        <f>IF(H619&gt;8,tab!C$194,tab!C$197)</f>
        <v>0.5</v>
      </c>
      <c r="AF619" s="907">
        <f t="shared" si="314"/>
        <v>0</v>
      </c>
      <c r="AG619" s="887">
        <f t="shared" si="315"/>
        <v>0</v>
      </c>
      <c r="AH619" s="908" t="e">
        <f t="shared" si="316"/>
        <v>#VALUE!</v>
      </c>
      <c r="AI619" s="815" t="e">
        <f t="shared" si="317"/>
        <v>#VALUE!</v>
      </c>
      <c r="AJ619" s="540">
        <f t="shared" si="318"/>
        <v>30</v>
      </c>
      <c r="AK619" s="540">
        <f t="shared" si="297"/>
        <v>30</v>
      </c>
      <c r="AL619" s="909">
        <f t="shared" si="319"/>
        <v>0</v>
      </c>
      <c r="AN619" s="539">
        <f t="shared" si="299"/>
        <v>0</v>
      </c>
      <c r="AT619" s="317"/>
      <c r="AU619" s="317"/>
    </row>
    <row r="620" spans="3:47" ht="13.15" customHeight="1" x14ac:dyDescent="0.2">
      <c r="C620" s="381"/>
      <c r="D620" s="895" t="str">
        <f>IF(op!D508=0,"",op!D508)</f>
        <v/>
      </c>
      <c r="E620" s="895" t="str">
        <f>IF(op!E508=0,"",op!E508)</f>
        <v/>
      </c>
      <c r="F620" s="390" t="str">
        <f>IF(op!F508="","",op!F508+1)</f>
        <v/>
      </c>
      <c r="G620" s="896" t="str">
        <f>IF(op!G508=0,"",op!G508)</f>
        <v/>
      </c>
      <c r="H620" s="390" t="str">
        <f>IF(op!H508="","",op!H508)</f>
        <v/>
      </c>
      <c r="I620" s="897" t="str">
        <f t="shared" si="307"/>
        <v/>
      </c>
      <c r="J620" s="898" t="str">
        <f>IF(op!J508="","",op!J508)</f>
        <v/>
      </c>
      <c r="K620" s="334"/>
      <c r="L620" s="1140" t="str">
        <f>IF(op!L508="","",op!L508)</f>
        <v/>
      </c>
      <c r="M620" s="1140" t="str">
        <f>IF(op!M508="","",op!M508)</f>
        <v/>
      </c>
      <c r="N620" s="899" t="str">
        <f t="shared" si="300"/>
        <v/>
      </c>
      <c r="O620" s="900" t="str">
        <f t="shared" si="301"/>
        <v/>
      </c>
      <c r="P620" s="901" t="str">
        <f t="shared" si="302"/>
        <v/>
      </c>
      <c r="Q620" s="568" t="str">
        <f t="shared" si="308"/>
        <v/>
      </c>
      <c r="R620" s="902" t="str">
        <f t="shared" si="303"/>
        <v/>
      </c>
      <c r="S620" s="903">
        <f t="shared" si="309"/>
        <v>0</v>
      </c>
      <c r="T620" s="334"/>
      <c r="X620" s="887" t="str">
        <f t="shared" si="310"/>
        <v/>
      </c>
      <c r="Y620" s="904">
        <f t="shared" si="311"/>
        <v>0.6</v>
      </c>
      <c r="Z620" s="905" t="e">
        <f t="shared" si="304"/>
        <v>#VALUE!</v>
      </c>
      <c r="AA620" s="905" t="e">
        <f t="shared" si="305"/>
        <v>#VALUE!</v>
      </c>
      <c r="AB620" s="905" t="e">
        <f t="shared" si="306"/>
        <v>#VALUE!</v>
      </c>
      <c r="AC620" s="906" t="e">
        <f t="shared" si="312"/>
        <v>#VALUE!</v>
      </c>
      <c r="AD620" s="907">
        <f t="shared" si="313"/>
        <v>0</v>
      </c>
      <c r="AE620" s="904">
        <f>IF(H620&gt;8,tab!C$194,tab!C$197)</f>
        <v>0.5</v>
      </c>
      <c r="AF620" s="907">
        <f t="shared" si="314"/>
        <v>0</v>
      </c>
      <c r="AG620" s="887">
        <f t="shared" si="315"/>
        <v>0</v>
      </c>
      <c r="AH620" s="908" t="e">
        <f t="shared" si="316"/>
        <v>#VALUE!</v>
      </c>
      <c r="AI620" s="815" t="e">
        <f t="shared" si="317"/>
        <v>#VALUE!</v>
      </c>
      <c r="AJ620" s="540">
        <f t="shared" si="318"/>
        <v>30</v>
      </c>
      <c r="AK620" s="540">
        <f t="shared" si="297"/>
        <v>30</v>
      </c>
      <c r="AL620" s="909">
        <f t="shared" si="319"/>
        <v>0</v>
      </c>
      <c r="AN620" s="539">
        <f t="shared" si="299"/>
        <v>0</v>
      </c>
      <c r="AT620" s="317"/>
      <c r="AU620" s="317"/>
    </row>
    <row r="621" spans="3:47" ht="13.15" customHeight="1" x14ac:dyDescent="0.2">
      <c r="C621" s="381"/>
      <c r="D621" s="895" t="str">
        <f>IF(op!D509=0,"",op!D509)</f>
        <v/>
      </c>
      <c r="E621" s="895" t="str">
        <f>IF(op!E509=0,"",op!E509)</f>
        <v/>
      </c>
      <c r="F621" s="390" t="str">
        <f>IF(op!F509="","",op!F509+1)</f>
        <v/>
      </c>
      <c r="G621" s="896" t="str">
        <f>IF(op!G509=0,"",op!G509)</f>
        <v/>
      </c>
      <c r="H621" s="390" t="str">
        <f>IF(op!H509="","",op!H509)</f>
        <v/>
      </c>
      <c r="I621" s="897" t="str">
        <f t="shared" si="307"/>
        <v/>
      </c>
      <c r="J621" s="898" t="str">
        <f>IF(op!J509="","",op!J509)</f>
        <v/>
      </c>
      <c r="K621" s="334"/>
      <c r="L621" s="1140" t="str">
        <f>IF(op!L509="","",op!L509)</f>
        <v/>
      </c>
      <c r="M621" s="1140" t="str">
        <f>IF(op!M509="","",op!M509)</f>
        <v/>
      </c>
      <c r="N621" s="899" t="str">
        <f t="shared" si="300"/>
        <v/>
      </c>
      <c r="O621" s="900" t="str">
        <f t="shared" si="301"/>
        <v/>
      </c>
      <c r="P621" s="901" t="str">
        <f t="shared" si="302"/>
        <v/>
      </c>
      <c r="Q621" s="568" t="str">
        <f t="shared" si="308"/>
        <v/>
      </c>
      <c r="R621" s="902" t="str">
        <f t="shared" si="303"/>
        <v/>
      </c>
      <c r="S621" s="903">
        <f t="shared" si="309"/>
        <v>0</v>
      </c>
      <c r="T621" s="334"/>
      <c r="X621" s="887" t="str">
        <f t="shared" si="310"/>
        <v/>
      </c>
      <c r="Y621" s="904">
        <f t="shared" si="311"/>
        <v>0.6</v>
      </c>
      <c r="Z621" s="905" t="e">
        <f t="shared" si="304"/>
        <v>#VALUE!</v>
      </c>
      <c r="AA621" s="905" t="e">
        <f t="shared" si="305"/>
        <v>#VALUE!</v>
      </c>
      <c r="AB621" s="905" t="e">
        <f t="shared" si="306"/>
        <v>#VALUE!</v>
      </c>
      <c r="AC621" s="906" t="e">
        <f t="shared" si="312"/>
        <v>#VALUE!</v>
      </c>
      <c r="AD621" s="907">
        <f t="shared" si="313"/>
        <v>0</v>
      </c>
      <c r="AE621" s="904">
        <f>IF(H621&gt;8,tab!C$194,tab!C$197)</f>
        <v>0.5</v>
      </c>
      <c r="AF621" s="907">
        <f t="shared" si="314"/>
        <v>0</v>
      </c>
      <c r="AG621" s="887">
        <f t="shared" si="315"/>
        <v>0</v>
      </c>
      <c r="AH621" s="908" t="e">
        <f t="shared" si="316"/>
        <v>#VALUE!</v>
      </c>
      <c r="AI621" s="815" t="e">
        <f t="shared" si="317"/>
        <v>#VALUE!</v>
      </c>
      <c r="AJ621" s="540">
        <f t="shared" si="318"/>
        <v>30</v>
      </c>
      <c r="AK621" s="540">
        <f t="shared" si="297"/>
        <v>30</v>
      </c>
      <c r="AL621" s="909">
        <f t="shared" si="319"/>
        <v>0</v>
      </c>
      <c r="AN621" s="539">
        <f t="shared" si="299"/>
        <v>0</v>
      </c>
      <c r="AT621" s="317"/>
      <c r="AU621" s="317"/>
    </row>
    <row r="622" spans="3:47" ht="13.15" customHeight="1" x14ac:dyDescent="0.2">
      <c r="C622" s="381"/>
      <c r="D622" s="895" t="str">
        <f>IF(op!D510=0,"",op!D510)</f>
        <v/>
      </c>
      <c r="E622" s="895" t="str">
        <f>IF(op!E510=0,"",op!E510)</f>
        <v/>
      </c>
      <c r="F622" s="390" t="str">
        <f>IF(op!F510="","",op!F510+1)</f>
        <v/>
      </c>
      <c r="G622" s="896" t="str">
        <f>IF(op!G510=0,"",op!G510)</f>
        <v/>
      </c>
      <c r="H622" s="390" t="str">
        <f>IF(op!H510="","",op!H510)</f>
        <v/>
      </c>
      <c r="I622" s="897" t="str">
        <f t="shared" si="307"/>
        <v/>
      </c>
      <c r="J622" s="898" t="str">
        <f>IF(op!J510="","",op!J510)</f>
        <v/>
      </c>
      <c r="K622" s="334"/>
      <c r="L622" s="1140" t="str">
        <f>IF(op!L510="","",op!L510)</f>
        <v/>
      </c>
      <c r="M622" s="1140" t="str">
        <f>IF(op!M510="","",op!M510)</f>
        <v/>
      </c>
      <c r="N622" s="899" t="str">
        <f t="shared" si="300"/>
        <v/>
      </c>
      <c r="O622" s="900" t="str">
        <f t="shared" si="301"/>
        <v/>
      </c>
      <c r="P622" s="901" t="str">
        <f t="shared" si="302"/>
        <v/>
      </c>
      <c r="Q622" s="568" t="str">
        <f t="shared" si="308"/>
        <v/>
      </c>
      <c r="R622" s="902" t="str">
        <f t="shared" si="303"/>
        <v/>
      </c>
      <c r="S622" s="903">
        <f t="shared" si="309"/>
        <v>0</v>
      </c>
      <c r="T622" s="334"/>
      <c r="X622" s="887" t="str">
        <f t="shared" si="310"/>
        <v/>
      </c>
      <c r="Y622" s="904">
        <f t="shared" si="311"/>
        <v>0.6</v>
      </c>
      <c r="Z622" s="905" t="e">
        <f t="shared" si="304"/>
        <v>#VALUE!</v>
      </c>
      <c r="AA622" s="905" t="e">
        <f t="shared" si="305"/>
        <v>#VALUE!</v>
      </c>
      <c r="AB622" s="905" t="e">
        <f t="shared" si="306"/>
        <v>#VALUE!</v>
      </c>
      <c r="AC622" s="906" t="e">
        <f t="shared" si="312"/>
        <v>#VALUE!</v>
      </c>
      <c r="AD622" s="907">
        <f t="shared" si="313"/>
        <v>0</v>
      </c>
      <c r="AE622" s="904">
        <f>IF(H622&gt;8,tab!C$194,tab!C$197)</f>
        <v>0.5</v>
      </c>
      <c r="AF622" s="907">
        <f t="shared" si="314"/>
        <v>0</v>
      </c>
      <c r="AG622" s="887">
        <f t="shared" si="315"/>
        <v>0</v>
      </c>
      <c r="AH622" s="908" t="e">
        <f t="shared" si="316"/>
        <v>#VALUE!</v>
      </c>
      <c r="AI622" s="815" t="e">
        <f t="shared" si="317"/>
        <v>#VALUE!</v>
      </c>
      <c r="AJ622" s="540">
        <f t="shared" si="318"/>
        <v>30</v>
      </c>
      <c r="AK622" s="540">
        <f t="shared" si="297"/>
        <v>30</v>
      </c>
      <c r="AL622" s="909">
        <f t="shared" si="319"/>
        <v>0</v>
      </c>
      <c r="AN622" s="539">
        <f t="shared" si="299"/>
        <v>0</v>
      </c>
      <c r="AT622" s="317"/>
      <c r="AU622" s="317"/>
    </row>
    <row r="623" spans="3:47" ht="13.15" customHeight="1" x14ac:dyDescent="0.2">
      <c r="C623" s="381"/>
      <c r="D623" s="895" t="str">
        <f>IF(op!D511=0,"",op!D511)</f>
        <v/>
      </c>
      <c r="E623" s="895" t="str">
        <f>IF(op!E511=0,"",op!E511)</f>
        <v/>
      </c>
      <c r="F623" s="390" t="str">
        <f>IF(op!F511="","",op!F511+1)</f>
        <v/>
      </c>
      <c r="G623" s="896" t="str">
        <f>IF(op!G511=0,"",op!G511)</f>
        <v/>
      </c>
      <c r="H623" s="390" t="str">
        <f>IF(op!H511="","",op!H511)</f>
        <v/>
      </c>
      <c r="I623" s="897" t="str">
        <f t="shared" si="307"/>
        <v/>
      </c>
      <c r="J623" s="898" t="str">
        <f>IF(op!J511="","",op!J511)</f>
        <v/>
      </c>
      <c r="K623" s="334"/>
      <c r="L623" s="1140" t="str">
        <f>IF(op!L511="","",op!L511)</f>
        <v/>
      </c>
      <c r="M623" s="1140" t="str">
        <f>IF(op!M511="","",op!M511)</f>
        <v/>
      </c>
      <c r="N623" s="899" t="str">
        <f t="shared" si="300"/>
        <v/>
      </c>
      <c r="O623" s="900" t="str">
        <f t="shared" si="301"/>
        <v/>
      </c>
      <c r="P623" s="901" t="str">
        <f t="shared" si="302"/>
        <v/>
      </c>
      <c r="Q623" s="568" t="str">
        <f t="shared" si="308"/>
        <v/>
      </c>
      <c r="R623" s="902" t="str">
        <f t="shared" si="303"/>
        <v/>
      </c>
      <c r="S623" s="903">
        <f t="shared" si="309"/>
        <v>0</v>
      </c>
      <c r="T623" s="334"/>
      <c r="X623" s="887" t="str">
        <f t="shared" si="310"/>
        <v/>
      </c>
      <c r="Y623" s="904">
        <f t="shared" si="311"/>
        <v>0.6</v>
      </c>
      <c r="Z623" s="905" t="e">
        <f t="shared" si="304"/>
        <v>#VALUE!</v>
      </c>
      <c r="AA623" s="905" t="e">
        <f t="shared" si="305"/>
        <v>#VALUE!</v>
      </c>
      <c r="AB623" s="905" t="e">
        <f t="shared" si="306"/>
        <v>#VALUE!</v>
      </c>
      <c r="AC623" s="906" t="e">
        <f t="shared" si="312"/>
        <v>#VALUE!</v>
      </c>
      <c r="AD623" s="907">
        <f t="shared" si="313"/>
        <v>0</v>
      </c>
      <c r="AE623" s="904">
        <f>IF(H623&gt;8,tab!C$194,tab!C$197)</f>
        <v>0.5</v>
      </c>
      <c r="AF623" s="907">
        <f t="shared" si="314"/>
        <v>0</v>
      </c>
      <c r="AG623" s="887">
        <f t="shared" si="315"/>
        <v>0</v>
      </c>
      <c r="AH623" s="908" t="e">
        <f t="shared" si="316"/>
        <v>#VALUE!</v>
      </c>
      <c r="AI623" s="815" t="e">
        <f t="shared" si="317"/>
        <v>#VALUE!</v>
      </c>
      <c r="AJ623" s="540">
        <f t="shared" si="318"/>
        <v>30</v>
      </c>
      <c r="AK623" s="540">
        <f t="shared" si="297"/>
        <v>30</v>
      </c>
      <c r="AL623" s="909">
        <f t="shared" si="319"/>
        <v>0</v>
      </c>
      <c r="AN623" s="539">
        <f t="shared" si="299"/>
        <v>0</v>
      </c>
      <c r="AT623" s="317"/>
      <c r="AU623" s="317"/>
    </row>
    <row r="624" spans="3:47" ht="13.15" customHeight="1" x14ac:dyDescent="0.2">
      <c r="C624" s="381"/>
      <c r="D624" s="895" t="str">
        <f>IF(op!D512=0,"",op!D512)</f>
        <v/>
      </c>
      <c r="E624" s="895" t="str">
        <f>IF(op!E512=0,"",op!E512)</f>
        <v/>
      </c>
      <c r="F624" s="390" t="str">
        <f>IF(op!F512="","",op!F512+1)</f>
        <v/>
      </c>
      <c r="G624" s="896" t="str">
        <f>IF(op!G512=0,"",op!G512)</f>
        <v/>
      </c>
      <c r="H624" s="390" t="str">
        <f>IF(op!H512="","",op!H512)</f>
        <v/>
      </c>
      <c r="I624" s="897" t="str">
        <f t="shared" si="307"/>
        <v/>
      </c>
      <c r="J624" s="898" t="str">
        <f>IF(op!J512="","",op!J512)</f>
        <v/>
      </c>
      <c r="K624" s="334"/>
      <c r="L624" s="1140" t="str">
        <f>IF(op!L512="","",op!L512)</f>
        <v/>
      </c>
      <c r="M624" s="1140" t="str">
        <f>IF(op!M512="","",op!M512)</f>
        <v/>
      </c>
      <c r="N624" s="899" t="str">
        <f t="shared" si="300"/>
        <v/>
      </c>
      <c r="O624" s="900" t="str">
        <f t="shared" si="301"/>
        <v/>
      </c>
      <c r="P624" s="901" t="str">
        <f t="shared" si="302"/>
        <v/>
      </c>
      <c r="Q624" s="568" t="str">
        <f t="shared" si="308"/>
        <v/>
      </c>
      <c r="R624" s="902" t="str">
        <f t="shared" si="303"/>
        <v/>
      </c>
      <c r="S624" s="903">
        <f t="shared" si="309"/>
        <v>0</v>
      </c>
      <c r="T624" s="334"/>
      <c r="X624" s="887" t="str">
        <f t="shared" si="310"/>
        <v/>
      </c>
      <c r="Y624" s="904">
        <f t="shared" si="311"/>
        <v>0.6</v>
      </c>
      <c r="Z624" s="905" t="e">
        <f t="shared" si="304"/>
        <v>#VALUE!</v>
      </c>
      <c r="AA624" s="905" t="e">
        <f t="shared" si="305"/>
        <v>#VALUE!</v>
      </c>
      <c r="AB624" s="905" t="e">
        <f t="shared" si="306"/>
        <v>#VALUE!</v>
      </c>
      <c r="AC624" s="906" t="e">
        <f t="shared" si="312"/>
        <v>#VALUE!</v>
      </c>
      <c r="AD624" s="907">
        <f t="shared" si="313"/>
        <v>0</v>
      </c>
      <c r="AE624" s="904">
        <f>IF(H624&gt;8,tab!C$194,tab!C$197)</f>
        <v>0.5</v>
      </c>
      <c r="AF624" s="907">
        <f t="shared" si="314"/>
        <v>0</v>
      </c>
      <c r="AG624" s="887">
        <f t="shared" si="315"/>
        <v>0</v>
      </c>
      <c r="AH624" s="908" t="e">
        <f t="shared" si="316"/>
        <v>#VALUE!</v>
      </c>
      <c r="AI624" s="815" t="e">
        <f t="shared" si="317"/>
        <v>#VALUE!</v>
      </c>
      <c r="AJ624" s="540">
        <f t="shared" si="318"/>
        <v>30</v>
      </c>
      <c r="AK624" s="540">
        <f t="shared" si="297"/>
        <v>30</v>
      </c>
      <c r="AL624" s="909">
        <f t="shared" si="319"/>
        <v>0</v>
      </c>
      <c r="AN624" s="539">
        <f t="shared" si="299"/>
        <v>0</v>
      </c>
      <c r="AT624" s="317"/>
      <c r="AU624" s="317"/>
    </row>
    <row r="625" spans="3:47" ht="13.15" customHeight="1" x14ac:dyDescent="0.2">
      <c r="C625" s="381"/>
      <c r="D625" s="895" t="str">
        <f>IF(op!D513=0,"",op!D513)</f>
        <v/>
      </c>
      <c r="E625" s="895" t="str">
        <f>IF(op!E513=0,"",op!E513)</f>
        <v/>
      </c>
      <c r="F625" s="390" t="str">
        <f>IF(op!F513="","",op!F513+1)</f>
        <v/>
      </c>
      <c r="G625" s="896" t="str">
        <f>IF(op!G513=0,"",op!G513)</f>
        <v/>
      </c>
      <c r="H625" s="390" t="str">
        <f>IF(op!H513="","",op!H513)</f>
        <v/>
      </c>
      <c r="I625" s="897" t="str">
        <f t="shared" si="307"/>
        <v/>
      </c>
      <c r="J625" s="898" t="str">
        <f>IF(op!J513="","",op!J513)</f>
        <v/>
      </c>
      <c r="K625" s="334"/>
      <c r="L625" s="1140" t="str">
        <f>IF(op!L513="","",op!L513)</f>
        <v/>
      </c>
      <c r="M625" s="1140" t="str">
        <f>IF(op!M513="","",op!M513)</f>
        <v/>
      </c>
      <c r="N625" s="899" t="str">
        <f t="shared" si="300"/>
        <v/>
      </c>
      <c r="O625" s="900" t="str">
        <f t="shared" si="301"/>
        <v/>
      </c>
      <c r="P625" s="901" t="str">
        <f t="shared" si="302"/>
        <v/>
      </c>
      <c r="Q625" s="568" t="str">
        <f t="shared" si="308"/>
        <v/>
      </c>
      <c r="R625" s="902" t="str">
        <f t="shared" si="303"/>
        <v/>
      </c>
      <c r="S625" s="903">
        <f t="shared" si="309"/>
        <v>0</v>
      </c>
      <c r="T625" s="334"/>
      <c r="X625" s="887" t="str">
        <f t="shared" si="310"/>
        <v/>
      </c>
      <c r="Y625" s="904">
        <f t="shared" si="311"/>
        <v>0.6</v>
      </c>
      <c r="Z625" s="905" t="e">
        <f t="shared" si="304"/>
        <v>#VALUE!</v>
      </c>
      <c r="AA625" s="905" t="e">
        <f t="shared" si="305"/>
        <v>#VALUE!</v>
      </c>
      <c r="AB625" s="905" t="e">
        <f t="shared" si="306"/>
        <v>#VALUE!</v>
      </c>
      <c r="AC625" s="906" t="e">
        <f t="shared" si="312"/>
        <v>#VALUE!</v>
      </c>
      <c r="AD625" s="907">
        <f t="shared" si="313"/>
        <v>0</v>
      </c>
      <c r="AE625" s="904">
        <f>IF(H625&gt;8,tab!C$194,tab!C$197)</f>
        <v>0.5</v>
      </c>
      <c r="AF625" s="907">
        <f t="shared" si="314"/>
        <v>0</v>
      </c>
      <c r="AG625" s="887">
        <f t="shared" si="315"/>
        <v>0</v>
      </c>
      <c r="AH625" s="908" t="e">
        <f t="shared" si="316"/>
        <v>#VALUE!</v>
      </c>
      <c r="AI625" s="815" t="e">
        <f t="shared" si="317"/>
        <v>#VALUE!</v>
      </c>
      <c r="AJ625" s="540">
        <f t="shared" si="318"/>
        <v>30</v>
      </c>
      <c r="AK625" s="540">
        <f t="shared" si="297"/>
        <v>30</v>
      </c>
      <c r="AL625" s="909">
        <f t="shared" si="319"/>
        <v>0</v>
      </c>
      <c r="AN625" s="539">
        <f t="shared" si="299"/>
        <v>0</v>
      </c>
      <c r="AT625" s="317"/>
      <c r="AU625" s="317"/>
    </row>
    <row r="626" spans="3:47" ht="13.15" customHeight="1" x14ac:dyDescent="0.2">
      <c r="C626" s="381"/>
      <c r="D626" s="895" t="str">
        <f>IF(op!D514=0,"",op!D514)</f>
        <v/>
      </c>
      <c r="E626" s="895" t="str">
        <f>IF(op!E514=0,"",op!E514)</f>
        <v/>
      </c>
      <c r="F626" s="390" t="str">
        <f>IF(op!F514="","",op!F514+1)</f>
        <v/>
      </c>
      <c r="G626" s="896" t="str">
        <f>IF(op!G514=0,"",op!G514)</f>
        <v/>
      </c>
      <c r="H626" s="390" t="str">
        <f>IF(op!H514="","",op!H514)</f>
        <v/>
      </c>
      <c r="I626" s="897" t="str">
        <f t="shared" si="307"/>
        <v/>
      </c>
      <c r="J626" s="898" t="str">
        <f>IF(op!J514="","",op!J514)</f>
        <v/>
      </c>
      <c r="K626" s="334"/>
      <c r="L626" s="1140" t="str">
        <f>IF(op!L514="","",op!L514)</f>
        <v/>
      </c>
      <c r="M626" s="1140" t="str">
        <f>IF(op!M514="","",op!M514)</f>
        <v/>
      </c>
      <c r="N626" s="899" t="str">
        <f t="shared" si="300"/>
        <v/>
      </c>
      <c r="O626" s="900" t="str">
        <f t="shared" si="301"/>
        <v/>
      </c>
      <c r="P626" s="901" t="str">
        <f t="shared" si="302"/>
        <v/>
      </c>
      <c r="Q626" s="568" t="str">
        <f t="shared" si="308"/>
        <v/>
      </c>
      <c r="R626" s="902" t="str">
        <f t="shared" si="303"/>
        <v/>
      </c>
      <c r="S626" s="903">
        <f t="shared" si="309"/>
        <v>0</v>
      </c>
      <c r="T626" s="334"/>
      <c r="X626" s="887" t="str">
        <f t="shared" si="310"/>
        <v/>
      </c>
      <c r="Y626" s="904">
        <f t="shared" si="311"/>
        <v>0.6</v>
      </c>
      <c r="Z626" s="905" t="e">
        <f t="shared" si="304"/>
        <v>#VALUE!</v>
      </c>
      <c r="AA626" s="905" t="e">
        <f t="shared" si="305"/>
        <v>#VALUE!</v>
      </c>
      <c r="AB626" s="905" t="e">
        <f t="shared" si="306"/>
        <v>#VALUE!</v>
      </c>
      <c r="AC626" s="906" t="e">
        <f t="shared" si="312"/>
        <v>#VALUE!</v>
      </c>
      <c r="AD626" s="907">
        <f t="shared" si="313"/>
        <v>0</v>
      </c>
      <c r="AE626" s="904">
        <f>IF(H626&gt;8,tab!C$194,tab!C$197)</f>
        <v>0.5</v>
      </c>
      <c r="AF626" s="907">
        <f t="shared" si="314"/>
        <v>0</v>
      </c>
      <c r="AG626" s="887">
        <f t="shared" si="315"/>
        <v>0</v>
      </c>
      <c r="AH626" s="908" t="e">
        <f t="shared" si="316"/>
        <v>#VALUE!</v>
      </c>
      <c r="AI626" s="815" t="e">
        <f t="shared" si="317"/>
        <v>#VALUE!</v>
      </c>
      <c r="AJ626" s="540">
        <f t="shared" si="318"/>
        <v>30</v>
      </c>
      <c r="AK626" s="540">
        <f t="shared" si="297"/>
        <v>30</v>
      </c>
      <c r="AL626" s="909">
        <f t="shared" si="319"/>
        <v>0</v>
      </c>
      <c r="AN626" s="539">
        <f t="shared" si="299"/>
        <v>0</v>
      </c>
      <c r="AT626" s="317"/>
      <c r="AU626" s="317"/>
    </row>
    <row r="627" spans="3:47" ht="13.15" customHeight="1" x14ac:dyDescent="0.2">
      <c r="C627" s="381"/>
      <c r="D627" s="895" t="str">
        <f>IF(op!D515=0,"",op!D515)</f>
        <v/>
      </c>
      <c r="E627" s="895" t="str">
        <f>IF(op!E515=0,"",op!E515)</f>
        <v/>
      </c>
      <c r="F627" s="390" t="str">
        <f>IF(op!F515="","",op!F515+1)</f>
        <v/>
      </c>
      <c r="G627" s="896" t="str">
        <f>IF(op!G515=0,"",op!G515)</f>
        <v/>
      </c>
      <c r="H627" s="390" t="str">
        <f>IF(op!H515="","",op!H515)</f>
        <v/>
      </c>
      <c r="I627" s="897" t="str">
        <f t="shared" si="307"/>
        <v/>
      </c>
      <c r="J627" s="898" t="str">
        <f>IF(op!J515="","",op!J515)</f>
        <v/>
      </c>
      <c r="K627" s="334"/>
      <c r="L627" s="1140" t="str">
        <f>IF(op!L515="","",op!L515)</f>
        <v/>
      </c>
      <c r="M627" s="1140" t="str">
        <f>IF(op!M515="","",op!M515)</f>
        <v/>
      </c>
      <c r="N627" s="899" t="str">
        <f t="shared" si="300"/>
        <v/>
      </c>
      <c r="O627" s="900" t="str">
        <f t="shared" si="301"/>
        <v/>
      </c>
      <c r="P627" s="901" t="str">
        <f t="shared" si="302"/>
        <v/>
      </c>
      <c r="Q627" s="568" t="str">
        <f t="shared" si="308"/>
        <v/>
      </c>
      <c r="R627" s="902" t="str">
        <f t="shared" si="303"/>
        <v/>
      </c>
      <c r="S627" s="903">
        <f t="shared" si="309"/>
        <v>0</v>
      </c>
      <c r="T627" s="334"/>
      <c r="X627" s="887" t="str">
        <f t="shared" si="310"/>
        <v/>
      </c>
      <c r="Y627" s="904">
        <f t="shared" si="311"/>
        <v>0.6</v>
      </c>
      <c r="Z627" s="905" t="e">
        <f t="shared" si="304"/>
        <v>#VALUE!</v>
      </c>
      <c r="AA627" s="905" t="e">
        <f t="shared" si="305"/>
        <v>#VALUE!</v>
      </c>
      <c r="AB627" s="905" t="e">
        <f t="shared" si="306"/>
        <v>#VALUE!</v>
      </c>
      <c r="AC627" s="906" t="e">
        <f t="shared" si="312"/>
        <v>#VALUE!</v>
      </c>
      <c r="AD627" s="907">
        <f t="shared" si="313"/>
        <v>0</v>
      </c>
      <c r="AE627" s="904">
        <f>IF(H627&gt;8,tab!C$194,tab!C$197)</f>
        <v>0.5</v>
      </c>
      <c r="AF627" s="907">
        <f t="shared" si="314"/>
        <v>0</v>
      </c>
      <c r="AG627" s="887">
        <f t="shared" si="315"/>
        <v>0</v>
      </c>
      <c r="AH627" s="908" t="e">
        <f t="shared" si="316"/>
        <v>#VALUE!</v>
      </c>
      <c r="AI627" s="815" t="e">
        <f t="shared" si="317"/>
        <v>#VALUE!</v>
      </c>
      <c r="AJ627" s="540">
        <f t="shared" si="318"/>
        <v>30</v>
      </c>
      <c r="AK627" s="540">
        <f t="shared" si="297"/>
        <v>30</v>
      </c>
      <c r="AL627" s="909">
        <f t="shared" si="319"/>
        <v>0</v>
      </c>
      <c r="AN627" s="539">
        <f t="shared" si="299"/>
        <v>0</v>
      </c>
      <c r="AT627" s="317"/>
      <c r="AU627" s="317"/>
    </row>
    <row r="628" spans="3:47" ht="13.15" customHeight="1" x14ac:dyDescent="0.2">
      <c r="C628" s="381"/>
      <c r="D628" s="895" t="str">
        <f>IF(op!D516=0,"",op!D516)</f>
        <v/>
      </c>
      <c r="E628" s="895" t="str">
        <f>IF(op!E516=0,"",op!E516)</f>
        <v/>
      </c>
      <c r="F628" s="390" t="str">
        <f>IF(op!F516="","",op!F516+1)</f>
        <v/>
      </c>
      <c r="G628" s="896" t="str">
        <f>IF(op!G516=0,"",op!G516)</f>
        <v/>
      </c>
      <c r="H628" s="390" t="str">
        <f>IF(op!H516="","",op!H516)</f>
        <v/>
      </c>
      <c r="I628" s="897" t="str">
        <f t="shared" si="307"/>
        <v/>
      </c>
      <c r="J628" s="898" t="str">
        <f>IF(op!J516="","",op!J516)</f>
        <v/>
      </c>
      <c r="K628" s="334"/>
      <c r="L628" s="1140" t="str">
        <f>IF(op!L516="","",op!L516)</f>
        <v/>
      </c>
      <c r="M628" s="1140" t="str">
        <f>IF(op!M516="","",op!M516)</f>
        <v/>
      </c>
      <c r="N628" s="899" t="str">
        <f t="shared" si="300"/>
        <v/>
      </c>
      <c r="O628" s="900" t="str">
        <f t="shared" si="301"/>
        <v/>
      </c>
      <c r="P628" s="901" t="str">
        <f t="shared" si="302"/>
        <v/>
      </c>
      <c r="Q628" s="568" t="str">
        <f t="shared" si="308"/>
        <v/>
      </c>
      <c r="R628" s="902" t="str">
        <f t="shared" si="303"/>
        <v/>
      </c>
      <c r="S628" s="903">
        <f t="shared" si="309"/>
        <v>0</v>
      </c>
      <c r="T628" s="334"/>
      <c r="X628" s="887" t="str">
        <f t="shared" si="310"/>
        <v/>
      </c>
      <c r="Y628" s="904">
        <f t="shared" si="311"/>
        <v>0.6</v>
      </c>
      <c r="Z628" s="905" t="e">
        <f t="shared" si="304"/>
        <v>#VALUE!</v>
      </c>
      <c r="AA628" s="905" t="e">
        <f t="shared" si="305"/>
        <v>#VALUE!</v>
      </c>
      <c r="AB628" s="905" t="e">
        <f t="shared" si="306"/>
        <v>#VALUE!</v>
      </c>
      <c r="AC628" s="906" t="e">
        <f t="shared" si="312"/>
        <v>#VALUE!</v>
      </c>
      <c r="AD628" s="907">
        <f t="shared" si="313"/>
        <v>0</v>
      </c>
      <c r="AE628" s="904">
        <f>IF(H628&gt;8,tab!C$194,tab!C$197)</f>
        <v>0.5</v>
      </c>
      <c r="AF628" s="907">
        <f t="shared" si="314"/>
        <v>0</v>
      </c>
      <c r="AG628" s="887">
        <f t="shared" si="315"/>
        <v>0</v>
      </c>
      <c r="AH628" s="908" t="e">
        <f t="shared" si="316"/>
        <v>#VALUE!</v>
      </c>
      <c r="AI628" s="815" t="e">
        <f t="shared" si="317"/>
        <v>#VALUE!</v>
      </c>
      <c r="AJ628" s="540">
        <f t="shared" si="318"/>
        <v>30</v>
      </c>
      <c r="AK628" s="540">
        <f t="shared" si="297"/>
        <v>30</v>
      </c>
      <c r="AL628" s="909">
        <f t="shared" si="319"/>
        <v>0</v>
      </c>
      <c r="AN628" s="539">
        <f t="shared" si="299"/>
        <v>0</v>
      </c>
      <c r="AT628" s="317"/>
      <c r="AU628" s="317"/>
    </row>
    <row r="629" spans="3:47" ht="13.15" customHeight="1" x14ac:dyDescent="0.2">
      <c r="C629" s="381"/>
      <c r="D629" s="895" t="str">
        <f>IF(op!D517=0,"",op!D517)</f>
        <v/>
      </c>
      <c r="E629" s="895" t="str">
        <f>IF(op!E517=0,"",op!E517)</f>
        <v/>
      </c>
      <c r="F629" s="390" t="str">
        <f>IF(op!F517="","",op!F517+1)</f>
        <v/>
      </c>
      <c r="G629" s="896" t="str">
        <f>IF(op!G517=0,"",op!G517)</f>
        <v/>
      </c>
      <c r="H629" s="390" t="str">
        <f>IF(op!H517="","",op!H517)</f>
        <v/>
      </c>
      <c r="I629" s="897" t="str">
        <f t="shared" si="307"/>
        <v/>
      </c>
      <c r="J629" s="898" t="str">
        <f>IF(op!J517="","",op!J517)</f>
        <v/>
      </c>
      <c r="K629" s="334"/>
      <c r="L629" s="1140" t="str">
        <f>IF(op!L517="","",op!L517)</f>
        <v/>
      </c>
      <c r="M629" s="1140" t="str">
        <f>IF(op!M517="","",op!M517)</f>
        <v/>
      </c>
      <c r="N629" s="899" t="str">
        <f t="shared" si="300"/>
        <v/>
      </c>
      <c r="O629" s="900" t="str">
        <f t="shared" si="301"/>
        <v/>
      </c>
      <c r="P629" s="901" t="str">
        <f t="shared" si="302"/>
        <v/>
      </c>
      <c r="Q629" s="568" t="str">
        <f t="shared" si="308"/>
        <v/>
      </c>
      <c r="R629" s="902" t="str">
        <f t="shared" si="303"/>
        <v/>
      </c>
      <c r="S629" s="903">
        <f t="shared" si="309"/>
        <v>0</v>
      </c>
      <c r="T629" s="334"/>
      <c r="X629" s="887" t="str">
        <f t="shared" si="310"/>
        <v/>
      </c>
      <c r="Y629" s="904">
        <f t="shared" si="311"/>
        <v>0.6</v>
      </c>
      <c r="Z629" s="905" t="e">
        <f t="shared" si="304"/>
        <v>#VALUE!</v>
      </c>
      <c r="AA629" s="905" t="e">
        <f t="shared" si="305"/>
        <v>#VALUE!</v>
      </c>
      <c r="AB629" s="905" t="e">
        <f t="shared" si="306"/>
        <v>#VALUE!</v>
      </c>
      <c r="AC629" s="906" t="e">
        <f t="shared" si="312"/>
        <v>#VALUE!</v>
      </c>
      <c r="AD629" s="907">
        <f t="shared" si="313"/>
        <v>0</v>
      </c>
      <c r="AE629" s="904">
        <f>IF(H629&gt;8,tab!C$194,tab!C$197)</f>
        <v>0.5</v>
      </c>
      <c r="AF629" s="907">
        <f t="shared" si="314"/>
        <v>0</v>
      </c>
      <c r="AG629" s="887">
        <f t="shared" si="315"/>
        <v>0</v>
      </c>
      <c r="AH629" s="908" t="e">
        <f t="shared" si="316"/>
        <v>#VALUE!</v>
      </c>
      <c r="AI629" s="815" t="e">
        <f t="shared" si="317"/>
        <v>#VALUE!</v>
      </c>
      <c r="AJ629" s="540">
        <f t="shared" si="318"/>
        <v>30</v>
      </c>
      <c r="AK629" s="540">
        <f t="shared" si="297"/>
        <v>30</v>
      </c>
      <c r="AL629" s="909">
        <f t="shared" si="319"/>
        <v>0</v>
      </c>
      <c r="AN629" s="539">
        <f t="shared" si="299"/>
        <v>0</v>
      </c>
      <c r="AT629" s="317"/>
      <c r="AU629" s="317"/>
    </row>
    <row r="630" spans="3:47" ht="13.15" customHeight="1" x14ac:dyDescent="0.2">
      <c r="C630" s="381"/>
      <c r="D630" s="895" t="str">
        <f>IF(op!D518=0,"",op!D518)</f>
        <v/>
      </c>
      <c r="E630" s="895" t="str">
        <f>IF(op!E518=0,"",op!E518)</f>
        <v/>
      </c>
      <c r="F630" s="390" t="str">
        <f>IF(op!F518="","",op!F518+1)</f>
        <v/>
      </c>
      <c r="G630" s="896" t="str">
        <f>IF(op!G518=0,"",op!G518)</f>
        <v/>
      </c>
      <c r="H630" s="390" t="str">
        <f>IF(op!H518="","",op!H518)</f>
        <v/>
      </c>
      <c r="I630" s="897" t="str">
        <f t="shared" si="307"/>
        <v/>
      </c>
      <c r="J630" s="898" t="str">
        <f>IF(op!J518="","",op!J518)</f>
        <v/>
      </c>
      <c r="K630" s="334"/>
      <c r="L630" s="1140" t="str">
        <f>IF(op!L518="","",op!L518)</f>
        <v/>
      </c>
      <c r="M630" s="1140" t="str">
        <f>IF(op!M518="","",op!M518)</f>
        <v/>
      </c>
      <c r="N630" s="899" t="str">
        <f t="shared" si="300"/>
        <v/>
      </c>
      <c r="O630" s="900" t="str">
        <f t="shared" si="301"/>
        <v/>
      </c>
      <c r="P630" s="901" t="str">
        <f t="shared" si="302"/>
        <v/>
      </c>
      <c r="Q630" s="568" t="str">
        <f t="shared" si="308"/>
        <v/>
      </c>
      <c r="R630" s="902" t="str">
        <f t="shared" si="303"/>
        <v/>
      </c>
      <c r="S630" s="903">
        <f t="shared" si="309"/>
        <v>0</v>
      </c>
      <c r="T630" s="334"/>
      <c r="X630" s="887" t="str">
        <f t="shared" si="310"/>
        <v/>
      </c>
      <c r="Y630" s="904">
        <f t="shared" si="311"/>
        <v>0.6</v>
      </c>
      <c r="Z630" s="905" t="e">
        <f t="shared" si="304"/>
        <v>#VALUE!</v>
      </c>
      <c r="AA630" s="905" t="e">
        <f t="shared" si="305"/>
        <v>#VALUE!</v>
      </c>
      <c r="AB630" s="905" t="e">
        <f t="shared" si="306"/>
        <v>#VALUE!</v>
      </c>
      <c r="AC630" s="906" t="e">
        <f t="shared" si="312"/>
        <v>#VALUE!</v>
      </c>
      <c r="AD630" s="907">
        <f t="shared" si="313"/>
        <v>0</v>
      </c>
      <c r="AE630" s="904">
        <f>IF(H630&gt;8,tab!C$194,tab!C$197)</f>
        <v>0.5</v>
      </c>
      <c r="AF630" s="907">
        <f t="shared" si="314"/>
        <v>0</v>
      </c>
      <c r="AG630" s="887">
        <f t="shared" si="315"/>
        <v>0</v>
      </c>
      <c r="AH630" s="908" t="e">
        <f t="shared" si="316"/>
        <v>#VALUE!</v>
      </c>
      <c r="AI630" s="815" t="e">
        <f t="shared" si="317"/>
        <v>#VALUE!</v>
      </c>
      <c r="AJ630" s="540">
        <f t="shared" si="318"/>
        <v>30</v>
      </c>
      <c r="AK630" s="540">
        <f t="shared" si="297"/>
        <v>30</v>
      </c>
      <c r="AL630" s="909">
        <f t="shared" si="319"/>
        <v>0</v>
      </c>
      <c r="AN630" s="539">
        <f t="shared" si="299"/>
        <v>0</v>
      </c>
      <c r="AT630" s="317"/>
      <c r="AU630" s="317"/>
    </row>
    <row r="631" spans="3:47" ht="13.15" customHeight="1" x14ac:dyDescent="0.2">
      <c r="C631" s="381"/>
      <c r="D631" s="895" t="str">
        <f>IF(op!D519=0,"",op!D519)</f>
        <v/>
      </c>
      <c r="E631" s="895" t="str">
        <f>IF(op!E519=0,"",op!E519)</f>
        <v/>
      </c>
      <c r="F631" s="390" t="str">
        <f>IF(op!F519="","",op!F519+1)</f>
        <v/>
      </c>
      <c r="G631" s="896" t="str">
        <f>IF(op!G519=0,"",op!G519)</f>
        <v/>
      </c>
      <c r="H631" s="390" t="str">
        <f>IF(op!H519="","",op!H519)</f>
        <v/>
      </c>
      <c r="I631" s="897" t="str">
        <f t="shared" si="307"/>
        <v/>
      </c>
      <c r="J631" s="898" t="str">
        <f>IF(op!J519="","",op!J519)</f>
        <v/>
      </c>
      <c r="K631" s="334"/>
      <c r="L631" s="1140" t="str">
        <f>IF(op!L519="","",op!L519)</f>
        <v/>
      </c>
      <c r="M631" s="1140" t="str">
        <f>IF(op!M519="","",op!M519)</f>
        <v/>
      </c>
      <c r="N631" s="899" t="str">
        <f t="shared" si="300"/>
        <v/>
      </c>
      <c r="O631" s="900" t="str">
        <f t="shared" si="301"/>
        <v/>
      </c>
      <c r="P631" s="901" t="str">
        <f t="shared" si="302"/>
        <v/>
      </c>
      <c r="Q631" s="568" t="str">
        <f t="shared" si="308"/>
        <v/>
      </c>
      <c r="R631" s="902" t="str">
        <f t="shared" si="303"/>
        <v/>
      </c>
      <c r="S631" s="903">
        <f t="shared" si="309"/>
        <v>0</v>
      </c>
      <c r="T631" s="334"/>
      <c r="X631" s="887" t="str">
        <f t="shared" si="310"/>
        <v/>
      </c>
      <c r="Y631" s="904">
        <f t="shared" si="311"/>
        <v>0.6</v>
      </c>
      <c r="Z631" s="905" t="e">
        <f t="shared" si="304"/>
        <v>#VALUE!</v>
      </c>
      <c r="AA631" s="905" t="e">
        <f t="shared" si="305"/>
        <v>#VALUE!</v>
      </c>
      <c r="AB631" s="905" t="e">
        <f t="shared" si="306"/>
        <v>#VALUE!</v>
      </c>
      <c r="AC631" s="906" t="e">
        <f t="shared" si="312"/>
        <v>#VALUE!</v>
      </c>
      <c r="AD631" s="907">
        <f t="shared" si="313"/>
        <v>0</v>
      </c>
      <c r="AE631" s="904">
        <f>IF(H631&gt;8,tab!C$194,tab!C$197)</f>
        <v>0.5</v>
      </c>
      <c r="AF631" s="907">
        <f t="shared" si="314"/>
        <v>0</v>
      </c>
      <c r="AG631" s="887">
        <f t="shared" si="315"/>
        <v>0</v>
      </c>
      <c r="AH631" s="908" t="e">
        <f t="shared" si="316"/>
        <v>#VALUE!</v>
      </c>
      <c r="AI631" s="815" t="e">
        <f t="shared" si="317"/>
        <v>#VALUE!</v>
      </c>
      <c r="AJ631" s="540">
        <f t="shared" si="318"/>
        <v>30</v>
      </c>
      <c r="AK631" s="540">
        <f t="shared" si="297"/>
        <v>30</v>
      </c>
      <c r="AL631" s="909">
        <f t="shared" si="319"/>
        <v>0</v>
      </c>
      <c r="AN631" s="539">
        <f t="shared" si="299"/>
        <v>0</v>
      </c>
      <c r="AT631" s="317"/>
      <c r="AU631" s="317"/>
    </row>
    <row r="632" spans="3:47" ht="13.15" customHeight="1" x14ac:dyDescent="0.2">
      <c r="C632" s="381"/>
      <c r="D632" s="895" t="str">
        <f>IF(op!D520=0,"",op!D520)</f>
        <v/>
      </c>
      <c r="E632" s="895" t="str">
        <f>IF(op!E520=0,"",op!E520)</f>
        <v/>
      </c>
      <c r="F632" s="390" t="str">
        <f>IF(op!F520="","",op!F520+1)</f>
        <v/>
      </c>
      <c r="G632" s="896" t="str">
        <f>IF(op!G520=0,"",op!G520)</f>
        <v/>
      </c>
      <c r="H632" s="390" t="str">
        <f>IF(op!H520="","",op!H520)</f>
        <v/>
      </c>
      <c r="I632" s="897" t="str">
        <f t="shared" si="307"/>
        <v/>
      </c>
      <c r="J632" s="898" t="str">
        <f>IF(op!J520="","",op!J520)</f>
        <v/>
      </c>
      <c r="K632" s="334"/>
      <c r="L632" s="1140" t="str">
        <f>IF(op!L520="","",op!L520)</f>
        <v/>
      </c>
      <c r="M632" s="1140" t="str">
        <f>IF(op!M520="","",op!M520)</f>
        <v/>
      </c>
      <c r="N632" s="899" t="str">
        <f t="shared" si="300"/>
        <v/>
      </c>
      <c r="O632" s="900" t="str">
        <f t="shared" si="301"/>
        <v/>
      </c>
      <c r="P632" s="901" t="str">
        <f t="shared" si="302"/>
        <v/>
      </c>
      <c r="Q632" s="568" t="str">
        <f t="shared" si="308"/>
        <v/>
      </c>
      <c r="R632" s="902" t="str">
        <f t="shared" si="303"/>
        <v/>
      </c>
      <c r="S632" s="903">
        <f t="shared" si="309"/>
        <v>0</v>
      </c>
      <c r="T632" s="334"/>
      <c r="X632" s="887" t="str">
        <f t="shared" si="310"/>
        <v/>
      </c>
      <c r="Y632" s="904">
        <f t="shared" si="311"/>
        <v>0.6</v>
      </c>
      <c r="Z632" s="905" t="e">
        <f t="shared" si="304"/>
        <v>#VALUE!</v>
      </c>
      <c r="AA632" s="905" t="e">
        <f t="shared" si="305"/>
        <v>#VALUE!</v>
      </c>
      <c r="AB632" s="905" t="e">
        <f t="shared" si="306"/>
        <v>#VALUE!</v>
      </c>
      <c r="AC632" s="906" t="e">
        <f t="shared" si="312"/>
        <v>#VALUE!</v>
      </c>
      <c r="AD632" s="907">
        <f t="shared" si="313"/>
        <v>0</v>
      </c>
      <c r="AE632" s="904">
        <f>IF(H632&gt;8,tab!C$194,tab!C$197)</f>
        <v>0.5</v>
      </c>
      <c r="AF632" s="907">
        <f t="shared" si="314"/>
        <v>0</v>
      </c>
      <c r="AG632" s="887">
        <f t="shared" si="315"/>
        <v>0</v>
      </c>
      <c r="AH632" s="908" t="e">
        <f t="shared" si="316"/>
        <v>#VALUE!</v>
      </c>
      <c r="AI632" s="815" t="e">
        <f t="shared" si="317"/>
        <v>#VALUE!</v>
      </c>
      <c r="AJ632" s="540">
        <f t="shared" si="318"/>
        <v>30</v>
      </c>
      <c r="AK632" s="540">
        <f t="shared" si="297"/>
        <v>30</v>
      </c>
      <c r="AL632" s="909">
        <f t="shared" si="319"/>
        <v>0</v>
      </c>
      <c r="AN632" s="539">
        <f t="shared" si="299"/>
        <v>0</v>
      </c>
      <c r="AT632" s="317"/>
      <c r="AU632" s="317"/>
    </row>
    <row r="633" spans="3:47" ht="13.15" customHeight="1" x14ac:dyDescent="0.2">
      <c r="C633" s="381"/>
      <c r="D633" s="895" t="str">
        <f>IF(op!D521=0,"",op!D521)</f>
        <v/>
      </c>
      <c r="E633" s="895" t="str">
        <f>IF(op!E521=0,"",op!E521)</f>
        <v/>
      </c>
      <c r="F633" s="390" t="str">
        <f>IF(op!F521="","",op!F521+1)</f>
        <v/>
      </c>
      <c r="G633" s="896" t="str">
        <f>IF(op!G521=0,"",op!G521)</f>
        <v/>
      </c>
      <c r="H633" s="390" t="str">
        <f>IF(op!H521="","",op!H521)</f>
        <v/>
      </c>
      <c r="I633" s="897" t="str">
        <f t="shared" si="307"/>
        <v/>
      </c>
      <c r="J633" s="898" t="str">
        <f>IF(op!J521="","",op!J521)</f>
        <v/>
      </c>
      <c r="K633" s="334"/>
      <c r="L633" s="1140" t="str">
        <f>IF(op!L521="","",op!L521)</f>
        <v/>
      </c>
      <c r="M633" s="1140" t="str">
        <f>IF(op!M521="","",op!M521)</f>
        <v/>
      </c>
      <c r="N633" s="899" t="str">
        <f t="shared" si="300"/>
        <v/>
      </c>
      <c r="O633" s="900" t="str">
        <f t="shared" si="301"/>
        <v/>
      </c>
      <c r="P633" s="901" t="str">
        <f t="shared" si="302"/>
        <v/>
      </c>
      <c r="Q633" s="568" t="str">
        <f t="shared" si="308"/>
        <v/>
      </c>
      <c r="R633" s="902" t="str">
        <f t="shared" si="303"/>
        <v/>
      </c>
      <c r="S633" s="903">
        <f t="shared" si="309"/>
        <v>0</v>
      </c>
      <c r="T633" s="334"/>
      <c r="X633" s="887" t="str">
        <f t="shared" si="310"/>
        <v/>
      </c>
      <c r="Y633" s="904">
        <f t="shared" si="311"/>
        <v>0.6</v>
      </c>
      <c r="Z633" s="905" t="e">
        <f t="shared" si="304"/>
        <v>#VALUE!</v>
      </c>
      <c r="AA633" s="905" t="e">
        <f t="shared" si="305"/>
        <v>#VALUE!</v>
      </c>
      <c r="AB633" s="905" t="e">
        <f t="shared" si="306"/>
        <v>#VALUE!</v>
      </c>
      <c r="AC633" s="906" t="e">
        <f t="shared" si="312"/>
        <v>#VALUE!</v>
      </c>
      <c r="AD633" s="907">
        <f t="shared" si="313"/>
        <v>0</v>
      </c>
      <c r="AE633" s="904">
        <f>IF(H633&gt;8,tab!C$194,tab!C$197)</f>
        <v>0.5</v>
      </c>
      <c r="AF633" s="907">
        <f t="shared" si="314"/>
        <v>0</v>
      </c>
      <c r="AG633" s="887">
        <f t="shared" si="315"/>
        <v>0</v>
      </c>
      <c r="AH633" s="908" t="e">
        <f t="shared" si="316"/>
        <v>#VALUE!</v>
      </c>
      <c r="AI633" s="815" t="e">
        <f t="shared" si="317"/>
        <v>#VALUE!</v>
      </c>
      <c r="AJ633" s="540">
        <f t="shared" si="318"/>
        <v>30</v>
      </c>
      <c r="AK633" s="540">
        <f t="shared" si="297"/>
        <v>30</v>
      </c>
      <c r="AL633" s="909">
        <f t="shared" si="319"/>
        <v>0</v>
      </c>
      <c r="AN633" s="539">
        <f t="shared" si="299"/>
        <v>0</v>
      </c>
      <c r="AT633" s="317"/>
      <c r="AU633" s="317"/>
    </row>
    <row r="634" spans="3:47" ht="13.15" customHeight="1" x14ac:dyDescent="0.2">
      <c r="C634" s="381"/>
      <c r="D634" s="895" t="str">
        <f>IF(op!D522=0,"",op!D522)</f>
        <v/>
      </c>
      <c r="E634" s="895" t="str">
        <f>IF(op!E522=0,"",op!E522)</f>
        <v/>
      </c>
      <c r="F634" s="390" t="str">
        <f>IF(op!F522="","",op!F522+1)</f>
        <v/>
      </c>
      <c r="G634" s="896" t="str">
        <f>IF(op!G522=0,"",op!G522)</f>
        <v/>
      </c>
      <c r="H634" s="390" t="str">
        <f>IF(op!H522="","",op!H522)</f>
        <v/>
      </c>
      <c r="I634" s="897" t="str">
        <f t="shared" si="307"/>
        <v/>
      </c>
      <c r="J634" s="898" t="str">
        <f>IF(op!J522="","",op!J522)</f>
        <v/>
      </c>
      <c r="K634" s="334"/>
      <c r="L634" s="1140" t="str">
        <f>IF(op!L522="","",op!L522)</f>
        <v/>
      </c>
      <c r="M634" s="1140" t="str">
        <f>IF(op!M522="","",op!M522)</f>
        <v/>
      </c>
      <c r="N634" s="899" t="str">
        <f t="shared" si="300"/>
        <v/>
      </c>
      <c r="O634" s="900" t="str">
        <f t="shared" si="301"/>
        <v/>
      </c>
      <c r="P634" s="901" t="str">
        <f t="shared" si="302"/>
        <v/>
      </c>
      <c r="Q634" s="568" t="str">
        <f t="shared" si="308"/>
        <v/>
      </c>
      <c r="R634" s="902" t="str">
        <f t="shared" si="303"/>
        <v/>
      </c>
      <c r="S634" s="903">
        <f t="shared" si="309"/>
        <v>0</v>
      </c>
      <c r="T634" s="334"/>
      <c r="X634" s="887" t="str">
        <f t="shared" si="310"/>
        <v/>
      </c>
      <c r="Y634" s="904">
        <f t="shared" si="311"/>
        <v>0.6</v>
      </c>
      <c r="Z634" s="905" t="e">
        <f t="shared" si="304"/>
        <v>#VALUE!</v>
      </c>
      <c r="AA634" s="905" t="e">
        <f t="shared" si="305"/>
        <v>#VALUE!</v>
      </c>
      <c r="AB634" s="905" t="e">
        <f t="shared" si="306"/>
        <v>#VALUE!</v>
      </c>
      <c r="AC634" s="906" t="e">
        <f t="shared" si="312"/>
        <v>#VALUE!</v>
      </c>
      <c r="AD634" s="907">
        <f t="shared" si="313"/>
        <v>0</v>
      </c>
      <c r="AE634" s="904">
        <f>IF(H634&gt;8,tab!C$194,tab!C$197)</f>
        <v>0.5</v>
      </c>
      <c r="AF634" s="907">
        <f t="shared" si="314"/>
        <v>0</v>
      </c>
      <c r="AG634" s="887">
        <f t="shared" si="315"/>
        <v>0</v>
      </c>
      <c r="AH634" s="908" t="e">
        <f t="shared" si="316"/>
        <v>#VALUE!</v>
      </c>
      <c r="AI634" s="815" t="e">
        <f t="shared" si="317"/>
        <v>#VALUE!</v>
      </c>
      <c r="AJ634" s="540">
        <f t="shared" si="318"/>
        <v>30</v>
      </c>
      <c r="AK634" s="540">
        <f t="shared" si="297"/>
        <v>30</v>
      </c>
      <c r="AL634" s="909">
        <f t="shared" si="319"/>
        <v>0</v>
      </c>
      <c r="AN634" s="539">
        <f t="shared" si="299"/>
        <v>0</v>
      </c>
      <c r="AT634" s="317"/>
      <c r="AU634" s="317"/>
    </row>
    <row r="635" spans="3:47" ht="13.15" customHeight="1" x14ac:dyDescent="0.2">
      <c r="C635" s="381"/>
      <c r="D635" s="895" t="str">
        <f>IF(op!D523=0,"",op!D523)</f>
        <v/>
      </c>
      <c r="E635" s="895" t="str">
        <f>IF(op!E523=0,"",op!E523)</f>
        <v/>
      </c>
      <c r="F635" s="390" t="str">
        <f>IF(op!F523="","",op!F523+1)</f>
        <v/>
      </c>
      <c r="G635" s="896" t="str">
        <f>IF(op!G523=0,"",op!G523)</f>
        <v/>
      </c>
      <c r="H635" s="390" t="str">
        <f>IF(op!H523="","",op!H523)</f>
        <v/>
      </c>
      <c r="I635" s="897" t="str">
        <f t="shared" si="307"/>
        <v/>
      </c>
      <c r="J635" s="898" t="str">
        <f>IF(op!J523="","",op!J523)</f>
        <v/>
      </c>
      <c r="K635" s="334"/>
      <c r="L635" s="1140" t="str">
        <f>IF(op!L523="","",op!L523)</f>
        <v/>
      </c>
      <c r="M635" s="1140" t="str">
        <f>IF(op!M523="","",op!M523)</f>
        <v/>
      </c>
      <c r="N635" s="899" t="str">
        <f t="shared" si="300"/>
        <v/>
      </c>
      <c r="O635" s="900" t="str">
        <f t="shared" si="301"/>
        <v/>
      </c>
      <c r="P635" s="901" t="str">
        <f t="shared" si="302"/>
        <v/>
      </c>
      <c r="Q635" s="568" t="str">
        <f t="shared" si="308"/>
        <v/>
      </c>
      <c r="R635" s="902" t="str">
        <f t="shared" si="303"/>
        <v/>
      </c>
      <c r="S635" s="903">
        <f t="shared" si="309"/>
        <v>0</v>
      </c>
      <c r="T635" s="334"/>
      <c r="X635" s="887" t="str">
        <f t="shared" si="310"/>
        <v/>
      </c>
      <c r="Y635" s="904">
        <f t="shared" si="311"/>
        <v>0.6</v>
      </c>
      <c r="Z635" s="905" t="e">
        <f t="shared" si="304"/>
        <v>#VALUE!</v>
      </c>
      <c r="AA635" s="905" t="e">
        <f t="shared" si="305"/>
        <v>#VALUE!</v>
      </c>
      <c r="AB635" s="905" t="e">
        <f t="shared" si="306"/>
        <v>#VALUE!</v>
      </c>
      <c r="AC635" s="906" t="e">
        <f t="shared" si="312"/>
        <v>#VALUE!</v>
      </c>
      <c r="AD635" s="907">
        <f t="shared" si="313"/>
        <v>0</v>
      </c>
      <c r="AE635" s="904">
        <f>IF(H635&gt;8,tab!C$194,tab!C$197)</f>
        <v>0.5</v>
      </c>
      <c r="AF635" s="907">
        <f t="shared" si="314"/>
        <v>0</v>
      </c>
      <c r="AG635" s="887">
        <f t="shared" si="315"/>
        <v>0</v>
      </c>
      <c r="AH635" s="908" t="e">
        <f t="shared" si="316"/>
        <v>#VALUE!</v>
      </c>
      <c r="AI635" s="815" t="e">
        <f t="shared" si="317"/>
        <v>#VALUE!</v>
      </c>
      <c r="AJ635" s="540">
        <f t="shared" si="318"/>
        <v>30</v>
      </c>
      <c r="AK635" s="540">
        <f t="shared" si="297"/>
        <v>30</v>
      </c>
      <c r="AL635" s="909">
        <f t="shared" si="319"/>
        <v>0</v>
      </c>
      <c r="AN635" s="539">
        <f t="shared" si="299"/>
        <v>0</v>
      </c>
      <c r="AT635" s="317"/>
      <c r="AU635" s="317"/>
    </row>
    <row r="636" spans="3:47" ht="13.15" customHeight="1" x14ac:dyDescent="0.2">
      <c r="C636" s="381"/>
      <c r="D636" s="895" t="str">
        <f>IF(op!D524=0,"",op!D524)</f>
        <v/>
      </c>
      <c r="E636" s="895" t="str">
        <f>IF(op!E524=0,"",op!E524)</f>
        <v/>
      </c>
      <c r="F636" s="390" t="str">
        <f>IF(op!F524="","",op!F524+1)</f>
        <v/>
      </c>
      <c r="G636" s="896" t="str">
        <f>IF(op!G524=0,"",op!G524)</f>
        <v/>
      </c>
      <c r="H636" s="390" t="str">
        <f>IF(op!H524="","",op!H524)</f>
        <v/>
      </c>
      <c r="I636" s="897" t="str">
        <f t="shared" si="307"/>
        <v/>
      </c>
      <c r="J636" s="898" t="str">
        <f>IF(op!J524="","",op!J524)</f>
        <v/>
      </c>
      <c r="K636" s="334"/>
      <c r="L636" s="1140" t="str">
        <f>IF(op!L524="","",op!L524)</f>
        <v/>
      </c>
      <c r="M636" s="1140" t="str">
        <f>IF(op!M524="","",op!M524)</f>
        <v/>
      </c>
      <c r="N636" s="899" t="str">
        <f t="shared" si="300"/>
        <v/>
      </c>
      <c r="O636" s="900" t="str">
        <f t="shared" si="301"/>
        <v/>
      </c>
      <c r="P636" s="901" t="str">
        <f t="shared" si="302"/>
        <v/>
      </c>
      <c r="Q636" s="568" t="str">
        <f t="shared" si="308"/>
        <v/>
      </c>
      <c r="R636" s="902" t="str">
        <f t="shared" si="303"/>
        <v/>
      </c>
      <c r="S636" s="903">
        <f t="shared" si="309"/>
        <v>0</v>
      </c>
      <c r="T636" s="334"/>
      <c r="X636" s="887" t="str">
        <f t="shared" si="310"/>
        <v/>
      </c>
      <c r="Y636" s="904">
        <f t="shared" si="311"/>
        <v>0.6</v>
      </c>
      <c r="Z636" s="905" t="e">
        <f t="shared" si="304"/>
        <v>#VALUE!</v>
      </c>
      <c r="AA636" s="905" t="e">
        <f t="shared" si="305"/>
        <v>#VALUE!</v>
      </c>
      <c r="AB636" s="905" t="e">
        <f t="shared" si="306"/>
        <v>#VALUE!</v>
      </c>
      <c r="AC636" s="906" t="e">
        <f t="shared" si="312"/>
        <v>#VALUE!</v>
      </c>
      <c r="AD636" s="907">
        <f t="shared" si="313"/>
        <v>0</v>
      </c>
      <c r="AE636" s="904">
        <f>IF(H636&gt;8,tab!C$194,tab!C$197)</f>
        <v>0.5</v>
      </c>
      <c r="AF636" s="907">
        <f t="shared" si="314"/>
        <v>0</v>
      </c>
      <c r="AG636" s="887">
        <f t="shared" si="315"/>
        <v>0</v>
      </c>
      <c r="AH636" s="908" t="e">
        <f t="shared" si="316"/>
        <v>#VALUE!</v>
      </c>
      <c r="AI636" s="815" t="e">
        <f t="shared" si="317"/>
        <v>#VALUE!</v>
      </c>
      <c r="AJ636" s="540">
        <f t="shared" si="318"/>
        <v>30</v>
      </c>
      <c r="AK636" s="540">
        <f t="shared" si="297"/>
        <v>30</v>
      </c>
      <c r="AL636" s="909">
        <f t="shared" si="319"/>
        <v>0</v>
      </c>
      <c r="AN636" s="539">
        <f t="shared" si="299"/>
        <v>0</v>
      </c>
      <c r="AT636" s="317"/>
      <c r="AU636" s="317"/>
    </row>
    <row r="637" spans="3:47" ht="13.15" customHeight="1" x14ac:dyDescent="0.2">
      <c r="C637" s="381"/>
      <c r="D637" s="895" t="str">
        <f>IF(op!D525=0,"",op!D525)</f>
        <v/>
      </c>
      <c r="E637" s="895" t="str">
        <f>IF(op!E525=0,"",op!E525)</f>
        <v/>
      </c>
      <c r="F637" s="390" t="str">
        <f>IF(op!F525="","",op!F525+1)</f>
        <v/>
      </c>
      <c r="G637" s="896" t="str">
        <f>IF(op!G525=0,"",op!G525)</f>
        <v/>
      </c>
      <c r="H637" s="390" t="str">
        <f>IF(op!H525="","",op!H525)</f>
        <v/>
      </c>
      <c r="I637" s="897" t="str">
        <f t="shared" si="307"/>
        <v/>
      </c>
      <c r="J637" s="898" t="str">
        <f>IF(op!J525="","",op!J525)</f>
        <v/>
      </c>
      <c r="K637" s="334"/>
      <c r="L637" s="1140" t="str">
        <f>IF(op!L525="","",op!L525)</f>
        <v/>
      </c>
      <c r="M637" s="1140" t="str">
        <f>IF(op!M525="","",op!M525)</f>
        <v/>
      </c>
      <c r="N637" s="899" t="str">
        <f t="shared" si="300"/>
        <v/>
      </c>
      <c r="O637" s="900" t="str">
        <f t="shared" si="301"/>
        <v/>
      </c>
      <c r="P637" s="901" t="str">
        <f t="shared" si="302"/>
        <v/>
      </c>
      <c r="Q637" s="568" t="str">
        <f t="shared" si="308"/>
        <v/>
      </c>
      <c r="R637" s="902" t="str">
        <f t="shared" si="303"/>
        <v/>
      </c>
      <c r="S637" s="903">
        <f t="shared" si="309"/>
        <v>0</v>
      </c>
      <c r="T637" s="334"/>
      <c r="X637" s="887" t="str">
        <f t="shared" si="310"/>
        <v/>
      </c>
      <c r="Y637" s="904">
        <f t="shared" si="311"/>
        <v>0.6</v>
      </c>
      <c r="Z637" s="905" t="e">
        <f t="shared" si="304"/>
        <v>#VALUE!</v>
      </c>
      <c r="AA637" s="905" t="e">
        <f t="shared" si="305"/>
        <v>#VALUE!</v>
      </c>
      <c r="AB637" s="905" t="e">
        <f t="shared" si="306"/>
        <v>#VALUE!</v>
      </c>
      <c r="AC637" s="906" t="e">
        <f t="shared" si="312"/>
        <v>#VALUE!</v>
      </c>
      <c r="AD637" s="907">
        <f t="shared" si="313"/>
        <v>0</v>
      </c>
      <c r="AE637" s="904">
        <f>IF(H637&gt;8,tab!C$194,tab!C$197)</f>
        <v>0.5</v>
      </c>
      <c r="AF637" s="907">
        <f t="shared" si="314"/>
        <v>0</v>
      </c>
      <c r="AG637" s="887">
        <f t="shared" si="315"/>
        <v>0</v>
      </c>
      <c r="AH637" s="908" t="e">
        <f t="shared" si="316"/>
        <v>#VALUE!</v>
      </c>
      <c r="AI637" s="815" t="e">
        <f t="shared" si="317"/>
        <v>#VALUE!</v>
      </c>
      <c r="AJ637" s="540">
        <f t="shared" si="318"/>
        <v>30</v>
      </c>
      <c r="AK637" s="540">
        <f t="shared" si="297"/>
        <v>30</v>
      </c>
      <c r="AL637" s="909">
        <f t="shared" si="319"/>
        <v>0</v>
      </c>
      <c r="AN637" s="539">
        <f t="shared" si="299"/>
        <v>0</v>
      </c>
      <c r="AT637" s="317"/>
      <c r="AU637" s="317"/>
    </row>
    <row r="638" spans="3:47" ht="13.15" customHeight="1" x14ac:dyDescent="0.2">
      <c r="C638" s="381"/>
      <c r="D638" s="895" t="str">
        <f>IF(op!D526=0,"",op!D526)</f>
        <v/>
      </c>
      <c r="E638" s="895" t="str">
        <f>IF(op!E526=0,"",op!E526)</f>
        <v/>
      </c>
      <c r="F638" s="390" t="str">
        <f>IF(op!F526="","",op!F526+1)</f>
        <v/>
      </c>
      <c r="G638" s="896" t="str">
        <f>IF(op!G526=0,"",op!G526)</f>
        <v/>
      </c>
      <c r="H638" s="390" t="str">
        <f>IF(op!H526="","",op!H526)</f>
        <v/>
      </c>
      <c r="I638" s="897" t="str">
        <f t="shared" si="307"/>
        <v/>
      </c>
      <c r="J638" s="898" t="str">
        <f>IF(op!J526="","",op!J526)</f>
        <v/>
      </c>
      <c r="K638" s="334"/>
      <c r="L638" s="1140" t="str">
        <f>IF(op!L526="","",op!L526)</f>
        <v/>
      </c>
      <c r="M638" s="1140" t="str">
        <f>IF(op!M526="","",op!M526)</f>
        <v/>
      </c>
      <c r="N638" s="899" t="str">
        <f t="shared" si="300"/>
        <v/>
      </c>
      <c r="O638" s="900" t="str">
        <f t="shared" si="301"/>
        <v/>
      </c>
      <c r="P638" s="901" t="str">
        <f t="shared" si="302"/>
        <v/>
      </c>
      <c r="Q638" s="568" t="str">
        <f t="shared" si="308"/>
        <v/>
      </c>
      <c r="R638" s="902" t="str">
        <f t="shared" si="303"/>
        <v/>
      </c>
      <c r="S638" s="903">
        <f t="shared" si="309"/>
        <v>0</v>
      </c>
      <c r="T638" s="334"/>
      <c r="X638" s="887" t="str">
        <f t="shared" si="310"/>
        <v/>
      </c>
      <c r="Y638" s="904">
        <f t="shared" si="311"/>
        <v>0.6</v>
      </c>
      <c r="Z638" s="905" t="e">
        <f t="shared" si="304"/>
        <v>#VALUE!</v>
      </c>
      <c r="AA638" s="905" t="e">
        <f t="shared" si="305"/>
        <v>#VALUE!</v>
      </c>
      <c r="AB638" s="905" t="e">
        <f t="shared" si="306"/>
        <v>#VALUE!</v>
      </c>
      <c r="AC638" s="906" t="e">
        <f t="shared" si="312"/>
        <v>#VALUE!</v>
      </c>
      <c r="AD638" s="907">
        <f t="shared" si="313"/>
        <v>0</v>
      </c>
      <c r="AE638" s="904">
        <f>IF(H638&gt;8,tab!C$194,tab!C$197)</f>
        <v>0.5</v>
      </c>
      <c r="AF638" s="907">
        <f t="shared" si="314"/>
        <v>0</v>
      </c>
      <c r="AG638" s="887">
        <f t="shared" si="315"/>
        <v>0</v>
      </c>
      <c r="AH638" s="908" t="e">
        <f t="shared" si="316"/>
        <v>#VALUE!</v>
      </c>
      <c r="AI638" s="815" t="e">
        <f t="shared" si="317"/>
        <v>#VALUE!</v>
      </c>
      <c r="AJ638" s="540">
        <f t="shared" si="318"/>
        <v>30</v>
      </c>
      <c r="AK638" s="540">
        <f t="shared" si="297"/>
        <v>30</v>
      </c>
      <c r="AL638" s="909">
        <f t="shared" si="319"/>
        <v>0</v>
      </c>
      <c r="AN638" s="539">
        <f t="shared" si="299"/>
        <v>0</v>
      </c>
      <c r="AT638" s="317"/>
      <c r="AU638" s="317"/>
    </row>
    <row r="639" spans="3:47" ht="13.15" customHeight="1" x14ac:dyDescent="0.2">
      <c r="C639" s="381"/>
      <c r="D639" s="895" t="str">
        <f>IF(op!D527=0,"",op!D527)</f>
        <v/>
      </c>
      <c r="E639" s="895" t="str">
        <f>IF(op!E527=0,"",op!E527)</f>
        <v/>
      </c>
      <c r="F639" s="390" t="str">
        <f>IF(op!F527="","",op!F527+1)</f>
        <v/>
      </c>
      <c r="G639" s="896" t="str">
        <f>IF(op!G527=0,"",op!G527)</f>
        <v/>
      </c>
      <c r="H639" s="390" t="str">
        <f>IF(op!H527="","",op!H527)</f>
        <v/>
      </c>
      <c r="I639" s="897" t="str">
        <f t="shared" si="307"/>
        <v/>
      </c>
      <c r="J639" s="898" t="str">
        <f>IF(op!J527="","",op!J527)</f>
        <v/>
      </c>
      <c r="K639" s="334"/>
      <c r="L639" s="1140" t="str">
        <f>IF(op!L527="","",op!L527)</f>
        <v/>
      </c>
      <c r="M639" s="1140" t="str">
        <f>IF(op!M527="","",op!M527)</f>
        <v/>
      </c>
      <c r="N639" s="899" t="str">
        <f t="shared" si="300"/>
        <v/>
      </c>
      <c r="O639" s="900" t="str">
        <f t="shared" si="301"/>
        <v/>
      </c>
      <c r="P639" s="901" t="str">
        <f t="shared" si="302"/>
        <v/>
      </c>
      <c r="Q639" s="568" t="str">
        <f t="shared" si="308"/>
        <v/>
      </c>
      <c r="R639" s="902" t="str">
        <f t="shared" si="303"/>
        <v/>
      </c>
      <c r="S639" s="903">
        <f t="shared" si="309"/>
        <v>0</v>
      </c>
      <c r="T639" s="334"/>
      <c r="X639" s="887" t="str">
        <f t="shared" si="310"/>
        <v/>
      </c>
      <c r="Y639" s="904">
        <f t="shared" si="311"/>
        <v>0.6</v>
      </c>
      <c r="Z639" s="905" t="e">
        <f t="shared" si="304"/>
        <v>#VALUE!</v>
      </c>
      <c r="AA639" s="905" t="e">
        <f t="shared" si="305"/>
        <v>#VALUE!</v>
      </c>
      <c r="AB639" s="905" t="e">
        <f t="shared" si="306"/>
        <v>#VALUE!</v>
      </c>
      <c r="AC639" s="906" t="e">
        <f t="shared" si="312"/>
        <v>#VALUE!</v>
      </c>
      <c r="AD639" s="907">
        <f t="shared" si="313"/>
        <v>0</v>
      </c>
      <c r="AE639" s="904">
        <f>IF(H639&gt;8,tab!C$194,tab!C$197)</f>
        <v>0.5</v>
      </c>
      <c r="AF639" s="907">
        <f t="shared" si="314"/>
        <v>0</v>
      </c>
      <c r="AG639" s="887">
        <f t="shared" si="315"/>
        <v>0</v>
      </c>
      <c r="AH639" s="908" t="e">
        <f t="shared" si="316"/>
        <v>#VALUE!</v>
      </c>
      <c r="AI639" s="815" t="e">
        <f t="shared" si="317"/>
        <v>#VALUE!</v>
      </c>
      <c r="AJ639" s="540">
        <f t="shared" si="318"/>
        <v>30</v>
      </c>
      <c r="AK639" s="540">
        <f t="shared" si="297"/>
        <v>30</v>
      </c>
      <c r="AL639" s="909">
        <f t="shared" si="319"/>
        <v>0</v>
      </c>
      <c r="AN639" s="539">
        <f t="shared" si="299"/>
        <v>0</v>
      </c>
      <c r="AT639" s="317"/>
      <c r="AU639" s="317"/>
    </row>
    <row r="640" spans="3:47" ht="13.15" customHeight="1" x14ac:dyDescent="0.2">
      <c r="C640" s="381"/>
      <c r="D640" s="895" t="str">
        <f>IF(op!D528=0,"",op!D528)</f>
        <v/>
      </c>
      <c r="E640" s="895" t="str">
        <f>IF(op!E528=0,"",op!E528)</f>
        <v/>
      </c>
      <c r="F640" s="390" t="str">
        <f>IF(op!F528="","",op!F528+1)</f>
        <v/>
      </c>
      <c r="G640" s="896" t="str">
        <f>IF(op!G528=0,"",op!G528)</f>
        <v/>
      </c>
      <c r="H640" s="390" t="str">
        <f>IF(op!H528="","",op!H528)</f>
        <v/>
      </c>
      <c r="I640" s="897" t="str">
        <f t="shared" ref="I640:I671" si="320">IF(E640="","",IF(I528=VLOOKUP(H640,Salaris2021,22,FALSE),I528,I528+1))</f>
        <v/>
      </c>
      <c r="J640" s="898" t="str">
        <f>IF(op!J528="","",op!J528)</f>
        <v/>
      </c>
      <c r="K640" s="334"/>
      <c r="L640" s="1140" t="str">
        <f>IF(op!L528="","",op!L528)</f>
        <v/>
      </c>
      <c r="M640" s="1140" t="str">
        <f>IF(op!M528="","",op!M528)</f>
        <v/>
      </c>
      <c r="N640" s="899" t="str">
        <f t="shared" si="300"/>
        <v/>
      </c>
      <c r="O640" s="900" t="str">
        <f t="shared" si="301"/>
        <v/>
      </c>
      <c r="P640" s="901" t="str">
        <f t="shared" si="302"/>
        <v/>
      </c>
      <c r="Q640" s="568" t="str">
        <f t="shared" ref="Q640:Q671" si="321">IF(J640="","",(1659*J640-P640)*AA640)</f>
        <v/>
      </c>
      <c r="R640" s="902" t="str">
        <f t="shared" si="303"/>
        <v/>
      </c>
      <c r="S640" s="903">
        <f t="shared" ref="S640:S671" si="322">IF(E640=0,0,SUM(Q640:R640))</f>
        <v>0</v>
      </c>
      <c r="T640" s="334"/>
      <c r="X640" s="887" t="str">
        <f t="shared" ref="X640:X675" si="323">IF(H640="","",VLOOKUP(H640,Salaris2021,I640+1,FALSE))</f>
        <v/>
      </c>
      <c r="Y640" s="904">
        <f t="shared" ref="Y640:Y675" si="324">$Y$14</f>
        <v>0.6</v>
      </c>
      <c r="Z640" s="905" t="e">
        <f t="shared" si="304"/>
        <v>#VALUE!</v>
      </c>
      <c r="AA640" s="905" t="e">
        <f t="shared" si="305"/>
        <v>#VALUE!</v>
      </c>
      <c r="AB640" s="905" t="e">
        <f t="shared" si="306"/>
        <v>#VALUE!</v>
      </c>
      <c r="AC640" s="906" t="e">
        <f t="shared" ref="AC640:AC675" si="325">N640+O640</f>
        <v>#VALUE!</v>
      </c>
      <c r="AD640" s="907">
        <f t="shared" ref="AD640:AD675" si="326">SUM(L640:M640)</f>
        <v>0</v>
      </c>
      <c r="AE640" s="904">
        <f>IF(H640&gt;8,tab!C$194,tab!C$197)</f>
        <v>0.5</v>
      </c>
      <c r="AF640" s="907">
        <f t="shared" ref="AF640:AF675" si="327">IF(F640&lt;25,0,IF(F640=25,25,IF(F640&lt;40,0,IF(F640=40,40,IF(F640&gt;=40,0)))))</f>
        <v>0</v>
      </c>
      <c r="AG640" s="887">
        <f t="shared" ref="AG640:AG671" si="328">IF(AF640=25,(X640*1.08*J640/2),IF(AF640=40,(Y640*1.08*J640),IF(AF640=0,0)))</f>
        <v>0</v>
      </c>
      <c r="AH640" s="908" t="e">
        <f t="shared" ref="AH640:AH675" si="329">DATE(YEAR($E$233),MONTH(G640),DAY(G640))&gt;$E$233</f>
        <v>#VALUE!</v>
      </c>
      <c r="AI640" s="815" t="e">
        <f t="shared" ref="AI640:AI671" si="330">YEAR($E$569)-YEAR(G640)-AH640</f>
        <v>#VALUE!</v>
      </c>
      <c r="AJ640" s="540">
        <f t="shared" ref="AJ640:AJ671" si="331">IF((G640=""),30,AI640)</f>
        <v>30</v>
      </c>
      <c r="AK640" s="540">
        <f t="shared" si="297"/>
        <v>30</v>
      </c>
      <c r="AL640" s="909">
        <f t="shared" ref="AL640:AL671" si="332">(AK640*(SUM(J640:J640)))</f>
        <v>0</v>
      </c>
      <c r="AN640" s="539">
        <f t="shared" ref="AN640:AN675" si="333">IF(AND(AL640&gt;0.01,AL640&lt;50.01),1,0)</f>
        <v>0</v>
      </c>
      <c r="AT640" s="317"/>
      <c r="AU640" s="317"/>
    </row>
    <row r="641" spans="3:47" ht="13.15" customHeight="1" x14ac:dyDescent="0.2">
      <c r="C641" s="381"/>
      <c r="D641" s="895" t="str">
        <f>IF(op!D529=0,"",op!D529)</f>
        <v/>
      </c>
      <c r="E641" s="895" t="str">
        <f>IF(op!E529=0,"",op!E529)</f>
        <v/>
      </c>
      <c r="F641" s="390" t="str">
        <f>IF(op!F529="","",op!F529+1)</f>
        <v/>
      </c>
      <c r="G641" s="896" t="str">
        <f>IF(op!G529=0,"",op!G529)</f>
        <v/>
      </c>
      <c r="H641" s="390" t="str">
        <f>IF(op!H529="","",op!H529)</f>
        <v/>
      </c>
      <c r="I641" s="897" t="str">
        <f t="shared" si="320"/>
        <v/>
      </c>
      <c r="J641" s="898" t="str">
        <f>IF(op!J529="","",op!J529)</f>
        <v/>
      </c>
      <c r="K641" s="334"/>
      <c r="L641" s="1140" t="str">
        <f>IF(op!L529="","",op!L529)</f>
        <v/>
      </c>
      <c r="M641" s="1140" t="str">
        <f>IF(op!M529="","",op!M529)</f>
        <v/>
      </c>
      <c r="N641" s="899" t="str">
        <f t="shared" ref="N641:N675" si="334">IF(J641="","",IF(J641*40&gt;40,40,J641*40))</f>
        <v/>
      </c>
      <c r="O641" s="900" t="str">
        <f t="shared" ref="O641:O675" si="335">IF(H641="","",IF(I641&lt;4,IF(40*J641&gt;40,40,40*J641),0))</f>
        <v/>
      </c>
      <c r="P641" s="901" t="str">
        <f t="shared" ref="P641:P675" si="336">IF(J641="","",SUM(L641:O641))</f>
        <v/>
      </c>
      <c r="Q641" s="568" t="str">
        <f t="shared" si="321"/>
        <v/>
      </c>
      <c r="R641" s="902" t="str">
        <f t="shared" ref="R641:R675" si="337">IF(J641="","",(P641*AB641)+Z641*(AC641+AD641*(1-AE641)))</f>
        <v/>
      </c>
      <c r="S641" s="903">
        <f t="shared" si="322"/>
        <v>0</v>
      </c>
      <c r="T641" s="334"/>
      <c r="X641" s="887" t="str">
        <f t="shared" si="323"/>
        <v/>
      </c>
      <c r="Y641" s="904">
        <f t="shared" si="324"/>
        <v>0.6</v>
      </c>
      <c r="Z641" s="905" t="e">
        <f t="shared" ref="Z641:Z675" si="338">X641*12/1659</f>
        <v>#VALUE!</v>
      </c>
      <c r="AA641" s="905" t="e">
        <f t="shared" ref="AA641:AA675" si="339">X641*12*(1+Y641)/1659</f>
        <v>#VALUE!</v>
      </c>
      <c r="AB641" s="905" t="e">
        <f t="shared" ref="AB641:AB675" si="340">AA641-Z641</f>
        <v>#VALUE!</v>
      </c>
      <c r="AC641" s="906" t="e">
        <f t="shared" si="325"/>
        <v>#VALUE!</v>
      </c>
      <c r="AD641" s="907">
        <f t="shared" si="326"/>
        <v>0</v>
      </c>
      <c r="AE641" s="904">
        <f>IF(H641&gt;8,tab!C$194,tab!C$197)</f>
        <v>0.5</v>
      </c>
      <c r="AF641" s="907">
        <f t="shared" si="327"/>
        <v>0</v>
      </c>
      <c r="AG641" s="887">
        <f t="shared" si="328"/>
        <v>0</v>
      </c>
      <c r="AH641" s="908" t="e">
        <f t="shared" si="329"/>
        <v>#VALUE!</v>
      </c>
      <c r="AI641" s="815" t="e">
        <f t="shared" si="330"/>
        <v>#VALUE!</v>
      </c>
      <c r="AJ641" s="540">
        <f t="shared" si="331"/>
        <v>30</v>
      </c>
      <c r="AK641" s="540">
        <f t="shared" si="297"/>
        <v>30</v>
      </c>
      <c r="AL641" s="909">
        <f t="shared" si="332"/>
        <v>0</v>
      </c>
      <c r="AN641" s="539">
        <f t="shared" si="333"/>
        <v>0</v>
      </c>
      <c r="AT641" s="317"/>
      <c r="AU641" s="317"/>
    </row>
    <row r="642" spans="3:47" ht="13.15" customHeight="1" x14ac:dyDescent="0.2">
      <c r="C642" s="381"/>
      <c r="D642" s="895" t="str">
        <f>IF(op!D530=0,"",op!D530)</f>
        <v/>
      </c>
      <c r="E642" s="895" t="str">
        <f>IF(op!E530=0,"",op!E530)</f>
        <v/>
      </c>
      <c r="F642" s="390" t="str">
        <f>IF(op!F530="","",op!F530+1)</f>
        <v/>
      </c>
      <c r="G642" s="896" t="str">
        <f>IF(op!G530=0,"",op!G530)</f>
        <v/>
      </c>
      <c r="H642" s="390" t="str">
        <f>IF(op!H530="","",op!H530)</f>
        <v/>
      </c>
      <c r="I642" s="897" t="str">
        <f t="shared" si="320"/>
        <v/>
      </c>
      <c r="J642" s="898" t="str">
        <f>IF(op!J530="","",op!J530)</f>
        <v/>
      </c>
      <c r="K642" s="334"/>
      <c r="L642" s="1140" t="str">
        <f>IF(op!L530="","",op!L530)</f>
        <v/>
      </c>
      <c r="M642" s="1140" t="str">
        <f>IF(op!M530="","",op!M530)</f>
        <v/>
      </c>
      <c r="N642" s="899" t="str">
        <f t="shared" si="334"/>
        <v/>
      </c>
      <c r="O642" s="900" t="str">
        <f t="shared" si="335"/>
        <v/>
      </c>
      <c r="P642" s="901" t="str">
        <f t="shared" si="336"/>
        <v/>
      </c>
      <c r="Q642" s="568" t="str">
        <f t="shared" si="321"/>
        <v/>
      </c>
      <c r="R642" s="902" t="str">
        <f t="shared" si="337"/>
        <v/>
      </c>
      <c r="S642" s="903">
        <f t="shared" si="322"/>
        <v>0</v>
      </c>
      <c r="T642" s="334"/>
      <c r="X642" s="887" t="str">
        <f t="shared" si="323"/>
        <v/>
      </c>
      <c r="Y642" s="904">
        <f t="shared" si="324"/>
        <v>0.6</v>
      </c>
      <c r="Z642" s="905" t="e">
        <f t="shared" si="338"/>
        <v>#VALUE!</v>
      </c>
      <c r="AA642" s="905" t="e">
        <f t="shared" si="339"/>
        <v>#VALUE!</v>
      </c>
      <c r="AB642" s="905" t="e">
        <f t="shared" si="340"/>
        <v>#VALUE!</v>
      </c>
      <c r="AC642" s="906" t="e">
        <f t="shared" si="325"/>
        <v>#VALUE!</v>
      </c>
      <c r="AD642" s="907">
        <f t="shared" si="326"/>
        <v>0</v>
      </c>
      <c r="AE642" s="904">
        <f>IF(H642&gt;8,tab!C$194,tab!C$197)</f>
        <v>0.5</v>
      </c>
      <c r="AF642" s="907">
        <f t="shared" si="327"/>
        <v>0</v>
      </c>
      <c r="AG642" s="887">
        <f t="shared" si="328"/>
        <v>0</v>
      </c>
      <c r="AH642" s="908" t="e">
        <f t="shared" si="329"/>
        <v>#VALUE!</v>
      </c>
      <c r="AI642" s="815" t="e">
        <f t="shared" si="330"/>
        <v>#VALUE!</v>
      </c>
      <c r="AJ642" s="540">
        <f t="shared" si="331"/>
        <v>30</v>
      </c>
      <c r="AK642" s="540">
        <f t="shared" si="297"/>
        <v>30</v>
      </c>
      <c r="AL642" s="909">
        <f t="shared" si="332"/>
        <v>0</v>
      </c>
      <c r="AN642" s="539">
        <f t="shared" si="333"/>
        <v>0</v>
      </c>
      <c r="AT642" s="317"/>
      <c r="AU642" s="317"/>
    </row>
    <row r="643" spans="3:47" ht="13.15" customHeight="1" x14ac:dyDescent="0.2">
      <c r="C643" s="381"/>
      <c r="D643" s="895" t="str">
        <f>IF(op!D531=0,"",op!D531)</f>
        <v/>
      </c>
      <c r="E643" s="895" t="str">
        <f>IF(op!E531=0,"",op!E531)</f>
        <v/>
      </c>
      <c r="F643" s="390" t="str">
        <f>IF(op!F531="","",op!F531+1)</f>
        <v/>
      </c>
      <c r="G643" s="896" t="str">
        <f>IF(op!G531=0,"",op!G531)</f>
        <v/>
      </c>
      <c r="H643" s="390" t="str">
        <f>IF(op!H531="","",op!H531)</f>
        <v/>
      </c>
      <c r="I643" s="897" t="str">
        <f t="shared" si="320"/>
        <v/>
      </c>
      <c r="J643" s="898" t="str">
        <f>IF(op!J531="","",op!J531)</f>
        <v/>
      </c>
      <c r="K643" s="334"/>
      <c r="L643" s="1140" t="str">
        <f>IF(op!L531="","",op!L531)</f>
        <v/>
      </c>
      <c r="M643" s="1140" t="str">
        <f>IF(op!M531="","",op!M531)</f>
        <v/>
      </c>
      <c r="N643" s="899" t="str">
        <f t="shared" si="334"/>
        <v/>
      </c>
      <c r="O643" s="900" t="str">
        <f t="shared" si="335"/>
        <v/>
      </c>
      <c r="P643" s="901" t="str">
        <f t="shared" si="336"/>
        <v/>
      </c>
      <c r="Q643" s="568" t="str">
        <f t="shared" si="321"/>
        <v/>
      </c>
      <c r="R643" s="902" t="str">
        <f t="shared" si="337"/>
        <v/>
      </c>
      <c r="S643" s="903">
        <f t="shared" si="322"/>
        <v>0</v>
      </c>
      <c r="T643" s="334"/>
      <c r="X643" s="887" t="str">
        <f t="shared" si="323"/>
        <v/>
      </c>
      <c r="Y643" s="904">
        <f t="shared" si="324"/>
        <v>0.6</v>
      </c>
      <c r="Z643" s="905" t="e">
        <f t="shared" si="338"/>
        <v>#VALUE!</v>
      </c>
      <c r="AA643" s="905" t="e">
        <f t="shared" si="339"/>
        <v>#VALUE!</v>
      </c>
      <c r="AB643" s="905" t="e">
        <f t="shared" si="340"/>
        <v>#VALUE!</v>
      </c>
      <c r="AC643" s="906" t="e">
        <f t="shared" si="325"/>
        <v>#VALUE!</v>
      </c>
      <c r="AD643" s="907">
        <f t="shared" si="326"/>
        <v>0</v>
      </c>
      <c r="AE643" s="904">
        <f>IF(H643&gt;8,tab!C$194,tab!C$197)</f>
        <v>0.5</v>
      </c>
      <c r="AF643" s="907">
        <f t="shared" si="327"/>
        <v>0</v>
      </c>
      <c r="AG643" s="887">
        <f t="shared" si="328"/>
        <v>0</v>
      </c>
      <c r="AH643" s="908" t="e">
        <f t="shared" si="329"/>
        <v>#VALUE!</v>
      </c>
      <c r="AI643" s="815" t="e">
        <f t="shared" si="330"/>
        <v>#VALUE!</v>
      </c>
      <c r="AJ643" s="540">
        <f t="shared" si="331"/>
        <v>30</v>
      </c>
      <c r="AK643" s="540">
        <f t="shared" si="297"/>
        <v>30</v>
      </c>
      <c r="AL643" s="909">
        <f t="shared" si="332"/>
        <v>0</v>
      </c>
      <c r="AN643" s="539">
        <f t="shared" si="333"/>
        <v>0</v>
      </c>
      <c r="AT643" s="317"/>
      <c r="AU643" s="317"/>
    </row>
    <row r="644" spans="3:47" ht="13.15" customHeight="1" x14ac:dyDescent="0.2">
      <c r="C644" s="381"/>
      <c r="D644" s="895" t="str">
        <f>IF(op!D532=0,"",op!D532)</f>
        <v/>
      </c>
      <c r="E644" s="895" t="str">
        <f>IF(op!E532=0,"",op!E532)</f>
        <v/>
      </c>
      <c r="F644" s="390" t="str">
        <f>IF(op!F532="","",op!F532+1)</f>
        <v/>
      </c>
      <c r="G644" s="896" t="str">
        <f>IF(op!G532=0,"",op!G532)</f>
        <v/>
      </c>
      <c r="H644" s="390" t="str">
        <f>IF(op!H532="","",op!H532)</f>
        <v/>
      </c>
      <c r="I644" s="897" t="str">
        <f t="shared" si="320"/>
        <v/>
      </c>
      <c r="J644" s="898" t="str">
        <f>IF(op!J532="","",op!J532)</f>
        <v/>
      </c>
      <c r="K644" s="334"/>
      <c r="L644" s="1140" t="str">
        <f>IF(op!L532="","",op!L532)</f>
        <v/>
      </c>
      <c r="M644" s="1140" t="str">
        <f>IF(op!M532="","",op!M532)</f>
        <v/>
      </c>
      <c r="N644" s="899" t="str">
        <f t="shared" si="334"/>
        <v/>
      </c>
      <c r="O644" s="900" t="str">
        <f t="shared" si="335"/>
        <v/>
      </c>
      <c r="P644" s="901" t="str">
        <f t="shared" si="336"/>
        <v/>
      </c>
      <c r="Q644" s="568" t="str">
        <f t="shared" si="321"/>
        <v/>
      </c>
      <c r="R644" s="902" t="str">
        <f t="shared" si="337"/>
        <v/>
      </c>
      <c r="S644" s="903">
        <f t="shared" si="322"/>
        <v>0</v>
      </c>
      <c r="T644" s="334"/>
      <c r="X644" s="887" t="str">
        <f t="shared" si="323"/>
        <v/>
      </c>
      <c r="Y644" s="904">
        <f t="shared" si="324"/>
        <v>0.6</v>
      </c>
      <c r="Z644" s="905" t="e">
        <f t="shared" si="338"/>
        <v>#VALUE!</v>
      </c>
      <c r="AA644" s="905" t="e">
        <f t="shared" si="339"/>
        <v>#VALUE!</v>
      </c>
      <c r="AB644" s="905" t="e">
        <f t="shared" si="340"/>
        <v>#VALUE!</v>
      </c>
      <c r="AC644" s="906" t="e">
        <f t="shared" si="325"/>
        <v>#VALUE!</v>
      </c>
      <c r="AD644" s="907">
        <f t="shared" si="326"/>
        <v>0</v>
      </c>
      <c r="AE644" s="904">
        <f>IF(H644&gt;8,tab!C$194,tab!C$197)</f>
        <v>0.5</v>
      </c>
      <c r="AF644" s="907">
        <f t="shared" si="327"/>
        <v>0</v>
      </c>
      <c r="AG644" s="887">
        <f t="shared" si="328"/>
        <v>0</v>
      </c>
      <c r="AH644" s="908" t="e">
        <f t="shared" si="329"/>
        <v>#VALUE!</v>
      </c>
      <c r="AI644" s="815" t="e">
        <f t="shared" si="330"/>
        <v>#VALUE!</v>
      </c>
      <c r="AJ644" s="540">
        <f t="shared" si="331"/>
        <v>30</v>
      </c>
      <c r="AK644" s="540">
        <f t="shared" si="297"/>
        <v>30</v>
      </c>
      <c r="AL644" s="909">
        <f t="shared" si="332"/>
        <v>0</v>
      </c>
      <c r="AN644" s="539">
        <f t="shared" si="333"/>
        <v>0</v>
      </c>
      <c r="AT644" s="317"/>
      <c r="AU644" s="317"/>
    </row>
    <row r="645" spans="3:47" ht="13.15" customHeight="1" x14ac:dyDescent="0.2">
      <c r="C645" s="381"/>
      <c r="D645" s="895" t="str">
        <f>IF(op!D533=0,"",op!D533)</f>
        <v/>
      </c>
      <c r="E645" s="895" t="str">
        <f>IF(op!E533=0,"",op!E533)</f>
        <v/>
      </c>
      <c r="F645" s="390" t="str">
        <f>IF(op!F533="","",op!F533+1)</f>
        <v/>
      </c>
      <c r="G645" s="896" t="str">
        <f>IF(op!G533=0,"",op!G533)</f>
        <v/>
      </c>
      <c r="H645" s="390" t="str">
        <f>IF(op!H533="","",op!H533)</f>
        <v/>
      </c>
      <c r="I645" s="897" t="str">
        <f t="shared" si="320"/>
        <v/>
      </c>
      <c r="J645" s="898" t="str">
        <f>IF(op!J533="","",op!J533)</f>
        <v/>
      </c>
      <c r="K645" s="334"/>
      <c r="L645" s="1140" t="str">
        <f>IF(op!L533="","",op!L533)</f>
        <v/>
      </c>
      <c r="M645" s="1140" t="str">
        <f>IF(op!M533="","",op!M533)</f>
        <v/>
      </c>
      <c r="N645" s="899" t="str">
        <f t="shared" si="334"/>
        <v/>
      </c>
      <c r="O645" s="900" t="str">
        <f t="shared" si="335"/>
        <v/>
      </c>
      <c r="P645" s="901" t="str">
        <f t="shared" si="336"/>
        <v/>
      </c>
      <c r="Q645" s="568" t="str">
        <f t="shared" si="321"/>
        <v/>
      </c>
      <c r="R645" s="902" t="str">
        <f t="shared" si="337"/>
        <v/>
      </c>
      <c r="S645" s="903">
        <f t="shared" si="322"/>
        <v>0</v>
      </c>
      <c r="T645" s="334"/>
      <c r="X645" s="887" t="str">
        <f t="shared" si="323"/>
        <v/>
      </c>
      <c r="Y645" s="904">
        <f t="shared" si="324"/>
        <v>0.6</v>
      </c>
      <c r="Z645" s="905" t="e">
        <f t="shared" si="338"/>
        <v>#VALUE!</v>
      </c>
      <c r="AA645" s="905" t="e">
        <f t="shared" si="339"/>
        <v>#VALUE!</v>
      </c>
      <c r="AB645" s="905" t="e">
        <f t="shared" si="340"/>
        <v>#VALUE!</v>
      </c>
      <c r="AC645" s="906" t="e">
        <f t="shared" si="325"/>
        <v>#VALUE!</v>
      </c>
      <c r="AD645" s="907">
        <f t="shared" si="326"/>
        <v>0</v>
      </c>
      <c r="AE645" s="904">
        <f>IF(H645&gt;8,tab!C$194,tab!C$197)</f>
        <v>0.5</v>
      </c>
      <c r="AF645" s="907">
        <f t="shared" si="327"/>
        <v>0</v>
      </c>
      <c r="AG645" s="887">
        <f t="shared" si="328"/>
        <v>0</v>
      </c>
      <c r="AH645" s="908" t="e">
        <f t="shared" si="329"/>
        <v>#VALUE!</v>
      </c>
      <c r="AI645" s="815" t="e">
        <f t="shared" si="330"/>
        <v>#VALUE!</v>
      </c>
      <c r="AJ645" s="540">
        <f t="shared" si="331"/>
        <v>30</v>
      </c>
      <c r="AK645" s="540">
        <f t="shared" si="297"/>
        <v>30</v>
      </c>
      <c r="AL645" s="909">
        <f t="shared" si="332"/>
        <v>0</v>
      </c>
      <c r="AN645" s="539">
        <f t="shared" si="333"/>
        <v>0</v>
      </c>
      <c r="AT645" s="317"/>
      <c r="AU645" s="317"/>
    </row>
    <row r="646" spans="3:47" ht="13.15" customHeight="1" x14ac:dyDescent="0.2">
      <c r="C646" s="381"/>
      <c r="D646" s="895" t="str">
        <f>IF(op!D534=0,"",op!D534)</f>
        <v/>
      </c>
      <c r="E646" s="895" t="str">
        <f>IF(op!E534=0,"",op!E534)</f>
        <v/>
      </c>
      <c r="F646" s="390" t="str">
        <f>IF(op!F534="","",op!F534+1)</f>
        <v/>
      </c>
      <c r="G646" s="896" t="str">
        <f>IF(op!G534=0,"",op!G534)</f>
        <v/>
      </c>
      <c r="H646" s="390" t="str">
        <f>IF(op!H534="","",op!H534)</f>
        <v/>
      </c>
      <c r="I646" s="897" t="str">
        <f t="shared" si="320"/>
        <v/>
      </c>
      <c r="J646" s="898" t="str">
        <f>IF(op!J534="","",op!J534)</f>
        <v/>
      </c>
      <c r="K646" s="334"/>
      <c r="L646" s="1140" t="str">
        <f>IF(op!L534="","",op!L534)</f>
        <v/>
      </c>
      <c r="M646" s="1140" t="str">
        <f>IF(op!M534="","",op!M534)</f>
        <v/>
      </c>
      <c r="N646" s="899" t="str">
        <f t="shared" si="334"/>
        <v/>
      </c>
      <c r="O646" s="900" t="str">
        <f t="shared" si="335"/>
        <v/>
      </c>
      <c r="P646" s="901" t="str">
        <f t="shared" si="336"/>
        <v/>
      </c>
      <c r="Q646" s="568" t="str">
        <f t="shared" si="321"/>
        <v/>
      </c>
      <c r="R646" s="902" t="str">
        <f t="shared" si="337"/>
        <v/>
      </c>
      <c r="S646" s="903">
        <f t="shared" si="322"/>
        <v>0</v>
      </c>
      <c r="T646" s="334"/>
      <c r="X646" s="887" t="str">
        <f t="shared" si="323"/>
        <v/>
      </c>
      <c r="Y646" s="904">
        <f t="shared" si="324"/>
        <v>0.6</v>
      </c>
      <c r="Z646" s="905" t="e">
        <f t="shared" si="338"/>
        <v>#VALUE!</v>
      </c>
      <c r="AA646" s="905" t="e">
        <f t="shared" si="339"/>
        <v>#VALUE!</v>
      </c>
      <c r="AB646" s="905" t="e">
        <f t="shared" si="340"/>
        <v>#VALUE!</v>
      </c>
      <c r="AC646" s="906" t="e">
        <f t="shared" si="325"/>
        <v>#VALUE!</v>
      </c>
      <c r="AD646" s="907">
        <f t="shared" si="326"/>
        <v>0</v>
      </c>
      <c r="AE646" s="904">
        <f>IF(H646&gt;8,tab!C$194,tab!C$197)</f>
        <v>0.5</v>
      </c>
      <c r="AF646" s="907">
        <f t="shared" si="327"/>
        <v>0</v>
      </c>
      <c r="AG646" s="887">
        <f t="shared" si="328"/>
        <v>0</v>
      </c>
      <c r="AH646" s="908" t="e">
        <f t="shared" si="329"/>
        <v>#VALUE!</v>
      </c>
      <c r="AI646" s="815" t="e">
        <f t="shared" si="330"/>
        <v>#VALUE!</v>
      </c>
      <c r="AJ646" s="540">
        <f t="shared" si="331"/>
        <v>30</v>
      </c>
      <c r="AK646" s="540">
        <f t="shared" si="297"/>
        <v>30</v>
      </c>
      <c r="AL646" s="909">
        <f t="shared" si="332"/>
        <v>0</v>
      </c>
      <c r="AN646" s="539">
        <f t="shared" si="333"/>
        <v>0</v>
      </c>
      <c r="AT646" s="317"/>
      <c r="AU646" s="317"/>
    </row>
    <row r="647" spans="3:47" ht="13.15" customHeight="1" x14ac:dyDescent="0.2">
      <c r="C647" s="381"/>
      <c r="D647" s="895" t="str">
        <f>IF(op!D535=0,"",op!D535)</f>
        <v/>
      </c>
      <c r="E647" s="895" t="str">
        <f>IF(op!E535=0,"",op!E535)</f>
        <v/>
      </c>
      <c r="F647" s="390" t="str">
        <f>IF(op!F535="","",op!F535+1)</f>
        <v/>
      </c>
      <c r="G647" s="896" t="str">
        <f>IF(op!G535=0,"",op!G535)</f>
        <v/>
      </c>
      <c r="H647" s="390" t="str">
        <f>IF(op!H535="","",op!H535)</f>
        <v/>
      </c>
      <c r="I647" s="897" t="str">
        <f t="shared" si="320"/>
        <v/>
      </c>
      <c r="J647" s="898" t="str">
        <f>IF(op!J535="","",op!J535)</f>
        <v/>
      </c>
      <c r="K647" s="334"/>
      <c r="L647" s="1140" t="str">
        <f>IF(op!L535="","",op!L535)</f>
        <v/>
      </c>
      <c r="M647" s="1140" t="str">
        <f>IF(op!M535="","",op!M535)</f>
        <v/>
      </c>
      <c r="N647" s="899" t="str">
        <f t="shared" si="334"/>
        <v/>
      </c>
      <c r="O647" s="900" t="str">
        <f t="shared" si="335"/>
        <v/>
      </c>
      <c r="P647" s="901" t="str">
        <f t="shared" si="336"/>
        <v/>
      </c>
      <c r="Q647" s="568" t="str">
        <f t="shared" si="321"/>
        <v/>
      </c>
      <c r="R647" s="902" t="str">
        <f t="shared" si="337"/>
        <v/>
      </c>
      <c r="S647" s="903">
        <f t="shared" si="322"/>
        <v>0</v>
      </c>
      <c r="T647" s="334"/>
      <c r="X647" s="887" t="str">
        <f t="shared" si="323"/>
        <v/>
      </c>
      <c r="Y647" s="904">
        <f t="shared" si="324"/>
        <v>0.6</v>
      </c>
      <c r="Z647" s="905" t="e">
        <f t="shared" si="338"/>
        <v>#VALUE!</v>
      </c>
      <c r="AA647" s="905" t="e">
        <f t="shared" si="339"/>
        <v>#VALUE!</v>
      </c>
      <c r="AB647" s="905" t="e">
        <f t="shared" si="340"/>
        <v>#VALUE!</v>
      </c>
      <c r="AC647" s="906" t="e">
        <f t="shared" si="325"/>
        <v>#VALUE!</v>
      </c>
      <c r="AD647" s="907">
        <f t="shared" si="326"/>
        <v>0</v>
      </c>
      <c r="AE647" s="904">
        <f>IF(H647&gt;8,tab!C$194,tab!C$197)</f>
        <v>0.5</v>
      </c>
      <c r="AF647" s="907">
        <f t="shared" si="327"/>
        <v>0</v>
      </c>
      <c r="AG647" s="887">
        <f t="shared" si="328"/>
        <v>0</v>
      </c>
      <c r="AH647" s="908" t="e">
        <f t="shared" si="329"/>
        <v>#VALUE!</v>
      </c>
      <c r="AI647" s="815" t="e">
        <f t="shared" si="330"/>
        <v>#VALUE!</v>
      </c>
      <c r="AJ647" s="540">
        <f t="shared" si="331"/>
        <v>30</v>
      </c>
      <c r="AK647" s="540">
        <f t="shared" si="297"/>
        <v>30</v>
      </c>
      <c r="AL647" s="909">
        <f t="shared" si="332"/>
        <v>0</v>
      </c>
      <c r="AN647" s="539">
        <f t="shared" si="333"/>
        <v>0</v>
      </c>
      <c r="AT647" s="317"/>
      <c r="AU647" s="317"/>
    </row>
    <row r="648" spans="3:47" ht="13.15" customHeight="1" x14ac:dyDescent="0.2">
      <c r="C648" s="381"/>
      <c r="D648" s="895" t="str">
        <f>IF(op!D536=0,"",op!D536)</f>
        <v/>
      </c>
      <c r="E648" s="895" t="str">
        <f>IF(op!E536=0,"",op!E536)</f>
        <v/>
      </c>
      <c r="F648" s="390" t="str">
        <f>IF(op!F536="","",op!F536+1)</f>
        <v/>
      </c>
      <c r="G648" s="896" t="str">
        <f>IF(op!G536=0,"",op!G536)</f>
        <v/>
      </c>
      <c r="H648" s="390" t="str">
        <f>IF(op!H536="","",op!H536)</f>
        <v/>
      </c>
      <c r="I648" s="897" t="str">
        <f t="shared" si="320"/>
        <v/>
      </c>
      <c r="J648" s="898" t="str">
        <f>IF(op!J536="","",op!J536)</f>
        <v/>
      </c>
      <c r="K648" s="334"/>
      <c r="L648" s="1140" t="str">
        <f>IF(op!L536="","",op!L536)</f>
        <v/>
      </c>
      <c r="M648" s="1140" t="str">
        <f>IF(op!M536="","",op!M536)</f>
        <v/>
      </c>
      <c r="N648" s="899" t="str">
        <f t="shared" si="334"/>
        <v/>
      </c>
      <c r="O648" s="900" t="str">
        <f t="shared" si="335"/>
        <v/>
      </c>
      <c r="P648" s="901" t="str">
        <f t="shared" si="336"/>
        <v/>
      </c>
      <c r="Q648" s="568" t="str">
        <f t="shared" si="321"/>
        <v/>
      </c>
      <c r="R648" s="902" t="str">
        <f t="shared" si="337"/>
        <v/>
      </c>
      <c r="S648" s="903">
        <f t="shared" si="322"/>
        <v>0</v>
      </c>
      <c r="T648" s="334"/>
      <c r="X648" s="887" t="str">
        <f t="shared" si="323"/>
        <v/>
      </c>
      <c r="Y648" s="904">
        <f t="shared" si="324"/>
        <v>0.6</v>
      </c>
      <c r="Z648" s="905" t="e">
        <f t="shared" si="338"/>
        <v>#VALUE!</v>
      </c>
      <c r="AA648" s="905" t="e">
        <f t="shared" si="339"/>
        <v>#VALUE!</v>
      </c>
      <c r="AB648" s="905" t="e">
        <f t="shared" si="340"/>
        <v>#VALUE!</v>
      </c>
      <c r="AC648" s="906" t="e">
        <f t="shared" si="325"/>
        <v>#VALUE!</v>
      </c>
      <c r="AD648" s="907">
        <f t="shared" si="326"/>
        <v>0</v>
      </c>
      <c r="AE648" s="904">
        <f>IF(H648&gt;8,tab!C$194,tab!C$197)</f>
        <v>0.5</v>
      </c>
      <c r="AF648" s="907">
        <f t="shared" si="327"/>
        <v>0</v>
      </c>
      <c r="AG648" s="887">
        <f t="shared" si="328"/>
        <v>0</v>
      </c>
      <c r="AH648" s="908" t="e">
        <f t="shared" si="329"/>
        <v>#VALUE!</v>
      </c>
      <c r="AI648" s="815" t="e">
        <f t="shared" si="330"/>
        <v>#VALUE!</v>
      </c>
      <c r="AJ648" s="540">
        <f t="shared" si="331"/>
        <v>30</v>
      </c>
      <c r="AK648" s="540">
        <f t="shared" si="297"/>
        <v>30</v>
      </c>
      <c r="AL648" s="909">
        <f t="shared" si="332"/>
        <v>0</v>
      </c>
      <c r="AN648" s="539">
        <f t="shared" si="333"/>
        <v>0</v>
      </c>
      <c r="AT648" s="317"/>
      <c r="AU648" s="317"/>
    </row>
    <row r="649" spans="3:47" ht="13.15" customHeight="1" x14ac:dyDescent="0.2">
      <c r="C649" s="381"/>
      <c r="D649" s="895" t="str">
        <f>IF(op!D537=0,"",op!D537)</f>
        <v/>
      </c>
      <c r="E649" s="895" t="str">
        <f>IF(op!E537=0,"",op!E537)</f>
        <v/>
      </c>
      <c r="F649" s="390" t="str">
        <f>IF(op!F537="","",op!F537+1)</f>
        <v/>
      </c>
      <c r="G649" s="896" t="str">
        <f>IF(op!G537=0,"",op!G537)</f>
        <v/>
      </c>
      <c r="H649" s="390" t="str">
        <f>IF(op!H537="","",op!H537)</f>
        <v/>
      </c>
      <c r="I649" s="897" t="str">
        <f t="shared" si="320"/>
        <v/>
      </c>
      <c r="J649" s="898" t="str">
        <f>IF(op!J537="","",op!J537)</f>
        <v/>
      </c>
      <c r="K649" s="334"/>
      <c r="L649" s="1140" t="str">
        <f>IF(op!L537="","",op!L537)</f>
        <v/>
      </c>
      <c r="M649" s="1140" t="str">
        <f>IF(op!M537="","",op!M537)</f>
        <v/>
      </c>
      <c r="N649" s="899" t="str">
        <f t="shared" si="334"/>
        <v/>
      </c>
      <c r="O649" s="900" t="str">
        <f t="shared" si="335"/>
        <v/>
      </c>
      <c r="P649" s="901" t="str">
        <f t="shared" si="336"/>
        <v/>
      </c>
      <c r="Q649" s="568" t="str">
        <f t="shared" si="321"/>
        <v/>
      </c>
      <c r="R649" s="902" t="str">
        <f t="shared" si="337"/>
        <v/>
      </c>
      <c r="S649" s="903">
        <f t="shared" si="322"/>
        <v>0</v>
      </c>
      <c r="T649" s="334"/>
      <c r="X649" s="887" t="str">
        <f t="shared" si="323"/>
        <v/>
      </c>
      <c r="Y649" s="904">
        <f t="shared" si="324"/>
        <v>0.6</v>
      </c>
      <c r="Z649" s="905" t="e">
        <f t="shared" si="338"/>
        <v>#VALUE!</v>
      </c>
      <c r="AA649" s="905" t="e">
        <f t="shared" si="339"/>
        <v>#VALUE!</v>
      </c>
      <c r="AB649" s="905" t="e">
        <f t="shared" si="340"/>
        <v>#VALUE!</v>
      </c>
      <c r="AC649" s="906" t="e">
        <f t="shared" si="325"/>
        <v>#VALUE!</v>
      </c>
      <c r="AD649" s="907">
        <f t="shared" si="326"/>
        <v>0</v>
      </c>
      <c r="AE649" s="904">
        <f>IF(H649&gt;8,tab!C$194,tab!C$197)</f>
        <v>0.5</v>
      </c>
      <c r="AF649" s="907">
        <f t="shared" si="327"/>
        <v>0</v>
      </c>
      <c r="AG649" s="887">
        <f t="shared" si="328"/>
        <v>0</v>
      </c>
      <c r="AH649" s="908" t="e">
        <f t="shared" si="329"/>
        <v>#VALUE!</v>
      </c>
      <c r="AI649" s="815" t="e">
        <f t="shared" si="330"/>
        <v>#VALUE!</v>
      </c>
      <c r="AJ649" s="540">
        <f t="shared" si="331"/>
        <v>30</v>
      </c>
      <c r="AK649" s="540">
        <f t="shared" si="297"/>
        <v>30</v>
      </c>
      <c r="AL649" s="909">
        <f t="shared" si="332"/>
        <v>0</v>
      </c>
      <c r="AN649" s="539">
        <f t="shared" si="333"/>
        <v>0</v>
      </c>
      <c r="AT649" s="317"/>
      <c r="AU649" s="317"/>
    </row>
    <row r="650" spans="3:47" ht="13.15" customHeight="1" x14ac:dyDescent="0.2">
      <c r="C650" s="381"/>
      <c r="D650" s="895" t="str">
        <f>IF(op!D538=0,"",op!D538)</f>
        <v/>
      </c>
      <c r="E650" s="895" t="str">
        <f>IF(op!E538=0,"",op!E538)</f>
        <v/>
      </c>
      <c r="F650" s="390" t="str">
        <f>IF(op!F538="","",op!F538+1)</f>
        <v/>
      </c>
      <c r="G650" s="896" t="str">
        <f>IF(op!G538=0,"",op!G538)</f>
        <v/>
      </c>
      <c r="H650" s="390" t="str">
        <f>IF(op!H538="","",op!H538)</f>
        <v/>
      </c>
      <c r="I650" s="897" t="str">
        <f t="shared" si="320"/>
        <v/>
      </c>
      <c r="J650" s="898" t="str">
        <f>IF(op!J538="","",op!J538)</f>
        <v/>
      </c>
      <c r="K650" s="334"/>
      <c r="L650" s="1140" t="str">
        <f>IF(op!L538="","",op!L538)</f>
        <v/>
      </c>
      <c r="M650" s="1140" t="str">
        <f>IF(op!M538="","",op!M538)</f>
        <v/>
      </c>
      <c r="N650" s="899" t="str">
        <f t="shared" si="334"/>
        <v/>
      </c>
      <c r="O650" s="900" t="str">
        <f t="shared" si="335"/>
        <v/>
      </c>
      <c r="P650" s="901" t="str">
        <f t="shared" si="336"/>
        <v/>
      </c>
      <c r="Q650" s="568" t="str">
        <f t="shared" si="321"/>
        <v/>
      </c>
      <c r="R650" s="902" t="str">
        <f t="shared" si="337"/>
        <v/>
      </c>
      <c r="S650" s="903">
        <f t="shared" si="322"/>
        <v>0</v>
      </c>
      <c r="T650" s="334"/>
      <c r="X650" s="887" t="str">
        <f t="shared" si="323"/>
        <v/>
      </c>
      <c r="Y650" s="904">
        <f t="shared" si="324"/>
        <v>0.6</v>
      </c>
      <c r="Z650" s="905" t="e">
        <f t="shared" si="338"/>
        <v>#VALUE!</v>
      </c>
      <c r="AA650" s="905" t="e">
        <f t="shared" si="339"/>
        <v>#VALUE!</v>
      </c>
      <c r="AB650" s="905" t="e">
        <f t="shared" si="340"/>
        <v>#VALUE!</v>
      </c>
      <c r="AC650" s="906" t="e">
        <f t="shared" si="325"/>
        <v>#VALUE!</v>
      </c>
      <c r="AD650" s="907">
        <f t="shared" si="326"/>
        <v>0</v>
      </c>
      <c r="AE650" s="904">
        <f>IF(H650&gt;8,tab!C$194,tab!C$197)</f>
        <v>0.5</v>
      </c>
      <c r="AF650" s="907">
        <f t="shared" si="327"/>
        <v>0</v>
      </c>
      <c r="AG650" s="887">
        <f t="shared" si="328"/>
        <v>0</v>
      </c>
      <c r="AH650" s="908" t="e">
        <f t="shared" si="329"/>
        <v>#VALUE!</v>
      </c>
      <c r="AI650" s="815" t="e">
        <f t="shared" si="330"/>
        <v>#VALUE!</v>
      </c>
      <c r="AJ650" s="540">
        <f t="shared" si="331"/>
        <v>30</v>
      </c>
      <c r="AK650" s="540">
        <f t="shared" si="297"/>
        <v>30</v>
      </c>
      <c r="AL650" s="909">
        <f t="shared" si="332"/>
        <v>0</v>
      </c>
      <c r="AN650" s="539">
        <f t="shared" si="333"/>
        <v>0</v>
      </c>
      <c r="AT650" s="317"/>
      <c r="AU650" s="317"/>
    </row>
    <row r="651" spans="3:47" ht="13.15" customHeight="1" x14ac:dyDescent="0.2">
      <c r="C651" s="381"/>
      <c r="D651" s="895" t="str">
        <f>IF(op!D539=0,"",op!D539)</f>
        <v/>
      </c>
      <c r="E651" s="895" t="str">
        <f>IF(op!E539=0,"",op!E539)</f>
        <v/>
      </c>
      <c r="F651" s="390" t="str">
        <f>IF(op!F539="","",op!F539+1)</f>
        <v/>
      </c>
      <c r="G651" s="896" t="str">
        <f>IF(op!G539=0,"",op!G539)</f>
        <v/>
      </c>
      <c r="H651" s="390" t="str">
        <f>IF(op!H539="","",op!H539)</f>
        <v/>
      </c>
      <c r="I651" s="897" t="str">
        <f t="shared" si="320"/>
        <v/>
      </c>
      <c r="J651" s="898" t="str">
        <f>IF(op!J539="","",op!J539)</f>
        <v/>
      </c>
      <c r="K651" s="334"/>
      <c r="L651" s="1140" t="str">
        <f>IF(op!L539="","",op!L539)</f>
        <v/>
      </c>
      <c r="M651" s="1140" t="str">
        <f>IF(op!M539="","",op!M539)</f>
        <v/>
      </c>
      <c r="N651" s="899" t="str">
        <f t="shared" si="334"/>
        <v/>
      </c>
      <c r="O651" s="900" t="str">
        <f t="shared" si="335"/>
        <v/>
      </c>
      <c r="P651" s="901" t="str">
        <f t="shared" si="336"/>
        <v/>
      </c>
      <c r="Q651" s="568" t="str">
        <f t="shared" si="321"/>
        <v/>
      </c>
      <c r="R651" s="902" t="str">
        <f t="shared" si="337"/>
        <v/>
      </c>
      <c r="S651" s="903">
        <f t="shared" si="322"/>
        <v>0</v>
      </c>
      <c r="T651" s="334"/>
      <c r="X651" s="887" t="str">
        <f t="shared" si="323"/>
        <v/>
      </c>
      <c r="Y651" s="904">
        <f t="shared" si="324"/>
        <v>0.6</v>
      </c>
      <c r="Z651" s="905" t="e">
        <f t="shared" si="338"/>
        <v>#VALUE!</v>
      </c>
      <c r="AA651" s="905" t="e">
        <f t="shared" si="339"/>
        <v>#VALUE!</v>
      </c>
      <c r="AB651" s="905" t="e">
        <f t="shared" si="340"/>
        <v>#VALUE!</v>
      </c>
      <c r="AC651" s="906" t="e">
        <f t="shared" si="325"/>
        <v>#VALUE!</v>
      </c>
      <c r="AD651" s="907">
        <f t="shared" si="326"/>
        <v>0</v>
      </c>
      <c r="AE651" s="904">
        <f>IF(H651&gt;8,tab!C$194,tab!C$197)</f>
        <v>0.5</v>
      </c>
      <c r="AF651" s="907">
        <f t="shared" si="327"/>
        <v>0</v>
      </c>
      <c r="AG651" s="887">
        <f t="shared" si="328"/>
        <v>0</v>
      </c>
      <c r="AH651" s="908" t="e">
        <f t="shared" si="329"/>
        <v>#VALUE!</v>
      </c>
      <c r="AI651" s="815" t="e">
        <f t="shared" si="330"/>
        <v>#VALUE!</v>
      </c>
      <c r="AJ651" s="540">
        <f t="shared" si="331"/>
        <v>30</v>
      </c>
      <c r="AK651" s="540">
        <f t="shared" si="297"/>
        <v>30</v>
      </c>
      <c r="AL651" s="909">
        <f t="shared" si="332"/>
        <v>0</v>
      </c>
      <c r="AN651" s="539">
        <f t="shared" si="333"/>
        <v>0</v>
      </c>
      <c r="AT651" s="317"/>
      <c r="AU651" s="317"/>
    </row>
    <row r="652" spans="3:47" ht="13.15" customHeight="1" x14ac:dyDescent="0.2">
      <c r="C652" s="381"/>
      <c r="D652" s="895" t="str">
        <f>IF(op!D540=0,"",op!D540)</f>
        <v/>
      </c>
      <c r="E652" s="895" t="str">
        <f>IF(op!E540=0,"",op!E540)</f>
        <v/>
      </c>
      <c r="F652" s="390" t="str">
        <f>IF(op!F540="","",op!F540+1)</f>
        <v/>
      </c>
      <c r="G652" s="896" t="str">
        <f>IF(op!G540=0,"",op!G540)</f>
        <v/>
      </c>
      <c r="H652" s="390" t="str">
        <f>IF(op!H540="","",op!H540)</f>
        <v/>
      </c>
      <c r="I652" s="897" t="str">
        <f t="shared" si="320"/>
        <v/>
      </c>
      <c r="J652" s="898" t="str">
        <f>IF(op!J540="","",op!J540)</f>
        <v/>
      </c>
      <c r="K652" s="334"/>
      <c r="L652" s="1140" t="str">
        <f>IF(op!L540="","",op!L540)</f>
        <v/>
      </c>
      <c r="M652" s="1140" t="str">
        <f>IF(op!M540="","",op!M540)</f>
        <v/>
      </c>
      <c r="N652" s="899" t="str">
        <f t="shared" si="334"/>
        <v/>
      </c>
      <c r="O652" s="900" t="str">
        <f t="shared" si="335"/>
        <v/>
      </c>
      <c r="P652" s="901" t="str">
        <f t="shared" si="336"/>
        <v/>
      </c>
      <c r="Q652" s="568" t="str">
        <f t="shared" si="321"/>
        <v/>
      </c>
      <c r="R652" s="902" t="str">
        <f t="shared" si="337"/>
        <v/>
      </c>
      <c r="S652" s="903">
        <f t="shared" si="322"/>
        <v>0</v>
      </c>
      <c r="T652" s="334"/>
      <c r="X652" s="887" t="str">
        <f t="shared" si="323"/>
        <v/>
      </c>
      <c r="Y652" s="904">
        <f t="shared" si="324"/>
        <v>0.6</v>
      </c>
      <c r="Z652" s="905" t="e">
        <f t="shared" si="338"/>
        <v>#VALUE!</v>
      </c>
      <c r="AA652" s="905" t="e">
        <f t="shared" si="339"/>
        <v>#VALUE!</v>
      </c>
      <c r="AB652" s="905" t="e">
        <f t="shared" si="340"/>
        <v>#VALUE!</v>
      </c>
      <c r="AC652" s="906" t="e">
        <f t="shared" si="325"/>
        <v>#VALUE!</v>
      </c>
      <c r="AD652" s="907">
        <f t="shared" si="326"/>
        <v>0</v>
      </c>
      <c r="AE652" s="904">
        <f>IF(H652&gt;8,tab!C$194,tab!C$197)</f>
        <v>0.5</v>
      </c>
      <c r="AF652" s="907">
        <f t="shared" si="327"/>
        <v>0</v>
      </c>
      <c r="AG652" s="887">
        <f t="shared" si="328"/>
        <v>0</v>
      </c>
      <c r="AH652" s="908" t="e">
        <f t="shared" si="329"/>
        <v>#VALUE!</v>
      </c>
      <c r="AI652" s="815" t="e">
        <f t="shared" si="330"/>
        <v>#VALUE!</v>
      </c>
      <c r="AJ652" s="540">
        <f t="shared" si="331"/>
        <v>30</v>
      </c>
      <c r="AK652" s="540">
        <f t="shared" si="297"/>
        <v>30</v>
      </c>
      <c r="AL652" s="909">
        <f t="shared" si="332"/>
        <v>0</v>
      </c>
      <c r="AN652" s="539">
        <f t="shared" si="333"/>
        <v>0</v>
      </c>
      <c r="AT652" s="317"/>
      <c r="AU652" s="317"/>
    </row>
    <row r="653" spans="3:47" ht="13.15" customHeight="1" x14ac:dyDescent="0.2">
      <c r="C653" s="381"/>
      <c r="D653" s="895" t="str">
        <f>IF(op!D541=0,"",op!D541)</f>
        <v/>
      </c>
      <c r="E653" s="895" t="str">
        <f>IF(op!E541=0,"",op!E541)</f>
        <v/>
      </c>
      <c r="F653" s="390" t="str">
        <f>IF(op!F541="","",op!F541+1)</f>
        <v/>
      </c>
      <c r="G653" s="896" t="str">
        <f>IF(op!G541=0,"",op!G541)</f>
        <v/>
      </c>
      <c r="H653" s="390" t="str">
        <f>IF(op!H541="","",op!H541)</f>
        <v/>
      </c>
      <c r="I653" s="897" t="str">
        <f t="shared" si="320"/>
        <v/>
      </c>
      <c r="J653" s="898" t="str">
        <f>IF(op!J541="","",op!J541)</f>
        <v/>
      </c>
      <c r="K653" s="334"/>
      <c r="L653" s="1140" t="str">
        <f>IF(op!L541="","",op!L541)</f>
        <v/>
      </c>
      <c r="M653" s="1140" t="str">
        <f>IF(op!M541="","",op!M541)</f>
        <v/>
      </c>
      <c r="N653" s="899" t="str">
        <f t="shared" si="334"/>
        <v/>
      </c>
      <c r="O653" s="900" t="str">
        <f t="shared" si="335"/>
        <v/>
      </c>
      <c r="P653" s="901" t="str">
        <f t="shared" si="336"/>
        <v/>
      </c>
      <c r="Q653" s="568" t="str">
        <f t="shared" si="321"/>
        <v/>
      </c>
      <c r="R653" s="902" t="str">
        <f t="shared" si="337"/>
        <v/>
      </c>
      <c r="S653" s="903">
        <f t="shared" si="322"/>
        <v>0</v>
      </c>
      <c r="T653" s="334"/>
      <c r="X653" s="887" t="str">
        <f t="shared" si="323"/>
        <v/>
      </c>
      <c r="Y653" s="904">
        <f t="shared" si="324"/>
        <v>0.6</v>
      </c>
      <c r="Z653" s="905" t="e">
        <f t="shared" si="338"/>
        <v>#VALUE!</v>
      </c>
      <c r="AA653" s="905" t="e">
        <f t="shared" si="339"/>
        <v>#VALUE!</v>
      </c>
      <c r="AB653" s="905" t="e">
        <f t="shared" si="340"/>
        <v>#VALUE!</v>
      </c>
      <c r="AC653" s="906" t="e">
        <f t="shared" si="325"/>
        <v>#VALUE!</v>
      </c>
      <c r="AD653" s="907">
        <f t="shared" si="326"/>
        <v>0</v>
      </c>
      <c r="AE653" s="904">
        <f>IF(H653&gt;8,tab!C$194,tab!C$197)</f>
        <v>0.5</v>
      </c>
      <c r="AF653" s="907">
        <f t="shared" si="327"/>
        <v>0</v>
      </c>
      <c r="AG653" s="887">
        <f t="shared" si="328"/>
        <v>0</v>
      </c>
      <c r="AH653" s="908" t="e">
        <f t="shared" si="329"/>
        <v>#VALUE!</v>
      </c>
      <c r="AI653" s="815" t="e">
        <f t="shared" si="330"/>
        <v>#VALUE!</v>
      </c>
      <c r="AJ653" s="540">
        <f t="shared" si="331"/>
        <v>30</v>
      </c>
      <c r="AK653" s="540">
        <f t="shared" si="297"/>
        <v>30</v>
      </c>
      <c r="AL653" s="909">
        <f t="shared" si="332"/>
        <v>0</v>
      </c>
      <c r="AN653" s="539">
        <f t="shared" si="333"/>
        <v>0</v>
      </c>
      <c r="AT653" s="317"/>
      <c r="AU653" s="317"/>
    </row>
    <row r="654" spans="3:47" ht="13.15" customHeight="1" x14ac:dyDescent="0.2">
      <c r="C654" s="381"/>
      <c r="D654" s="895" t="str">
        <f>IF(op!D542=0,"",op!D542)</f>
        <v/>
      </c>
      <c r="E654" s="895" t="str">
        <f>IF(op!E542=0,"",op!E542)</f>
        <v/>
      </c>
      <c r="F654" s="390" t="str">
        <f>IF(op!F542="","",op!F542+1)</f>
        <v/>
      </c>
      <c r="G654" s="896" t="str">
        <f>IF(op!G542=0,"",op!G542)</f>
        <v/>
      </c>
      <c r="H654" s="390" t="str">
        <f>IF(op!H542="","",op!H542)</f>
        <v/>
      </c>
      <c r="I654" s="897" t="str">
        <f t="shared" si="320"/>
        <v/>
      </c>
      <c r="J654" s="898" t="str">
        <f>IF(op!J542="","",op!J542)</f>
        <v/>
      </c>
      <c r="K654" s="334"/>
      <c r="L654" s="1140" t="str">
        <f>IF(op!L542="","",op!L542)</f>
        <v/>
      </c>
      <c r="M654" s="1140" t="str">
        <f>IF(op!M542="","",op!M542)</f>
        <v/>
      </c>
      <c r="N654" s="899" t="str">
        <f t="shared" si="334"/>
        <v/>
      </c>
      <c r="O654" s="900" t="str">
        <f t="shared" si="335"/>
        <v/>
      </c>
      <c r="P654" s="901" t="str">
        <f t="shared" si="336"/>
        <v/>
      </c>
      <c r="Q654" s="568" t="str">
        <f t="shared" si="321"/>
        <v/>
      </c>
      <c r="R654" s="902" t="str">
        <f t="shared" si="337"/>
        <v/>
      </c>
      <c r="S654" s="903">
        <f t="shared" si="322"/>
        <v>0</v>
      </c>
      <c r="T654" s="334"/>
      <c r="X654" s="887" t="str">
        <f t="shared" si="323"/>
        <v/>
      </c>
      <c r="Y654" s="904">
        <f t="shared" si="324"/>
        <v>0.6</v>
      </c>
      <c r="Z654" s="905" t="e">
        <f t="shared" si="338"/>
        <v>#VALUE!</v>
      </c>
      <c r="AA654" s="905" t="e">
        <f t="shared" si="339"/>
        <v>#VALUE!</v>
      </c>
      <c r="AB654" s="905" t="e">
        <f t="shared" si="340"/>
        <v>#VALUE!</v>
      </c>
      <c r="AC654" s="906" t="e">
        <f t="shared" si="325"/>
        <v>#VALUE!</v>
      </c>
      <c r="AD654" s="907">
        <f t="shared" si="326"/>
        <v>0</v>
      </c>
      <c r="AE654" s="904">
        <f>IF(H654&gt;8,tab!C$194,tab!C$197)</f>
        <v>0.5</v>
      </c>
      <c r="AF654" s="907">
        <f t="shared" si="327"/>
        <v>0</v>
      </c>
      <c r="AG654" s="887">
        <f t="shared" si="328"/>
        <v>0</v>
      </c>
      <c r="AH654" s="908" t="e">
        <f t="shared" si="329"/>
        <v>#VALUE!</v>
      </c>
      <c r="AI654" s="815" t="e">
        <f t="shared" si="330"/>
        <v>#VALUE!</v>
      </c>
      <c r="AJ654" s="540">
        <f t="shared" si="331"/>
        <v>30</v>
      </c>
      <c r="AK654" s="540">
        <f t="shared" si="297"/>
        <v>30</v>
      </c>
      <c r="AL654" s="909">
        <f t="shared" si="332"/>
        <v>0</v>
      </c>
      <c r="AN654" s="539">
        <f t="shared" si="333"/>
        <v>0</v>
      </c>
      <c r="AT654" s="317"/>
      <c r="AU654" s="317"/>
    </row>
    <row r="655" spans="3:47" ht="13.15" customHeight="1" x14ac:dyDescent="0.2">
      <c r="C655" s="381"/>
      <c r="D655" s="895" t="str">
        <f>IF(op!D543=0,"",op!D543)</f>
        <v/>
      </c>
      <c r="E655" s="895" t="str">
        <f>IF(op!E543=0,"",op!E543)</f>
        <v/>
      </c>
      <c r="F655" s="390" t="str">
        <f>IF(op!F543="","",op!F543+1)</f>
        <v/>
      </c>
      <c r="G655" s="896" t="str">
        <f>IF(op!G543=0,"",op!G543)</f>
        <v/>
      </c>
      <c r="H655" s="390" t="str">
        <f>IF(op!H543="","",op!H543)</f>
        <v/>
      </c>
      <c r="I655" s="897" t="str">
        <f t="shared" si="320"/>
        <v/>
      </c>
      <c r="J655" s="898" t="str">
        <f>IF(op!J543="","",op!J543)</f>
        <v/>
      </c>
      <c r="K655" s="334"/>
      <c r="L655" s="1140" t="str">
        <f>IF(op!L543="","",op!L543)</f>
        <v/>
      </c>
      <c r="M655" s="1140" t="str">
        <f>IF(op!M543="","",op!M543)</f>
        <v/>
      </c>
      <c r="N655" s="899" t="str">
        <f t="shared" si="334"/>
        <v/>
      </c>
      <c r="O655" s="900" t="str">
        <f t="shared" si="335"/>
        <v/>
      </c>
      <c r="P655" s="901" t="str">
        <f t="shared" si="336"/>
        <v/>
      </c>
      <c r="Q655" s="568" t="str">
        <f t="shared" si="321"/>
        <v/>
      </c>
      <c r="R655" s="902" t="str">
        <f t="shared" si="337"/>
        <v/>
      </c>
      <c r="S655" s="903">
        <f t="shared" si="322"/>
        <v>0</v>
      </c>
      <c r="T655" s="334"/>
      <c r="X655" s="887" t="str">
        <f t="shared" si="323"/>
        <v/>
      </c>
      <c r="Y655" s="904">
        <f t="shared" si="324"/>
        <v>0.6</v>
      </c>
      <c r="Z655" s="905" t="e">
        <f t="shared" si="338"/>
        <v>#VALUE!</v>
      </c>
      <c r="AA655" s="905" t="e">
        <f t="shared" si="339"/>
        <v>#VALUE!</v>
      </c>
      <c r="AB655" s="905" t="e">
        <f t="shared" si="340"/>
        <v>#VALUE!</v>
      </c>
      <c r="AC655" s="906" t="e">
        <f t="shared" si="325"/>
        <v>#VALUE!</v>
      </c>
      <c r="AD655" s="907">
        <f t="shared" si="326"/>
        <v>0</v>
      </c>
      <c r="AE655" s="904">
        <f>IF(H655&gt;8,tab!C$194,tab!C$197)</f>
        <v>0.5</v>
      </c>
      <c r="AF655" s="907">
        <f t="shared" si="327"/>
        <v>0</v>
      </c>
      <c r="AG655" s="887">
        <f t="shared" si="328"/>
        <v>0</v>
      </c>
      <c r="AH655" s="908" t="e">
        <f t="shared" si="329"/>
        <v>#VALUE!</v>
      </c>
      <c r="AI655" s="815" t="e">
        <f t="shared" si="330"/>
        <v>#VALUE!</v>
      </c>
      <c r="AJ655" s="540">
        <f t="shared" si="331"/>
        <v>30</v>
      </c>
      <c r="AK655" s="540">
        <f t="shared" si="297"/>
        <v>30</v>
      </c>
      <c r="AL655" s="909">
        <f t="shared" si="332"/>
        <v>0</v>
      </c>
      <c r="AN655" s="539">
        <f t="shared" si="333"/>
        <v>0</v>
      </c>
      <c r="AT655" s="317"/>
      <c r="AU655" s="317"/>
    </row>
    <row r="656" spans="3:47" ht="13.15" customHeight="1" x14ac:dyDescent="0.2">
      <c r="C656" s="381"/>
      <c r="D656" s="895" t="str">
        <f>IF(op!D544=0,"",op!D544)</f>
        <v/>
      </c>
      <c r="E656" s="895" t="str">
        <f>IF(op!E544=0,"",op!E544)</f>
        <v/>
      </c>
      <c r="F656" s="390" t="str">
        <f>IF(op!F544="","",op!F544+1)</f>
        <v/>
      </c>
      <c r="G656" s="896" t="str">
        <f>IF(op!G544=0,"",op!G544)</f>
        <v/>
      </c>
      <c r="H656" s="390" t="str">
        <f>IF(op!H544="","",op!H544)</f>
        <v/>
      </c>
      <c r="I656" s="897" t="str">
        <f t="shared" si="320"/>
        <v/>
      </c>
      <c r="J656" s="898" t="str">
        <f>IF(op!J544="","",op!J544)</f>
        <v/>
      </c>
      <c r="K656" s="334"/>
      <c r="L656" s="1140" t="str">
        <f>IF(op!L544="","",op!L544)</f>
        <v/>
      </c>
      <c r="M656" s="1140" t="str">
        <f>IF(op!M544="","",op!M544)</f>
        <v/>
      </c>
      <c r="N656" s="899" t="str">
        <f t="shared" si="334"/>
        <v/>
      </c>
      <c r="O656" s="900" t="str">
        <f t="shared" si="335"/>
        <v/>
      </c>
      <c r="P656" s="901" t="str">
        <f t="shared" si="336"/>
        <v/>
      </c>
      <c r="Q656" s="568" t="str">
        <f t="shared" si="321"/>
        <v/>
      </c>
      <c r="R656" s="902" t="str">
        <f t="shared" si="337"/>
        <v/>
      </c>
      <c r="S656" s="903">
        <f t="shared" si="322"/>
        <v>0</v>
      </c>
      <c r="T656" s="334"/>
      <c r="X656" s="887" t="str">
        <f t="shared" si="323"/>
        <v/>
      </c>
      <c r="Y656" s="904">
        <f t="shared" si="324"/>
        <v>0.6</v>
      </c>
      <c r="Z656" s="905" t="e">
        <f t="shared" si="338"/>
        <v>#VALUE!</v>
      </c>
      <c r="AA656" s="905" t="e">
        <f t="shared" si="339"/>
        <v>#VALUE!</v>
      </c>
      <c r="AB656" s="905" t="e">
        <f t="shared" si="340"/>
        <v>#VALUE!</v>
      </c>
      <c r="AC656" s="906" t="e">
        <f t="shared" si="325"/>
        <v>#VALUE!</v>
      </c>
      <c r="AD656" s="907">
        <f t="shared" si="326"/>
        <v>0</v>
      </c>
      <c r="AE656" s="904">
        <f>IF(H656&gt;8,tab!C$194,tab!C$197)</f>
        <v>0.5</v>
      </c>
      <c r="AF656" s="907">
        <f t="shared" si="327"/>
        <v>0</v>
      </c>
      <c r="AG656" s="887">
        <f t="shared" si="328"/>
        <v>0</v>
      </c>
      <c r="AH656" s="908" t="e">
        <f t="shared" si="329"/>
        <v>#VALUE!</v>
      </c>
      <c r="AI656" s="815" t="e">
        <f t="shared" si="330"/>
        <v>#VALUE!</v>
      </c>
      <c r="AJ656" s="540">
        <f t="shared" si="331"/>
        <v>30</v>
      </c>
      <c r="AK656" s="540">
        <f t="shared" si="297"/>
        <v>30</v>
      </c>
      <c r="AL656" s="909">
        <f t="shared" si="332"/>
        <v>0</v>
      </c>
      <c r="AN656" s="539">
        <f t="shared" si="333"/>
        <v>0</v>
      </c>
      <c r="AT656" s="317"/>
      <c r="AU656" s="317"/>
    </row>
    <row r="657" spans="3:47" ht="13.15" customHeight="1" x14ac:dyDescent="0.2">
      <c r="C657" s="381"/>
      <c r="D657" s="895" t="str">
        <f>IF(op!D545=0,"",op!D545)</f>
        <v/>
      </c>
      <c r="E657" s="895" t="str">
        <f>IF(op!E545=0,"",op!E545)</f>
        <v/>
      </c>
      <c r="F657" s="390" t="str">
        <f>IF(op!F545="","",op!F545+1)</f>
        <v/>
      </c>
      <c r="G657" s="896" t="str">
        <f>IF(op!G545=0,"",op!G545)</f>
        <v/>
      </c>
      <c r="H657" s="390" t="str">
        <f>IF(op!H545="","",op!H545)</f>
        <v/>
      </c>
      <c r="I657" s="897" t="str">
        <f t="shared" si="320"/>
        <v/>
      </c>
      <c r="J657" s="898" t="str">
        <f>IF(op!J545="","",op!J545)</f>
        <v/>
      </c>
      <c r="K657" s="334"/>
      <c r="L657" s="1140" t="str">
        <f>IF(op!L545="","",op!L545)</f>
        <v/>
      </c>
      <c r="M657" s="1140" t="str">
        <f>IF(op!M545="","",op!M545)</f>
        <v/>
      </c>
      <c r="N657" s="899" t="str">
        <f t="shared" si="334"/>
        <v/>
      </c>
      <c r="O657" s="900" t="str">
        <f t="shared" si="335"/>
        <v/>
      </c>
      <c r="P657" s="901" t="str">
        <f t="shared" si="336"/>
        <v/>
      </c>
      <c r="Q657" s="568" t="str">
        <f t="shared" si="321"/>
        <v/>
      </c>
      <c r="R657" s="902" t="str">
        <f t="shared" si="337"/>
        <v/>
      </c>
      <c r="S657" s="903">
        <f t="shared" si="322"/>
        <v>0</v>
      </c>
      <c r="T657" s="334"/>
      <c r="X657" s="887" t="str">
        <f t="shared" si="323"/>
        <v/>
      </c>
      <c r="Y657" s="904">
        <f t="shared" si="324"/>
        <v>0.6</v>
      </c>
      <c r="Z657" s="905" t="e">
        <f t="shared" si="338"/>
        <v>#VALUE!</v>
      </c>
      <c r="AA657" s="905" t="e">
        <f t="shared" si="339"/>
        <v>#VALUE!</v>
      </c>
      <c r="AB657" s="905" t="e">
        <f t="shared" si="340"/>
        <v>#VALUE!</v>
      </c>
      <c r="AC657" s="906" t="e">
        <f t="shared" si="325"/>
        <v>#VALUE!</v>
      </c>
      <c r="AD657" s="907">
        <f t="shared" si="326"/>
        <v>0</v>
      </c>
      <c r="AE657" s="904">
        <f>IF(H657&gt;8,tab!C$194,tab!C$197)</f>
        <v>0.5</v>
      </c>
      <c r="AF657" s="907">
        <f t="shared" si="327"/>
        <v>0</v>
      </c>
      <c r="AG657" s="887">
        <f t="shared" si="328"/>
        <v>0</v>
      </c>
      <c r="AH657" s="908" t="e">
        <f t="shared" si="329"/>
        <v>#VALUE!</v>
      </c>
      <c r="AI657" s="815" t="e">
        <f t="shared" si="330"/>
        <v>#VALUE!</v>
      </c>
      <c r="AJ657" s="540">
        <f t="shared" si="331"/>
        <v>30</v>
      </c>
      <c r="AK657" s="540">
        <f t="shared" si="297"/>
        <v>30</v>
      </c>
      <c r="AL657" s="909">
        <f t="shared" si="332"/>
        <v>0</v>
      </c>
      <c r="AN657" s="539">
        <f t="shared" si="333"/>
        <v>0</v>
      </c>
      <c r="AT657" s="317"/>
      <c r="AU657" s="317"/>
    </row>
    <row r="658" spans="3:47" ht="13.15" customHeight="1" x14ac:dyDescent="0.2">
      <c r="C658" s="381"/>
      <c r="D658" s="895" t="str">
        <f>IF(op!D546=0,"",op!D546)</f>
        <v/>
      </c>
      <c r="E658" s="895" t="str">
        <f>IF(op!E546=0,"",op!E546)</f>
        <v/>
      </c>
      <c r="F658" s="390" t="str">
        <f>IF(op!F546="","",op!F546+1)</f>
        <v/>
      </c>
      <c r="G658" s="896" t="str">
        <f>IF(op!G546=0,"",op!G546)</f>
        <v/>
      </c>
      <c r="H658" s="390" t="str">
        <f>IF(op!H546="","",op!H546)</f>
        <v/>
      </c>
      <c r="I658" s="897" t="str">
        <f t="shared" si="320"/>
        <v/>
      </c>
      <c r="J658" s="898" t="str">
        <f>IF(op!J546="","",op!J546)</f>
        <v/>
      </c>
      <c r="K658" s="334"/>
      <c r="L658" s="1140" t="str">
        <f>IF(op!L546="","",op!L546)</f>
        <v/>
      </c>
      <c r="M658" s="1140" t="str">
        <f>IF(op!M546="","",op!M546)</f>
        <v/>
      </c>
      <c r="N658" s="899" t="str">
        <f t="shared" si="334"/>
        <v/>
      </c>
      <c r="O658" s="900" t="str">
        <f t="shared" si="335"/>
        <v/>
      </c>
      <c r="P658" s="901" t="str">
        <f t="shared" si="336"/>
        <v/>
      </c>
      <c r="Q658" s="568" t="str">
        <f t="shared" si="321"/>
        <v/>
      </c>
      <c r="R658" s="902" t="str">
        <f t="shared" si="337"/>
        <v/>
      </c>
      <c r="S658" s="903">
        <f t="shared" si="322"/>
        <v>0</v>
      </c>
      <c r="T658" s="334"/>
      <c r="X658" s="887" t="str">
        <f t="shared" si="323"/>
        <v/>
      </c>
      <c r="Y658" s="904">
        <f t="shared" si="324"/>
        <v>0.6</v>
      </c>
      <c r="Z658" s="905" t="e">
        <f t="shared" si="338"/>
        <v>#VALUE!</v>
      </c>
      <c r="AA658" s="905" t="e">
        <f t="shared" si="339"/>
        <v>#VALUE!</v>
      </c>
      <c r="AB658" s="905" t="e">
        <f t="shared" si="340"/>
        <v>#VALUE!</v>
      </c>
      <c r="AC658" s="906" t="e">
        <f t="shared" si="325"/>
        <v>#VALUE!</v>
      </c>
      <c r="AD658" s="907">
        <f t="shared" si="326"/>
        <v>0</v>
      </c>
      <c r="AE658" s="904">
        <f>IF(H658&gt;8,tab!C$194,tab!C$197)</f>
        <v>0.5</v>
      </c>
      <c r="AF658" s="907">
        <f t="shared" si="327"/>
        <v>0</v>
      </c>
      <c r="AG658" s="887">
        <f t="shared" si="328"/>
        <v>0</v>
      </c>
      <c r="AH658" s="908" t="e">
        <f t="shared" si="329"/>
        <v>#VALUE!</v>
      </c>
      <c r="AI658" s="815" t="e">
        <f t="shared" si="330"/>
        <v>#VALUE!</v>
      </c>
      <c r="AJ658" s="540">
        <f t="shared" si="331"/>
        <v>30</v>
      </c>
      <c r="AK658" s="540">
        <f t="shared" si="297"/>
        <v>30</v>
      </c>
      <c r="AL658" s="909">
        <f t="shared" si="332"/>
        <v>0</v>
      </c>
      <c r="AN658" s="539">
        <f t="shared" si="333"/>
        <v>0</v>
      </c>
      <c r="AT658" s="317"/>
      <c r="AU658" s="317"/>
    </row>
    <row r="659" spans="3:47" ht="13.15" customHeight="1" x14ac:dyDescent="0.2">
      <c r="C659" s="381"/>
      <c r="D659" s="895" t="str">
        <f>IF(op!D547=0,"",op!D547)</f>
        <v/>
      </c>
      <c r="E659" s="895" t="str">
        <f>IF(op!E547=0,"",op!E547)</f>
        <v/>
      </c>
      <c r="F659" s="390" t="str">
        <f>IF(op!F547="","",op!F547+1)</f>
        <v/>
      </c>
      <c r="G659" s="896" t="str">
        <f>IF(op!G547=0,"",op!G547)</f>
        <v/>
      </c>
      <c r="H659" s="390" t="str">
        <f>IF(op!H547="","",op!H547)</f>
        <v/>
      </c>
      <c r="I659" s="897" t="str">
        <f t="shared" si="320"/>
        <v/>
      </c>
      <c r="J659" s="898" t="str">
        <f>IF(op!J547="","",op!J547)</f>
        <v/>
      </c>
      <c r="K659" s="334"/>
      <c r="L659" s="1140" t="str">
        <f>IF(op!L547="","",op!L547)</f>
        <v/>
      </c>
      <c r="M659" s="1140" t="str">
        <f>IF(op!M547="","",op!M547)</f>
        <v/>
      </c>
      <c r="N659" s="899" t="str">
        <f t="shared" si="334"/>
        <v/>
      </c>
      <c r="O659" s="900" t="str">
        <f t="shared" si="335"/>
        <v/>
      </c>
      <c r="P659" s="901" t="str">
        <f t="shared" si="336"/>
        <v/>
      </c>
      <c r="Q659" s="568" t="str">
        <f t="shared" si="321"/>
        <v/>
      </c>
      <c r="R659" s="902" t="str">
        <f t="shared" si="337"/>
        <v/>
      </c>
      <c r="S659" s="903">
        <f t="shared" si="322"/>
        <v>0</v>
      </c>
      <c r="T659" s="334"/>
      <c r="X659" s="887" t="str">
        <f t="shared" si="323"/>
        <v/>
      </c>
      <c r="Y659" s="904">
        <f t="shared" si="324"/>
        <v>0.6</v>
      </c>
      <c r="Z659" s="905" t="e">
        <f t="shared" si="338"/>
        <v>#VALUE!</v>
      </c>
      <c r="AA659" s="905" t="e">
        <f t="shared" si="339"/>
        <v>#VALUE!</v>
      </c>
      <c r="AB659" s="905" t="e">
        <f t="shared" si="340"/>
        <v>#VALUE!</v>
      </c>
      <c r="AC659" s="906" t="e">
        <f t="shared" si="325"/>
        <v>#VALUE!</v>
      </c>
      <c r="AD659" s="907">
        <f t="shared" si="326"/>
        <v>0</v>
      </c>
      <c r="AE659" s="904">
        <f>IF(H659&gt;8,tab!C$194,tab!C$197)</f>
        <v>0.5</v>
      </c>
      <c r="AF659" s="907">
        <f t="shared" si="327"/>
        <v>0</v>
      </c>
      <c r="AG659" s="887">
        <f t="shared" si="328"/>
        <v>0</v>
      </c>
      <c r="AH659" s="908" t="e">
        <f t="shared" si="329"/>
        <v>#VALUE!</v>
      </c>
      <c r="AI659" s="815" t="e">
        <f t="shared" si="330"/>
        <v>#VALUE!</v>
      </c>
      <c r="AJ659" s="540">
        <f t="shared" si="331"/>
        <v>30</v>
      </c>
      <c r="AK659" s="540">
        <f t="shared" si="297"/>
        <v>30</v>
      </c>
      <c r="AL659" s="909">
        <f t="shared" si="332"/>
        <v>0</v>
      </c>
      <c r="AN659" s="539">
        <f t="shared" si="333"/>
        <v>0</v>
      </c>
      <c r="AT659" s="317"/>
      <c r="AU659" s="317"/>
    </row>
    <row r="660" spans="3:47" ht="13.15" customHeight="1" x14ac:dyDescent="0.2">
      <c r="C660" s="381"/>
      <c r="D660" s="895" t="str">
        <f>IF(op!D548=0,"",op!D548)</f>
        <v/>
      </c>
      <c r="E660" s="895" t="str">
        <f>IF(op!E548=0,"",op!E548)</f>
        <v/>
      </c>
      <c r="F660" s="390" t="str">
        <f>IF(op!F548="","",op!F548+1)</f>
        <v/>
      </c>
      <c r="G660" s="896" t="str">
        <f>IF(op!G548=0,"",op!G548)</f>
        <v/>
      </c>
      <c r="H660" s="390" t="str">
        <f>IF(op!H548="","",op!H548)</f>
        <v/>
      </c>
      <c r="I660" s="897" t="str">
        <f t="shared" si="320"/>
        <v/>
      </c>
      <c r="J660" s="898" t="str">
        <f>IF(op!J548="","",op!J548)</f>
        <v/>
      </c>
      <c r="K660" s="334"/>
      <c r="L660" s="1140" t="str">
        <f>IF(op!L548="","",op!L548)</f>
        <v/>
      </c>
      <c r="M660" s="1140" t="str">
        <f>IF(op!M548="","",op!M548)</f>
        <v/>
      </c>
      <c r="N660" s="899" t="str">
        <f t="shared" si="334"/>
        <v/>
      </c>
      <c r="O660" s="900" t="str">
        <f t="shared" si="335"/>
        <v/>
      </c>
      <c r="P660" s="901" t="str">
        <f t="shared" si="336"/>
        <v/>
      </c>
      <c r="Q660" s="568" t="str">
        <f t="shared" si="321"/>
        <v/>
      </c>
      <c r="R660" s="902" t="str">
        <f t="shared" si="337"/>
        <v/>
      </c>
      <c r="S660" s="903">
        <f t="shared" si="322"/>
        <v>0</v>
      </c>
      <c r="T660" s="334"/>
      <c r="X660" s="887" t="str">
        <f t="shared" si="323"/>
        <v/>
      </c>
      <c r="Y660" s="904">
        <f t="shared" si="324"/>
        <v>0.6</v>
      </c>
      <c r="Z660" s="905" t="e">
        <f t="shared" si="338"/>
        <v>#VALUE!</v>
      </c>
      <c r="AA660" s="905" t="e">
        <f t="shared" si="339"/>
        <v>#VALUE!</v>
      </c>
      <c r="AB660" s="905" t="e">
        <f t="shared" si="340"/>
        <v>#VALUE!</v>
      </c>
      <c r="AC660" s="906" t="e">
        <f t="shared" si="325"/>
        <v>#VALUE!</v>
      </c>
      <c r="AD660" s="907">
        <f t="shared" si="326"/>
        <v>0</v>
      </c>
      <c r="AE660" s="904">
        <f>IF(H660&gt;8,tab!C$194,tab!C$197)</f>
        <v>0.5</v>
      </c>
      <c r="AF660" s="907">
        <f t="shared" si="327"/>
        <v>0</v>
      </c>
      <c r="AG660" s="887">
        <f t="shared" si="328"/>
        <v>0</v>
      </c>
      <c r="AH660" s="908" t="e">
        <f t="shared" si="329"/>
        <v>#VALUE!</v>
      </c>
      <c r="AI660" s="815" t="e">
        <f t="shared" si="330"/>
        <v>#VALUE!</v>
      </c>
      <c r="AJ660" s="540">
        <f t="shared" si="331"/>
        <v>30</v>
      </c>
      <c r="AK660" s="540">
        <f t="shared" si="297"/>
        <v>30</v>
      </c>
      <c r="AL660" s="909">
        <f t="shared" si="332"/>
        <v>0</v>
      </c>
      <c r="AN660" s="539">
        <f t="shared" si="333"/>
        <v>0</v>
      </c>
      <c r="AT660" s="317"/>
      <c r="AU660" s="317"/>
    </row>
    <row r="661" spans="3:47" ht="13.15" customHeight="1" x14ac:dyDescent="0.2">
      <c r="C661" s="381"/>
      <c r="D661" s="895" t="str">
        <f>IF(op!D549=0,"",op!D549)</f>
        <v/>
      </c>
      <c r="E661" s="895" t="str">
        <f>IF(op!E549=0,"",op!E549)</f>
        <v/>
      </c>
      <c r="F661" s="390" t="str">
        <f>IF(op!F549="","",op!F549+1)</f>
        <v/>
      </c>
      <c r="G661" s="896" t="str">
        <f>IF(op!G549=0,"",op!G549)</f>
        <v/>
      </c>
      <c r="H661" s="390" t="str">
        <f>IF(op!H549="","",op!H549)</f>
        <v/>
      </c>
      <c r="I661" s="897" t="str">
        <f t="shared" si="320"/>
        <v/>
      </c>
      <c r="J661" s="898" t="str">
        <f>IF(op!J549="","",op!J549)</f>
        <v/>
      </c>
      <c r="K661" s="334"/>
      <c r="L661" s="1140" t="str">
        <f>IF(op!L549="","",op!L549)</f>
        <v/>
      </c>
      <c r="M661" s="1140" t="str">
        <f>IF(op!M549="","",op!M549)</f>
        <v/>
      </c>
      <c r="N661" s="899" t="str">
        <f t="shared" si="334"/>
        <v/>
      </c>
      <c r="O661" s="900" t="str">
        <f t="shared" si="335"/>
        <v/>
      </c>
      <c r="P661" s="901" t="str">
        <f t="shared" si="336"/>
        <v/>
      </c>
      <c r="Q661" s="568" t="str">
        <f t="shared" si="321"/>
        <v/>
      </c>
      <c r="R661" s="902" t="str">
        <f t="shared" si="337"/>
        <v/>
      </c>
      <c r="S661" s="903">
        <f t="shared" si="322"/>
        <v>0</v>
      </c>
      <c r="T661" s="334"/>
      <c r="X661" s="887" t="str">
        <f t="shared" si="323"/>
        <v/>
      </c>
      <c r="Y661" s="904">
        <f t="shared" si="324"/>
        <v>0.6</v>
      </c>
      <c r="Z661" s="905" t="e">
        <f t="shared" si="338"/>
        <v>#VALUE!</v>
      </c>
      <c r="AA661" s="905" t="e">
        <f t="shared" si="339"/>
        <v>#VALUE!</v>
      </c>
      <c r="AB661" s="905" t="e">
        <f t="shared" si="340"/>
        <v>#VALUE!</v>
      </c>
      <c r="AC661" s="906" t="e">
        <f t="shared" si="325"/>
        <v>#VALUE!</v>
      </c>
      <c r="AD661" s="907">
        <f t="shared" si="326"/>
        <v>0</v>
      </c>
      <c r="AE661" s="904">
        <f>IF(H661&gt;8,tab!C$194,tab!C$197)</f>
        <v>0.5</v>
      </c>
      <c r="AF661" s="907">
        <f t="shared" si="327"/>
        <v>0</v>
      </c>
      <c r="AG661" s="887">
        <f t="shared" si="328"/>
        <v>0</v>
      </c>
      <c r="AH661" s="908" t="e">
        <f t="shared" si="329"/>
        <v>#VALUE!</v>
      </c>
      <c r="AI661" s="815" t="e">
        <f t="shared" si="330"/>
        <v>#VALUE!</v>
      </c>
      <c r="AJ661" s="540">
        <f t="shared" si="331"/>
        <v>30</v>
      </c>
      <c r="AK661" s="540">
        <f t="shared" si="297"/>
        <v>30</v>
      </c>
      <c r="AL661" s="909">
        <f t="shared" si="332"/>
        <v>0</v>
      </c>
      <c r="AN661" s="539">
        <f t="shared" si="333"/>
        <v>0</v>
      </c>
      <c r="AT661" s="317"/>
      <c r="AU661" s="317"/>
    </row>
    <row r="662" spans="3:47" ht="13.15" customHeight="1" x14ac:dyDescent="0.2">
      <c r="C662" s="381"/>
      <c r="D662" s="895" t="str">
        <f>IF(op!D550=0,"",op!D550)</f>
        <v/>
      </c>
      <c r="E662" s="895" t="str">
        <f>IF(op!E550=0,"",op!E550)</f>
        <v/>
      </c>
      <c r="F662" s="390" t="str">
        <f>IF(op!F550="","",op!F550+1)</f>
        <v/>
      </c>
      <c r="G662" s="896" t="str">
        <f>IF(op!G550=0,"",op!G550)</f>
        <v/>
      </c>
      <c r="H662" s="390" t="str">
        <f>IF(op!H550="","",op!H550)</f>
        <v/>
      </c>
      <c r="I662" s="897" t="str">
        <f t="shared" si="320"/>
        <v/>
      </c>
      <c r="J662" s="898" t="str">
        <f>IF(op!J550="","",op!J550)</f>
        <v/>
      </c>
      <c r="K662" s="334"/>
      <c r="L662" s="1140" t="str">
        <f>IF(op!L550="","",op!L550)</f>
        <v/>
      </c>
      <c r="M662" s="1140" t="str">
        <f>IF(op!M550="","",op!M550)</f>
        <v/>
      </c>
      <c r="N662" s="899" t="str">
        <f t="shared" si="334"/>
        <v/>
      </c>
      <c r="O662" s="900" t="str">
        <f t="shared" si="335"/>
        <v/>
      </c>
      <c r="P662" s="901" t="str">
        <f t="shared" si="336"/>
        <v/>
      </c>
      <c r="Q662" s="568" t="str">
        <f t="shared" si="321"/>
        <v/>
      </c>
      <c r="R662" s="902" t="str">
        <f t="shared" si="337"/>
        <v/>
      </c>
      <c r="S662" s="903">
        <f t="shared" si="322"/>
        <v>0</v>
      </c>
      <c r="T662" s="334"/>
      <c r="X662" s="887" t="str">
        <f t="shared" si="323"/>
        <v/>
      </c>
      <c r="Y662" s="904">
        <f t="shared" si="324"/>
        <v>0.6</v>
      </c>
      <c r="Z662" s="905" t="e">
        <f t="shared" si="338"/>
        <v>#VALUE!</v>
      </c>
      <c r="AA662" s="905" t="e">
        <f t="shared" si="339"/>
        <v>#VALUE!</v>
      </c>
      <c r="AB662" s="905" t="e">
        <f t="shared" si="340"/>
        <v>#VALUE!</v>
      </c>
      <c r="AC662" s="906" t="e">
        <f t="shared" si="325"/>
        <v>#VALUE!</v>
      </c>
      <c r="AD662" s="907">
        <f t="shared" si="326"/>
        <v>0</v>
      </c>
      <c r="AE662" s="904">
        <f>IF(H662&gt;8,tab!C$194,tab!C$197)</f>
        <v>0.5</v>
      </c>
      <c r="AF662" s="907">
        <f t="shared" si="327"/>
        <v>0</v>
      </c>
      <c r="AG662" s="887">
        <f t="shared" si="328"/>
        <v>0</v>
      </c>
      <c r="AH662" s="908" t="e">
        <f t="shared" si="329"/>
        <v>#VALUE!</v>
      </c>
      <c r="AI662" s="815" t="e">
        <f t="shared" si="330"/>
        <v>#VALUE!</v>
      </c>
      <c r="AJ662" s="540">
        <f t="shared" si="331"/>
        <v>30</v>
      </c>
      <c r="AK662" s="540">
        <f t="shared" si="297"/>
        <v>30</v>
      </c>
      <c r="AL662" s="909">
        <f t="shared" si="332"/>
        <v>0</v>
      </c>
      <c r="AN662" s="539">
        <f t="shared" si="333"/>
        <v>0</v>
      </c>
      <c r="AT662" s="317"/>
      <c r="AU662" s="317"/>
    </row>
    <row r="663" spans="3:47" ht="13.15" customHeight="1" x14ac:dyDescent="0.2">
      <c r="C663" s="381"/>
      <c r="D663" s="895" t="str">
        <f>IF(op!D551=0,"",op!D551)</f>
        <v/>
      </c>
      <c r="E663" s="895" t="str">
        <f>IF(op!E551=0,"",op!E551)</f>
        <v/>
      </c>
      <c r="F663" s="390" t="str">
        <f>IF(op!F551="","",op!F551+1)</f>
        <v/>
      </c>
      <c r="G663" s="896" t="str">
        <f>IF(op!G551=0,"",op!G551)</f>
        <v/>
      </c>
      <c r="H663" s="390" t="str">
        <f>IF(op!H551="","",op!H551)</f>
        <v/>
      </c>
      <c r="I663" s="897" t="str">
        <f t="shared" si="320"/>
        <v/>
      </c>
      <c r="J663" s="898" t="str">
        <f>IF(op!J551="","",op!J551)</f>
        <v/>
      </c>
      <c r="K663" s="334"/>
      <c r="L663" s="1140" t="str">
        <f>IF(op!L551="","",op!L551)</f>
        <v/>
      </c>
      <c r="M663" s="1140" t="str">
        <f>IF(op!M551="","",op!M551)</f>
        <v/>
      </c>
      <c r="N663" s="899" t="str">
        <f t="shared" si="334"/>
        <v/>
      </c>
      <c r="O663" s="900" t="str">
        <f t="shared" si="335"/>
        <v/>
      </c>
      <c r="P663" s="901" t="str">
        <f t="shared" si="336"/>
        <v/>
      </c>
      <c r="Q663" s="568" t="str">
        <f t="shared" si="321"/>
        <v/>
      </c>
      <c r="R663" s="902" t="str">
        <f t="shared" si="337"/>
        <v/>
      </c>
      <c r="S663" s="903">
        <f t="shared" si="322"/>
        <v>0</v>
      </c>
      <c r="T663" s="334"/>
      <c r="X663" s="887" t="str">
        <f t="shared" si="323"/>
        <v/>
      </c>
      <c r="Y663" s="904">
        <f t="shared" si="324"/>
        <v>0.6</v>
      </c>
      <c r="Z663" s="905" t="e">
        <f t="shared" si="338"/>
        <v>#VALUE!</v>
      </c>
      <c r="AA663" s="905" t="e">
        <f t="shared" si="339"/>
        <v>#VALUE!</v>
      </c>
      <c r="AB663" s="905" t="e">
        <f t="shared" si="340"/>
        <v>#VALUE!</v>
      </c>
      <c r="AC663" s="906" t="e">
        <f t="shared" si="325"/>
        <v>#VALUE!</v>
      </c>
      <c r="AD663" s="907">
        <f t="shared" si="326"/>
        <v>0</v>
      </c>
      <c r="AE663" s="904">
        <f>IF(H663&gt;8,tab!C$194,tab!C$197)</f>
        <v>0.5</v>
      </c>
      <c r="AF663" s="907">
        <f t="shared" si="327"/>
        <v>0</v>
      </c>
      <c r="AG663" s="887">
        <f t="shared" si="328"/>
        <v>0</v>
      </c>
      <c r="AH663" s="908" t="e">
        <f t="shared" si="329"/>
        <v>#VALUE!</v>
      </c>
      <c r="AI663" s="815" t="e">
        <f t="shared" si="330"/>
        <v>#VALUE!</v>
      </c>
      <c r="AJ663" s="540">
        <f t="shared" si="331"/>
        <v>30</v>
      </c>
      <c r="AK663" s="540">
        <f t="shared" si="297"/>
        <v>30</v>
      </c>
      <c r="AL663" s="909">
        <f t="shared" si="332"/>
        <v>0</v>
      </c>
      <c r="AN663" s="539">
        <f t="shared" si="333"/>
        <v>0</v>
      </c>
      <c r="AT663" s="317"/>
      <c r="AU663" s="317"/>
    </row>
    <row r="664" spans="3:47" ht="13.15" customHeight="1" x14ac:dyDescent="0.2">
      <c r="C664" s="381"/>
      <c r="D664" s="895" t="str">
        <f>IF(op!D552=0,"",op!D552)</f>
        <v/>
      </c>
      <c r="E664" s="895" t="str">
        <f>IF(op!E552=0,"",op!E552)</f>
        <v/>
      </c>
      <c r="F664" s="390" t="str">
        <f>IF(op!F552="","",op!F552+1)</f>
        <v/>
      </c>
      <c r="G664" s="896" t="str">
        <f>IF(op!G552=0,"",op!G552)</f>
        <v/>
      </c>
      <c r="H664" s="390" t="str">
        <f>IF(op!H552="","",op!H552)</f>
        <v/>
      </c>
      <c r="I664" s="897" t="str">
        <f t="shared" si="320"/>
        <v/>
      </c>
      <c r="J664" s="898" t="str">
        <f>IF(op!J552="","",op!J552)</f>
        <v/>
      </c>
      <c r="K664" s="334"/>
      <c r="L664" s="1140" t="str">
        <f>IF(op!L552="","",op!L552)</f>
        <v/>
      </c>
      <c r="M664" s="1140" t="str">
        <f>IF(op!M552="","",op!M552)</f>
        <v/>
      </c>
      <c r="N664" s="899" t="str">
        <f t="shared" si="334"/>
        <v/>
      </c>
      <c r="O664" s="900" t="str">
        <f t="shared" si="335"/>
        <v/>
      </c>
      <c r="P664" s="901" t="str">
        <f t="shared" si="336"/>
        <v/>
      </c>
      <c r="Q664" s="568" t="str">
        <f t="shared" si="321"/>
        <v/>
      </c>
      <c r="R664" s="902" t="str">
        <f t="shared" si="337"/>
        <v/>
      </c>
      <c r="S664" s="903">
        <f t="shared" si="322"/>
        <v>0</v>
      </c>
      <c r="T664" s="334"/>
      <c r="X664" s="887" t="str">
        <f t="shared" si="323"/>
        <v/>
      </c>
      <c r="Y664" s="904">
        <f t="shared" si="324"/>
        <v>0.6</v>
      </c>
      <c r="Z664" s="905" t="e">
        <f t="shared" si="338"/>
        <v>#VALUE!</v>
      </c>
      <c r="AA664" s="905" t="e">
        <f t="shared" si="339"/>
        <v>#VALUE!</v>
      </c>
      <c r="AB664" s="905" t="e">
        <f t="shared" si="340"/>
        <v>#VALUE!</v>
      </c>
      <c r="AC664" s="906" t="e">
        <f t="shared" si="325"/>
        <v>#VALUE!</v>
      </c>
      <c r="AD664" s="907">
        <f t="shared" si="326"/>
        <v>0</v>
      </c>
      <c r="AE664" s="904">
        <f>IF(H664&gt;8,tab!C$194,tab!C$197)</f>
        <v>0.5</v>
      </c>
      <c r="AF664" s="907">
        <f t="shared" si="327"/>
        <v>0</v>
      </c>
      <c r="AG664" s="887">
        <f t="shared" si="328"/>
        <v>0</v>
      </c>
      <c r="AH664" s="908" t="e">
        <f t="shared" si="329"/>
        <v>#VALUE!</v>
      </c>
      <c r="AI664" s="815" t="e">
        <f t="shared" si="330"/>
        <v>#VALUE!</v>
      </c>
      <c r="AJ664" s="540">
        <f t="shared" si="331"/>
        <v>30</v>
      </c>
      <c r="AK664" s="540">
        <f t="shared" si="297"/>
        <v>30</v>
      </c>
      <c r="AL664" s="909">
        <f t="shared" si="332"/>
        <v>0</v>
      </c>
      <c r="AN664" s="539">
        <f t="shared" si="333"/>
        <v>0</v>
      </c>
      <c r="AT664" s="317"/>
      <c r="AU664" s="317"/>
    </row>
    <row r="665" spans="3:47" ht="13.15" customHeight="1" x14ac:dyDescent="0.2">
      <c r="C665" s="381"/>
      <c r="D665" s="895" t="str">
        <f>IF(op!D553=0,"",op!D553)</f>
        <v/>
      </c>
      <c r="E665" s="895" t="str">
        <f>IF(op!E553=0,"",op!E553)</f>
        <v/>
      </c>
      <c r="F665" s="390" t="str">
        <f>IF(op!F553="","",op!F553+1)</f>
        <v/>
      </c>
      <c r="G665" s="896" t="str">
        <f>IF(op!G553=0,"",op!G553)</f>
        <v/>
      </c>
      <c r="H665" s="390" t="str">
        <f>IF(op!H553="","",op!H553)</f>
        <v/>
      </c>
      <c r="I665" s="897" t="str">
        <f t="shared" si="320"/>
        <v/>
      </c>
      <c r="J665" s="898" t="str">
        <f>IF(op!J553="","",op!J553)</f>
        <v/>
      </c>
      <c r="K665" s="334"/>
      <c r="L665" s="1140" t="str">
        <f>IF(op!L553="","",op!L553)</f>
        <v/>
      </c>
      <c r="M665" s="1140" t="str">
        <f>IF(op!M553="","",op!M553)</f>
        <v/>
      </c>
      <c r="N665" s="899" t="str">
        <f t="shared" si="334"/>
        <v/>
      </c>
      <c r="O665" s="900" t="str">
        <f t="shared" si="335"/>
        <v/>
      </c>
      <c r="P665" s="901" t="str">
        <f t="shared" si="336"/>
        <v/>
      </c>
      <c r="Q665" s="568" t="str">
        <f t="shared" si="321"/>
        <v/>
      </c>
      <c r="R665" s="902" t="str">
        <f t="shared" si="337"/>
        <v/>
      </c>
      <c r="S665" s="903">
        <f t="shared" si="322"/>
        <v>0</v>
      </c>
      <c r="T665" s="334"/>
      <c r="X665" s="887" t="str">
        <f t="shared" si="323"/>
        <v/>
      </c>
      <c r="Y665" s="904">
        <f t="shared" si="324"/>
        <v>0.6</v>
      </c>
      <c r="Z665" s="905" t="e">
        <f t="shared" si="338"/>
        <v>#VALUE!</v>
      </c>
      <c r="AA665" s="905" t="e">
        <f t="shared" si="339"/>
        <v>#VALUE!</v>
      </c>
      <c r="AB665" s="905" t="e">
        <f t="shared" si="340"/>
        <v>#VALUE!</v>
      </c>
      <c r="AC665" s="906" t="e">
        <f t="shared" si="325"/>
        <v>#VALUE!</v>
      </c>
      <c r="AD665" s="907">
        <f t="shared" si="326"/>
        <v>0</v>
      </c>
      <c r="AE665" s="904">
        <f>IF(H665&gt;8,tab!C$194,tab!C$197)</f>
        <v>0.5</v>
      </c>
      <c r="AF665" s="907">
        <f t="shared" si="327"/>
        <v>0</v>
      </c>
      <c r="AG665" s="887">
        <f t="shared" si="328"/>
        <v>0</v>
      </c>
      <c r="AH665" s="908" t="e">
        <f t="shared" si="329"/>
        <v>#VALUE!</v>
      </c>
      <c r="AI665" s="815" t="e">
        <f t="shared" si="330"/>
        <v>#VALUE!</v>
      </c>
      <c r="AJ665" s="540">
        <f t="shared" si="331"/>
        <v>30</v>
      </c>
      <c r="AK665" s="540">
        <f t="shared" si="297"/>
        <v>30</v>
      </c>
      <c r="AL665" s="909">
        <f t="shared" si="332"/>
        <v>0</v>
      </c>
      <c r="AN665" s="539">
        <f t="shared" si="333"/>
        <v>0</v>
      </c>
      <c r="AT665" s="317"/>
      <c r="AU665" s="317"/>
    </row>
    <row r="666" spans="3:47" ht="13.15" customHeight="1" x14ac:dyDescent="0.2">
      <c r="C666" s="381"/>
      <c r="D666" s="895" t="str">
        <f>IF(op!D554=0,"",op!D554)</f>
        <v/>
      </c>
      <c r="E666" s="895" t="str">
        <f>IF(op!E554=0,"",op!E554)</f>
        <v/>
      </c>
      <c r="F666" s="390" t="str">
        <f>IF(op!F554="","",op!F554+1)</f>
        <v/>
      </c>
      <c r="G666" s="896" t="str">
        <f>IF(op!G554=0,"",op!G554)</f>
        <v/>
      </c>
      <c r="H666" s="390" t="str">
        <f>IF(op!H554="","",op!H554)</f>
        <v/>
      </c>
      <c r="I666" s="897" t="str">
        <f t="shared" si="320"/>
        <v/>
      </c>
      <c r="J666" s="898" t="str">
        <f>IF(op!J554="","",op!J554)</f>
        <v/>
      </c>
      <c r="K666" s="334"/>
      <c r="L666" s="1140" t="str">
        <f>IF(op!L554="","",op!L554)</f>
        <v/>
      </c>
      <c r="M666" s="1140" t="str">
        <f>IF(op!M554="","",op!M554)</f>
        <v/>
      </c>
      <c r="N666" s="899" t="str">
        <f t="shared" si="334"/>
        <v/>
      </c>
      <c r="O666" s="900" t="str">
        <f t="shared" si="335"/>
        <v/>
      </c>
      <c r="P666" s="901" t="str">
        <f t="shared" si="336"/>
        <v/>
      </c>
      <c r="Q666" s="568" t="str">
        <f t="shared" si="321"/>
        <v/>
      </c>
      <c r="R666" s="902" t="str">
        <f t="shared" si="337"/>
        <v/>
      </c>
      <c r="S666" s="903">
        <f t="shared" si="322"/>
        <v>0</v>
      </c>
      <c r="T666" s="334"/>
      <c r="X666" s="887" t="str">
        <f t="shared" si="323"/>
        <v/>
      </c>
      <c r="Y666" s="904">
        <f t="shared" si="324"/>
        <v>0.6</v>
      </c>
      <c r="Z666" s="905" t="e">
        <f t="shared" si="338"/>
        <v>#VALUE!</v>
      </c>
      <c r="AA666" s="905" t="e">
        <f t="shared" si="339"/>
        <v>#VALUE!</v>
      </c>
      <c r="AB666" s="905" t="e">
        <f t="shared" si="340"/>
        <v>#VALUE!</v>
      </c>
      <c r="AC666" s="906" t="e">
        <f t="shared" si="325"/>
        <v>#VALUE!</v>
      </c>
      <c r="AD666" s="907">
        <f t="shared" si="326"/>
        <v>0</v>
      </c>
      <c r="AE666" s="904">
        <f>IF(H666&gt;8,tab!C$194,tab!C$197)</f>
        <v>0.5</v>
      </c>
      <c r="AF666" s="907">
        <f t="shared" si="327"/>
        <v>0</v>
      </c>
      <c r="AG666" s="887">
        <f t="shared" si="328"/>
        <v>0</v>
      </c>
      <c r="AH666" s="908" t="e">
        <f t="shared" si="329"/>
        <v>#VALUE!</v>
      </c>
      <c r="AI666" s="815" t="e">
        <f t="shared" si="330"/>
        <v>#VALUE!</v>
      </c>
      <c r="AJ666" s="540">
        <f t="shared" si="331"/>
        <v>30</v>
      </c>
      <c r="AK666" s="540">
        <f t="shared" si="297"/>
        <v>30</v>
      </c>
      <c r="AL666" s="909">
        <f t="shared" si="332"/>
        <v>0</v>
      </c>
      <c r="AN666" s="539">
        <f t="shared" si="333"/>
        <v>0</v>
      </c>
      <c r="AT666" s="317"/>
      <c r="AU666" s="317"/>
    </row>
    <row r="667" spans="3:47" ht="13.15" customHeight="1" x14ac:dyDescent="0.2">
      <c r="C667" s="381"/>
      <c r="D667" s="895" t="str">
        <f>IF(op!D555=0,"",op!D555)</f>
        <v/>
      </c>
      <c r="E667" s="895" t="str">
        <f>IF(op!E555=0,"",op!E555)</f>
        <v/>
      </c>
      <c r="F667" s="390" t="str">
        <f>IF(op!F555="","",op!F555+1)</f>
        <v/>
      </c>
      <c r="G667" s="896" t="str">
        <f>IF(op!G555=0,"",op!G555)</f>
        <v/>
      </c>
      <c r="H667" s="390" t="str">
        <f>IF(op!H555="","",op!H555)</f>
        <v/>
      </c>
      <c r="I667" s="897" t="str">
        <f t="shared" si="320"/>
        <v/>
      </c>
      <c r="J667" s="898" t="str">
        <f>IF(op!J555="","",op!J555)</f>
        <v/>
      </c>
      <c r="K667" s="334"/>
      <c r="L667" s="1140" t="str">
        <f>IF(op!L555="","",op!L555)</f>
        <v/>
      </c>
      <c r="M667" s="1140" t="str">
        <f>IF(op!M555="","",op!M555)</f>
        <v/>
      </c>
      <c r="N667" s="899" t="str">
        <f t="shared" si="334"/>
        <v/>
      </c>
      <c r="O667" s="900" t="str">
        <f t="shared" si="335"/>
        <v/>
      </c>
      <c r="P667" s="901" t="str">
        <f t="shared" si="336"/>
        <v/>
      </c>
      <c r="Q667" s="568" t="str">
        <f t="shared" si="321"/>
        <v/>
      </c>
      <c r="R667" s="902" t="str">
        <f t="shared" si="337"/>
        <v/>
      </c>
      <c r="S667" s="903">
        <f t="shared" si="322"/>
        <v>0</v>
      </c>
      <c r="T667" s="334"/>
      <c r="X667" s="887" t="str">
        <f t="shared" si="323"/>
        <v/>
      </c>
      <c r="Y667" s="904">
        <f t="shared" si="324"/>
        <v>0.6</v>
      </c>
      <c r="Z667" s="905" t="e">
        <f t="shared" si="338"/>
        <v>#VALUE!</v>
      </c>
      <c r="AA667" s="905" t="e">
        <f t="shared" si="339"/>
        <v>#VALUE!</v>
      </c>
      <c r="AB667" s="905" t="e">
        <f t="shared" si="340"/>
        <v>#VALUE!</v>
      </c>
      <c r="AC667" s="906" t="e">
        <f t="shared" si="325"/>
        <v>#VALUE!</v>
      </c>
      <c r="AD667" s="907">
        <f t="shared" si="326"/>
        <v>0</v>
      </c>
      <c r="AE667" s="904">
        <f>IF(H667&gt;8,tab!C$194,tab!C$197)</f>
        <v>0.5</v>
      </c>
      <c r="AF667" s="907">
        <f t="shared" si="327"/>
        <v>0</v>
      </c>
      <c r="AG667" s="887">
        <f t="shared" si="328"/>
        <v>0</v>
      </c>
      <c r="AH667" s="908" t="e">
        <f t="shared" si="329"/>
        <v>#VALUE!</v>
      </c>
      <c r="AI667" s="815" t="e">
        <f t="shared" si="330"/>
        <v>#VALUE!</v>
      </c>
      <c r="AJ667" s="540">
        <f t="shared" si="331"/>
        <v>30</v>
      </c>
      <c r="AK667" s="540">
        <f t="shared" si="297"/>
        <v>30</v>
      </c>
      <c r="AL667" s="909">
        <f t="shared" si="332"/>
        <v>0</v>
      </c>
      <c r="AN667" s="539">
        <f t="shared" si="333"/>
        <v>0</v>
      </c>
      <c r="AT667" s="317"/>
      <c r="AU667" s="317"/>
    </row>
    <row r="668" spans="3:47" ht="13.15" customHeight="1" x14ac:dyDescent="0.2">
      <c r="C668" s="381"/>
      <c r="D668" s="895" t="str">
        <f>IF(op!D556=0,"",op!D556)</f>
        <v/>
      </c>
      <c r="E668" s="895" t="str">
        <f>IF(op!E556=0,"",op!E556)</f>
        <v/>
      </c>
      <c r="F668" s="390" t="str">
        <f>IF(op!F556="","",op!F556+1)</f>
        <v/>
      </c>
      <c r="G668" s="896" t="str">
        <f>IF(op!G556=0,"",op!G556)</f>
        <v/>
      </c>
      <c r="H668" s="390" t="str">
        <f>IF(op!H556="","",op!H556)</f>
        <v/>
      </c>
      <c r="I668" s="897" t="str">
        <f t="shared" si="320"/>
        <v/>
      </c>
      <c r="J668" s="898" t="str">
        <f>IF(op!J556="","",op!J556)</f>
        <v/>
      </c>
      <c r="K668" s="334"/>
      <c r="L668" s="1140" t="str">
        <f>IF(op!L556="","",op!L556)</f>
        <v/>
      </c>
      <c r="M668" s="1140" t="str">
        <f>IF(op!M556="","",op!M556)</f>
        <v/>
      </c>
      <c r="N668" s="899" t="str">
        <f t="shared" si="334"/>
        <v/>
      </c>
      <c r="O668" s="900" t="str">
        <f t="shared" si="335"/>
        <v/>
      </c>
      <c r="P668" s="901" t="str">
        <f t="shared" si="336"/>
        <v/>
      </c>
      <c r="Q668" s="568" t="str">
        <f t="shared" si="321"/>
        <v/>
      </c>
      <c r="R668" s="902" t="str">
        <f t="shared" si="337"/>
        <v/>
      </c>
      <c r="S668" s="903">
        <f t="shared" si="322"/>
        <v>0</v>
      </c>
      <c r="T668" s="334"/>
      <c r="X668" s="887" t="str">
        <f t="shared" si="323"/>
        <v/>
      </c>
      <c r="Y668" s="904">
        <f t="shared" si="324"/>
        <v>0.6</v>
      </c>
      <c r="Z668" s="905" t="e">
        <f t="shared" si="338"/>
        <v>#VALUE!</v>
      </c>
      <c r="AA668" s="905" t="e">
        <f t="shared" si="339"/>
        <v>#VALUE!</v>
      </c>
      <c r="AB668" s="905" t="e">
        <f t="shared" si="340"/>
        <v>#VALUE!</v>
      </c>
      <c r="AC668" s="906" t="e">
        <f t="shared" si="325"/>
        <v>#VALUE!</v>
      </c>
      <c r="AD668" s="907">
        <f t="shared" si="326"/>
        <v>0</v>
      </c>
      <c r="AE668" s="904">
        <f>IF(H668&gt;8,tab!C$194,tab!C$197)</f>
        <v>0.5</v>
      </c>
      <c r="AF668" s="907">
        <f t="shared" si="327"/>
        <v>0</v>
      </c>
      <c r="AG668" s="887">
        <f t="shared" si="328"/>
        <v>0</v>
      </c>
      <c r="AH668" s="908" t="e">
        <f t="shared" si="329"/>
        <v>#VALUE!</v>
      </c>
      <c r="AI668" s="815" t="e">
        <f t="shared" si="330"/>
        <v>#VALUE!</v>
      </c>
      <c r="AJ668" s="540">
        <f t="shared" si="331"/>
        <v>30</v>
      </c>
      <c r="AK668" s="540">
        <f t="shared" si="297"/>
        <v>30</v>
      </c>
      <c r="AL668" s="909">
        <f t="shared" si="332"/>
        <v>0</v>
      </c>
      <c r="AN668" s="539">
        <f t="shared" si="333"/>
        <v>0</v>
      </c>
      <c r="AT668" s="317"/>
      <c r="AU668" s="317"/>
    </row>
    <row r="669" spans="3:47" ht="13.15" customHeight="1" x14ac:dyDescent="0.2">
      <c r="C669" s="381"/>
      <c r="D669" s="895" t="str">
        <f>IF(op!D557=0,"",op!D557)</f>
        <v/>
      </c>
      <c r="E669" s="895" t="str">
        <f>IF(op!E557=0,"",op!E557)</f>
        <v/>
      </c>
      <c r="F669" s="390" t="str">
        <f>IF(op!F557="","",op!F557+1)</f>
        <v/>
      </c>
      <c r="G669" s="896" t="str">
        <f>IF(op!G557=0,"",op!G557)</f>
        <v/>
      </c>
      <c r="H669" s="390" t="str">
        <f>IF(op!H557="","",op!H557)</f>
        <v/>
      </c>
      <c r="I669" s="897" t="str">
        <f t="shared" si="320"/>
        <v/>
      </c>
      <c r="J669" s="898" t="str">
        <f>IF(op!J557="","",op!J557)</f>
        <v/>
      </c>
      <c r="K669" s="334"/>
      <c r="L669" s="1140" t="str">
        <f>IF(op!L557="","",op!L557)</f>
        <v/>
      </c>
      <c r="M669" s="1140" t="str">
        <f>IF(op!M557="","",op!M557)</f>
        <v/>
      </c>
      <c r="N669" s="899" t="str">
        <f t="shared" si="334"/>
        <v/>
      </c>
      <c r="O669" s="900" t="str">
        <f t="shared" si="335"/>
        <v/>
      </c>
      <c r="P669" s="901" t="str">
        <f t="shared" si="336"/>
        <v/>
      </c>
      <c r="Q669" s="568" t="str">
        <f t="shared" si="321"/>
        <v/>
      </c>
      <c r="R669" s="902" t="str">
        <f t="shared" si="337"/>
        <v/>
      </c>
      <c r="S669" s="903">
        <f t="shared" si="322"/>
        <v>0</v>
      </c>
      <c r="T669" s="334"/>
      <c r="X669" s="887" t="str">
        <f t="shared" si="323"/>
        <v/>
      </c>
      <c r="Y669" s="904">
        <f t="shared" si="324"/>
        <v>0.6</v>
      </c>
      <c r="Z669" s="905" t="e">
        <f t="shared" si="338"/>
        <v>#VALUE!</v>
      </c>
      <c r="AA669" s="905" t="e">
        <f t="shared" si="339"/>
        <v>#VALUE!</v>
      </c>
      <c r="AB669" s="905" t="e">
        <f t="shared" si="340"/>
        <v>#VALUE!</v>
      </c>
      <c r="AC669" s="906" t="e">
        <f t="shared" si="325"/>
        <v>#VALUE!</v>
      </c>
      <c r="AD669" s="907">
        <f t="shared" si="326"/>
        <v>0</v>
      </c>
      <c r="AE669" s="904">
        <f>IF(H669&gt;8,tab!C$194,tab!C$197)</f>
        <v>0.5</v>
      </c>
      <c r="AF669" s="907">
        <f t="shared" si="327"/>
        <v>0</v>
      </c>
      <c r="AG669" s="887">
        <f t="shared" si="328"/>
        <v>0</v>
      </c>
      <c r="AH669" s="908" t="e">
        <f t="shared" si="329"/>
        <v>#VALUE!</v>
      </c>
      <c r="AI669" s="815" t="e">
        <f t="shared" si="330"/>
        <v>#VALUE!</v>
      </c>
      <c r="AJ669" s="540">
        <f t="shared" si="331"/>
        <v>30</v>
      </c>
      <c r="AK669" s="540">
        <f t="shared" si="297"/>
        <v>30</v>
      </c>
      <c r="AL669" s="909">
        <f t="shared" si="332"/>
        <v>0</v>
      </c>
      <c r="AN669" s="539">
        <f t="shared" si="333"/>
        <v>0</v>
      </c>
      <c r="AT669" s="317"/>
      <c r="AU669" s="317"/>
    </row>
    <row r="670" spans="3:47" ht="13.15" customHeight="1" x14ac:dyDescent="0.2">
      <c r="C670" s="381"/>
      <c r="D670" s="895" t="str">
        <f>IF(op!D558=0,"",op!D558)</f>
        <v/>
      </c>
      <c r="E670" s="895" t="str">
        <f>IF(op!E558=0,"",op!E558)</f>
        <v/>
      </c>
      <c r="F670" s="390" t="str">
        <f>IF(op!F558="","",op!F558+1)</f>
        <v/>
      </c>
      <c r="G670" s="896" t="str">
        <f>IF(op!G558=0,"",op!G558)</f>
        <v/>
      </c>
      <c r="H670" s="390" t="str">
        <f>IF(op!H558="","",op!H558)</f>
        <v/>
      </c>
      <c r="I670" s="897" t="str">
        <f t="shared" si="320"/>
        <v/>
      </c>
      <c r="J670" s="898" t="str">
        <f>IF(op!J558="","",op!J558)</f>
        <v/>
      </c>
      <c r="K670" s="334"/>
      <c r="L670" s="1140" t="str">
        <f>IF(op!L558="","",op!L558)</f>
        <v/>
      </c>
      <c r="M670" s="1140" t="str">
        <f>IF(op!M558="","",op!M558)</f>
        <v/>
      </c>
      <c r="N670" s="899" t="str">
        <f t="shared" si="334"/>
        <v/>
      </c>
      <c r="O670" s="900" t="str">
        <f t="shared" si="335"/>
        <v/>
      </c>
      <c r="P670" s="901" t="str">
        <f t="shared" si="336"/>
        <v/>
      </c>
      <c r="Q670" s="568" t="str">
        <f t="shared" si="321"/>
        <v/>
      </c>
      <c r="R670" s="902" t="str">
        <f t="shared" si="337"/>
        <v/>
      </c>
      <c r="S670" s="903">
        <f t="shared" si="322"/>
        <v>0</v>
      </c>
      <c r="T670" s="334"/>
      <c r="X670" s="887" t="str">
        <f t="shared" si="323"/>
        <v/>
      </c>
      <c r="Y670" s="904">
        <f t="shared" si="324"/>
        <v>0.6</v>
      </c>
      <c r="Z670" s="905" t="e">
        <f t="shared" si="338"/>
        <v>#VALUE!</v>
      </c>
      <c r="AA670" s="905" t="e">
        <f t="shared" si="339"/>
        <v>#VALUE!</v>
      </c>
      <c r="AB670" s="905" t="e">
        <f t="shared" si="340"/>
        <v>#VALUE!</v>
      </c>
      <c r="AC670" s="906" t="e">
        <f t="shared" si="325"/>
        <v>#VALUE!</v>
      </c>
      <c r="AD670" s="907">
        <f t="shared" si="326"/>
        <v>0</v>
      </c>
      <c r="AE670" s="904">
        <f>IF(H670&gt;8,tab!C$194,tab!C$197)</f>
        <v>0.5</v>
      </c>
      <c r="AF670" s="907">
        <f t="shared" si="327"/>
        <v>0</v>
      </c>
      <c r="AG670" s="887">
        <f t="shared" si="328"/>
        <v>0</v>
      </c>
      <c r="AH670" s="908" t="e">
        <f t="shared" si="329"/>
        <v>#VALUE!</v>
      </c>
      <c r="AI670" s="815" t="e">
        <f t="shared" si="330"/>
        <v>#VALUE!</v>
      </c>
      <c r="AJ670" s="540">
        <f t="shared" si="331"/>
        <v>30</v>
      </c>
      <c r="AK670" s="540">
        <f t="shared" si="297"/>
        <v>30</v>
      </c>
      <c r="AL670" s="909">
        <f t="shared" si="332"/>
        <v>0</v>
      </c>
      <c r="AN670" s="539">
        <f t="shared" si="333"/>
        <v>0</v>
      </c>
      <c r="AT670" s="317"/>
      <c r="AU670" s="317"/>
    </row>
    <row r="671" spans="3:47" ht="13.15" customHeight="1" x14ac:dyDescent="0.2">
      <c r="C671" s="381"/>
      <c r="D671" s="895" t="str">
        <f>IF(op!D559=0,"",op!D559)</f>
        <v/>
      </c>
      <c r="E671" s="895" t="str">
        <f>IF(op!E559=0,"",op!E559)</f>
        <v/>
      </c>
      <c r="F671" s="390" t="str">
        <f>IF(op!F559="","",op!F559+1)</f>
        <v/>
      </c>
      <c r="G671" s="896" t="str">
        <f>IF(op!G559=0,"",op!G559)</f>
        <v/>
      </c>
      <c r="H671" s="390" t="str">
        <f>IF(op!H559="","",op!H559)</f>
        <v/>
      </c>
      <c r="I671" s="897" t="str">
        <f t="shared" si="320"/>
        <v/>
      </c>
      <c r="J671" s="898" t="str">
        <f>IF(op!J559="","",op!J559)</f>
        <v/>
      </c>
      <c r="K671" s="334"/>
      <c r="L671" s="1140" t="str">
        <f>IF(op!L559="","",op!L559)</f>
        <v/>
      </c>
      <c r="M671" s="1140" t="str">
        <f>IF(op!M559="","",op!M559)</f>
        <v/>
      </c>
      <c r="N671" s="899" t="str">
        <f t="shared" si="334"/>
        <v/>
      </c>
      <c r="O671" s="900" t="str">
        <f t="shared" si="335"/>
        <v/>
      </c>
      <c r="P671" s="901" t="str">
        <f t="shared" si="336"/>
        <v/>
      </c>
      <c r="Q671" s="568" t="str">
        <f t="shared" si="321"/>
        <v/>
      </c>
      <c r="R671" s="902" t="str">
        <f t="shared" si="337"/>
        <v/>
      </c>
      <c r="S671" s="903">
        <f t="shared" si="322"/>
        <v>0</v>
      </c>
      <c r="T671" s="334"/>
      <c r="X671" s="887" t="str">
        <f t="shared" si="323"/>
        <v/>
      </c>
      <c r="Y671" s="904">
        <f t="shared" si="324"/>
        <v>0.6</v>
      </c>
      <c r="Z671" s="905" t="e">
        <f t="shared" si="338"/>
        <v>#VALUE!</v>
      </c>
      <c r="AA671" s="905" t="e">
        <f t="shared" si="339"/>
        <v>#VALUE!</v>
      </c>
      <c r="AB671" s="905" t="e">
        <f t="shared" si="340"/>
        <v>#VALUE!</v>
      </c>
      <c r="AC671" s="906" t="e">
        <f t="shared" si="325"/>
        <v>#VALUE!</v>
      </c>
      <c r="AD671" s="907">
        <f t="shared" si="326"/>
        <v>0</v>
      </c>
      <c r="AE671" s="904">
        <f>IF(H671&gt;8,tab!C$194,tab!C$197)</f>
        <v>0.5</v>
      </c>
      <c r="AF671" s="907">
        <f t="shared" si="327"/>
        <v>0</v>
      </c>
      <c r="AG671" s="887">
        <f t="shared" si="328"/>
        <v>0</v>
      </c>
      <c r="AH671" s="908" t="e">
        <f t="shared" si="329"/>
        <v>#VALUE!</v>
      </c>
      <c r="AI671" s="815" t="e">
        <f t="shared" si="330"/>
        <v>#VALUE!</v>
      </c>
      <c r="AJ671" s="540">
        <f t="shared" si="331"/>
        <v>30</v>
      </c>
      <c r="AK671" s="540">
        <f t="shared" si="297"/>
        <v>30</v>
      </c>
      <c r="AL671" s="909">
        <f t="shared" si="332"/>
        <v>0</v>
      </c>
      <c r="AN671" s="539">
        <f t="shared" si="333"/>
        <v>0</v>
      </c>
      <c r="AT671" s="317"/>
      <c r="AU671" s="317"/>
    </row>
    <row r="672" spans="3:47" ht="13.15" customHeight="1" x14ac:dyDescent="0.2">
      <c r="C672" s="381"/>
      <c r="D672" s="895" t="str">
        <f>IF(op!D560=0,"",op!D560)</f>
        <v/>
      </c>
      <c r="E672" s="895" t="str">
        <f>IF(op!E560=0,"",op!E560)</f>
        <v/>
      </c>
      <c r="F672" s="390" t="str">
        <f>IF(op!F560="","",op!F560+1)</f>
        <v/>
      </c>
      <c r="G672" s="896" t="str">
        <f>IF(op!G560=0,"",op!G560)</f>
        <v/>
      </c>
      <c r="H672" s="390" t="str">
        <f>IF(op!H560="","",op!H560)</f>
        <v/>
      </c>
      <c r="I672" s="897" t="str">
        <f>IF(E672="","",IF(I560=VLOOKUP(H672,Salaris2021,22,FALSE),I560,I560+1))</f>
        <v/>
      </c>
      <c r="J672" s="898" t="str">
        <f>IF(op!J560="","",op!J560)</f>
        <v/>
      </c>
      <c r="K672" s="334"/>
      <c r="L672" s="1140" t="str">
        <f>IF(op!L560="","",op!L560)</f>
        <v/>
      </c>
      <c r="M672" s="1140" t="str">
        <f>IF(op!M560="","",op!M560)</f>
        <v/>
      </c>
      <c r="N672" s="899" t="str">
        <f t="shared" si="334"/>
        <v/>
      </c>
      <c r="O672" s="900" t="str">
        <f t="shared" si="335"/>
        <v/>
      </c>
      <c r="P672" s="901" t="str">
        <f t="shared" si="336"/>
        <v/>
      </c>
      <c r="Q672" s="568" t="str">
        <f>IF(J672="","",(1659*J672-P672)*AA672)</f>
        <v/>
      </c>
      <c r="R672" s="902" t="str">
        <f t="shared" si="337"/>
        <v/>
      </c>
      <c r="S672" s="903">
        <f>IF(E672=0,0,SUM(Q672:R672))</f>
        <v>0</v>
      </c>
      <c r="T672" s="334"/>
      <c r="X672" s="887" t="str">
        <f t="shared" si="323"/>
        <v/>
      </c>
      <c r="Y672" s="904">
        <f t="shared" si="324"/>
        <v>0.6</v>
      </c>
      <c r="Z672" s="905" t="e">
        <f t="shared" si="338"/>
        <v>#VALUE!</v>
      </c>
      <c r="AA672" s="905" t="e">
        <f t="shared" si="339"/>
        <v>#VALUE!</v>
      </c>
      <c r="AB672" s="905" t="e">
        <f t="shared" si="340"/>
        <v>#VALUE!</v>
      </c>
      <c r="AC672" s="906" t="e">
        <f t="shared" si="325"/>
        <v>#VALUE!</v>
      </c>
      <c r="AD672" s="907">
        <f t="shared" si="326"/>
        <v>0</v>
      </c>
      <c r="AE672" s="904">
        <f>IF(H672&gt;8,tab!C$194,tab!C$197)</f>
        <v>0.5</v>
      </c>
      <c r="AF672" s="907">
        <f t="shared" si="327"/>
        <v>0</v>
      </c>
      <c r="AG672" s="887">
        <f>IF(AF672=25,(X672*1.08*J672/2),IF(AF672=40,(Y672*1.08*J672),IF(AF672=0,0)))</f>
        <v>0</v>
      </c>
      <c r="AH672" s="908" t="e">
        <f t="shared" si="329"/>
        <v>#VALUE!</v>
      </c>
      <c r="AI672" s="815" t="e">
        <f>YEAR($E$569)-YEAR(G672)-AH672</f>
        <v>#VALUE!</v>
      </c>
      <c r="AJ672" s="540">
        <f>IF((G672=""),30,AI672)</f>
        <v>30</v>
      </c>
      <c r="AK672" s="540">
        <f t="shared" si="297"/>
        <v>30</v>
      </c>
      <c r="AL672" s="909">
        <f>(AK672*(SUM(J672:J672)))</f>
        <v>0</v>
      </c>
      <c r="AN672" s="539">
        <f t="shared" si="333"/>
        <v>0</v>
      </c>
      <c r="AT672" s="317"/>
      <c r="AU672" s="317"/>
    </row>
    <row r="673" spans="3:47" ht="13.15" customHeight="1" x14ac:dyDescent="0.2">
      <c r="C673" s="381"/>
      <c r="D673" s="895" t="str">
        <f>IF(op!D561=0,"",op!D561)</f>
        <v/>
      </c>
      <c r="E673" s="895" t="str">
        <f>IF(op!E561=0,"",op!E561)</f>
        <v/>
      </c>
      <c r="F673" s="390" t="str">
        <f>IF(op!F561="","",op!F561+1)</f>
        <v/>
      </c>
      <c r="G673" s="896" t="str">
        <f>IF(op!G561=0,"",op!G561)</f>
        <v/>
      </c>
      <c r="H673" s="390" t="str">
        <f>IF(op!H561="","",op!H561)</f>
        <v/>
      </c>
      <c r="I673" s="897" t="str">
        <f>IF(E673="","",IF(I561=VLOOKUP(H673,Salaris2021,22,FALSE),I561,I561+1))</f>
        <v/>
      </c>
      <c r="J673" s="898" t="str">
        <f>IF(op!J561="","",op!J561)</f>
        <v/>
      </c>
      <c r="K673" s="334"/>
      <c r="L673" s="1140" t="str">
        <f>IF(op!L561="","",op!L561)</f>
        <v/>
      </c>
      <c r="M673" s="1140" t="str">
        <f>IF(op!M561="","",op!M561)</f>
        <v/>
      </c>
      <c r="N673" s="899" t="str">
        <f t="shared" si="334"/>
        <v/>
      </c>
      <c r="O673" s="900" t="str">
        <f t="shared" si="335"/>
        <v/>
      </c>
      <c r="P673" s="901" t="str">
        <f t="shared" si="336"/>
        <v/>
      </c>
      <c r="Q673" s="568" t="str">
        <f>IF(J673="","",(1659*J673-P673)*AA673)</f>
        <v/>
      </c>
      <c r="R673" s="902" t="str">
        <f t="shared" si="337"/>
        <v/>
      </c>
      <c r="S673" s="903">
        <f>IF(E673=0,0,SUM(Q673:R673))</f>
        <v>0</v>
      </c>
      <c r="T673" s="334"/>
      <c r="X673" s="887" t="str">
        <f t="shared" si="323"/>
        <v/>
      </c>
      <c r="Y673" s="904">
        <f t="shared" si="324"/>
        <v>0.6</v>
      </c>
      <c r="Z673" s="905" t="e">
        <f t="shared" si="338"/>
        <v>#VALUE!</v>
      </c>
      <c r="AA673" s="905" t="e">
        <f t="shared" si="339"/>
        <v>#VALUE!</v>
      </c>
      <c r="AB673" s="905" t="e">
        <f t="shared" si="340"/>
        <v>#VALUE!</v>
      </c>
      <c r="AC673" s="906" t="e">
        <f t="shared" si="325"/>
        <v>#VALUE!</v>
      </c>
      <c r="AD673" s="907">
        <f t="shared" si="326"/>
        <v>0</v>
      </c>
      <c r="AE673" s="904">
        <f>IF(H673&gt;8,tab!C$194,tab!C$197)</f>
        <v>0.5</v>
      </c>
      <c r="AF673" s="907">
        <f t="shared" si="327"/>
        <v>0</v>
      </c>
      <c r="AG673" s="887">
        <f>IF(AF673=25,(X673*1.08*J673/2),IF(AF673=40,(Y673*1.08*J673),IF(AF673=0,0)))</f>
        <v>0</v>
      </c>
      <c r="AH673" s="908" t="e">
        <f t="shared" si="329"/>
        <v>#VALUE!</v>
      </c>
      <c r="AI673" s="815" t="e">
        <f>YEAR($E$569)-YEAR(G673)-AH673</f>
        <v>#VALUE!</v>
      </c>
      <c r="AJ673" s="540">
        <f>IF((G673=""),30,AI673)</f>
        <v>30</v>
      </c>
      <c r="AK673" s="540">
        <f t="shared" si="297"/>
        <v>30</v>
      </c>
      <c r="AL673" s="909">
        <f>(AK673*(SUM(J673:J673)))</f>
        <v>0</v>
      </c>
      <c r="AN673" s="539">
        <f t="shared" si="333"/>
        <v>0</v>
      </c>
      <c r="AT673" s="317"/>
      <c r="AU673" s="317"/>
    </row>
    <row r="674" spans="3:47" ht="13.15" customHeight="1" x14ac:dyDescent="0.2">
      <c r="C674" s="381"/>
      <c r="D674" s="895" t="str">
        <f>IF(op!D562=0,"",op!D562)</f>
        <v/>
      </c>
      <c r="E674" s="895" t="str">
        <f>IF(op!E562=0,"",op!E562)</f>
        <v/>
      </c>
      <c r="F674" s="390" t="str">
        <f>IF(op!F562="","",op!F562+1)</f>
        <v/>
      </c>
      <c r="G674" s="896" t="str">
        <f>IF(op!G562=0,"",op!G562)</f>
        <v/>
      </c>
      <c r="H674" s="390" t="str">
        <f>IF(op!H562="","",op!H562)</f>
        <v/>
      </c>
      <c r="I674" s="897" t="str">
        <f>IF(E674="","",IF(I562=VLOOKUP(H674,Salaris2021,22,FALSE),I562,I562+1))</f>
        <v/>
      </c>
      <c r="J674" s="898" t="str">
        <f>IF(op!J562="","",op!J562)</f>
        <v/>
      </c>
      <c r="K674" s="334"/>
      <c r="L674" s="1140" t="str">
        <f>IF(op!L562="","",op!L562)</f>
        <v/>
      </c>
      <c r="M674" s="1140" t="str">
        <f>IF(op!M562="","",op!M562)</f>
        <v/>
      </c>
      <c r="N674" s="899" t="str">
        <f t="shared" si="334"/>
        <v/>
      </c>
      <c r="O674" s="900" t="str">
        <f t="shared" si="335"/>
        <v/>
      </c>
      <c r="P674" s="901" t="str">
        <f t="shared" si="336"/>
        <v/>
      </c>
      <c r="Q674" s="568" t="str">
        <f>IF(J674="","",(1659*J674-P674)*AA674)</f>
        <v/>
      </c>
      <c r="R674" s="902" t="str">
        <f t="shared" si="337"/>
        <v/>
      </c>
      <c r="S674" s="903">
        <f>IF(E674=0,0,SUM(Q674:R674))</f>
        <v>0</v>
      </c>
      <c r="T674" s="334"/>
      <c r="X674" s="887" t="str">
        <f t="shared" si="323"/>
        <v/>
      </c>
      <c r="Y674" s="904">
        <f t="shared" si="324"/>
        <v>0.6</v>
      </c>
      <c r="Z674" s="905" t="e">
        <f t="shared" si="338"/>
        <v>#VALUE!</v>
      </c>
      <c r="AA674" s="905" t="e">
        <f t="shared" si="339"/>
        <v>#VALUE!</v>
      </c>
      <c r="AB674" s="905" t="e">
        <f t="shared" si="340"/>
        <v>#VALUE!</v>
      </c>
      <c r="AC674" s="906" t="e">
        <f t="shared" si="325"/>
        <v>#VALUE!</v>
      </c>
      <c r="AD674" s="907">
        <f t="shared" si="326"/>
        <v>0</v>
      </c>
      <c r="AE674" s="904">
        <f>IF(H674&gt;8,tab!C$194,tab!C$197)</f>
        <v>0.5</v>
      </c>
      <c r="AF674" s="907">
        <f t="shared" si="327"/>
        <v>0</v>
      </c>
      <c r="AG674" s="887">
        <f>IF(AF674=25,(X674*1.08*J674/2),IF(AF674=40,(Y674*1.08*J674),IF(AF674=0,0)))</f>
        <v>0</v>
      </c>
      <c r="AH674" s="908" t="e">
        <f t="shared" si="329"/>
        <v>#VALUE!</v>
      </c>
      <c r="AI674" s="815" t="e">
        <f>YEAR($E$569)-YEAR(G674)-AH674</f>
        <v>#VALUE!</v>
      </c>
      <c r="AJ674" s="540">
        <f>IF((G674=""),30,AI674)</f>
        <v>30</v>
      </c>
      <c r="AK674" s="540">
        <f t="shared" si="297"/>
        <v>30</v>
      </c>
      <c r="AL674" s="909">
        <f>(AK674*(SUM(J674:J674)))</f>
        <v>0</v>
      </c>
      <c r="AN674" s="539">
        <f t="shared" si="333"/>
        <v>0</v>
      </c>
      <c r="AT674" s="317"/>
      <c r="AU674" s="317"/>
    </row>
    <row r="675" spans="3:47" ht="13.15" customHeight="1" x14ac:dyDescent="0.2">
      <c r="C675" s="381"/>
      <c r="D675" s="895" t="str">
        <f>IF(op!D563=0,"",op!D563)</f>
        <v/>
      </c>
      <c r="E675" s="895" t="str">
        <f>IF(op!E563=0,"",op!E563)</f>
        <v/>
      </c>
      <c r="F675" s="390" t="str">
        <f>IF(op!F563="","",op!F563+1)</f>
        <v/>
      </c>
      <c r="G675" s="896" t="str">
        <f>IF(op!G563=0,"",op!G563)</f>
        <v/>
      </c>
      <c r="H675" s="390" t="str">
        <f>IF(op!H563="","",op!H563)</f>
        <v/>
      </c>
      <c r="I675" s="897" t="str">
        <f>IF(E675="","",IF(I563=VLOOKUP(H675,Salaris2021,22,FALSE),I563,I563+1))</f>
        <v/>
      </c>
      <c r="J675" s="898" t="str">
        <f>IF(op!J563="","",op!J563)</f>
        <v/>
      </c>
      <c r="K675" s="334"/>
      <c r="L675" s="1140" t="str">
        <f>IF(op!L563="","",op!L563)</f>
        <v/>
      </c>
      <c r="M675" s="1140" t="str">
        <f>IF(op!M563="","",op!M563)</f>
        <v/>
      </c>
      <c r="N675" s="899" t="str">
        <f t="shared" si="334"/>
        <v/>
      </c>
      <c r="O675" s="900" t="str">
        <f t="shared" si="335"/>
        <v/>
      </c>
      <c r="P675" s="901" t="str">
        <f t="shared" si="336"/>
        <v/>
      </c>
      <c r="Q675" s="568" t="str">
        <f>IF(J675="","",(1659*J675-P675)*AA675)</f>
        <v/>
      </c>
      <c r="R675" s="902" t="str">
        <f t="shared" si="337"/>
        <v/>
      </c>
      <c r="S675" s="903">
        <f>IF(E675=0,0,SUM(Q675:R675))</f>
        <v>0</v>
      </c>
      <c r="T675" s="334"/>
      <c r="X675" s="887" t="str">
        <f t="shared" si="323"/>
        <v/>
      </c>
      <c r="Y675" s="904">
        <f t="shared" si="324"/>
        <v>0.6</v>
      </c>
      <c r="Z675" s="905" t="e">
        <f t="shared" si="338"/>
        <v>#VALUE!</v>
      </c>
      <c r="AA675" s="905" t="e">
        <f t="shared" si="339"/>
        <v>#VALUE!</v>
      </c>
      <c r="AB675" s="905" t="e">
        <f t="shared" si="340"/>
        <v>#VALUE!</v>
      </c>
      <c r="AC675" s="906" t="e">
        <f t="shared" si="325"/>
        <v>#VALUE!</v>
      </c>
      <c r="AD675" s="907">
        <f t="shared" si="326"/>
        <v>0</v>
      </c>
      <c r="AE675" s="904">
        <f>IF(H675&gt;8,tab!C$194,tab!C$197)</f>
        <v>0.5</v>
      </c>
      <c r="AF675" s="907">
        <f t="shared" si="327"/>
        <v>0</v>
      </c>
      <c r="AG675" s="887">
        <f>IF(AF675=25,(X675*1.08*J675/2),IF(AF675=40,(Y675*1.08*J675),IF(AF675=0,0)))</f>
        <v>0</v>
      </c>
      <c r="AH675" s="908" t="e">
        <f t="shared" si="329"/>
        <v>#VALUE!</v>
      </c>
      <c r="AI675" s="815" t="e">
        <f>YEAR($E$569)-YEAR(G675)-AH675</f>
        <v>#VALUE!</v>
      </c>
      <c r="AJ675" s="540">
        <f>IF((G675=""),30,AI675)</f>
        <v>30</v>
      </c>
      <c r="AK675" s="540">
        <f t="shared" si="297"/>
        <v>30</v>
      </c>
      <c r="AL675" s="909">
        <f>(AK675*(SUM(J675:J675)))</f>
        <v>0</v>
      </c>
      <c r="AN675" s="539">
        <f t="shared" si="333"/>
        <v>0</v>
      </c>
      <c r="AT675" s="317"/>
      <c r="AU675" s="317"/>
    </row>
    <row r="676" spans="3:47" ht="13.15" customHeight="1" x14ac:dyDescent="0.2">
      <c r="C676" s="381"/>
      <c r="D676" s="319"/>
      <c r="E676" s="342"/>
      <c r="F676" s="319"/>
      <c r="G676" s="910"/>
      <c r="H676" s="342"/>
      <c r="I676" s="911"/>
      <c r="J676" s="912">
        <f>SUM(J576:J675)</f>
        <v>1</v>
      </c>
      <c r="K676" s="319"/>
      <c r="L676" s="913">
        <f t="shared" ref="L676:S676" si="341">SUM(L576:L675)</f>
        <v>0</v>
      </c>
      <c r="M676" s="913">
        <f t="shared" si="341"/>
        <v>0</v>
      </c>
      <c r="N676" s="913">
        <f t="shared" si="341"/>
        <v>40</v>
      </c>
      <c r="O676" s="913">
        <f t="shared" si="341"/>
        <v>0</v>
      </c>
      <c r="P676" s="914">
        <f t="shared" si="341"/>
        <v>40</v>
      </c>
      <c r="Q676" s="571">
        <f t="shared" si="341"/>
        <v>79613.812658227849</v>
      </c>
      <c r="R676" s="915">
        <f t="shared" si="341"/>
        <v>1966.9873417721519</v>
      </c>
      <c r="S676" s="571">
        <f t="shared" si="341"/>
        <v>81580.800000000003</v>
      </c>
      <c r="T676" s="319"/>
      <c r="AG676" s="575">
        <f>SUM(AG576:AG675)</f>
        <v>0</v>
      </c>
      <c r="AH676" s="563"/>
      <c r="AI676" s="563"/>
      <c r="AL676" s="909">
        <f>ROUND(SUM(AL576:AL675)/AN676,2)</f>
        <v>47</v>
      </c>
      <c r="AN676" s="539">
        <f>SUM(AN576:AN675)</f>
        <v>1</v>
      </c>
      <c r="AT676" s="317"/>
      <c r="AU676" s="317"/>
    </row>
    <row r="677" spans="3:47" ht="13.15" customHeight="1" x14ac:dyDescent="0.2"/>
    <row r="678" spans="3:47" ht="13.15" customHeight="1" x14ac:dyDescent="0.2"/>
    <row r="679" spans="3:47" ht="13.15" customHeight="1" x14ac:dyDescent="0.2"/>
    <row r="680" spans="3:47" ht="13.15" customHeight="1" x14ac:dyDescent="0.2"/>
    <row r="681" spans="3:47" ht="13.15" customHeight="1" x14ac:dyDescent="0.2"/>
    <row r="682" spans="3:47" ht="13.15" customHeight="1" x14ac:dyDescent="0.2"/>
    <row r="683" spans="3:47" ht="13.15" customHeight="1" x14ac:dyDescent="0.2"/>
    <row r="684" spans="3:47" ht="13.15" customHeight="1" x14ac:dyDescent="0.2"/>
    <row r="685" spans="3:47" ht="13.15" customHeight="1" x14ac:dyDescent="0.2"/>
    <row r="686" spans="3:47" ht="13.15" customHeight="1" x14ac:dyDescent="0.2"/>
    <row r="687" spans="3:47" ht="13.15" customHeight="1" x14ac:dyDescent="0.2"/>
    <row r="688" spans="3:47" ht="13.15" customHeight="1" x14ac:dyDescent="0.2"/>
  </sheetData>
  <sheetProtection algorithmName="SHA-512" hashValue="5Fuzv5e0C3hxbBkh9YxLRHJUteeCsgKiYNo1wwTMhfMJuxo5Ar0egRIwwqwvPrpFHmR4CYepsNyDBR/v9TMFWg==" saltValue="3yiL54ZBLgQSpwm3m8L9kA=="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xr:uid="{00000000-0002-0000-0500-000000000000}">
      <formula1>1</formula1>
      <formula2>16</formula2>
    </dataValidation>
    <dataValidation type="list" allowBlank="1" showInputMessage="1" showErrorMessage="1" sqref="H7:H10 H16:H115" xr:uid="{00000000-0002-0000-0500-000001000000}">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118" min="1" max="20" man="1"/>
    <brk id="229"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413"/>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4" customWidth="1"/>
    <col min="24" max="24" width="8.7109375" style="694" customWidth="1"/>
    <col min="25" max="25" width="7.140625" style="730" customWidth="1"/>
    <col min="26" max="26" width="10" style="544" customWidth="1"/>
    <col min="27" max="28" width="9.28515625" style="544" customWidth="1"/>
    <col min="29" max="29" width="9.42578125" style="544" customWidth="1"/>
    <col min="30" max="30" width="8.7109375" style="544" customWidth="1"/>
    <col min="31" max="31" width="8.140625" style="544" customWidth="1"/>
    <col min="32" max="32" width="8" style="544" customWidth="1"/>
    <col min="33" max="33" width="9.85546875" style="694" customWidth="1"/>
    <col min="34" max="34" width="12.7109375" style="730" customWidth="1"/>
    <col min="35" max="35" width="12.7109375" style="544" customWidth="1"/>
    <col min="36" max="36" width="1.5703125" style="544" customWidth="1"/>
    <col min="37" max="38" width="10.7109375" style="544" customWidth="1"/>
    <col min="39" max="40" width="2.7109375" style="544" customWidth="1"/>
    <col min="41" max="42" width="9.28515625" style="544"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51"/>
      <c r="Q2" s="85"/>
      <c r="R2" s="84"/>
      <c r="S2" s="960"/>
      <c r="T2" s="10"/>
      <c r="U2" s="12"/>
    </row>
    <row r="3" spans="2:42" ht="12.6" customHeight="1" x14ac:dyDescent="0.2">
      <c r="B3" s="18"/>
      <c r="C3" s="20"/>
      <c r="D3" s="60"/>
      <c r="E3" s="60"/>
      <c r="F3" s="60"/>
      <c r="G3" s="60"/>
      <c r="H3" s="89"/>
      <c r="I3" s="89"/>
      <c r="J3" s="88"/>
      <c r="K3" s="20"/>
      <c r="L3" s="89"/>
      <c r="M3" s="21"/>
      <c r="N3" s="20"/>
      <c r="O3" s="20"/>
      <c r="P3" s="1152"/>
      <c r="Q3" s="91"/>
      <c r="R3" s="90"/>
      <c r="S3" s="193"/>
      <c r="T3" s="20"/>
      <c r="U3" s="22"/>
    </row>
    <row r="4" spans="2:42" s="620" customFormat="1" ht="19.899999999999999" customHeight="1" x14ac:dyDescent="0.3">
      <c r="B4" s="612"/>
      <c r="C4" s="360" t="s">
        <v>149</v>
      </c>
      <c r="D4" s="613"/>
      <c r="E4" s="613"/>
      <c r="F4" s="613"/>
      <c r="G4" s="613"/>
      <c r="H4" s="614"/>
      <c r="I4" s="614"/>
      <c r="J4" s="615"/>
      <c r="K4" s="613"/>
      <c r="L4" s="614"/>
      <c r="M4" s="616"/>
      <c r="N4" s="613"/>
      <c r="O4" s="613"/>
      <c r="P4" s="1153"/>
      <c r="Q4" s="617"/>
      <c r="R4" s="618"/>
      <c r="S4" s="961"/>
      <c r="T4" s="613"/>
      <c r="U4" s="619"/>
      <c r="V4" s="732"/>
      <c r="W4" s="732"/>
      <c r="X4" s="734"/>
      <c r="Y4" s="731"/>
      <c r="Z4" s="734"/>
      <c r="AA4" s="734"/>
      <c r="AB4" s="734"/>
      <c r="AC4" s="734"/>
      <c r="AD4" s="735"/>
      <c r="AE4" s="736"/>
      <c r="AF4" s="737"/>
      <c r="AG4" s="738"/>
      <c r="AH4" s="735"/>
      <c r="AI4" s="732"/>
      <c r="AJ4" s="732"/>
      <c r="AK4" s="732"/>
      <c r="AL4" s="732"/>
      <c r="AM4" s="732"/>
      <c r="AN4" s="732"/>
      <c r="AO4" s="732"/>
      <c r="AP4" s="732"/>
    </row>
    <row r="5" spans="2:42" s="92" customFormat="1" ht="13.9" customHeight="1" x14ac:dyDescent="0.3">
      <c r="B5" s="589"/>
      <c r="C5" s="194" t="str">
        <f>+geg!H9</f>
        <v>M.L. Kingschool</v>
      </c>
      <c r="D5" s="590"/>
      <c r="E5" s="590"/>
      <c r="F5" s="590"/>
      <c r="G5" s="590"/>
      <c r="H5" s="591"/>
      <c r="I5" s="591"/>
      <c r="J5" s="592"/>
      <c r="K5" s="590"/>
      <c r="L5" s="591"/>
      <c r="M5" s="593"/>
      <c r="N5" s="590"/>
      <c r="O5" s="590"/>
      <c r="P5" s="1154"/>
      <c r="Q5" s="594"/>
      <c r="R5" s="595"/>
      <c r="S5" s="962"/>
      <c r="T5" s="590"/>
      <c r="U5" s="596"/>
      <c r="V5" s="732"/>
      <c r="W5" s="732"/>
      <c r="X5" s="734"/>
      <c r="Y5" s="731"/>
      <c r="Z5" s="734"/>
      <c r="AA5" s="734"/>
      <c r="AB5" s="734"/>
      <c r="AC5" s="734"/>
      <c r="AD5" s="735"/>
      <c r="AE5" s="736"/>
      <c r="AF5" s="737"/>
      <c r="AG5" s="738"/>
      <c r="AH5" s="735"/>
      <c r="AI5" s="732"/>
      <c r="AJ5" s="732"/>
      <c r="AK5" s="732"/>
      <c r="AL5" s="732"/>
      <c r="AM5" s="732"/>
      <c r="AN5" s="732"/>
      <c r="AO5" s="732"/>
      <c r="AP5" s="732"/>
    </row>
    <row r="6" spans="2:42" ht="12.6" customHeight="1" x14ac:dyDescent="0.2">
      <c r="B6" s="18"/>
      <c r="C6" s="20"/>
      <c r="D6" s="20"/>
      <c r="E6" s="20"/>
      <c r="F6" s="60"/>
      <c r="G6" s="60"/>
      <c r="H6" s="89"/>
      <c r="I6" s="89"/>
      <c r="J6" s="88"/>
      <c r="K6" s="20"/>
      <c r="L6" s="89"/>
      <c r="M6" s="21"/>
      <c r="N6" s="20"/>
      <c r="O6" s="20"/>
      <c r="P6" s="1152"/>
      <c r="Q6" s="91"/>
      <c r="R6" s="90"/>
      <c r="S6" s="193"/>
      <c r="T6" s="20"/>
      <c r="U6" s="22"/>
      <c r="X6" s="658"/>
      <c r="Y6" s="659"/>
      <c r="Z6" s="658"/>
      <c r="AA6" s="658"/>
      <c r="AB6" s="658"/>
      <c r="AC6" s="658"/>
      <c r="AD6" s="660"/>
      <c r="AE6" s="661"/>
      <c r="AF6" s="662"/>
      <c r="AG6" s="663"/>
      <c r="AH6" s="660"/>
    </row>
    <row r="7" spans="2:42" ht="13.15" hidden="1" customHeight="1" x14ac:dyDescent="0.2">
      <c r="B7" s="18"/>
      <c r="C7" s="636" t="s">
        <v>48</v>
      </c>
      <c r="D7" s="637"/>
      <c r="E7" s="638" t="str">
        <f>tab!D2</f>
        <v>2019/20</v>
      </c>
      <c r="F7" s="60"/>
      <c r="G7" s="172"/>
      <c r="H7" s="21"/>
      <c r="I7" s="89"/>
      <c r="J7" s="160"/>
      <c r="K7" s="20"/>
      <c r="L7" s="173"/>
      <c r="M7" s="173"/>
      <c r="N7" s="161"/>
      <c r="O7" s="161"/>
      <c r="P7" s="1158"/>
      <c r="Q7" s="163"/>
      <c r="R7" s="162"/>
      <c r="S7" s="193"/>
      <c r="T7" s="20"/>
      <c r="U7" s="22"/>
    </row>
    <row r="8" spans="2:42" ht="13.15" hidden="1" customHeight="1" x14ac:dyDescent="0.2">
      <c r="B8" s="18"/>
      <c r="C8" s="636" t="s">
        <v>125</v>
      </c>
      <c r="D8" s="637"/>
      <c r="E8" s="638">
        <f>tab!E3</f>
        <v>43739</v>
      </c>
      <c r="F8" s="60"/>
      <c r="G8" s="172"/>
      <c r="H8" s="21"/>
      <c r="I8" s="89"/>
      <c r="J8" s="160"/>
      <c r="K8" s="20"/>
      <c r="L8" s="173"/>
      <c r="M8" s="173"/>
      <c r="N8" s="161"/>
      <c r="O8" s="161"/>
      <c r="P8" s="1158"/>
      <c r="Q8" s="163"/>
      <c r="R8" s="162"/>
      <c r="S8" s="193"/>
      <c r="T8" s="20"/>
      <c r="U8" s="22"/>
    </row>
    <row r="9" spans="2:42" ht="13.15" hidden="1" customHeight="1" x14ac:dyDescent="0.2">
      <c r="B9" s="18"/>
      <c r="C9" s="20"/>
      <c r="D9" s="60"/>
      <c r="E9" s="60"/>
      <c r="F9" s="60"/>
      <c r="G9" s="172"/>
      <c r="H9" s="21"/>
      <c r="I9" s="89"/>
      <c r="J9" s="160"/>
      <c r="K9" s="20"/>
      <c r="L9" s="173"/>
      <c r="M9" s="173"/>
      <c r="N9" s="161"/>
      <c r="O9" s="161"/>
      <c r="P9" s="1158"/>
      <c r="Q9" s="163"/>
      <c r="R9" s="162"/>
      <c r="S9" s="193"/>
      <c r="T9" s="20"/>
      <c r="U9" s="22"/>
    </row>
    <row r="10" spans="2:42" ht="13.15" hidden="1" customHeight="1" x14ac:dyDescent="0.2">
      <c r="B10" s="18"/>
      <c r="C10" s="23"/>
      <c r="D10" s="100"/>
      <c r="E10" s="101"/>
      <c r="F10" s="25"/>
      <c r="G10" s="102"/>
      <c r="H10" s="103"/>
      <c r="I10" s="103"/>
      <c r="J10" s="104"/>
      <c r="K10" s="24"/>
      <c r="L10" s="105"/>
      <c r="M10" s="25"/>
      <c r="N10" s="24"/>
      <c r="O10" s="24"/>
      <c r="P10" s="1159"/>
      <c r="Q10" s="25"/>
      <c r="R10" s="106"/>
      <c r="S10" s="968"/>
      <c r="T10" s="77"/>
      <c r="U10" s="22"/>
      <c r="X10" s="666"/>
      <c r="Y10" s="667"/>
      <c r="Z10" s="666"/>
      <c r="AA10" s="666"/>
      <c r="AB10" s="666"/>
      <c r="AC10" s="658"/>
      <c r="AD10" s="668"/>
      <c r="AE10" s="669"/>
      <c r="AF10" s="670"/>
      <c r="AG10" s="671"/>
      <c r="AH10" s="668"/>
    </row>
    <row r="11" spans="2:42" ht="13.15" hidden="1" customHeight="1" x14ac:dyDescent="0.2">
      <c r="B11" s="18"/>
      <c r="C11" s="597"/>
      <c r="D11" s="1340" t="s">
        <v>126</v>
      </c>
      <c r="E11" s="1341"/>
      <c r="F11" s="1341"/>
      <c r="G11" s="1341"/>
      <c r="H11" s="1342"/>
      <c r="I11" s="1342"/>
      <c r="J11" s="1342"/>
      <c r="K11" s="685"/>
      <c r="L11" s="686" t="s">
        <v>440</v>
      </c>
      <c r="M11" s="687"/>
      <c r="N11" s="688"/>
      <c r="O11" s="688"/>
      <c r="P11" s="1155"/>
      <c r="Q11" s="579" t="s">
        <v>450</v>
      </c>
      <c r="R11" s="688"/>
      <c r="S11" s="964"/>
      <c r="T11" s="598"/>
      <c r="U11" s="164"/>
      <c r="V11" s="660"/>
      <c r="W11" s="660"/>
      <c r="X11" s="544"/>
      <c r="Y11" s="544"/>
      <c r="AG11" s="544"/>
      <c r="AH11" s="544"/>
      <c r="AI11" s="692"/>
      <c r="AJ11" s="692"/>
    </row>
    <row r="12" spans="2:42" ht="13.15" hidden="1" customHeight="1" x14ac:dyDescent="0.2">
      <c r="B12" s="18"/>
      <c r="C12" s="282"/>
      <c r="D12" s="696" t="s">
        <v>127</v>
      </c>
      <c r="E12" s="696" t="s">
        <v>88</v>
      </c>
      <c r="F12" s="697" t="s">
        <v>128</v>
      </c>
      <c r="G12" s="698" t="s">
        <v>129</v>
      </c>
      <c r="H12" s="697" t="s">
        <v>130</v>
      </c>
      <c r="I12" s="697" t="s">
        <v>131</v>
      </c>
      <c r="J12" s="699" t="s">
        <v>132</v>
      </c>
      <c r="K12" s="696"/>
      <c r="L12" s="700" t="s">
        <v>441</v>
      </c>
      <c r="M12" s="700" t="s">
        <v>444</v>
      </c>
      <c r="N12" s="700" t="s">
        <v>446</v>
      </c>
      <c r="O12" s="700" t="s">
        <v>443</v>
      </c>
      <c r="P12" s="701" t="s">
        <v>449</v>
      </c>
      <c r="Q12" s="700" t="s">
        <v>133</v>
      </c>
      <c r="R12" s="702" t="s">
        <v>453</v>
      </c>
      <c r="S12" s="703" t="s">
        <v>133</v>
      </c>
      <c r="T12" s="600"/>
      <c r="U12" s="166"/>
      <c r="V12" s="706"/>
      <c r="W12" s="706"/>
      <c r="X12" s="705" t="s">
        <v>139</v>
      </c>
      <c r="Y12" s="706" t="s">
        <v>454</v>
      </c>
      <c r="Z12" s="707" t="s">
        <v>455</v>
      </c>
      <c r="AA12" s="707" t="s">
        <v>455</v>
      </c>
      <c r="AB12" s="707" t="s">
        <v>456</v>
      </c>
      <c r="AC12" s="707" t="s">
        <v>457</v>
      </c>
      <c r="AD12" s="707" t="s">
        <v>458</v>
      </c>
      <c r="AE12" s="707" t="s">
        <v>459</v>
      </c>
      <c r="AF12" s="707" t="s">
        <v>134</v>
      </c>
      <c r="AG12" s="703" t="s">
        <v>135</v>
      </c>
      <c r="AH12" s="544"/>
      <c r="AI12" s="692"/>
      <c r="AJ12" s="708"/>
    </row>
    <row r="13" spans="2:42" ht="13.15" hidden="1" customHeight="1" x14ac:dyDescent="0.2">
      <c r="B13" s="18"/>
      <c r="C13" s="31"/>
      <c r="D13" s="709"/>
      <c r="E13" s="696"/>
      <c r="F13" s="697" t="s">
        <v>136</v>
      </c>
      <c r="G13" s="698" t="s">
        <v>137</v>
      </c>
      <c r="H13" s="697"/>
      <c r="I13" s="697"/>
      <c r="J13" s="699" t="s">
        <v>467</v>
      </c>
      <c r="K13" s="696"/>
      <c r="L13" s="700" t="s">
        <v>442</v>
      </c>
      <c r="M13" s="700" t="s">
        <v>445</v>
      </c>
      <c r="N13" s="700" t="s">
        <v>447</v>
      </c>
      <c r="O13" s="700" t="s">
        <v>448</v>
      </c>
      <c r="P13" s="701" t="s">
        <v>141</v>
      </c>
      <c r="Q13" s="707" t="s">
        <v>451</v>
      </c>
      <c r="R13" s="702" t="s">
        <v>452</v>
      </c>
      <c r="S13" s="710" t="s">
        <v>141</v>
      </c>
      <c r="T13" s="601"/>
      <c r="U13" s="22"/>
      <c r="X13" s="707" t="s">
        <v>460</v>
      </c>
      <c r="Y13" s="711">
        <f>tab!C$193</f>
        <v>0.6</v>
      </c>
      <c r="Z13" s="707" t="s">
        <v>461</v>
      </c>
      <c r="AA13" s="707" t="s">
        <v>462</v>
      </c>
      <c r="AB13" s="707" t="s">
        <v>463</v>
      </c>
      <c r="AC13" s="707" t="s">
        <v>464</v>
      </c>
      <c r="AD13" s="707" t="s">
        <v>464</v>
      </c>
      <c r="AE13" s="707" t="s">
        <v>465</v>
      </c>
      <c r="AF13" s="707"/>
      <c r="AG13" s="707" t="s">
        <v>140</v>
      </c>
      <c r="AH13" s="544"/>
      <c r="AJ13" s="712"/>
    </row>
    <row r="14" spans="2:42" ht="13.15" hidden="1" customHeight="1" x14ac:dyDescent="0.2">
      <c r="B14" s="18"/>
      <c r="C14" s="31"/>
      <c r="D14" s="1"/>
      <c r="E14" s="1"/>
      <c r="F14" s="1"/>
      <c r="G14" s="109"/>
      <c r="H14" s="110"/>
      <c r="I14" s="110"/>
      <c r="J14" s="111"/>
      <c r="K14" s="1"/>
      <c r="L14" s="112"/>
      <c r="M14" s="113"/>
      <c r="N14" s="113"/>
      <c r="O14" s="113"/>
      <c r="P14" s="606"/>
      <c r="Q14" s="113"/>
      <c r="R14" s="114"/>
      <c r="S14" s="965"/>
      <c r="T14" s="165"/>
      <c r="U14" s="22"/>
      <c r="X14" s="739"/>
      <c r="Y14" s="740"/>
      <c r="AG14" s="544"/>
      <c r="AH14" s="544"/>
      <c r="AJ14" s="712"/>
    </row>
    <row r="15" spans="2:42" ht="13.15" hidden="1" customHeight="1" x14ac:dyDescent="0.2">
      <c r="B15" s="18"/>
      <c r="C15" s="31"/>
      <c r="D15" s="117"/>
      <c r="E15" s="117" t="s">
        <v>148</v>
      </c>
      <c r="F15" s="33">
        <v>25</v>
      </c>
      <c r="G15" s="118">
        <v>28341</v>
      </c>
      <c r="H15" s="33">
        <v>8</v>
      </c>
      <c r="I15" s="119">
        <v>7</v>
      </c>
      <c r="J15" s="120">
        <v>1</v>
      </c>
      <c r="K15" s="170"/>
      <c r="L15" s="1141">
        <v>0</v>
      </c>
      <c r="M15" s="1141">
        <v>0</v>
      </c>
      <c r="N15" s="804">
        <f>IF(J15="","",IF(J15*40&gt;40,40,J15*40))</f>
        <v>40</v>
      </c>
      <c r="O15" s="795"/>
      <c r="P15" s="1156">
        <f>IF(J15="","",SUM(L15:O15))</f>
        <v>40</v>
      </c>
      <c r="Q15" s="957">
        <f>IF(J15="","",(1659*J15-P15)*AA15)</f>
        <v>54022.097166968051</v>
      </c>
      <c r="R15" s="767">
        <f>IF(J15="","",(P15*AB15)+Z15*(AC15+AD15*(1-AE15)))</f>
        <v>1334.702833031947</v>
      </c>
      <c r="S15" s="966">
        <f>SUM(Q15:R15)</f>
        <v>55356.799999999996</v>
      </c>
      <c r="T15" s="116"/>
      <c r="U15" s="22"/>
      <c r="X15" s="760">
        <f t="shared" ref="X15:X46" si="0">IF(H15="","",5/12*VLOOKUP(H15,Salaris2019,I15+1,FALSE)+7/12*VLOOKUP(H15,Salaris2020,I15+1,FALSE))</f>
        <v>2883.166666666667</v>
      </c>
      <c r="Y15" s="745">
        <f>$Y$13</f>
        <v>0.6</v>
      </c>
      <c r="Z15" s="758">
        <f>X15*12/1659</f>
        <v>20.854731766124171</v>
      </c>
      <c r="AA15" s="758">
        <f>X15*12*(1+Y15)/1659</f>
        <v>33.367570825798673</v>
      </c>
      <c r="AB15" s="758">
        <f>AA15-Z15</f>
        <v>12.512839059674501</v>
      </c>
      <c r="AC15" s="544">
        <f t="shared" ref="AC15:AC46" si="1">N15+O15</f>
        <v>40</v>
      </c>
      <c r="AD15" s="544">
        <f t="shared" ref="AD15:AD46" si="2">L15+M15</f>
        <v>0</v>
      </c>
      <c r="AE15" s="759">
        <f>IF(H15&gt;8,tab!C$194,tab!C$197)</f>
        <v>0.4</v>
      </c>
      <c r="AF15" s="544">
        <f t="shared" ref="AF15:AF46" si="3">IF(F15&lt;25,0,IF(F15=25,25,IF(F15&lt;40,0,IF(F15=40,40,IF(F15&gt;=40,0)))))</f>
        <v>25</v>
      </c>
      <c r="AG15" s="760">
        <f t="shared" ref="AG15:AG46" si="4">IF(AF15=25,(X15*1.08*(J15)/2),IF(AF15=40,(V15*1.08*(J15)),IF(AF15=0,0)))</f>
        <v>1556.9100000000003</v>
      </c>
    </row>
    <row r="16" spans="2:42" ht="13.15" hidden="1" customHeight="1" x14ac:dyDescent="0.2">
      <c r="B16" s="18"/>
      <c r="C16" s="31"/>
      <c r="D16" s="117"/>
      <c r="E16" s="117"/>
      <c r="F16" s="33"/>
      <c r="G16" s="118"/>
      <c r="H16" s="33"/>
      <c r="I16" s="119"/>
      <c r="J16" s="120"/>
      <c r="K16" s="170"/>
      <c r="L16" s="1141">
        <v>0</v>
      </c>
      <c r="M16" s="1141">
        <v>0</v>
      </c>
      <c r="N16" s="804" t="str">
        <f t="shared" ref="N16:N64" si="5">IF(J16="","",IF(J16*40&gt;40,40,J16*40))</f>
        <v/>
      </c>
      <c r="O16" s="795"/>
      <c r="P16" s="1156" t="str">
        <f t="shared" ref="P16:P64" si="6">IF(J16="","",SUM(L16:O16))</f>
        <v/>
      </c>
      <c r="Q16" s="957" t="str">
        <f t="shared" ref="Q16:Q64" si="7">IF(J16="","",(1659*J16-P16)*AA16)</f>
        <v/>
      </c>
      <c r="R16" s="767" t="str">
        <f t="shared" ref="R16:R64" si="8">IF(J16="","",(P16*AB16)+Z16*(AC16+AD16*(1-AE16)))</f>
        <v/>
      </c>
      <c r="S16" s="966">
        <f t="shared" ref="S16:S64" si="9">SUM(Q16:R16)</f>
        <v>0</v>
      </c>
      <c r="T16" s="116"/>
      <c r="U16" s="22"/>
      <c r="X16" s="760" t="str">
        <f t="shared" si="0"/>
        <v/>
      </c>
      <c r="Y16" s="745">
        <f t="shared" ref="Y16:Y64" si="10">$Y$13</f>
        <v>0.6</v>
      </c>
      <c r="Z16" s="758" t="e">
        <f t="shared" ref="Z16:Z64" si="11">X16*12/1659</f>
        <v>#VALUE!</v>
      </c>
      <c r="AA16" s="758" t="e">
        <f t="shared" ref="AA16:AA64" si="12">X16*12*(1+Y16)/1659</f>
        <v>#VALUE!</v>
      </c>
      <c r="AB16" s="758" t="e">
        <f t="shared" ref="AB16:AB64" si="13">AA16-Z16</f>
        <v>#VALUE!</v>
      </c>
      <c r="AC16" s="544" t="e">
        <f t="shared" si="1"/>
        <v>#VALUE!</v>
      </c>
      <c r="AD16" s="544">
        <f t="shared" si="2"/>
        <v>0</v>
      </c>
      <c r="AE16" s="759">
        <f>IF(H16&gt;8,tab!C$194,tab!C$197)</f>
        <v>0.4</v>
      </c>
      <c r="AF16" s="544">
        <f t="shared" si="3"/>
        <v>0</v>
      </c>
      <c r="AG16" s="760">
        <f t="shared" si="4"/>
        <v>0</v>
      </c>
    </row>
    <row r="17" spans="2:34" ht="13.15" hidden="1" customHeight="1" x14ac:dyDescent="0.2">
      <c r="B17" s="18"/>
      <c r="C17" s="31"/>
      <c r="D17" s="117"/>
      <c r="E17" s="117"/>
      <c r="F17" s="33"/>
      <c r="G17" s="118"/>
      <c r="H17" s="33"/>
      <c r="I17" s="119"/>
      <c r="J17" s="120"/>
      <c r="K17" s="170"/>
      <c r="L17" s="1141">
        <v>0</v>
      </c>
      <c r="M17" s="1141">
        <v>0</v>
      </c>
      <c r="N17" s="804" t="str">
        <f t="shared" si="5"/>
        <v/>
      </c>
      <c r="O17" s="795"/>
      <c r="P17" s="1156" t="str">
        <f t="shared" si="6"/>
        <v/>
      </c>
      <c r="Q17" s="957" t="str">
        <f t="shared" si="7"/>
        <v/>
      </c>
      <c r="R17" s="767" t="str">
        <f t="shared" si="8"/>
        <v/>
      </c>
      <c r="S17" s="966">
        <f t="shared" si="9"/>
        <v>0</v>
      </c>
      <c r="T17" s="116"/>
      <c r="U17" s="22"/>
      <c r="X17" s="760" t="str">
        <f t="shared" si="0"/>
        <v/>
      </c>
      <c r="Y17" s="745">
        <f t="shared" si="10"/>
        <v>0.6</v>
      </c>
      <c r="Z17" s="758" t="e">
        <f t="shared" si="11"/>
        <v>#VALUE!</v>
      </c>
      <c r="AA17" s="758" t="e">
        <f t="shared" si="12"/>
        <v>#VALUE!</v>
      </c>
      <c r="AB17" s="758" t="e">
        <f t="shared" si="13"/>
        <v>#VALUE!</v>
      </c>
      <c r="AC17" s="544" t="e">
        <f t="shared" si="1"/>
        <v>#VALUE!</v>
      </c>
      <c r="AD17" s="544">
        <f t="shared" si="2"/>
        <v>0</v>
      </c>
      <c r="AE17" s="759">
        <f>IF(H17&gt;8,tab!C$194,tab!C$197)</f>
        <v>0.4</v>
      </c>
      <c r="AF17" s="544">
        <f t="shared" si="3"/>
        <v>0</v>
      </c>
      <c r="AG17" s="760">
        <f t="shared" si="4"/>
        <v>0</v>
      </c>
    </row>
    <row r="18" spans="2:34" ht="13.15" hidden="1" customHeight="1" x14ac:dyDescent="0.2">
      <c r="B18" s="18"/>
      <c r="C18" s="31"/>
      <c r="D18" s="117"/>
      <c r="E18" s="117"/>
      <c r="F18" s="33"/>
      <c r="G18" s="118"/>
      <c r="H18" s="33"/>
      <c r="I18" s="119"/>
      <c r="J18" s="120"/>
      <c r="K18" s="170"/>
      <c r="L18" s="1141">
        <v>0</v>
      </c>
      <c r="M18" s="1141">
        <v>0</v>
      </c>
      <c r="N18" s="804" t="str">
        <f t="shared" si="5"/>
        <v/>
      </c>
      <c r="O18" s="795"/>
      <c r="P18" s="1156" t="str">
        <f t="shared" si="6"/>
        <v/>
      </c>
      <c r="Q18" s="957" t="str">
        <f t="shared" si="7"/>
        <v/>
      </c>
      <c r="R18" s="767" t="str">
        <f t="shared" si="8"/>
        <v/>
      </c>
      <c r="S18" s="966">
        <f t="shared" si="9"/>
        <v>0</v>
      </c>
      <c r="T18" s="116"/>
      <c r="U18" s="22"/>
      <c r="X18" s="760" t="str">
        <f t="shared" si="0"/>
        <v/>
      </c>
      <c r="Y18" s="745">
        <f t="shared" si="10"/>
        <v>0.6</v>
      </c>
      <c r="Z18" s="758" t="e">
        <f t="shared" si="11"/>
        <v>#VALUE!</v>
      </c>
      <c r="AA18" s="758" t="e">
        <f t="shared" si="12"/>
        <v>#VALUE!</v>
      </c>
      <c r="AB18" s="758" t="e">
        <f t="shared" si="13"/>
        <v>#VALUE!</v>
      </c>
      <c r="AC18" s="544" t="e">
        <f t="shared" si="1"/>
        <v>#VALUE!</v>
      </c>
      <c r="AD18" s="544">
        <f t="shared" si="2"/>
        <v>0</v>
      </c>
      <c r="AE18" s="759">
        <f>IF(H18&gt;8,tab!C$194,tab!C$197)</f>
        <v>0.4</v>
      </c>
      <c r="AF18" s="544">
        <f t="shared" si="3"/>
        <v>0</v>
      </c>
      <c r="AG18" s="760">
        <f t="shared" si="4"/>
        <v>0</v>
      </c>
      <c r="AH18" s="544"/>
    </row>
    <row r="19" spans="2:34" ht="13.15" hidden="1" customHeight="1" x14ac:dyDescent="0.2">
      <c r="B19" s="18"/>
      <c r="C19" s="31"/>
      <c r="D19" s="117"/>
      <c r="E19" s="117"/>
      <c r="F19" s="33"/>
      <c r="G19" s="118"/>
      <c r="H19" s="33"/>
      <c r="I19" s="119"/>
      <c r="J19" s="120"/>
      <c r="K19" s="170"/>
      <c r="L19" s="1141">
        <v>0</v>
      </c>
      <c r="M19" s="1141">
        <v>0</v>
      </c>
      <c r="N19" s="804" t="str">
        <f t="shared" si="5"/>
        <v/>
      </c>
      <c r="O19" s="795"/>
      <c r="P19" s="1156" t="str">
        <f t="shared" si="6"/>
        <v/>
      </c>
      <c r="Q19" s="957" t="str">
        <f t="shared" si="7"/>
        <v/>
      </c>
      <c r="R19" s="767" t="str">
        <f t="shared" si="8"/>
        <v/>
      </c>
      <c r="S19" s="966">
        <f t="shared" si="9"/>
        <v>0</v>
      </c>
      <c r="T19" s="116"/>
      <c r="U19" s="22"/>
      <c r="X19" s="760" t="str">
        <f t="shared" si="0"/>
        <v/>
      </c>
      <c r="Y19" s="745">
        <f t="shared" si="10"/>
        <v>0.6</v>
      </c>
      <c r="Z19" s="758" t="e">
        <f t="shared" si="11"/>
        <v>#VALUE!</v>
      </c>
      <c r="AA19" s="758" t="e">
        <f t="shared" si="12"/>
        <v>#VALUE!</v>
      </c>
      <c r="AB19" s="758" t="e">
        <f t="shared" si="13"/>
        <v>#VALUE!</v>
      </c>
      <c r="AC19" s="544" t="e">
        <f t="shared" si="1"/>
        <v>#VALUE!</v>
      </c>
      <c r="AD19" s="544">
        <f t="shared" si="2"/>
        <v>0</v>
      </c>
      <c r="AE19" s="759">
        <f>IF(H19&gt;8,tab!C$194,tab!C$197)</f>
        <v>0.4</v>
      </c>
      <c r="AF19" s="544">
        <f t="shared" si="3"/>
        <v>0</v>
      </c>
      <c r="AG19" s="760">
        <f t="shared" si="4"/>
        <v>0</v>
      </c>
      <c r="AH19" s="544"/>
    </row>
    <row r="20" spans="2:34" ht="13.15" hidden="1" customHeight="1" x14ac:dyDescent="0.2">
      <c r="B20" s="18"/>
      <c r="C20" s="31"/>
      <c r="D20" s="117"/>
      <c r="E20" s="117"/>
      <c r="F20" s="33"/>
      <c r="G20" s="118"/>
      <c r="H20" s="33"/>
      <c r="I20" s="119"/>
      <c r="J20" s="120"/>
      <c r="K20" s="170"/>
      <c r="L20" s="1141">
        <v>0</v>
      </c>
      <c r="M20" s="1141">
        <v>0</v>
      </c>
      <c r="N20" s="804" t="str">
        <f t="shared" si="5"/>
        <v/>
      </c>
      <c r="O20" s="795"/>
      <c r="P20" s="1156" t="str">
        <f t="shared" si="6"/>
        <v/>
      </c>
      <c r="Q20" s="957" t="str">
        <f t="shared" si="7"/>
        <v/>
      </c>
      <c r="R20" s="767" t="str">
        <f t="shared" si="8"/>
        <v/>
      </c>
      <c r="S20" s="966">
        <f t="shared" si="9"/>
        <v>0</v>
      </c>
      <c r="T20" s="116"/>
      <c r="U20" s="22"/>
      <c r="X20" s="760" t="str">
        <f t="shared" si="0"/>
        <v/>
      </c>
      <c r="Y20" s="745">
        <f t="shared" si="10"/>
        <v>0.6</v>
      </c>
      <c r="Z20" s="758" t="e">
        <f t="shared" si="11"/>
        <v>#VALUE!</v>
      </c>
      <c r="AA20" s="758" t="e">
        <f t="shared" si="12"/>
        <v>#VALUE!</v>
      </c>
      <c r="AB20" s="758" t="e">
        <f t="shared" si="13"/>
        <v>#VALUE!</v>
      </c>
      <c r="AC20" s="544" t="e">
        <f t="shared" si="1"/>
        <v>#VALUE!</v>
      </c>
      <c r="AD20" s="544">
        <f t="shared" si="2"/>
        <v>0</v>
      </c>
      <c r="AE20" s="759">
        <f>IF(H20&gt;8,tab!C$194,tab!C$197)</f>
        <v>0.4</v>
      </c>
      <c r="AF20" s="544">
        <f t="shared" si="3"/>
        <v>0</v>
      </c>
      <c r="AG20" s="760">
        <f t="shared" si="4"/>
        <v>0</v>
      </c>
      <c r="AH20" s="544"/>
    </row>
    <row r="21" spans="2:34" ht="13.15" hidden="1" customHeight="1" x14ac:dyDescent="0.2">
      <c r="B21" s="18"/>
      <c r="C21" s="31"/>
      <c r="D21" s="117"/>
      <c r="E21" s="117"/>
      <c r="F21" s="33"/>
      <c r="G21" s="118"/>
      <c r="H21" s="33"/>
      <c r="I21" s="119"/>
      <c r="J21" s="120"/>
      <c r="K21" s="170"/>
      <c r="L21" s="1141">
        <v>0</v>
      </c>
      <c r="M21" s="1141">
        <v>0</v>
      </c>
      <c r="N21" s="804" t="str">
        <f t="shared" si="5"/>
        <v/>
      </c>
      <c r="O21" s="795"/>
      <c r="P21" s="1156" t="str">
        <f t="shared" si="6"/>
        <v/>
      </c>
      <c r="Q21" s="957" t="str">
        <f t="shared" si="7"/>
        <v/>
      </c>
      <c r="R21" s="767" t="str">
        <f t="shared" si="8"/>
        <v/>
      </c>
      <c r="S21" s="966">
        <f t="shared" si="9"/>
        <v>0</v>
      </c>
      <c r="T21" s="116"/>
      <c r="U21" s="22"/>
      <c r="X21" s="760" t="str">
        <f t="shared" si="0"/>
        <v/>
      </c>
      <c r="Y21" s="745">
        <f t="shared" si="10"/>
        <v>0.6</v>
      </c>
      <c r="Z21" s="758" t="e">
        <f t="shared" si="11"/>
        <v>#VALUE!</v>
      </c>
      <c r="AA21" s="758" t="e">
        <f t="shared" si="12"/>
        <v>#VALUE!</v>
      </c>
      <c r="AB21" s="758" t="e">
        <f t="shared" si="13"/>
        <v>#VALUE!</v>
      </c>
      <c r="AC21" s="544" t="e">
        <f t="shared" si="1"/>
        <v>#VALUE!</v>
      </c>
      <c r="AD21" s="544">
        <f t="shared" si="2"/>
        <v>0</v>
      </c>
      <c r="AE21" s="759">
        <f>IF(H21&gt;8,tab!C$194,tab!C$197)</f>
        <v>0.4</v>
      </c>
      <c r="AF21" s="544">
        <f t="shared" si="3"/>
        <v>0</v>
      </c>
      <c r="AG21" s="760">
        <f t="shared" si="4"/>
        <v>0</v>
      </c>
      <c r="AH21" s="544"/>
    </row>
    <row r="22" spans="2:34" ht="13.15" hidden="1" customHeight="1" x14ac:dyDescent="0.2">
      <c r="B22" s="18"/>
      <c r="C22" s="31"/>
      <c r="D22" s="117"/>
      <c r="E22" s="117"/>
      <c r="F22" s="33"/>
      <c r="G22" s="118"/>
      <c r="H22" s="33"/>
      <c r="I22" s="119"/>
      <c r="J22" s="120"/>
      <c r="K22" s="170"/>
      <c r="L22" s="1141">
        <v>0</v>
      </c>
      <c r="M22" s="1141">
        <v>0</v>
      </c>
      <c r="N22" s="804" t="str">
        <f t="shared" si="5"/>
        <v/>
      </c>
      <c r="O22" s="795"/>
      <c r="P22" s="1156" t="str">
        <f t="shared" si="6"/>
        <v/>
      </c>
      <c r="Q22" s="957" t="str">
        <f t="shared" si="7"/>
        <v/>
      </c>
      <c r="R22" s="767" t="str">
        <f t="shared" si="8"/>
        <v/>
      </c>
      <c r="S22" s="966">
        <f t="shared" si="9"/>
        <v>0</v>
      </c>
      <c r="T22" s="116"/>
      <c r="U22" s="22"/>
      <c r="X22" s="760" t="str">
        <f t="shared" si="0"/>
        <v/>
      </c>
      <c r="Y22" s="745">
        <f t="shared" si="10"/>
        <v>0.6</v>
      </c>
      <c r="Z22" s="758" t="e">
        <f t="shared" si="11"/>
        <v>#VALUE!</v>
      </c>
      <c r="AA22" s="758" t="e">
        <f t="shared" si="12"/>
        <v>#VALUE!</v>
      </c>
      <c r="AB22" s="758" t="e">
        <f t="shared" si="13"/>
        <v>#VALUE!</v>
      </c>
      <c r="AC22" s="544" t="e">
        <f t="shared" si="1"/>
        <v>#VALUE!</v>
      </c>
      <c r="AD22" s="544">
        <f t="shared" si="2"/>
        <v>0</v>
      </c>
      <c r="AE22" s="759">
        <f>IF(H22&gt;8,tab!C$194,tab!C$197)</f>
        <v>0.4</v>
      </c>
      <c r="AF22" s="544">
        <f t="shared" si="3"/>
        <v>0</v>
      </c>
      <c r="AG22" s="760">
        <f t="shared" si="4"/>
        <v>0</v>
      </c>
      <c r="AH22" s="544"/>
    </row>
    <row r="23" spans="2:34" ht="13.15" hidden="1" customHeight="1" x14ac:dyDescent="0.2">
      <c r="B23" s="18"/>
      <c r="C23" s="31"/>
      <c r="D23" s="117"/>
      <c r="E23" s="117"/>
      <c r="F23" s="33"/>
      <c r="G23" s="118"/>
      <c r="H23" s="33"/>
      <c r="I23" s="119"/>
      <c r="J23" s="120"/>
      <c r="K23" s="170"/>
      <c r="L23" s="1141">
        <v>0</v>
      </c>
      <c r="M23" s="1141">
        <v>0</v>
      </c>
      <c r="N23" s="804" t="str">
        <f t="shared" si="5"/>
        <v/>
      </c>
      <c r="O23" s="795"/>
      <c r="P23" s="1156" t="str">
        <f t="shared" si="6"/>
        <v/>
      </c>
      <c r="Q23" s="957" t="str">
        <f t="shared" si="7"/>
        <v/>
      </c>
      <c r="R23" s="767" t="str">
        <f t="shared" si="8"/>
        <v/>
      </c>
      <c r="S23" s="966">
        <f t="shared" si="9"/>
        <v>0</v>
      </c>
      <c r="T23" s="116"/>
      <c r="U23" s="22"/>
      <c r="X23" s="760" t="str">
        <f t="shared" si="0"/>
        <v/>
      </c>
      <c r="Y23" s="745">
        <f t="shared" si="10"/>
        <v>0.6</v>
      </c>
      <c r="Z23" s="758" t="e">
        <f t="shared" si="11"/>
        <v>#VALUE!</v>
      </c>
      <c r="AA23" s="758" t="e">
        <f t="shared" si="12"/>
        <v>#VALUE!</v>
      </c>
      <c r="AB23" s="758" t="e">
        <f t="shared" si="13"/>
        <v>#VALUE!</v>
      </c>
      <c r="AC23" s="544" t="e">
        <f t="shared" si="1"/>
        <v>#VALUE!</v>
      </c>
      <c r="AD23" s="544">
        <f t="shared" si="2"/>
        <v>0</v>
      </c>
      <c r="AE23" s="759">
        <f>IF(H23&gt;8,tab!C$194,tab!C$197)</f>
        <v>0.4</v>
      </c>
      <c r="AF23" s="544">
        <f t="shared" si="3"/>
        <v>0</v>
      </c>
      <c r="AG23" s="760">
        <f t="shared" si="4"/>
        <v>0</v>
      </c>
      <c r="AH23" s="544"/>
    </row>
    <row r="24" spans="2:34" ht="13.15" hidden="1" customHeight="1" x14ac:dyDescent="0.2">
      <c r="B24" s="18"/>
      <c r="C24" s="31"/>
      <c r="D24" s="117"/>
      <c r="E24" s="117"/>
      <c r="F24" s="33"/>
      <c r="G24" s="118"/>
      <c r="H24" s="33"/>
      <c r="I24" s="119"/>
      <c r="J24" s="120"/>
      <c r="K24" s="170"/>
      <c r="L24" s="1141">
        <v>0</v>
      </c>
      <c r="M24" s="1141">
        <v>0</v>
      </c>
      <c r="N24" s="804" t="str">
        <f t="shared" si="5"/>
        <v/>
      </c>
      <c r="O24" s="795"/>
      <c r="P24" s="1156" t="str">
        <f t="shared" si="6"/>
        <v/>
      </c>
      <c r="Q24" s="957" t="str">
        <f t="shared" si="7"/>
        <v/>
      </c>
      <c r="R24" s="767" t="str">
        <f t="shared" si="8"/>
        <v/>
      </c>
      <c r="S24" s="966">
        <f t="shared" si="9"/>
        <v>0</v>
      </c>
      <c r="T24" s="116"/>
      <c r="U24" s="22"/>
      <c r="X24" s="760" t="str">
        <f t="shared" si="0"/>
        <v/>
      </c>
      <c r="Y24" s="745">
        <f t="shared" si="10"/>
        <v>0.6</v>
      </c>
      <c r="Z24" s="758" t="e">
        <f t="shared" si="11"/>
        <v>#VALUE!</v>
      </c>
      <c r="AA24" s="758" t="e">
        <f t="shared" si="12"/>
        <v>#VALUE!</v>
      </c>
      <c r="AB24" s="758" t="e">
        <f t="shared" si="13"/>
        <v>#VALUE!</v>
      </c>
      <c r="AC24" s="544" t="e">
        <f t="shared" si="1"/>
        <v>#VALUE!</v>
      </c>
      <c r="AD24" s="544">
        <f t="shared" si="2"/>
        <v>0</v>
      </c>
      <c r="AE24" s="759">
        <f>IF(H24&gt;8,tab!C$194,tab!C$197)</f>
        <v>0.4</v>
      </c>
      <c r="AF24" s="544">
        <f t="shared" si="3"/>
        <v>0</v>
      </c>
      <c r="AG24" s="760">
        <f t="shared" si="4"/>
        <v>0</v>
      </c>
      <c r="AH24" s="544"/>
    </row>
    <row r="25" spans="2:34" ht="13.15" hidden="1" customHeight="1" x14ac:dyDescent="0.2">
      <c r="B25" s="18"/>
      <c r="C25" s="31"/>
      <c r="D25" s="117"/>
      <c r="E25" s="117"/>
      <c r="F25" s="33"/>
      <c r="G25" s="118"/>
      <c r="H25" s="33"/>
      <c r="I25" s="119"/>
      <c r="J25" s="120"/>
      <c r="K25" s="170"/>
      <c r="L25" s="1141">
        <v>0</v>
      </c>
      <c r="M25" s="1141">
        <v>0</v>
      </c>
      <c r="N25" s="804" t="str">
        <f t="shared" si="5"/>
        <v/>
      </c>
      <c r="O25" s="795"/>
      <c r="P25" s="1156" t="str">
        <f t="shared" si="6"/>
        <v/>
      </c>
      <c r="Q25" s="957" t="str">
        <f t="shared" si="7"/>
        <v/>
      </c>
      <c r="R25" s="767" t="str">
        <f t="shared" si="8"/>
        <v/>
      </c>
      <c r="S25" s="966">
        <f t="shared" si="9"/>
        <v>0</v>
      </c>
      <c r="T25" s="116"/>
      <c r="U25" s="22"/>
      <c r="X25" s="760" t="str">
        <f t="shared" si="0"/>
        <v/>
      </c>
      <c r="Y25" s="745">
        <f t="shared" si="10"/>
        <v>0.6</v>
      </c>
      <c r="Z25" s="758" t="e">
        <f t="shared" si="11"/>
        <v>#VALUE!</v>
      </c>
      <c r="AA25" s="758" t="e">
        <f t="shared" si="12"/>
        <v>#VALUE!</v>
      </c>
      <c r="AB25" s="758" t="e">
        <f t="shared" si="13"/>
        <v>#VALUE!</v>
      </c>
      <c r="AC25" s="544" t="e">
        <f t="shared" si="1"/>
        <v>#VALUE!</v>
      </c>
      <c r="AD25" s="544">
        <f t="shared" si="2"/>
        <v>0</v>
      </c>
      <c r="AE25" s="759">
        <f>IF(H25&gt;8,tab!C$194,tab!C$197)</f>
        <v>0.4</v>
      </c>
      <c r="AF25" s="544">
        <f t="shared" si="3"/>
        <v>0</v>
      </c>
      <c r="AG25" s="760">
        <f t="shared" si="4"/>
        <v>0</v>
      </c>
      <c r="AH25" s="544"/>
    </row>
    <row r="26" spans="2:34" ht="13.15" hidden="1" customHeight="1" x14ac:dyDescent="0.2">
      <c r="B26" s="18"/>
      <c r="C26" s="31"/>
      <c r="D26" s="117"/>
      <c r="E26" s="117"/>
      <c r="F26" s="33"/>
      <c r="G26" s="118"/>
      <c r="H26" s="33"/>
      <c r="I26" s="119"/>
      <c r="J26" s="120"/>
      <c r="K26" s="170"/>
      <c r="L26" s="1141">
        <v>0</v>
      </c>
      <c r="M26" s="1141">
        <v>0</v>
      </c>
      <c r="N26" s="804" t="str">
        <f t="shared" si="5"/>
        <v/>
      </c>
      <c r="O26" s="795"/>
      <c r="P26" s="1156" t="str">
        <f t="shared" si="6"/>
        <v/>
      </c>
      <c r="Q26" s="957" t="str">
        <f t="shared" si="7"/>
        <v/>
      </c>
      <c r="R26" s="767" t="str">
        <f t="shared" si="8"/>
        <v/>
      </c>
      <c r="S26" s="966">
        <f t="shared" si="9"/>
        <v>0</v>
      </c>
      <c r="T26" s="116"/>
      <c r="U26" s="22"/>
      <c r="X26" s="760" t="str">
        <f t="shared" si="0"/>
        <v/>
      </c>
      <c r="Y26" s="745">
        <f t="shared" si="10"/>
        <v>0.6</v>
      </c>
      <c r="Z26" s="758" t="e">
        <f t="shared" si="11"/>
        <v>#VALUE!</v>
      </c>
      <c r="AA26" s="758" t="e">
        <f t="shared" si="12"/>
        <v>#VALUE!</v>
      </c>
      <c r="AB26" s="758" t="e">
        <f t="shared" si="13"/>
        <v>#VALUE!</v>
      </c>
      <c r="AC26" s="544" t="e">
        <f t="shared" si="1"/>
        <v>#VALUE!</v>
      </c>
      <c r="AD26" s="544">
        <f t="shared" si="2"/>
        <v>0</v>
      </c>
      <c r="AE26" s="759">
        <f>IF(H26&gt;8,tab!C$194,tab!C$197)</f>
        <v>0.4</v>
      </c>
      <c r="AF26" s="544">
        <f t="shared" si="3"/>
        <v>0</v>
      </c>
      <c r="AG26" s="760">
        <f t="shared" si="4"/>
        <v>0</v>
      </c>
      <c r="AH26" s="544"/>
    </row>
    <row r="27" spans="2:34" ht="13.15" hidden="1" customHeight="1" x14ac:dyDescent="0.2">
      <c r="B27" s="18"/>
      <c r="C27" s="31"/>
      <c r="D27" s="117"/>
      <c r="E27" s="117"/>
      <c r="F27" s="33"/>
      <c r="G27" s="118"/>
      <c r="H27" s="33"/>
      <c r="I27" s="119"/>
      <c r="J27" s="120"/>
      <c r="K27" s="170"/>
      <c r="L27" s="1141">
        <v>0</v>
      </c>
      <c r="M27" s="1141">
        <v>0</v>
      </c>
      <c r="N27" s="804" t="str">
        <f t="shared" si="5"/>
        <v/>
      </c>
      <c r="O27" s="795"/>
      <c r="P27" s="1156" t="str">
        <f t="shared" si="6"/>
        <v/>
      </c>
      <c r="Q27" s="957" t="str">
        <f t="shared" si="7"/>
        <v/>
      </c>
      <c r="R27" s="767" t="str">
        <f t="shared" si="8"/>
        <v/>
      </c>
      <c r="S27" s="966">
        <f t="shared" si="9"/>
        <v>0</v>
      </c>
      <c r="T27" s="116"/>
      <c r="U27" s="22"/>
      <c r="X27" s="760" t="str">
        <f t="shared" si="0"/>
        <v/>
      </c>
      <c r="Y27" s="745">
        <f t="shared" si="10"/>
        <v>0.6</v>
      </c>
      <c r="Z27" s="758" t="e">
        <f t="shared" si="11"/>
        <v>#VALUE!</v>
      </c>
      <c r="AA27" s="758" t="e">
        <f t="shared" si="12"/>
        <v>#VALUE!</v>
      </c>
      <c r="AB27" s="758" t="e">
        <f t="shared" si="13"/>
        <v>#VALUE!</v>
      </c>
      <c r="AC27" s="544" t="e">
        <f t="shared" si="1"/>
        <v>#VALUE!</v>
      </c>
      <c r="AD27" s="544">
        <f t="shared" si="2"/>
        <v>0</v>
      </c>
      <c r="AE27" s="759">
        <f>IF(H27&gt;8,tab!C$194,tab!C$197)</f>
        <v>0.4</v>
      </c>
      <c r="AF27" s="544">
        <f t="shared" si="3"/>
        <v>0</v>
      </c>
      <c r="AG27" s="760">
        <f t="shared" si="4"/>
        <v>0</v>
      </c>
      <c r="AH27" s="544"/>
    </row>
    <row r="28" spans="2:34" ht="13.15" hidden="1" customHeight="1" x14ac:dyDescent="0.2">
      <c r="B28" s="18"/>
      <c r="C28" s="31"/>
      <c r="D28" s="117"/>
      <c r="E28" s="117"/>
      <c r="F28" s="33"/>
      <c r="G28" s="118"/>
      <c r="H28" s="33"/>
      <c r="I28" s="119"/>
      <c r="J28" s="120"/>
      <c r="K28" s="170"/>
      <c r="L28" s="1141">
        <v>0</v>
      </c>
      <c r="M28" s="1141">
        <v>0</v>
      </c>
      <c r="N28" s="804" t="str">
        <f t="shared" si="5"/>
        <v/>
      </c>
      <c r="O28" s="795"/>
      <c r="P28" s="1156" t="str">
        <f t="shared" si="6"/>
        <v/>
      </c>
      <c r="Q28" s="957" t="str">
        <f t="shared" si="7"/>
        <v/>
      </c>
      <c r="R28" s="767" t="str">
        <f t="shared" si="8"/>
        <v/>
      </c>
      <c r="S28" s="966">
        <f t="shared" si="9"/>
        <v>0</v>
      </c>
      <c r="T28" s="116"/>
      <c r="U28" s="22"/>
      <c r="X28" s="760" t="str">
        <f t="shared" si="0"/>
        <v/>
      </c>
      <c r="Y28" s="745">
        <f t="shared" si="10"/>
        <v>0.6</v>
      </c>
      <c r="Z28" s="758" t="e">
        <f t="shared" si="11"/>
        <v>#VALUE!</v>
      </c>
      <c r="AA28" s="758" t="e">
        <f t="shared" si="12"/>
        <v>#VALUE!</v>
      </c>
      <c r="AB28" s="758" t="e">
        <f t="shared" si="13"/>
        <v>#VALUE!</v>
      </c>
      <c r="AC28" s="544" t="e">
        <f t="shared" si="1"/>
        <v>#VALUE!</v>
      </c>
      <c r="AD28" s="544">
        <f t="shared" si="2"/>
        <v>0</v>
      </c>
      <c r="AE28" s="759">
        <f>IF(H28&gt;8,tab!C$194,tab!C$197)</f>
        <v>0.4</v>
      </c>
      <c r="AF28" s="544">
        <f t="shared" si="3"/>
        <v>0</v>
      </c>
      <c r="AG28" s="760">
        <f t="shared" si="4"/>
        <v>0</v>
      </c>
      <c r="AH28" s="544"/>
    </row>
    <row r="29" spans="2:34" ht="13.15" hidden="1" customHeight="1" x14ac:dyDescent="0.2">
      <c r="B29" s="18"/>
      <c r="C29" s="31"/>
      <c r="D29" s="117"/>
      <c r="E29" s="117"/>
      <c r="F29" s="33"/>
      <c r="G29" s="118"/>
      <c r="H29" s="33"/>
      <c r="I29" s="119"/>
      <c r="J29" s="120"/>
      <c r="K29" s="170"/>
      <c r="L29" s="1141">
        <v>0</v>
      </c>
      <c r="M29" s="1141">
        <v>0</v>
      </c>
      <c r="N29" s="804" t="str">
        <f t="shared" si="5"/>
        <v/>
      </c>
      <c r="O29" s="795"/>
      <c r="P29" s="1156" t="str">
        <f t="shared" si="6"/>
        <v/>
      </c>
      <c r="Q29" s="957" t="str">
        <f t="shared" si="7"/>
        <v/>
      </c>
      <c r="R29" s="767" t="str">
        <f t="shared" si="8"/>
        <v/>
      </c>
      <c r="S29" s="966">
        <f t="shared" si="9"/>
        <v>0</v>
      </c>
      <c r="T29" s="116"/>
      <c r="U29" s="22"/>
      <c r="X29" s="760" t="str">
        <f t="shared" si="0"/>
        <v/>
      </c>
      <c r="Y29" s="745">
        <f t="shared" si="10"/>
        <v>0.6</v>
      </c>
      <c r="Z29" s="758" t="e">
        <f t="shared" si="11"/>
        <v>#VALUE!</v>
      </c>
      <c r="AA29" s="758" t="e">
        <f t="shared" si="12"/>
        <v>#VALUE!</v>
      </c>
      <c r="AB29" s="758" t="e">
        <f t="shared" si="13"/>
        <v>#VALUE!</v>
      </c>
      <c r="AC29" s="544" t="e">
        <f t="shared" si="1"/>
        <v>#VALUE!</v>
      </c>
      <c r="AD29" s="544">
        <f t="shared" si="2"/>
        <v>0</v>
      </c>
      <c r="AE29" s="759">
        <f>IF(H29&gt;8,tab!C$194,tab!C$197)</f>
        <v>0.4</v>
      </c>
      <c r="AF29" s="544">
        <f t="shared" si="3"/>
        <v>0</v>
      </c>
      <c r="AG29" s="760">
        <f t="shared" si="4"/>
        <v>0</v>
      </c>
      <c r="AH29" s="544"/>
    </row>
    <row r="30" spans="2:34" ht="13.15" hidden="1" customHeight="1" x14ac:dyDescent="0.2">
      <c r="B30" s="18"/>
      <c r="C30" s="31"/>
      <c r="D30" s="117"/>
      <c r="E30" s="117"/>
      <c r="F30" s="33"/>
      <c r="G30" s="118"/>
      <c r="H30" s="33"/>
      <c r="I30" s="119"/>
      <c r="J30" s="120"/>
      <c r="K30" s="170"/>
      <c r="L30" s="1141">
        <v>0</v>
      </c>
      <c r="M30" s="1141">
        <v>0</v>
      </c>
      <c r="N30" s="804" t="str">
        <f t="shared" si="5"/>
        <v/>
      </c>
      <c r="O30" s="795"/>
      <c r="P30" s="1156" t="str">
        <f t="shared" si="6"/>
        <v/>
      </c>
      <c r="Q30" s="957" t="str">
        <f t="shared" si="7"/>
        <v/>
      </c>
      <c r="R30" s="767" t="str">
        <f t="shared" si="8"/>
        <v/>
      </c>
      <c r="S30" s="966">
        <f t="shared" si="9"/>
        <v>0</v>
      </c>
      <c r="T30" s="116"/>
      <c r="U30" s="22"/>
      <c r="X30" s="760" t="str">
        <f t="shared" si="0"/>
        <v/>
      </c>
      <c r="Y30" s="745">
        <f t="shared" si="10"/>
        <v>0.6</v>
      </c>
      <c r="Z30" s="758" t="e">
        <f t="shared" si="11"/>
        <v>#VALUE!</v>
      </c>
      <c r="AA30" s="758" t="e">
        <f t="shared" si="12"/>
        <v>#VALUE!</v>
      </c>
      <c r="AB30" s="758" t="e">
        <f t="shared" si="13"/>
        <v>#VALUE!</v>
      </c>
      <c r="AC30" s="544" t="e">
        <f t="shared" si="1"/>
        <v>#VALUE!</v>
      </c>
      <c r="AD30" s="544">
        <f t="shared" si="2"/>
        <v>0</v>
      </c>
      <c r="AE30" s="759">
        <f>IF(H30&gt;8,tab!C$194,tab!C$197)</f>
        <v>0.4</v>
      </c>
      <c r="AF30" s="544">
        <f t="shared" si="3"/>
        <v>0</v>
      </c>
      <c r="AG30" s="760">
        <f t="shared" si="4"/>
        <v>0</v>
      </c>
      <c r="AH30" s="544"/>
    </row>
    <row r="31" spans="2:34" ht="13.15" hidden="1" customHeight="1" x14ac:dyDescent="0.2">
      <c r="B31" s="18"/>
      <c r="C31" s="31"/>
      <c r="D31" s="117"/>
      <c r="E31" s="117"/>
      <c r="F31" s="33"/>
      <c r="G31" s="118"/>
      <c r="H31" s="33"/>
      <c r="I31" s="119"/>
      <c r="J31" s="120"/>
      <c r="K31" s="170"/>
      <c r="L31" s="1141">
        <v>0</v>
      </c>
      <c r="M31" s="1141">
        <v>0</v>
      </c>
      <c r="N31" s="804" t="str">
        <f t="shared" si="5"/>
        <v/>
      </c>
      <c r="O31" s="795"/>
      <c r="P31" s="1156" t="str">
        <f t="shared" si="6"/>
        <v/>
      </c>
      <c r="Q31" s="957" t="str">
        <f t="shared" si="7"/>
        <v/>
      </c>
      <c r="R31" s="767" t="str">
        <f t="shared" si="8"/>
        <v/>
      </c>
      <c r="S31" s="966">
        <f t="shared" si="9"/>
        <v>0</v>
      </c>
      <c r="T31" s="116"/>
      <c r="U31" s="22"/>
      <c r="X31" s="760" t="str">
        <f t="shared" si="0"/>
        <v/>
      </c>
      <c r="Y31" s="745">
        <f t="shared" si="10"/>
        <v>0.6</v>
      </c>
      <c r="Z31" s="758" t="e">
        <f t="shared" si="11"/>
        <v>#VALUE!</v>
      </c>
      <c r="AA31" s="758" t="e">
        <f t="shared" si="12"/>
        <v>#VALUE!</v>
      </c>
      <c r="AB31" s="758" t="e">
        <f t="shared" si="13"/>
        <v>#VALUE!</v>
      </c>
      <c r="AC31" s="544" t="e">
        <f t="shared" si="1"/>
        <v>#VALUE!</v>
      </c>
      <c r="AD31" s="544">
        <f t="shared" si="2"/>
        <v>0</v>
      </c>
      <c r="AE31" s="759">
        <f>IF(H31&gt;8,tab!C$194,tab!C$197)</f>
        <v>0.4</v>
      </c>
      <c r="AF31" s="544">
        <f t="shared" si="3"/>
        <v>0</v>
      </c>
      <c r="AG31" s="760">
        <f t="shared" si="4"/>
        <v>0</v>
      </c>
      <c r="AH31" s="544"/>
    </row>
    <row r="32" spans="2:34" ht="13.15" hidden="1" customHeight="1" x14ac:dyDescent="0.2">
      <c r="B32" s="18"/>
      <c r="C32" s="31"/>
      <c r="D32" s="117"/>
      <c r="E32" s="117"/>
      <c r="F32" s="33"/>
      <c r="G32" s="118"/>
      <c r="H32" s="33"/>
      <c r="I32" s="119"/>
      <c r="J32" s="120"/>
      <c r="K32" s="170"/>
      <c r="L32" s="1141">
        <v>0</v>
      </c>
      <c r="M32" s="1141">
        <v>0</v>
      </c>
      <c r="N32" s="804" t="str">
        <f t="shared" si="5"/>
        <v/>
      </c>
      <c r="O32" s="795"/>
      <c r="P32" s="1156" t="str">
        <f t="shared" si="6"/>
        <v/>
      </c>
      <c r="Q32" s="957" t="str">
        <f t="shared" si="7"/>
        <v/>
      </c>
      <c r="R32" s="767" t="str">
        <f t="shared" si="8"/>
        <v/>
      </c>
      <c r="S32" s="966">
        <f t="shared" si="9"/>
        <v>0</v>
      </c>
      <c r="T32" s="116"/>
      <c r="U32" s="22"/>
      <c r="X32" s="760" t="str">
        <f t="shared" si="0"/>
        <v/>
      </c>
      <c r="Y32" s="745">
        <f t="shared" si="10"/>
        <v>0.6</v>
      </c>
      <c r="Z32" s="758" t="e">
        <f t="shared" si="11"/>
        <v>#VALUE!</v>
      </c>
      <c r="AA32" s="758" t="e">
        <f t="shared" si="12"/>
        <v>#VALUE!</v>
      </c>
      <c r="AB32" s="758" t="e">
        <f t="shared" si="13"/>
        <v>#VALUE!</v>
      </c>
      <c r="AC32" s="544" t="e">
        <f t="shared" si="1"/>
        <v>#VALUE!</v>
      </c>
      <c r="AD32" s="544">
        <f t="shared" si="2"/>
        <v>0</v>
      </c>
      <c r="AE32" s="759">
        <f>IF(H32&gt;8,tab!C$194,tab!C$197)</f>
        <v>0.4</v>
      </c>
      <c r="AF32" s="544">
        <f t="shared" si="3"/>
        <v>0</v>
      </c>
      <c r="AG32" s="760">
        <f t="shared" si="4"/>
        <v>0</v>
      </c>
      <c r="AH32" s="544"/>
    </row>
    <row r="33" spans="2:34" ht="13.15" hidden="1" customHeight="1" x14ac:dyDescent="0.2">
      <c r="B33" s="18"/>
      <c r="C33" s="31"/>
      <c r="D33" s="117"/>
      <c r="E33" s="117"/>
      <c r="F33" s="33"/>
      <c r="G33" s="118"/>
      <c r="H33" s="33"/>
      <c r="I33" s="119"/>
      <c r="J33" s="120"/>
      <c r="K33" s="170"/>
      <c r="L33" s="1141">
        <v>0</v>
      </c>
      <c r="M33" s="1141">
        <v>0</v>
      </c>
      <c r="N33" s="804" t="str">
        <f t="shared" si="5"/>
        <v/>
      </c>
      <c r="O33" s="795"/>
      <c r="P33" s="1156" t="str">
        <f t="shared" si="6"/>
        <v/>
      </c>
      <c r="Q33" s="957" t="str">
        <f t="shared" si="7"/>
        <v/>
      </c>
      <c r="R33" s="767" t="str">
        <f t="shared" si="8"/>
        <v/>
      </c>
      <c r="S33" s="966">
        <f t="shared" si="9"/>
        <v>0</v>
      </c>
      <c r="T33" s="116"/>
      <c r="U33" s="22"/>
      <c r="X33" s="760" t="str">
        <f t="shared" si="0"/>
        <v/>
      </c>
      <c r="Y33" s="745">
        <f t="shared" si="10"/>
        <v>0.6</v>
      </c>
      <c r="Z33" s="758" t="e">
        <f t="shared" si="11"/>
        <v>#VALUE!</v>
      </c>
      <c r="AA33" s="758" t="e">
        <f t="shared" si="12"/>
        <v>#VALUE!</v>
      </c>
      <c r="AB33" s="758" t="e">
        <f t="shared" si="13"/>
        <v>#VALUE!</v>
      </c>
      <c r="AC33" s="544" t="e">
        <f t="shared" si="1"/>
        <v>#VALUE!</v>
      </c>
      <c r="AD33" s="544">
        <f t="shared" si="2"/>
        <v>0</v>
      </c>
      <c r="AE33" s="759">
        <f>IF(H33&gt;8,tab!C$194,tab!C$197)</f>
        <v>0.4</v>
      </c>
      <c r="AF33" s="544">
        <f t="shared" si="3"/>
        <v>0</v>
      </c>
      <c r="AG33" s="760">
        <f t="shared" si="4"/>
        <v>0</v>
      </c>
      <c r="AH33" s="544"/>
    </row>
    <row r="34" spans="2:34" ht="13.15" hidden="1" customHeight="1" x14ac:dyDescent="0.2">
      <c r="B34" s="18"/>
      <c r="C34" s="31"/>
      <c r="D34" s="117"/>
      <c r="E34" s="117"/>
      <c r="F34" s="33"/>
      <c r="G34" s="118"/>
      <c r="H34" s="33"/>
      <c r="I34" s="119"/>
      <c r="J34" s="120"/>
      <c r="K34" s="170"/>
      <c r="L34" s="1141">
        <v>0</v>
      </c>
      <c r="M34" s="1141">
        <v>0</v>
      </c>
      <c r="N34" s="804" t="str">
        <f t="shared" si="5"/>
        <v/>
      </c>
      <c r="O34" s="795"/>
      <c r="P34" s="1156" t="str">
        <f t="shared" si="6"/>
        <v/>
      </c>
      <c r="Q34" s="957" t="str">
        <f t="shared" si="7"/>
        <v/>
      </c>
      <c r="R34" s="767" t="str">
        <f t="shared" si="8"/>
        <v/>
      </c>
      <c r="S34" s="966">
        <f t="shared" si="9"/>
        <v>0</v>
      </c>
      <c r="T34" s="116"/>
      <c r="U34" s="22"/>
      <c r="X34" s="760" t="str">
        <f t="shared" si="0"/>
        <v/>
      </c>
      <c r="Y34" s="745">
        <f t="shared" si="10"/>
        <v>0.6</v>
      </c>
      <c r="Z34" s="758" t="e">
        <f t="shared" si="11"/>
        <v>#VALUE!</v>
      </c>
      <c r="AA34" s="758" t="e">
        <f t="shared" si="12"/>
        <v>#VALUE!</v>
      </c>
      <c r="AB34" s="758" t="e">
        <f t="shared" si="13"/>
        <v>#VALUE!</v>
      </c>
      <c r="AC34" s="544" t="e">
        <f t="shared" si="1"/>
        <v>#VALUE!</v>
      </c>
      <c r="AD34" s="544">
        <f t="shared" si="2"/>
        <v>0</v>
      </c>
      <c r="AE34" s="759">
        <f>IF(H34&gt;8,tab!C$194,tab!C$197)</f>
        <v>0.4</v>
      </c>
      <c r="AF34" s="544">
        <f t="shared" si="3"/>
        <v>0</v>
      </c>
      <c r="AG34" s="760">
        <f t="shared" si="4"/>
        <v>0</v>
      </c>
      <c r="AH34" s="544"/>
    </row>
    <row r="35" spans="2:34" ht="13.15" hidden="1" customHeight="1" x14ac:dyDescent="0.2">
      <c r="B35" s="18"/>
      <c r="C35" s="31"/>
      <c r="D35" s="117"/>
      <c r="E35" s="117"/>
      <c r="F35" s="33"/>
      <c r="G35" s="118"/>
      <c r="H35" s="33"/>
      <c r="I35" s="119"/>
      <c r="J35" s="120"/>
      <c r="K35" s="170"/>
      <c r="L35" s="1141">
        <v>0</v>
      </c>
      <c r="M35" s="1141">
        <v>0</v>
      </c>
      <c r="N35" s="804" t="str">
        <f t="shared" si="5"/>
        <v/>
      </c>
      <c r="O35" s="795"/>
      <c r="P35" s="1156" t="str">
        <f t="shared" si="6"/>
        <v/>
      </c>
      <c r="Q35" s="957" t="str">
        <f t="shared" si="7"/>
        <v/>
      </c>
      <c r="R35" s="767" t="str">
        <f t="shared" si="8"/>
        <v/>
      </c>
      <c r="S35" s="966">
        <f t="shared" si="9"/>
        <v>0</v>
      </c>
      <c r="T35" s="116"/>
      <c r="U35" s="22"/>
      <c r="X35" s="760" t="str">
        <f t="shared" si="0"/>
        <v/>
      </c>
      <c r="Y35" s="745">
        <f t="shared" si="10"/>
        <v>0.6</v>
      </c>
      <c r="Z35" s="758" t="e">
        <f t="shared" si="11"/>
        <v>#VALUE!</v>
      </c>
      <c r="AA35" s="758" t="e">
        <f t="shared" si="12"/>
        <v>#VALUE!</v>
      </c>
      <c r="AB35" s="758" t="e">
        <f t="shared" si="13"/>
        <v>#VALUE!</v>
      </c>
      <c r="AC35" s="544" t="e">
        <f t="shared" si="1"/>
        <v>#VALUE!</v>
      </c>
      <c r="AD35" s="544">
        <f t="shared" si="2"/>
        <v>0</v>
      </c>
      <c r="AE35" s="759">
        <f>IF(H35&gt;8,tab!C$194,tab!C$197)</f>
        <v>0.4</v>
      </c>
      <c r="AF35" s="544">
        <f t="shared" si="3"/>
        <v>0</v>
      </c>
      <c r="AG35" s="760">
        <f t="shared" si="4"/>
        <v>0</v>
      </c>
      <c r="AH35" s="544"/>
    </row>
    <row r="36" spans="2:34" ht="13.15" hidden="1" customHeight="1" x14ac:dyDescent="0.2">
      <c r="B36" s="18"/>
      <c r="C36" s="31"/>
      <c r="D36" s="117"/>
      <c r="E36" s="117"/>
      <c r="F36" s="33"/>
      <c r="G36" s="118"/>
      <c r="H36" s="33"/>
      <c r="I36" s="119"/>
      <c r="J36" s="120"/>
      <c r="K36" s="170"/>
      <c r="L36" s="1141">
        <v>0</v>
      </c>
      <c r="M36" s="1141">
        <v>0</v>
      </c>
      <c r="N36" s="804" t="str">
        <f t="shared" si="5"/>
        <v/>
      </c>
      <c r="O36" s="795"/>
      <c r="P36" s="1156" t="str">
        <f t="shared" si="6"/>
        <v/>
      </c>
      <c r="Q36" s="957" t="str">
        <f t="shared" si="7"/>
        <v/>
      </c>
      <c r="R36" s="767" t="str">
        <f t="shared" si="8"/>
        <v/>
      </c>
      <c r="S36" s="966">
        <f t="shared" si="9"/>
        <v>0</v>
      </c>
      <c r="T36" s="116"/>
      <c r="U36" s="22"/>
      <c r="X36" s="760" t="str">
        <f t="shared" si="0"/>
        <v/>
      </c>
      <c r="Y36" s="745">
        <f t="shared" si="10"/>
        <v>0.6</v>
      </c>
      <c r="Z36" s="758" t="e">
        <f t="shared" si="11"/>
        <v>#VALUE!</v>
      </c>
      <c r="AA36" s="758" t="e">
        <f t="shared" si="12"/>
        <v>#VALUE!</v>
      </c>
      <c r="AB36" s="758" t="e">
        <f t="shared" si="13"/>
        <v>#VALUE!</v>
      </c>
      <c r="AC36" s="544" t="e">
        <f t="shared" si="1"/>
        <v>#VALUE!</v>
      </c>
      <c r="AD36" s="544">
        <f t="shared" si="2"/>
        <v>0</v>
      </c>
      <c r="AE36" s="759">
        <f>IF(H36&gt;8,tab!C$194,tab!C$197)</f>
        <v>0.4</v>
      </c>
      <c r="AF36" s="544">
        <f t="shared" si="3"/>
        <v>0</v>
      </c>
      <c r="AG36" s="760">
        <f t="shared" si="4"/>
        <v>0</v>
      </c>
      <c r="AH36" s="544"/>
    </row>
    <row r="37" spans="2:34" ht="13.15" hidden="1" customHeight="1" x14ac:dyDescent="0.2">
      <c r="B37" s="18"/>
      <c r="C37" s="31"/>
      <c r="D37" s="117"/>
      <c r="E37" s="117"/>
      <c r="F37" s="33"/>
      <c r="G37" s="118"/>
      <c r="H37" s="33"/>
      <c r="I37" s="119"/>
      <c r="J37" s="120"/>
      <c r="K37" s="170"/>
      <c r="L37" s="1141">
        <v>0</v>
      </c>
      <c r="M37" s="1141">
        <v>0</v>
      </c>
      <c r="N37" s="804" t="str">
        <f t="shared" si="5"/>
        <v/>
      </c>
      <c r="O37" s="795"/>
      <c r="P37" s="1156" t="str">
        <f t="shared" si="6"/>
        <v/>
      </c>
      <c r="Q37" s="957" t="str">
        <f t="shared" si="7"/>
        <v/>
      </c>
      <c r="R37" s="767" t="str">
        <f t="shared" si="8"/>
        <v/>
      </c>
      <c r="S37" s="966">
        <f t="shared" si="9"/>
        <v>0</v>
      </c>
      <c r="T37" s="116"/>
      <c r="U37" s="22"/>
      <c r="X37" s="760" t="str">
        <f t="shared" si="0"/>
        <v/>
      </c>
      <c r="Y37" s="745">
        <f t="shared" si="10"/>
        <v>0.6</v>
      </c>
      <c r="Z37" s="758" t="e">
        <f t="shared" si="11"/>
        <v>#VALUE!</v>
      </c>
      <c r="AA37" s="758" t="e">
        <f t="shared" si="12"/>
        <v>#VALUE!</v>
      </c>
      <c r="AB37" s="758" t="e">
        <f t="shared" si="13"/>
        <v>#VALUE!</v>
      </c>
      <c r="AC37" s="544" t="e">
        <f t="shared" si="1"/>
        <v>#VALUE!</v>
      </c>
      <c r="AD37" s="544">
        <f t="shared" si="2"/>
        <v>0</v>
      </c>
      <c r="AE37" s="759">
        <f>IF(H37&gt;8,tab!C$194,tab!C$197)</f>
        <v>0.4</v>
      </c>
      <c r="AF37" s="544">
        <f t="shared" si="3"/>
        <v>0</v>
      </c>
      <c r="AG37" s="760">
        <f t="shared" si="4"/>
        <v>0</v>
      </c>
      <c r="AH37" s="544"/>
    </row>
    <row r="38" spans="2:34" ht="13.15" hidden="1" customHeight="1" x14ac:dyDescent="0.2">
      <c r="B38" s="18"/>
      <c r="C38" s="31"/>
      <c r="D38" s="117"/>
      <c r="E38" s="117"/>
      <c r="F38" s="33"/>
      <c r="G38" s="118"/>
      <c r="H38" s="33"/>
      <c r="I38" s="119"/>
      <c r="J38" s="120"/>
      <c r="K38" s="170"/>
      <c r="L38" s="1141">
        <v>0</v>
      </c>
      <c r="M38" s="1141">
        <v>0</v>
      </c>
      <c r="N38" s="804" t="str">
        <f t="shared" si="5"/>
        <v/>
      </c>
      <c r="O38" s="795"/>
      <c r="P38" s="1156" t="str">
        <f t="shared" si="6"/>
        <v/>
      </c>
      <c r="Q38" s="957" t="str">
        <f t="shared" si="7"/>
        <v/>
      </c>
      <c r="R38" s="767" t="str">
        <f t="shared" si="8"/>
        <v/>
      </c>
      <c r="S38" s="966">
        <f t="shared" si="9"/>
        <v>0</v>
      </c>
      <c r="T38" s="116"/>
      <c r="U38" s="22"/>
      <c r="X38" s="760" t="str">
        <f t="shared" si="0"/>
        <v/>
      </c>
      <c r="Y38" s="745">
        <f t="shared" si="10"/>
        <v>0.6</v>
      </c>
      <c r="Z38" s="758" t="e">
        <f t="shared" si="11"/>
        <v>#VALUE!</v>
      </c>
      <c r="AA38" s="758" t="e">
        <f t="shared" si="12"/>
        <v>#VALUE!</v>
      </c>
      <c r="AB38" s="758" t="e">
        <f t="shared" si="13"/>
        <v>#VALUE!</v>
      </c>
      <c r="AC38" s="544" t="e">
        <f t="shared" si="1"/>
        <v>#VALUE!</v>
      </c>
      <c r="AD38" s="544">
        <f t="shared" si="2"/>
        <v>0</v>
      </c>
      <c r="AE38" s="759">
        <f>IF(H38&gt;8,tab!C$194,tab!C$197)</f>
        <v>0.4</v>
      </c>
      <c r="AF38" s="544">
        <f t="shared" si="3"/>
        <v>0</v>
      </c>
      <c r="AG38" s="760">
        <f t="shared" si="4"/>
        <v>0</v>
      </c>
      <c r="AH38" s="544"/>
    </row>
    <row r="39" spans="2:34" ht="13.15" hidden="1" customHeight="1" x14ac:dyDescent="0.2">
      <c r="B39" s="18"/>
      <c r="C39" s="31"/>
      <c r="D39" s="117"/>
      <c r="E39" s="117"/>
      <c r="F39" s="33"/>
      <c r="G39" s="118"/>
      <c r="H39" s="33"/>
      <c r="I39" s="119"/>
      <c r="J39" s="120"/>
      <c r="K39" s="170"/>
      <c r="L39" s="1141">
        <v>0</v>
      </c>
      <c r="M39" s="1141">
        <v>0</v>
      </c>
      <c r="N39" s="804" t="str">
        <f t="shared" si="5"/>
        <v/>
      </c>
      <c r="O39" s="795"/>
      <c r="P39" s="1156" t="str">
        <f t="shared" si="6"/>
        <v/>
      </c>
      <c r="Q39" s="957" t="str">
        <f t="shared" si="7"/>
        <v/>
      </c>
      <c r="R39" s="767" t="str">
        <f t="shared" si="8"/>
        <v/>
      </c>
      <c r="S39" s="966">
        <f t="shared" si="9"/>
        <v>0</v>
      </c>
      <c r="T39" s="116"/>
      <c r="U39" s="22"/>
      <c r="X39" s="760" t="str">
        <f t="shared" si="0"/>
        <v/>
      </c>
      <c r="Y39" s="745">
        <f t="shared" si="10"/>
        <v>0.6</v>
      </c>
      <c r="Z39" s="758" t="e">
        <f t="shared" si="11"/>
        <v>#VALUE!</v>
      </c>
      <c r="AA39" s="758" t="e">
        <f t="shared" si="12"/>
        <v>#VALUE!</v>
      </c>
      <c r="AB39" s="758" t="e">
        <f t="shared" si="13"/>
        <v>#VALUE!</v>
      </c>
      <c r="AC39" s="544" t="e">
        <f t="shared" si="1"/>
        <v>#VALUE!</v>
      </c>
      <c r="AD39" s="544">
        <f t="shared" si="2"/>
        <v>0</v>
      </c>
      <c r="AE39" s="759">
        <f>IF(H39&gt;8,tab!C$194,tab!C$197)</f>
        <v>0.4</v>
      </c>
      <c r="AF39" s="544">
        <f t="shared" si="3"/>
        <v>0</v>
      </c>
      <c r="AG39" s="760">
        <f t="shared" si="4"/>
        <v>0</v>
      </c>
      <c r="AH39" s="544"/>
    </row>
    <row r="40" spans="2:34" ht="13.15" hidden="1" customHeight="1" x14ac:dyDescent="0.2">
      <c r="B40" s="18"/>
      <c r="C40" s="31"/>
      <c r="D40" s="117"/>
      <c r="E40" s="117"/>
      <c r="F40" s="33"/>
      <c r="G40" s="118"/>
      <c r="H40" s="33"/>
      <c r="I40" s="119"/>
      <c r="J40" s="120"/>
      <c r="K40" s="170"/>
      <c r="L40" s="1141">
        <v>0</v>
      </c>
      <c r="M40" s="1141">
        <v>0</v>
      </c>
      <c r="N40" s="804" t="str">
        <f t="shared" si="5"/>
        <v/>
      </c>
      <c r="O40" s="795"/>
      <c r="P40" s="1156" t="str">
        <f t="shared" si="6"/>
        <v/>
      </c>
      <c r="Q40" s="957" t="str">
        <f t="shared" si="7"/>
        <v/>
      </c>
      <c r="R40" s="767" t="str">
        <f t="shared" si="8"/>
        <v/>
      </c>
      <c r="S40" s="966">
        <f t="shared" si="9"/>
        <v>0</v>
      </c>
      <c r="T40" s="116"/>
      <c r="U40" s="22"/>
      <c r="X40" s="760" t="str">
        <f t="shared" si="0"/>
        <v/>
      </c>
      <c r="Y40" s="745">
        <f t="shared" si="10"/>
        <v>0.6</v>
      </c>
      <c r="Z40" s="758" t="e">
        <f t="shared" si="11"/>
        <v>#VALUE!</v>
      </c>
      <c r="AA40" s="758" t="e">
        <f t="shared" si="12"/>
        <v>#VALUE!</v>
      </c>
      <c r="AB40" s="758" t="e">
        <f t="shared" si="13"/>
        <v>#VALUE!</v>
      </c>
      <c r="AC40" s="544" t="e">
        <f t="shared" si="1"/>
        <v>#VALUE!</v>
      </c>
      <c r="AD40" s="544">
        <f t="shared" si="2"/>
        <v>0</v>
      </c>
      <c r="AE40" s="759">
        <f>IF(H40&gt;8,tab!C$194,tab!C$197)</f>
        <v>0.4</v>
      </c>
      <c r="AF40" s="544">
        <f t="shared" si="3"/>
        <v>0</v>
      </c>
      <c r="AG40" s="760">
        <f t="shared" si="4"/>
        <v>0</v>
      </c>
      <c r="AH40" s="544"/>
    </row>
    <row r="41" spans="2:34" ht="13.15" hidden="1" customHeight="1" x14ac:dyDescent="0.2">
      <c r="B41" s="18"/>
      <c r="C41" s="31"/>
      <c r="D41" s="117"/>
      <c r="E41" s="117"/>
      <c r="F41" s="33"/>
      <c r="G41" s="118"/>
      <c r="H41" s="33"/>
      <c r="I41" s="119"/>
      <c r="J41" s="120"/>
      <c r="K41" s="170"/>
      <c r="L41" s="1141">
        <v>0</v>
      </c>
      <c r="M41" s="1141">
        <v>0</v>
      </c>
      <c r="N41" s="804" t="str">
        <f t="shared" si="5"/>
        <v/>
      </c>
      <c r="O41" s="795"/>
      <c r="P41" s="1156" t="str">
        <f t="shared" si="6"/>
        <v/>
      </c>
      <c r="Q41" s="957" t="str">
        <f t="shared" si="7"/>
        <v/>
      </c>
      <c r="R41" s="767" t="str">
        <f t="shared" si="8"/>
        <v/>
      </c>
      <c r="S41" s="966">
        <f t="shared" si="9"/>
        <v>0</v>
      </c>
      <c r="T41" s="116"/>
      <c r="U41" s="22"/>
      <c r="X41" s="760" t="str">
        <f t="shared" si="0"/>
        <v/>
      </c>
      <c r="Y41" s="745">
        <f t="shared" si="10"/>
        <v>0.6</v>
      </c>
      <c r="Z41" s="758" t="e">
        <f t="shared" si="11"/>
        <v>#VALUE!</v>
      </c>
      <c r="AA41" s="758" t="e">
        <f t="shared" si="12"/>
        <v>#VALUE!</v>
      </c>
      <c r="AB41" s="758" t="e">
        <f t="shared" si="13"/>
        <v>#VALUE!</v>
      </c>
      <c r="AC41" s="544" t="e">
        <f t="shared" si="1"/>
        <v>#VALUE!</v>
      </c>
      <c r="AD41" s="544">
        <f t="shared" si="2"/>
        <v>0</v>
      </c>
      <c r="AE41" s="759">
        <f>IF(H41&gt;8,tab!C$194,tab!C$197)</f>
        <v>0.4</v>
      </c>
      <c r="AF41" s="544">
        <f t="shared" si="3"/>
        <v>0</v>
      </c>
      <c r="AG41" s="760">
        <f t="shared" si="4"/>
        <v>0</v>
      </c>
      <c r="AH41" s="544"/>
    </row>
    <row r="42" spans="2:34" ht="13.15" hidden="1" customHeight="1" x14ac:dyDescent="0.2">
      <c r="B42" s="18"/>
      <c r="C42" s="31"/>
      <c r="D42" s="117"/>
      <c r="E42" s="117"/>
      <c r="F42" s="33"/>
      <c r="G42" s="118"/>
      <c r="H42" s="33"/>
      <c r="I42" s="119"/>
      <c r="J42" s="120"/>
      <c r="K42" s="170"/>
      <c r="L42" s="1141">
        <v>0</v>
      </c>
      <c r="M42" s="1141">
        <v>0</v>
      </c>
      <c r="N42" s="804" t="str">
        <f t="shared" si="5"/>
        <v/>
      </c>
      <c r="O42" s="795"/>
      <c r="P42" s="1156" t="str">
        <f t="shared" si="6"/>
        <v/>
      </c>
      <c r="Q42" s="957" t="str">
        <f t="shared" si="7"/>
        <v/>
      </c>
      <c r="R42" s="767" t="str">
        <f t="shared" si="8"/>
        <v/>
      </c>
      <c r="S42" s="966">
        <f t="shared" si="9"/>
        <v>0</v>
      </c>
      <c r="T42" s="116"/>
      <c r="U42" s="22"/>
      <c r="X42" s="760" t="str">
        <f t="shared" si="0"/>
        <v/>
      </c>
      <c r="Y42" s="745">
        <f t="shared" si="10"/>
        <v>0.6</v>
      </c>
      <c r="Z42" s="758" t="e">
        <f t="shared" si="11"/>
        <v>#VALUE!</v>
      </c>
      <c r="AA42" s="758" t="e">
        <f t="shared" si="12"/>
        <v>#VALUE!</v>
      </c>
      <c r="AB42" s="758" t="e">
        <f t="shared" si="13"/>
        <v>#VALUE!</v>
      </c>
      <c r="AC42" s="544" t="e">
        <f t="shared" si="1"/>
        <v>#VALUE!</v>
      </c>
      <c r="AD42" s="544">
        <f t="shared" si="2"/>
        <v>0</v>
      </c>
      <c r="AE42" s="759">
        <f>IF(H42&gt;8,tab!C$194,tab!C$197)</f>
        <v>0.4</v>
      </c>
      <c r="AF42" s="544">
        <f t="shared" si="3"/>
        <v>0</v>
      </c>
      <c r="AG42" s="760">
        <f t="shared" si="4"/>
        <v>0</v>
      </c>
      <c r="AH42" s="544"/>
    </row>
    <row r="43" spans="2:34" ht="13.15" hidden="1" customHeight="1" x14ac:dyDescent="0.2">
      <c r="B43" s="18"/>
      <c r="C43" s="31"/>
      <c r="D43" s="117"/>
      <c r="E43" s="117"/>
      <c r="F43" s="33"/>
      <c r="G43" s="118"/>
      <c r="H43" s="33"/>
      <c r="I43" s="119"/>
      <c r="J43" s="120"/>
      <c r="K43" s="170"/>
      <c r="L43" s="1141">
        <v>0</v>
      </c>
      <c r="M43" s="1141">
        <v>0</v>
      </c>
      <c r="N43" s="804" t="str">
        <f t="shared" si="5"/>
        <v/>
      </c>
      <c r="O43" s="795"/>
      <c r="P43" s="1156" t="str">
        <f t="shared" si="6"/>
        <v/>
      </c>
      <c r="Q43" s="957" t="str">
        <f t="shared" si="7"/>
        <v/>
      </c>
      <c r="R43" s="767" t="str">
        <f t="shared" si="8"/>
        <v/>
      </c>
      <c r="S43" s="966">
        <f t="shared" si="9"/>
        <v>0</v>
      </c>
      <c r="T43" s="116"/>
      <c r="U43" s="22"/>
      <c r="X43" s="760" t="str">
        <f t="shared" si="0"/>
        <v/>
      </c>
      <c r="Y43" s="745">
        <f t="shared" si="10"/>
        <v>0.6</v>
      </c>
      <c r="Z43" s="758" t="e">
        <f t="shared" si="11"/>
        <v>#VALUE!</v>
      </c>
      <c r="AA43" s="758" t="e">
        <f t="shared" si="12"/>
        <v>#VALUE!</v>
      </c>
      <c r="AB43" s="758" t="e">
        <f t="shared" si="13"/>
        <v>#VALUE!</v>
      </c>
      <c r="AC43" s="544" t="e">
        <f t="shared" si="1"/>
        <v>#VALUE!</v>
      </c>
      <c r="AD43" s="544">
        <f t="shared" si="2"/>
        <v>0</v>
      </c>
      <c r="AE43" s="759">
        <f>IF(H43&gt;8,tab!C$194,tab!C$197)</f>
        <v>0.4</v>
      </c>
      <c r="AF43" s="544">
        <f t="shared" si="3"/>
        <v>0</v>
      </c>
      <c r="AG43" s="760">
        <f t="shared" si="4"/>
        <v>0</v>
      </c>
      <c r="AH43" s="544"/>
    </row>
    <row r="44" spans="2:34" ht="13.15" hidden="1" customHeight="1" x14ac:dyDescent="0.2">
      <c r="B44" s="18"/>
      <c r="C44" s="31"/>
      <c r="D44" s="117"/>
      <c r="E44" s="117"/>
      <c r="F44" s="33"/>
      <c r="G44" s="118"/>
      <c r="H44" s="33"/>
      <c r="I44" s="119"/>
      <c r="J44" s="120"/>
      <c r="K44" s="170"/>
      <c r="L44" s="1141">
        <v>0</v>
      </c>
      <c r="M44" s="1141">
        <v>0</v>
      </c>
      <c r="N44" s="804" t="str">
        <f t="shared" si="5"/>
        <v/>
      </c>
      <c r="O44" s="795"/>
      <c r="P44" s="1156" t="str">
        <f t="shared" si="6"/>
        <v/>
      </c>
      <c r="Q44" s="957" t="str">
        <f t="shared" si="7"/>
        <v/>
      </c>
      <c r="R44" s="767" t="str">
        <f t="shared" si="8"/>
        <v/>
      </c>
      <c r="S44" s="966">
        <f t="shared" si="9"/>
        <v>0</v>
      </c>
      <c r="T44" s="116"/>
      <c r="U44" s="22"/>
      <c r="X44" s="760" t="str">
        <f t="shared" si="0"/>
        <v/>
      </c>
      <c r="Y44" s="745">
        <f t="shared" si="10"/>
        <v>0.6</v>
      </c>
      <c r="Z44" s="758" t="e">
        <f t="shared" si="11"/>
        <v>#VALUE!</v>
      </c>
      <c r="AA44" s="758" t="e">
        <f t="shared" si="12"/>
        <v>#VALUE!</v>
      </c>
      <c r="AB44" s="758" t="e">
        <f t="shared" si="13"/>
        <v>#VALUE!</v>
      </c>
      <c r="AC44" s="544" t="e">
        <f t="shared" si="1"/>
        <v>#VALUE!</v>
      </c>
      <c r="AD44" s="544">
        <f t="shared" si="2"/>
        <v>0</v>
      </c>
      <c r="AE44" s="759">
        <f>IF(H44&gt;8,tab!C$194,tab!C$197)</f>
        <v>0.4</v>
      </c>
      <c r="AF44" s="544">
        <f t="shared" si="3"/>
        <v>0</v>
      </c>
      <c r="AG44" s="760">
        <f t="shared" si="4"/>
        <v>0</v>
      </c>
      <c r="AH44" s="544"/>
    </row>
    <row r="45" spans="2:34" ht="13.15" hidden="1" customHeight="1" x14ac:dyDescent="0.2">
      <c r="B45" s="18"/>
      <c r="C45" s="31"/>
      <c r="D45" s="117"/>
      <c r="E45" s="117"/>
      <c r="F45" s="33"/>
      <c r="G45" s="118"/>
      <c r="H45" s="33"/>
      <c r="I45" s="119"/>
      <c r="J45" s="120"/>
      <c r="K45" s="170"/>
      <c r="L45" s="1141">
        <v>0</v>
      </c>
      <c r="M45" s="1141">
        <v>0</v>
      </c>
      <c r="N45" s="804" t="str">
        <f t="shared" si="5"/>
        <v/>
      </c>
      <c r="O45" s="795"/>
      <c r="P45" s="1156" t="str">
        <f t="shared" si="6"/>
        <v/>
      </c>
      <c r="Q45" s="957" t="str">
        <f t="shared" si="7"/>
        <v/>
      </c>
      <c r="R45" s="767" t="str">
        <f t="shared" si="8"/>
        <v/>
      </c>
      <c r="S45" s="966">
        <f t="shared" si="9"/>
        <v>0</v>
      </c>
      <c r="T45" s="116"/>
      <c r="U45" s="22"/>
      <c r="X45" s="760" t="str">
        <f t="shared" si="0"/>
        <v/>
      </c>
      <c r="Y45" s="745">
        <f t="shared" si="10"/>
        <v>0.6</v>
      </c>
      <c r="Z45" s="758" t="e">
        <f t="shared" si="11"/>
        <v>#VALUE!</v>
      </c>
      <c r="AA45" s="758" t="e">
        <f t="shared" si="12"/>
        <v>#VALUE!</v>
      </c>
      <c r="AB45" s="758" t="e">
        <f t="shared" si="13"/>
        <v>#VALUE!</v>
      </c>
      <c r="AC45" s="544" t="e">
        <f t="shared" si="1"/>
        <v>#VALUE!</v>
      </c>
      <c r="AD45" s="544">
        <f t="shared" si="2"/>
        <v>0</v>
      </c>
      <c r="AE45" s="759">
        <f>IF(H45&gt;8,tab!C$194,tab!C$197)</f>
        <v>0.4</v>
      </c>
      <c r="AF45" s="544">
        <f t="shared" si="3"/>
        <v>0</v>
      </c>
      <c r="AG45" s="760">
        <f t="shared" si="4"/>
        <v>0</v>
      </c>
      <c r="AH45" s="544"/>
    </row>
    <row r="46" spans="2:34" ht="13.15" hidden="1" customHeight="1" x14ac:dyDescent="0.2">
      <c r="B46" s="18"/>
      <c r="C46" s="31"/>
      <c r="D46" s="117"/>
      <c r="E46" s="117"/>
      <c r="F46" s="33"/>
      <c r="G46" s="118"/>
      <c r="H46" s="33"/>
      <c r="I46" s="119"/>
      <c r="J46" s="120"/>
      <c r="K46" s="170"/>
      <c r="L46" s="1141">
        <v>0</v>
      </c>
      <c r="M46" s="1141">
        <v>0</v>
      </c>
      <c r="N46" s="804" t="str">
        <f t="shared" si="5"/>
        <v/>
      </c>
      <c r="O46" s="795"/>
      <c r="P46" s="1156" t="str">
        <f t="shared" si="6"/>
        <v/>
      </c>
      <c r="Q46" s="957" t="str">
        <f t="shared" si="7"/>
        <v/>
      </c>
      <c r="R46" s="767" t="str">
        <f t="shared" si="8"/>
        <v/>
      </c>
      <c r="S46" s="966">
        <f t="shared" si="9"/>
        <v>0</v>
      </c>
      <c r="T46" s="116"/>
      <c r="U46" s="22"/>
      <c r="X46" s="760" t="str">
        <f t="shared" si="0"/>
        <v/>
      </c>
      <c r="Y46" s="745">
        <f t="shared" si="10"/>
        <v>0.6</v>
      </c>
      <c r="Z46" s="758" t="e">
        <f t="shared" si="11"/>
        <v>#VALUE!</v>
      </c>
      <c r="AA46" s="758" t="e">
        <f t="shared" si="12"/>
        <v>#VALUE!</v>
      </c>
      <c r="AB46" s="758" t="e">
        <f t="shared" si="13"/>
        <v>#VALUE!</v>
      </c>
      <c r="AC46" s="544" t="e">
        <f t="shared" si="1"/>
        <v>#VALUE!</v>
      </c>
      <c r="AD46" s="544">
        <f t="shared" si="2"/>
        <v>0</v>
      </c>
      <c r="AE46" s="759">
        <f>IF(H46&gt;8,tab!C$194,tab!C$197)</f>
        <v>0.4</v>
      </c>
      <c r="AF46" s="544">
        <f t="shared" si="3"/>
        <v>0</v>
      </c>
      <c r="AG46" s="760">
        <f t="shared" si="4"/>
        <v>0</v>
      </c>
      <c r="AH46" s="544"/>
    </row>
    <row r="47" spans="2:34" ht="13.15" hidden="1" customHeight="1" x14ac:dyDescent="0.2">
      <c r="B47" s="18"/>
      <c r="C47" s="31"/>
      <c r="D47" s="117"/>
      <c r="E47" s="117"/>
      <c r="F47" s="33"/>
      <c r="G47" s="118"/>
      <c r="H47" s="33"/>
      <c r="I47" s="119"/>
      <c r="J47" s="120"/>
      <c r="K47" s="170"/>
      <c r="L47" s="1141">
        <v>0</v>
      </c>
      <c r="M47" s="1141">
        <v>0</v>
      </c>
      <c r="N47" s="804" t="str">
        <f t="shared" si="5"/>
        <v/>
      </c>
      <c r="O47" s="795"/>
      <c r="P47" s="1156" t="str">
        <f t="shared" si="6"/>
        <v/>
      </c>
      <c r="Q47" s="957" t="str">
        <f t="shared" si="7"/>
        <v/>
      </c>
      <c r="R47" s="767" t="str">
        <f t="shared" si="8"/>
        <v/>
      </c>
      <c r="S47" s="966">
        <f t="shared" si="9"/>
        <v>0</v>
      </c>
      <c r="T47" s="116"/>
      <c r="U47" s="22"/>
      <c r="X47" s="760" t="str">
        <f t="shared" ref="X47:X64" si="14">IF(H47="","",5/12*VLOOKUP(H47,Salaris2019,I47+1,FALSE)+7/12*VLOOKUP(H47,Salaris2020,I47+1,FALSE))</f>
        <v/>
      </c>
      <c r="Y47" s="745">
        <f t="shared" si="10"/>
        <v>0.6</v>
      </c>
      <c r="Z47" s="758" t="e">
        <f t="shared" si="11"/>
        <v>#VALUE!</v>
      </c>
      <c r="AA47" s="758" t="e">
        <f t="shared" si="12"/>
        <v>#VALUE!</v>
      </c>
      <c r="AB47" s="758" t="e">
        <f t="shared" si="13"/>
        <v>#VALUE!</v>
      </c>
      <c r="AC47" s="544" t="e">
        <f t="shared" ref="AC47:AC64" si="15">N47+O47</f>
        <v>#VALUE!</v>
      </c>
      <c r="AD47" s="544">
        <f t="shared" ref="AD47:AD64" si="16">L47+M47</f>
        <v>0</v>
      </c>
      <c r="AE47" s="759">
        <f>IF(H47&gt;8,tab!C$194,tab!C$197)</f>
        <v>0.4</v>
      </c>
      <c r="AF47" s="544">
        <f t="shared" ref="AF47:AF64" si="17">IF(F47&lt;25,0,IF(F47=25,25,IF(F47&lt;40,0,IF(F47=40,40,IF(F47&gt;=40,0)))))</f>
        <v>0</v>
      </c>
      <c r="AG47" s="760">
        <f t="shared" ref="AG47:AG64" si="18">IF(AF47=25,(X47*1.08*(J47)/2),IF(AF47=40,(V47*1.08*(J47)),IF(AF47=0,0)))</f>
        <v>0</v>
      </c>
      <c r="AH47" s="544"/>
    </row>
    <row r="48" spans="2:34" ht="13.15" hidden="1" customHeight="1" x14ac:dyDescent="0.2">
      <c r="B48" s="18"/>
      <c r="C48" s="31"/>
      <c r="D48" s="117"/>
      <c r="E48" s="117"/>
      <c r="F48" s="33"/>
      <c r="G48" s="118"/>
      <c r="H48" s="33"/>
      <c r="I48" s="119"/>
      <c r="J48" s="120"/>
      <c r="K48" s="170"/>
      <c r="L48" s="1141">
        <v>0</v>
      </c>
      <c r="M48" s="1141">
        <v>0</v>
      </c>
      <c r="N48" s="804" t="str">
        <f t="shared" si="5"/>
        <v/>
      </c>
      <c r="O48" s="795"/>
      <c r="P48" s="1156" t="str">
        <f t="shared" si="6"/>
        <v/>
      </c>
      <c r="Q48" s="957" t="str">
        <f t="shared" si="7"/>
        <v/>
      </c>
      <c r="R48" s="767" t="str">
        <f t="shared" si="8"/>
        <v/>
      </c>
      <c r="S48" s="966">
        <f t="shared" si="9"/>
        <v>0</v>
      </c>
      <c r="T48" s="116"/>
      <c r="U48" s="22"/>
      <c r="X48" s="760" t="str">
        <f t="shared" si="14"/>
        <v/>
      </c>
      <c r="Y48" s="745">
        <f t="shared" si="10"/>
        <v>0.6</v>
      </c>
      <c r="Z48" s="758" t="e">
        <f t="shared" si="11"/>
        <v>#VALUE!</v>
      </c>
      <c r="AA48" s="758" t="e">
        <f t="shared" si="12"/>
        <v>#VALUE!</v>
      </c>
      <c r="AB48" s="758" t="e">
        <f t="shared" si="13"/>
        <v>#VALUE!</v>
      </c>
      <c r="AC48" s="544" t="e">
        <f t="shared" si="15"/>
        <v>#VALUE!</v>
      </c>
      <c r="AD48" s="544">
        <f t="shared" si="16"/>
        <v>0</v>
      </c>
      <c r="AE48" s="759">
        <f>IF(H48&gt;8,tab!C$194,tab!C$197)</f>
        <v>0.4</v>
      </c>
      <c r="AF48" s="544">
        <f t="shared" si="17"/>
        <v>0</v>
      </c>
      <c r="AG48" s="760">
        <f t="shared" si="18"/>
        <v>0</v>
      </c>
      <c r="AH48" s="544"/>
    </row>
    <row r="49" spans="2:34" ht="13.15" hidden="1" customHeight="1" x14ac:dyDescent="0.2">
      <c r="B49" s="18"/>
      <c r="C49" s="31"/>
      <c r="D49" s="117"/>
      <c r="E49" s="117"/>
      <c r="F49" s="33"/>
      <c r="G49" s="118"/>
      <c r="H49" s="33"/>
      <c r="I49" s="119"/>
      <c r="J49" s="120"/>
      <c r="K49" s="170"/>
      <c r="L49" s="1141">
        <v>0</v>
      </c>
      <c r="M49" s="1141">
        <v>0</v>
      </c>
      <c r="N49" s="804" t="str">
        <f t="shared" si="5"/>
        <v/>
      </c>
      <c r="O49" s="795"/>
      <c r="P49" s="1156" t="str">
        <f t="shared" si="6"/>
        <v/>
      </c>
      <c r="Q49" s="957" t="str">
        <f t="shared" si="7"/>
        <v/>
      </c>
      <c r="R49" s="767" t="str">
        <f t="shared" si="8"/>
        <v/>
      </c>
      <c r="S49" s="966">
        <f t="shared" si="9"/>
        <v>0</v>
      </c>
      <c r="T49" s="116"/>
      <c r="U49" s="22"/>
      <c r="X49" s="760" t="str">
        <f t="shared" si="14"/>
        <v/>
      </c>
      <c r="Y49" s="745">
        <f t="shared" si="10"/>
        <v>0.6</v>
      </c>
      <c r="Z49" s="758" t="e">
        <f t="shared" si="11"/>
        <v>#VALUE!</v>
      </c>
      <c r="AA49" s="758" t="e">
        <f t="shared" si="12"/>
        <v>#VALUE!</v>
      </c>
      <c r="AB49" s="758" t="e">
        <f t="shared" si="13"/>
        <v>#VALUE!</v>
      </c>
      <c r="AC49" s="544" t="e">
        <f t="shared" si="15"/>
        <v>#VALUE!</v>
      </c>
      <c r="AD49" s="544">
        <f t="shared" si="16"/>
        <v>0</v>
      </c>
      <c r="AE49" s="759">
        <f>IF(H49&gt;8,tab!C$194,tab!C$197)</f>
        <v>0.4</v>
      </c>
      <c r="AF49" s="544">
        <f t="shared" si="17"/>
        <v>0</v>
      </c>
      <c r="AG49" s="760">
        <f t="shared" si="18"/>
        <v>0</v>
      </c>
      <c r="AH49" s="544"/>
    </row>
    <row r="50" spans="2:34" ht="13.15" hidden="1" customHeight="1" x14ac:dyDescent="0.2">
      <c r="B50" s="18"/>
      <c r="C50" s="31"/>
      <c r="D50" s="117"/>
      <c r="E50" s="117"/>
      <c r="F50" s="33"/>
      <c r="G50" s="118"/>
      <c r="H50" s="33"/>
      <c r="I50" s="119"/>
      <c r="J50" s="120"/>
      <c r="K50" s="170"/>
      <c r="L50" s="1141">
        <v>0</v>
      </c>
      <c r="M50" s="1141">
        <v>0</v>
      </c>
      <c r="N50" s="804" t="str">
        <f t="shared" si="5"/>
        <v/>
      </c>
      <c r="O50" s="795"/>
      <c r="P50" s="1156" t="str">
        <f t="shared" si="6"/>
        <v/>
      </c>
      <c r="Q50" s="957" t="str">
        <f t="shared" si="7"/>
        <v/>
      </c>
      <c r="R50" s="767" t="str">
        <f t="shared" si="8"/>
        <v/>
      </c>
      <c r="S50" s="966">
        <f t="shared" si="9"/>
        <v>0</v>
      </c>
      <c r="T50" s="116"/>
      <c r="U50" s="22"/>
      <c r="X50" s="760" t="str">
        <f t="shared" si="14"/>
        <v/>
      </c>
      <c r="Y50" s="745">
        <f t="shared" si="10"/>
        <v>0.6</v>
      </c>
      <c r="Z50" s="758" t="e">
        <f t="shared" si="11"/>
        <v>#VALUE!</v>
      </c>
      <c r="AA50" s="758" t="e">
        <f t="shared" si="12"/>
        <v>#VALUE!</v>
      </c>
      <c r="AB50" s="758" t="e">
        <f t="shared" si="13"/>
        <v>#VALUE!</v>
      </c>
      <c r="AC50" s="544" t="e">
        <f t="shared" si="15"/>
        <v>#VALUE!</v>
      </c>
      <c r="AD50" s="544">
        <f t="shared" si="16"/>
        <v>0</v>
      </c>
      <c r="AE50" s="759">
        <f>IF(H50&gt;8,tab!C$194,tab!C$197)</f>
        <v>0.4</v>
      </c>
      <c r="AF50" s="544">
        <f t="shared" si="17"/>
        <v>0</v>
      </c>
      <c r="AG50" s="760">
        <f t="shared" si="18"/>
        <v>0</v>
      </c>
      <c r="AH50" s="544"/>
    </row>
    <row r="51" spans="2:34" ht="13.15" hidden="1" customHeight="1" x14ac:dyDescent="0.2">
      <c r="B51" s="18"/>
      <c r="C51" s="31"/>
      <c r="D51" s="117"/>
      <c r="E51" s="117"/>
      <c r="F51" s="33"/>
      <c r="G51" s="118"/>
      <c r="H51" s="33"/>
      <c r="I51" s="119"/>
      <c r="J51" s="120"/>
      <c r="K51" s="170"/>
      <c r="L51" s="1141">
        <v>0</v>
      </c>
      <c r="M51" s="1141">
        <v>0</v>
      </c>
      <c r="N51" s="804" t="str">
        <f t="shared" si="5"/>
        <v/>
      </c>
      <c r="O51" s="795"/>
      <c r="P51" s="1156" t="str">
        <f t="shared" si="6"/>
        <v/>
      </c>
      <c r="Q51" s="957" t="str">
        <f t="shared" si="7"/>
        <v/>
      </c>
      <c r="R51" s="767" t="str">
        <f t="shared" si="8"/>
        <v/>
      </c>
      <c r="S51" s="966">
        <f t="shared" si="9"/>
        <v>0</v>
      </c>
      <c r="T51" s="116"/>
      <c r="U51" s="22"/>
      <c r="X51" s="760" t="str">
        <f t="shared" si="14"/>
        <v/>
      </c>
      <c r="Y51" s="745">
        <f t="shared" si="10"/>
        <v>0.6</v>
      </c>
      <c r="Z51" s="758" t="e">
        <f t="shared" si="11"/>
        <v>#VALUE!</v>
      </c>
      <c r="AA51" s="758" t="e">
        <f t="shared" si="12"/>
        <v>#VALUE!</v>
      </c>
      <c r="AB51" s="758" t="e">
        <f t="shared" si="13"/>
        <v>#VALUE!</v>
      </c>
      <c r="AC51" s="544" t="e">
        <f t="shared" si="15"/>
        <v>#VALUE!</v>
      </c>
      <c r="AD51" s="544">
        <f t="shared" si="16"/>
        <v>0</v>
      </c>
      <c r="AE51" s="759">
        <f>IF(H51&gt;8,tab!C$194,tab!C$197)</f>
        <v>0.4</v>
      </c>
      <c r="AF51" s="544">
        <f t="shared" si="17"/>
        <v>0</v>
      </c>
      <c r="AG51" s="760">
        <f t="shared" si="18"/>
        <v>0</v>
      </c>
      <c r="AH51" s="544"/>
    </row>
    <row r="52" spans="2:34" ht="13.15" hidden="1" customHeight="1" x14ac:dyDescent="0.2">
      <c r="B52" s="18"/>
      <c r="C52" s="31"/>
      <c r="D52" s="117"/>
      <c r="E52" s="117"/>
      <c r="F52" s="33"/>
      <c r="G52" s="118"/>
      <c r="H52" s="33"/>
      <c r="I52" s="119"/>
      <c r="J52" s="120"/>
      <c r="K52" s="170"/>
      <c r="L52" s="1141">
        <v>0</v>
      </c>
      <c r="M52" s="1141">
        <v>0</v>
      </c>
      <c r="N52" s="804" t="str">
        <f t="shared" si="5"/>
        <v/>
      </c>
      <c r="O52" s="795"/>
      <c r="P52" s="1156" t="str">
        <f t="shared" si="6"/>
        <v/>
      </c>
      <c r="Q52" s="957" t="str">
        <f t="shared" si="7"/>
        <v/>
      </c>
      <c r="R52" s="767" t="str">
        <f t="shared" si="8"/>
        <v/>
      </c>
      <c r="S52" s="966">
        <f t="shared" si="9"/>
        <v>0</v>
      </c>
      <c r="T52" s="116"/>
      <c r="U52" s="22"/>
      <c r="X52" s="760" t="str">
        <f t="shared" si="14"/>
        <v/>
      </c>
      <c r="Y52" s="745">
        <f t="shared" si="10"/>
        <v>0.6</v>
      </c>
      <c r="Z52" s="758" t="e">
        <f t="shared" si="11"/>
        <v>#VALUE!</v>
      </c>
      <c r="AA52" s="758" t="e">
        <f t="shared" si="12"/>
        <v>#VALUE!</v>
      </c>
      <c r="AB52" s="758" t="e">
        <f t="shared" si="13"/>
        <v>#VALUE!</v>
      </c>
      <c r="AC52" s="544" t="e">
        <f t="shared" si="15"/>
        <v>#VALUE!</v>
      </c>
      <c r="AD52" s="544">
        <f t="shared" si="16"/>
        <v>0</v>
      </c>
      <c r="AE52" s="759">
        <f>IF(H52&gt;8,tab!C$194,tab!C$197)</f>
        <v>0.4</v>
      </c>
      <c r="AF52" s="544">
        <f t="shared" si="17"/>
        <v>0</v>
      </c>
      <c r="AG52" s="760">
        <f t="shared" si="18"/>
        <v>0</v>
      </c>
      <c r="AH52" s="544"/>
    </row>
    <row r="53" spans="2:34" ht="13.15" hidden="1" customHeight="1" x14ac:dyDescent="0.2">
      <c r="B53" s="18"/>
      <c r="C53" s="31"/>
      <c r="D53" s="117"/>
      <c r="E53" s="117"/>
      <c r="F53" s="33"/>
      <c r="G53" s="118"/>
      <c r="H53" s="33"/>
      <c r="I53" s="119"/>
      <c r="J53" s="120"/>
      <c r="K53" s="170"/>
      <c r="L53" s="1141">
        <v>0</v>
      </c>
      <c r="M53" s="1141">
        <v>0</v>
      </c>
      <c r="N53" s="804" t="str">
        <f t="shared" si="5"/>
        <v/>
      </c>
      <c r="O53" s="795"/>
      <c r="P53" s="1156" t="str">
        <f t="shared" si="6"/>
        <v/>
      </c>
      <c r="Q53" s="957" t="str">
        <f t="shared" si="7"/>
        <v/>
      </c>
      <c r="R53" s="767" t="str">
        <f t="shared" si="8"/>
        <v/>
      </c>
      <c r="S53" s="966">
        <f t="shared" si="9"/>
        <v>0</v>
      </c>
      <c r="T53" s="116"/>
      <c r="U53" s="22"/>
      <c r="X53" s="760" t="str">
        <f t="shared" si="14"/>
        <v/>
      </c>
      <c r="Y53" s="745">
        <f t="shared" si="10"/>
        <v>0.6</v>
      </c>
      <c r="Z53" s="758" t="e">
        <f t="shared" si="11"/>
        <v>#VALUE!</v>
      </c>
      <c r="AA53" s="758" t="e">
        <f t="shared" si="12"/>
        <v>#VALUE!</v>
      </c>
      <c r="AB53" s="758" t="e">
        <f t="shared" si="13"/>
        <v>#VALUE!</v>
      </c>
      <c r="AC53" s="544" t="e">
        <f t="shared" si="15"/>
        <v>#VALUE!</v>
      </c>
      <c r="AD53" s="544">
        <f t="shared" si="16"/>
        <v>0</v>
      </c>
      <c r="AE53" s="759">
        <f>IF(H53&gt;8,tab!C$194,tab!C$197)</f>
        <v>0.4</v>
      </c>
      <c r="AF53" s="544">
        <f t="shared" si="17"/>
        <v>0</v>
      </c>
      <c r="AG53" s="760">
        <f t="shared" si="18"/>
        <v>0</v>
      </c>
      <c r="AH53" s="544"/>
    </row>
    <row r="54" spans="2:34" ht="13.15" hidden="1" customHeight="1" x14ac:dyDescent="0.2">
      <c r="B54" s="18"/>
      <c r="C54" s="31"/>
      <c r="D54" s="117"/>
      <c r="E54" s="117"/>
      <c r="F54" s="33"/>
      <c r="G54" s="118"/>
      <c r="H54" s="33"/>
      <c r="I54" s="119"/>
      <c r="J54" s="120"/>
      <c r="K54" s="170"/>
      <c r="L54" s="1141">
        <v>0</v>
      </c>
      <c r="M54" s="1141">
        <v>0</v>
      </c>
      <c r="N54" s="804" t="str">
        <f t="shared" si="5"/>
        <v/>
      </c>
      <c r="O54" s="795"/>
      <c r="P54" s="1156" t="str">
        <f t="shared" si="6"/>
        <v/>
      </c>
      <c r="Q54" s="957" t="str">
        <f t="shared" si="7"/>
        <v/>
      </c>
      <c r="R54" s="767" t="str">
        <f t="shared" si="8"/>
        <v/>
      </c>
      <c r="S54" s="966">
        <f t="shared" si="9"/>
        <v>0</v>
      </c>
      <c r="T54" s="116"/>
      <c r="U54" s="22"/>
      <c r="X54" s="760" t="str">
        <f t="shared" si="14"/>
        <v/>
      </c>
      <c r="Y54" s="745">
        <f t="shared" si="10"/>
        <v>0.6</v>
      </c>
      <c r="Z54" s="758" t="e">
        <f t="shared" si="11"/>
        <v>#VALUE!</v>
      </c>
      <c r="AA54" s="758" t="e">
        <f t="shared" si="12"/>
        <v>#VALUE!</v>
      </c>
      <c r="AB54" s="758" t="e">
        <f t="shared" si="13"/>
        <v>#VALUE!</v>
      </c>
      <c r="AC54" s="544" t="e">
        <f t="shared" si="15"/>
        <v>#VALUE!</v>
      </c>
      <c r="AD54" s="544">
        <f t="shared" si="16"/>
        <v>0</v>
      </c>
      <c r="AE54" s="759">
        <f>IF(H54&gt;8,tab!C$194,tab!C$197)</f>
        <v>0.4</v>
      </c>
      <c r="AF54" s="544">
        <f t="shared" si="17"/>
        <v>0</v>
      </c>
      <c r="AG54" s="760">
        <f t="shared" si="18"/>
        <v>0</v>
      </c>
      <c r="AH54" s="544"/>
    </row>
    <row r="55" spans="2:34" ht="13.15" hidden="1" customHeight="1" x14ac:dyDescent="0.2">
      <c r="B55" s="18"/>
      <c r="C55" s="31"/>
      <c r="D55" s="117"/>
      <c r="E55" s="117"/>
      <c r="F55" s="33"/>
      <c r="G55" s="118"/>
      <c r="H55" s="33"/>
      <c r="I55" s="119"/>
      <c r="J55" s="120"/>
      <c r="K55" s="170"/>
      <c r="L55" s="1141">
        <v>0</v>
      </c>
      <c r="M55" s="1141">
        <v>0</v>
      </c>
      <c r="N55" s="804" t="str">
        <f t="shared" si="5"/>
        <v/>
      </c>
      <c r="O55" s="795"/>
      <c r="P55" s="1156" t="str">
        <f t="shared" si="6"/>
        <v/>
      </c>
      <c r="Q55" s="957" t="str">
        <f t="shared" si="7"/>
        <v/>
      </c>
      <c r="R55" s="767" t="str">
        <f t="shared" si="8"/>
        <v/>
      </c>
      <c r="S55" s="966">
        <f t="shared" si="9"/>
        <v>0</v>
      </c>
      <c r="T55" s="116"/>
      <c r="U55" s="22"/>
      <c r="X55" s="760" t="str">
        <f t="shared" si="14"/>
        <v/>
      </c>
      <c r="Y55" s="745">
        <f t="shared" si="10"/>
        <v>0.6</v>
      </c>
      <c r="Z55" s="758" t="e">
        <f t="shared" si="11"/>
        <v>#VALUE!</v>
      </c>
      <c r="AA55" s="758" t="e">
        <f t="shared" si="12"/>
        <v>#VALUE!</v>
      </c>
      <c r="AB55" s="758" t="e">
        <f t="shared" si="13"/>
        <v>#VALUE!</v>
      </c>
      <c r="AC55" s="544" t="e">
        <f t="shared" si="15"/>
        <v>#VALUE!</v>
      </c>
      <c r="AD55" s="544">
        <f t="shared" si="16"/>
        <v>0</v>
      </c>
      <c r="AE55" s="759">
        <f>IF(H55&gt;8,tab!C$194,tab!C$197)</f>
        <v>0.4</v>
      </c>
      <c r="AF55" s="544">
        <f t="shared" si="17"/>
        <v>0</v>
      </c>
      <c r="AG55" s="760">
        <f t="shared" si="18"/>
        <v>0</v>
      </c>
      <c r="AH55" s="544"/>
    </row>
    <row r="56" spans="2:34" ht="13.15" hidden="1" customHeight="1" x14ac:dyDescent="0.2">
      <c r="B56" s="18"/>
      <c r="C56" s="31"/>
      <c r="D56" s="117"/>
      <c r="E56" s="117"/>
      <c r="F56" s="33"/>
      <c r="G56" s="118"/>
      <c r="H56" s="33"/>
      <c r="I56" s="119"/>
      <c r="J56" s="120"/>
      <c r="K56" s="170"/>
      <c r="L56" s="1141">
        <v>0</v>
      </c>
      <c r="M56" s="1141">
        <v>0</v>
      </c>
      <c r="N56" s="804" t="str">
        <f t="shared" si="5"/>
        <v/>
      </c>
      <c r="O56" s="795"/>
      <c r="P56" s="1156" t="str">
        <f t="shared" si="6"/>
        <v/>
      </c>
      <c r="Q56" s="957" t="str">
        <f t="shared" si="7"/>
        <v/>
      </c>
      <c r="R56" s="767" t="str">
        <f t="shared" si="8"/>
        <v/>
      </c>
      <c r="S56" s="966">
        <f t="shared" si="9"/>
        <v>0</v>
      </c>
      <c r="T56" s="116"/>
      <c r="U56" s="22"/>
      <c r="X56" s="760" t="str">
        <f t="shared" si="14"/>
        <v/>
      </c>
      <c r="Y56" s="745">
        <f t="shared" si="10"/>
        <v>0.6</v>
      </c>
      <c r="Z56" s="758" t="e">
        <f t="shared" si="11"/>
        <v>#VALUE!</v>
      </c>
      <c r="AA56" s="758" t="e">
        <f t="shared" si="12"/>
        <v>#VALUE!</v>
      </c>
      <c r="AB56" s="758" t="e">
        <f t="shared" si="13"/>
        <v>#VALUE!</v>
      </c>
      <c r="AC56" s="544" t="e">
        <f t="shared" si="15"/>
        <v>#VALUE!</v>
      </c>
      <c r="AD56" s="544">
        <f t="shared" si="16"/>
        <v>0</v>
      </c>
      <c r="AE56" s="759">
        <f>IF(H56&gt;8,tab!C$194,tab!C$197)</f>
        <v>0.4</v>
      </c>
      <c r="AF56" s="544">
        <f t="shared" si="17"/>
        <v>0</v>
      </c>
      <c r="AG56" s="760">
        <f t="shared" si="18"/>
        <v>0</v>
      </c>
      <c r="AH56" s="544"/>
    </row>
    <row r="57" spans="2:34" ht="13.15" hidden="1" customHeight="1" x14ac:dyDescent="0.2">
      <c r="B57" s="18"/>
      <c r="C57" s="31"/>
      <c r="D57" s="117"/>
      <c r="E57" s="117"/>
      <c r="F57" s="33"/>
      <c r="G57" s="118"/>
      <c r="H57" s="33"/>
      <c r="I57" s="119"/>
      <c r="J57" s="120"/>
      <c r="K57" s="170"/>
      <c r="L57" s="1141">
        <v>0</v>
      </c>
      <c r="M57" s="1141">
        <v>0</v>
      </c>
      <c r="N57" s="804" t="str">
        <f t="shared" si="5"/>
        <v/>
      </c>
      <c r="O57" s="795"/>
      <c r="P57" s="1156" t="str">
        <f t="shared" si="6"/>
        <v/>
      </c>
      <c r="Q57" s="957" t="str">
        <f t="shared" si="7"/>
        <v/>
      </c>
      <c r="R57" s="767" t="str">
        <f t="shared" si="8"/>
        <v/>
      </c>
      <c r="S57" s="966">
        <f t="shared" si="9"/>
        <v>0</v>
      </c>
      <c r="T57" s="116"/>
      <c r="U57" s="22"/>
      <c r="X57" s="760" t="str">
        <f t="shared" si="14"/>
        <v/>
      </c>
      <c r="Y57" s="745">
        <f t="shared" si="10"/>
        <v>0.6</v>
      </c>
      <c r="Z57" s="758" t="e">
        <f t="shared" si="11"/>
        <v>#VALUE!</v>
      </c>
      <c r="AA57" s="758" t="e">
        <f t="shared" si="12"/>
        <v>#VALUE!</v>
      </c>
      <c r="AB57" s="758" t="e">
        <f t="shared" si="13"/>
        <v>#VALUE!</v>
      </c>
      <c r="AC57" s="544" t="e">
        <f t="shared" si="15"/>
        <v>#VALUE!</v>
      </c>
      <c r="AD57" s="544">
        <f t="shared" si="16"/>
        <v>0</v>
      </c>
      <c r="AE57" s="759">
        <f>IF(H57&gt;8,tab!C$194,tab!C$197)</f>
        <v>0.4</v>
      </c>
      <c r="AF57" s="544">
        <f t="shared" si="17"/>
        <v>0</v>
      </c>
      <c r="AG57" s="760">
        <f t="shared" si="18"/>
        <v>0</v>
      </c>
      <c r="AH57" s="544"/>
    </row>
    <row r="58" spans="2:34" ht="13.15" hidden="1" customHeight="1" x14ac:dyDescent="0.2">
      <c r="B58" s="18"/>
      <c r="C58" s="31"/>
      <c r="D58" s="117"/>
      <c r="E58" s="117"/>
      <c r="F58" s="33"/>
      <c r="G58" s="118"/>
      <c r="H58" s="33"/>
      <c r="I58" s="119"/>
      <c r="J58" s="120"/>
      <c r="K58" s="170"/>
      <c r="L58" s="1141">
        <v>0</v>
      </c>
      <c r="M58" s="1141">
        <v>0</v>
      </c>
      <c r="N58" s="804" t="str">
        <f t="shared" si="5"/>
        <v/>
      </c>
      <c r="O58" s="795"/>
      <c r="P58" s="1156" t="str">
        <f t="shared" si="6"/>
        <v/>
      </c>
      <c r="Q58" s="957" t="str">
        <f t="shared" si="7"/>
        <v/>
      </c>
      <c r="R58" s="767" t="str">
        <f t="shared" si="8"/>
        <v/>
      </c>
      <c r="S58" s="966">
        <f t="shared" si="9"/>
        <v>0</v>
      </c>
      <c r="T58" s="116"/>
      <c r="U58" s="22"/>
      <c r="X58" s="760" t="str">
        <f t="shared" si="14"/>
        <v/>
      </c>
      <c r="Y58" s="745">
        <f t="shared" si="10"/>
        <v>0.6</v>
      </c>
      <c r="Z58" s="758" t="e">
        <f t="shared" si="11"/>
        <v>#VALUE!</v>
      </c>
      <c r="AA58" s="758" t="e">
        <f t="shared" si="12"/>
        <v>#VALUE!</v>
      </c>
      <c r="AB58" s="758" t="e">
        <f t="shared" si="13"/>
        <v>#VALUE!</v>
      </c>
      <c r="AC58" s="544" t="e">
        <f t="shared" si="15"/>
        <v>#VALUE!</v>
      </c>
      <c r="AD58" s="544">
        <f t="shared" si="16"/>
        <v>0</v>
      </c>
      <c r="AE58" s="759">
        <f>IF(H58&gt;8,tab!C$194,tab!C$197)</f>
        <v>0.4</v>
      </c>
      <c r="AF58" s="544">
        <f t="shared" si="17"/>
        <v>0</v>
      </c>
      <c r="AG58" s="760">
        <f t="shared" si="18"/>
        <v>0</v>
      </c>
      <c r="AH58" s="544"/>
    </row>
    <row r="59" spans="2:34" ht="13.15" hidden="1" customHeight="1" x14ac:dyDescent="0.2">
      <c r="B59" s="18"/>
      <c r="C59" s="31"/>
      <c r="D59" s="117"/>
      <c r="E59" s="117"/>
      <c r="F59" s="33"/>
      <c r="G59" s="118"/>
      <c r="H59" s="33"/>
      <c r="I59" s="119"/>
      <c r="J59" s="120"/>
      <c r="K59" s="170"/>
      <c r="L59" s="1141">
        <v>0</v>
      </c>
      <c r="M59" s="1141">
        <v>0</v>
      </c>
      <c r="N59" s="804" t="str">
        <f t="shared" si="5"/>
        <v/>
      </c>
      <c r="O59" s="795"/>
      <c r="P59" s="1156" t="str">
        <f t="shared" si="6"/>
        <v/>
      </c>
      <c r="Q59" s="957" t="str">
        <f t="shared" si="7"/>
        <v/>
      </c>
      <c r="R59" s="767" t="str">
        <f t="shared" si="8"/>
        <v/>
      </c>
      <c r="S59" s="966">
        <f t="shared" si="9"/>
        <v>0</v>
      </c>
      <c r="T59" s="116"/>
      <c r="U59" s="22"/>
      <c r="X59" s="760" t="str">
        <f t="shared" si="14"/>
        <v/>
      </c>
      <c r="Y59" s="745">
        <f t="shared" si="10"/>
        <v>0.6</v>
      </c>
      <c r="Z59" s="758" t="e">
        <f t="shared" si="11"/>
        <v>#VALUE!</v>
      </c>
      <c r="AA59" s="758" t="e">
        <f t="shared" si="12"/>
        <v>#VALUE!</v>
      </c>
      <c r="AB59" s="758" t="e">
        <f t="shared" si="13"/>
        <v>#VALUE!</v>
      </c>
      <c r="AC59" s="544" t="e">
        <f t="shared" si="15"/>
        <v>#VALUE!</v>
      </c>
      <c r="AD59" s="544">
        <f t="shared" si="16"/>
        <v>0</v>
      </c>
      <c r="AE59" s="759">
        <f>IF(H59&gt;8,tab!C$194,tab!C$197)</f>
        <v>0.4</v>
      </c>
      <c r="AF59" s="544">
        <f t="shared" si="17"/>
        <v>0</v>
      </c>
      <c r="AG59" s="760">
        <f t="shared" si="18"/>
        <v>0</v>
      </c>
      <c r="AH59" s="544"/>
    </row>
    <row r="60" spans="2:34" ht="13.15" hidden="1" customHeight="1" x14ac:dyDescent="0.2">
      <c r="B60" s="18"/>
      <c r="C60" s="31"/>
      <c r="D60" s="117"/>
      <c r="E60" s="117"/>
      <c r="F60" s="33"/>
      <c r="G60" s="118"/>
      <c r="H60" s="33"/>
      <c r="I60" s="119"/>
      <c r="J60" s="120"/>
      <c r="K60" s="170"/>
      <c r="L60" s="1141">
        <v>0</v>
      </c>
      <c r="M60" s="1141">
        <v>0</v>
      </c>
      <c r="N60" s="804" t="str">
        <f t="shared" si="5"/>
        <v/>
      </c>
      <c r="O60" s="795"/>
      <c r="P60" s="1156" t="str">
        <f t="shared" si="6"/>
        <v/>
      </c>
      <c r="Q60" s="957" t="str">
        <f t="shared" si="7"/>
        <v/>
      </c>
      <c r="R60" s="767" t="str">
        <f t="shared" si="8"/>
        <v/>
      </c>
      <c r="S60" s="966">
        <f t="shared" si="9"/>
        <v>0</v>
      </c>
      <c r="T60" s="116"/>
      <c r="U60" s="22"/>
      <c r="X60" s="760" t="str">
        <f t="shared" si="14"/>
        <v/>
      </c>
      <c r="Y60" s="745">
        <f t="shared" si="10"/>
        <v>0.6</v>
      </c>
      <c r="Z60" s="758" t="e">
        <f t="shared" si="11"/>
        <v>#VALUE!</v>
      </c>
      <c r="AA60" s="758" t="e">
        <f t="shared" si="12"/>
        <v>#VALUE!</v>
      </c>
      <c r="AB60" s="758" t="e">
        <f t="shared" si="13"/>
        <v>#VALUE!</v>
      </c>
      <c r="AC60" s="544" t="e">
        <f t="shared" si="15"/>
        <v>#VALUE!</v>
      </c>
      <c r="AD60" s="544">
        <f t="shared" si="16"/>
        <v>0</v>
      </c>
      <c r="AE60" s="759">
        <f>IF(H60&gt;8,tab!C$194,tab!C$197)</f>
        <v>0.4</v>
      </c>
      <c r="AF60" s="544">
        <f t="shared" si="17"/>
        <v>0</v>
      </c>
      <c r="AG60" s="760">
        <f t="shared" si="18"/>
        <v>0</v>
      </c>
      <c r="AH60" s="544"/>
    </row>
    <row r="61" spans="2:34" ht="13.15" hidden="1" customHeight="1" x14ac:dyDescent="0.2">
      <c r="B61" s="18"/>
      <c r="C61" s="31"/>
      <c r="D61" s="117"/>
      <c r="E61" s="117"/>
      <c r="F61" s="33"/>
      <c r="G61" s="118"/>
      <c r="H61" s="33"/>
      <c r="I61" s="119"/>
      <c r="J61" s="120"/>
      <c r="K61" s="170"/>
      <c r="L61" s="1141">
        <v>0</v>
      </c>
      <c r="M61" s="1141">
        <v>0</v>
      </c>
      <c r="N61" s="804" t="str">
        <f t="shared" si="5"/>
        <v/>
      </c>
      <c r="O61" s="795"/>
      <c r="P61" s="1156" t="str">
        <f t="shared" si="6"/>
        <v/>
      </c>
      <c r="Q61" s="957" t="str">
        <f t="shared" si="7"/>
        <v/>
      </c>
      <c r="R61" s="767" t="str">
        <f t="shared" si="8"/>
        <v/>
      </c>
      <c r="S61" s="966">
        <f t="shared" si="9"/>
        <v>0</v>
      </c>
      <c r="T61" s="116"/>
      <c r="U61" s="22"/>
      <c r="X61" s="760" t="str">
        <f t="shared" si="14"/>
        <v/>
      </c>
      <c r="Y61" s="745">
        <f t="shared" si="10"/>
        <v>0.6</v>
      </c>
      <c r="Z61" s="758" t="e">
        <f t="shared" si="11"/>
        <v>#VALUE!</v>
      </c>
      <c r="AA61" s="758" t="e">
        <f t="shared" si="12"/>
        <v>#VALUE!</v>
      </c>
      <c r="AB61" s="758" t="e">
        <f t="shared" si="13"/>
        <v>#VALUE!</v>
      </c>
      <c r="AC61" s="544" t="e">
        <f t="shared" si="15"/>
        <v>#VALUE!</v>
      </c>
      <c r="AD61" s="544">
        <f t="shared" si="16"/>
        <v>0</v>
      </c>
      <c r="AE61" s="759">
        <f>IF(H61&gt;8,tab!C$194,tab!C$197)</f>
        <v>0.4</v>
      </c>
      <c r="AF61" s="544">
        <f t="shared" si="17"/>
        <v>0</v>
      </c>
      <c r="AG61" s="760">
        <f t="shared" si="18"/>
        <v>0</v>
      </c>
      <c r="AH61" s="544"/>
    </row>
    <row r="62" spans="2:34" ht="13.15" hidden="1" customHeight="1" x14ac:dyDescent="0.2">
      <c r="B62" s="18"/>
      <c r="C62" s="31"/>
      <c r="D62" s="117"/>
      <c r="E62" s="117"/>
      <c r="F62" s="33"/>
      <c r="G62" s="118"/>
      <c r="H62" s="33"/>
      <c r="I62" s="119"/>
      <c r="J62" s="120"/>
      <c r="K62" s="170"/>
      <c r="L62" s="1141">
        <v>0</v>
      </c>
      <c r="M62" s="1141">
        <v>0</v>
      </c>
      <c r="N62" s="804" t="str">
        <f t="shared" si="5"/>
        <v/>
      </c>
      <c r="O62" s="795"/>
      <c r="P62" s="1156" t="str">
        <f t="shared" si="6"/>
        <v/>
      </c>
      <c r="Q62" s="957" t="str">
        <f t="shared" si="7"/>
        <v/>
      </c>
      <c r="R62" s="767" t="str">
        <f t="shared" si="8"/>
        <v/>
      </c>
      <c r="S62" s="966">
        <f t="shared" si="9"/>
        <v>0</v>
      </c>
      <c r="T62" s="116"/>
      <c r="U62" s="22"/>
      <c r="X62" s="760" t="str">
        <f t="shared" si="14"/>
        <v/>
      </c>
      <c r="Y62" s="745">
        <f t="shared" si="10"/>
        <v>0.6</v>
      </c>
      <c r="Z62" s="758" t="e">
        <f t="shared" si="11"/>
        <v>#VALUE!</v>
      </c>
      <c r="AA62" s="758" t="e">
        <f t="shared" si="12"/>
        <v>#VALUE!</v>
      </c>
      <c r="AB62" s="758" t="e">
        <f t="shared" si="13"/>
        <v>#VALUE!</v>
      </c>
      <c r="AC62" s="544" t="e">
        <f t="shared" si="15"/>
        <v>#VALUE!</v>
      </c>
      <c r="AD62" s="544">
        <f t="shared" si="16"/>
        <v>0</v>
      </c>
      <c r="AE62" s="759">
        <f>IF(H62&gt;8,tab!C$194,tab!C$197)</f>
        <v>0.4</v>
      </c>
      <c r="AF62" s="544">
        <f t="shared" si="17"/>
        <v>0</v>
      </c>
      <c r="AG62" s="760">
        <f t="shared" si="18"/>
        <v>0</v>
      </c>
      <c r="AH62" s="544"/>
    </row>
    <row r="63" spans="2:34" ht="13.15" hidden="1" customHeight="1" x14ac:dyDescent="0.2">
      <c r="B63" s="18"/>
      <c r="C63" s="31"/>
      <c r="D63" s="117"/>
      <c r="E63" s="117"/>
      <c r="F63" s="33"/>
      <c r="G63" s="118"/>
      <c r="H63" s="33"/>
      <c r="I63" s="119"/>
      <c r="J63" s="120"/>
      <c r="K63" s="170"/>
      <c r="L63" s="1141">
        <v>0</v>
      </c>
      <c r="M63" s="1141">
        <v>0</v>
      </c>
      <c r="N63" s="804" t="str">
        <f t="shared" si="5"/>
        <v/>
      </c>
      <c r="O63" s="795"/>
      <c r="P63" s="1156" t="str">
        <f t="shared" si="6"/>
        <v/>
      </c>
      <c r="Q63" s="957" t="str">
        <f t="shared" si="7"/>
        <v/>
      </c>
      <c r="R63" s="767" t="str">
        <f t="shared" si="8"/>
        <v/>
      </c>
      <c r="S63" s="966">
        <f t="shared" si="9"/>
        <v>0</v>
      </c>
      <c r="T63" s="116"/>
      <c r="U63" s="22"/>
      <c r="X63" s="760" t="str">
        <f t="shared" si="14"/>
        <v/>
      </c>
      <c r="Y63" s="745">
        <f t="shared" si="10"/>
        <v>0.6</v>
      </c>
      <c r="Z63" s="758" t="e">
        <f t="shared" si="11"/>
        <v>#VALUE!</v>
      </c>
      <c r="AA63" s="758" t="e">
        <f t="shared" si="12"/>
        <v>#VALUE!</v>
      </c>
      <c r="AB63" s="758" t="e">
        <f t="shared" si="13"/>
        <v>#VALUE!</v>
      </c>
      <c r="AC63" s="544" t="e">
        <f t="shared" si="15"/>
        <v>#VALUE!</v>
      </c>
      <c r="AD63" s="544">
        <f t="shared" si="16"/>
        <v>0</v>
      </c>
      <c r="AE63" s="759">
        <f>IF(H63&gt;8,tab!C$194,tab!C$197)</f>
        <v>0.4</v>
      </c>
      <c r="AF63" s="544">
        <f t="shared" si="17"/>
        <v>0</v>
      </c>
      <c r="AG63" s="760">
        <f t="shared" si="18"/>
        <v>0</v>
      </c>
      <c r="AH63" s="544"/>
    </row>
    <row r="64" spans="2:34" ht="13.15" hidden="1" customHeight="1" x14ac:dyDescent="0.2">
      <c r="B64" s="18"/>
      <c r="C64" s="31"/>
      <c r="D64" s="117"/>
      <c r="E64" s="117"/>
      <c r="F64" s="33"/>
      <c r="G64" s="118"/>
      <c r="H64" s="33"/>
      <c r="I64" s="119"/>
      <c r="J64" s="120"/>
      <c r="K64" s="170"/>
      <c r="L64" s="1141">
        <v>0</v>
      </c>
      <c r="M64" s="1141">
        <v>0</v>
      </c>
      <c r="N64" s="804" t="str">
        <f t="shared" si="5"/>
        <v/>
      </c>
      <c r="O64" s="795"/>
      <c r="P64" s="1156" t="str">
        <f t="shared" si="6"/>
        <v/>
      </c>
      <c r="Q64" s="957" t="str">
        <f t="shared" si="7"/>
        <v/>
      </c>
      <c r="R64" s="767" t="str">
        <f t="shared" si="8"/>
        <v/>
      </c>
      <c r="S64" s="966">
        <f t="shared" si="9"/>
        <v>0</v>
      </c>
      <c r="T64" s="116"/>
      <c r="U64" s="22"/>
      <c r="X64" s="760" t="str">
        <f t="shared" si="14"/>
        <v/>
      </c>
      <c r="Y64" s="745">
        <f t="shared" si="10"/>
        <v>0.6</v>
      </c>
      <c r="Z64" s="758" t="e">
        <f t="shared" si="11"/>
        <v>#VALUE!</v>
      </c>
      <c r="AA64" s="758" t="e">
        <f t="shared" si="12"/>
        <v>#VALUE!</v>
      </c>
      <c r="AB64" s="758" t="e">
        <f t="shared" si="13"/>
        <v>#VALUE!</v>
      </c>
      <c r="AC64" s="544" t="e">
        <f t="shared" si="15"/>
        <v>#VALUE!</v>
      </c>
      <c r="AD64" s="544">
        <f t="shared" si="16"/>
        <v>0</v>
      </c>
      <c r="AE64" s="759">
        <f>IF(H64&gt;8,tab!C$194,tab!C$197)</f>
        <v>0.4</v>
      </c>
      <c r="AF64" s="544">
        <f t="shared" si="17"/>
        <v>0</v>
      </c>
      <c r="AG64" s="760">
        <f t="shared" si="18"/>
        <v>0</v>
      </c>
      <c r="AH64" s="544"/>
    </row>
    <row r="65" spans="2:36" ht="13.15" hidden="1" customHeight="1" x14ac:dyDescent="0.2">
      <c r="B65" s="18"/>
      <c r="C65" s="31"/>
      <c r="D65" s="28"/>
      <c r="E65" s="28"/>
      <c r="F65" s="28"/>
      <c r="G65" s="28"/>
      <c r="H65" s="30"/>
      <c r="I65" s="158"/>
      <c r="J65" s="768">
        <f>SUM(J15:J64)</f>
        <v>1</v>
      </c>
      <c r="K65" s="121"/>
      <c r="L65" s="802">
        <f>SUM(L15:L64)</f>
        <v>0</v>
      </c>
      <c r="M65" s="802">
        <f>SUM(M15:M64)</f>
        <v>0</v>
      </c>
      <c r="N65" s="497"/>
      <c r="O65" s="802">
        <f>SUM(O15:O64)</f>
        <v>0</v>
      </c>
      <c r="P65" s="803">
        <f>SUM(P15:P64)</f>
        <v>40</v>
      </c>
      <c r="Q65" s="959">
        <f>SUM(Q15:Q64)</f>
        <v>54022.097166968051</v>
      </c>
      <c r="R65" s="959">
        <f>SUM(R15:R64)</f>
        <v>1334.702833031947</v>
      </c>
      <c r="S65" s="959">
        <f>SUM(S15:S64)</f>
        <v>55356.799999999996</v>
      </c>
      <c r="T65" s="75"/>
      <c r="U65" s="22"/>
      <c r="AG65" s="760">
        <f>SUM(AG15:AG64)</f>
        <v>1556.9100000000003</v>
      </c>
      <c r="AH65" s="544"/>
    </row>
    <row r="66" spans="2:36" ht="13.15" hidden="1" customHeight="1" x14ac:dyDescent="0.2">
      <c r="B66" s="18"/>
      <c r="C66" s="36"/>
      <c r="D66" s="127"/>
      <c r="E66" s="127"/>
      <c r="F66" s="127"/>
      <c r="G66" s="127"/>
      <c r="H66" s="129"/>
      <c r="I66" s="130"/>
      <c r="J66" s="131"/>
      <c r="K66" s="130"/>
      <c r="L66" s="130"/>
      <c r="M66" s="133"/>
      <c r="N66" s="132"/>
      <c r="O66" s="132"/>
      <c r="P66" s="135"/>
      <c r="Q66" s="135"/>
      <c r="R66" s="134"/>
      <c r="S66" s="967"/>
      <c r="T66" s="75"/>
      <c r="U66" s="22"/>
    </row>
    <row r="67" spans="2:36" ht="13.15" hidden="1" customHeight="1" x14ac:dyDescent="0.2">
      <c r="B67" s="39"/>
      <c r="C67" s="40"/>
      <c r="D67" s="63"/>
      <c r="E67" s="63"/>
      <c r="F67" s="63"/>
      <c r="G67" s="171"/>
      <c r="H67" s="41"/>
      <c r="I67" s="140"/>
      <c r="J67" s="141"/>
      <c r="K67" s="40"/>
      <c r="L67" s="143"/>
      <c r="M67" s="143"/>
      <c r="N67" s="142"/>
      <c r="O67" s="142"/>
      <c r="P67" s="1157"/>
      <c r="Q67" s="145"/>
      <c r="R67" s="144"/>
      <c r="S67" s="254"/>
      <c r="T67" s="40"/>
      <c r="U67" s="43"/>
    </row>
    <row r="68" spans="2:36" ht="13.15" hidden="1" customHeight="1" x14ac:dyDescent="0.2">
      <c r="G68" s="174"/>
      <c r="H68" s="8"/>
      <c r="J68" s="123"/>
      <c r="L68" s="147"/>
      <c r="M68" s="147"/>
      <c r="N68" s="116"/>
      <c r="O68" s="116"/>
      <c r="P68" s="124"/>
      <c r="Q68" s="149"/>
      <c r="R68" s="148"/>
    </row>
    <row r="69" spans="2:36" ht="13.15" customHeight="1" x14ac:dyDescent="0.2">
      <c r="C69" s="34" t="s">
        <v>48</v>
      </c>
      <c r="E69" s="150" t="str">
        <f>tab!E2</f>
        <v>2020/21</v>
      </c>
      <c r="G69" s="174"/>
      <c r="H69" s="8"/>
      <c r="J69" s="123"/>
      <c r="L69" s="147"/>
      <c r="M69" s="147"/>
      <c r="N69" s="116"/>
      <c r="O69" s="116"/>
      <c r="P69" s="124"/>
      <c r="Q69" s="149"/>
      <c r="R69" s="148"/>
    </row>
    <row r="70" spans="2:36" ht="13.15" customHeight="1" x14ac:dyDescent="0.2">
      <c r="C70" s="34" t="s">
        <v>125</v>
      </c>
      <c r="E70" s="150">
        <f>tab!F3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59"/>
      <c r="Q72" s="25"/>
      <c r="R72" s="106"/>
      <c r="S72" s="968"/>
      <c r="T72" s="77"/>
      <c r="X72" s="666"/>
      <c r="Y72" s="667"/>
      <c r="Z72" s="666"/>
      <c r="AA72" s="666"/>
      <c r="AB72" s="666"/>
      <c r="AC72" s="658"/>
      <c r="AD72" s="668"/>
      <c r="AE72" s="669"/>
      <c r="AF72" s="670"/>
      <c r="AG72" s="671"/>
      <c r="AH72" s="668"/>
    </row>
    <row r="73" spans="2:36" ht="13.15" customHeight="1" x14ac:dyDescent="0.2">
      <c r="C73" s="597"/>
      <c r="D73" s="1340" t="s">
        <v>126</v>
      </c>
      <c r="E73" s="1341"/>
      <c r="F73" s="1341"/>
      <c r="G73" s="1341"/>
      <c r="H73" s="1342"/>
      <c r="I73" s="1342"/>
      <c r="J73" s="1342"/>
      <c r="K73" s="685"/>
      <c r="L73" s="686" t="s">
        <v>440</v>
      </c>
      <c r="M73" s="687"/>
      <c r="N73" s="688"/>
      <c r="O73" s="688"/>
      <c r="P73" s="1155"/>
      <c r="Q73" s="579" t="s">
        <v>450</v>
      </c>
      <c r="R73" s="688"/>
      <c r="S73" s="964"/>
      <c r="T73" s="598"/>
      <c r="U73" s="165"/>
      <c r="V73" s="660"/>
      <c r="W73" s="660"/>
      <c r="X73" s="544"/>
      <c r="Y73" s="544"/>
      <c r="AG73" s="544"/>
      <c r="AH73" s="544"/>
      <c r="AI73" s="692"/>
      <c r="AJ73" s="692"/>
    </row>
    <row r="74" spans="2:36" ht="13.15" customHeight="1" x14ac:dyDescent="0.2">
      <c r="C74" s="282"/>
      <c r="D74" s="696" t="s">
        <v>127</v>
      </c>
      <c r="E74" s="696" t="s">
        <v>88</v>
      </c>
      <c r="F74" s="697" t="s">
        <v>128</v>
      </c>
      <c r="G74" s="698" t="s">
        <v>129</v>
      </c>
      <c r="H74" s="697" t="s">
        <v>130</v>
      </c>
      <c r="I74" s="697" t="s">
        <v>131</v>
      </c>
      <c r="J74" s="699" t="s">
        <v>132</v>
      </c>
      <c r="K74" s="696"/>
      <c r="L74" s="700" t="s">
        <v>441</v>
      </c>
      <c r="M74" s="700" t="s">
        <v>444</v>
      </c>
      <c r="N74" s="700" t="s">
        <v>446</v>
      </c>
      <c r="O74" s="700" t="s">
        <v>443</v>
      </c>
      <c r="P74" s="701" t="s">
        <v>449</v>
      </c>
      <c r="Q74" s="700" t="s">
        <v>133</v>
      </c>
      <c r="R74" s="702" t="s">
        <v>453</v>
      </c>
      <c r="S74" s="703" t="s">
        <v>133</v>
      </c>
      <c r="T74" s="600"/>
      <c r="U74" s="167"/>
      <c r="V74" s="706"/>
      <c r="W74" s="706"/>
      <c r="X74" s="705" t="s">
        <v>139</v>
      </c>
      <c r="Y74" s="706" t="s">
        <v>454</v>
      </c>
      <c r="Z74" s="707" t="s">
        <v>455</v>
      </c>
      <c r="AA74" s="707" t="s">
        <v>455</v>
      </c>
      <c r="AB74" s="707" t="s">
        <v>456</v>
      </c>
      <c r="AC74" s="707" t="s">
        <v>457</v>
      </c>
      <c r="AD74" s="707" t="s">
        <v>458</v>
      </c>
      <c r="AE74" s="707" t="s">
        <v>459</v>
      </c>
      <c r="AF74" s="707" t="s">
        <v>134</v>
      </c>
      <c r="AG74" s="703" t="s">
        <v>135</v>
      </c>
      <c r="AH74" s="544"/>
      <c r="AI74" s="692"/>
      <c r="AJ74" s="708"/>
    </row>
    <row r="75" spans="2:36" ht="13.15" customHeight="1" x14ac:dyDescent="0.2">
      <c r="C75" s="31"/>
      <c r="D75" s="709"/>
      <c r="E75" s="696"/>
      <c r="F75" s="697" t="s">
        <v>136</v>
      </c>
      <c r="G75" s="698" t="s">
        <v>137</v>
      </c>
      <c r="H75" s="697"/>
      <c r="I75" s="697"/>
      <c r="J75" s="699" t="s">
        <v>467</v>
      </c>
      <c r="K75" s="696"/>
      <c r="L75" s="700" t="s">
        <v>442</v>
      </c>
      <c r="M75" s="700" t="s">
        <v>445</v>
      </c>
      <c r="N75" s="700" t="s">
        <v>447</v>
      </c>
      <c r="O75" s="700" t="s">
        <v>448</v>
      </c>
      <c r="P75" s="701" t="s">
        <v>141</v>
      </c>
      <c r="Q75" s="707" t="s">
        <v>451</v>
      </c>
      <c r="R75" s="702" t="s">
        <v>452</v>
      </c>
      <c r="S75" s="710" t="s">
        <v>141</v>
      </c>
      <c r="T75" s="601"/>
      <c r="X75" s="707" t="s">
        <v>460</v>
      </c>
      <c r="Y75" s="711">
        <f>tab!C$193</f>
        <v>0.6</v>
      </c>
      <c r="Z75" s="707" t="s">
        <v>461</v>
      </c>
      <c r="AA75" s="707" t="s">
        <v>462</v>
      </c>
      <c r="AB75" s="707" t="s">
        <v>463</v>
      </c>
      <c r="AC75" s="707" t="s">
        <v>464</v>
      </c>
      <c r="AD75" s="707" t="s">
        <v>464</v>
      </c>
      <c r="AE75" s="707" t="s">
        <v>465</v>
      </c>
      <c r="AF75" s="707"/>
      <c r="AG75" s="707" t="s">
        <v>140</v>
      </c>
      <c r="AH75" s="544"/>
      <c r="AJ75" s="712"/>
    </row>
    <row r="76" spans="2:36" ht="13.15" customHeight="1" x14ac:dyDescent="0.2">
      <c r="C76" s="31"/>
      <c r="D76" s="1"/>
      <c r="E76" s="1"/>
      <c r="F76" s="1"/>
      <c r="G76" s="109"/>
      <c r="H76" s="110"/>
      <c r="I76" s="110"/>
      <c r="J76" s="111"/>
      <c r="K76" s="1"/>
      <c r="L76" s="112"/>
      <c r="M76" s="113"/>
      <c r="N76" s="113"/>
      <c r="O76" s="113"/>
      <c r="P76" s="606"/>
      <c r="Q76" s="113"/>
      <c r="R76" s="114"/>
      <c r="S76" s="965"/>
      <c r="T76" s="165"/>
      <c r="X76" s="739"/>
      <c r="Y76" s="740"/>
      <c r="AG76" s="544"/>
      <c r="AH76" s="544"/>
      <c r="AJ76" s="712"/>
    </row>
    <row r="77" spans="2:36" ht="13.15" customHeight="1" x14ac:dyDescent="0.2">
      <c r="C77" s="31"/>
      <c r="D77" s="117" t="str">
        <f t="shared" ref="D77:E96" si="19">IF(D15=0,"",D15)</f>
        <v/>
      </c>
      <c r="E77" s="117" t="str">
        <f t="shared" si="19"/>
        <v>nn</v>
      </c>
      <c r="F77" s="33">
        <f>IF(F15=0,"",F15+1)</f>
        <v>26</v>
      </c>
      <c r="G77" s="118">
        <f>IF(G15="","",G15)</f>
        <v>28341</v>
      </c>
      <c r="H77" s="33">
        <f>IF(H15=0,"",H15)</f>
        <v>8</v>
      </c>
      <c r="I77" s="119">
        <f t="shared" ref="I77:I108" si="20">IF(E77="","",IF(I15+1&gt;VLOOKUP(H77,Salaris2021,22,FALSE),I15,I15+1))</f>
        <v>8</v>
      </c>
      <c r="J77" s="120">
        <f t="shared" ref="J77:J96" si="21">IF(J15="","",J15)</f>
        <v>1</v>
      </c>
      <c r="K77" s="170"/>
      <c r="L77" s="1141">
        <f t="shared" ref="L77:M96" si="22">IF(L15="","",L15)</f>
        <v>0</v>
      </c>
      <c r="M77" s="1141">
        <f t="shared" si="22"/>
        <v>0</v>
      </c>
      <c r="N77" s="804">
        <f>IF(J77="","",IF(J77*40&gt;40,40,J77*40))</f>
        <v>40</v>
      </c>
      <c r="O77" s="795"/>
      <c r="P77" s="1156">
        <f>IF(J77="","",SUM(L77:O77))</f>
        <v>40</v>
      </c>
      <c r="Q77" s="957">
        <f>IF(J77="","",(1659*J77-P77)*AA77)</f>
        <v>56548.478842676319</v>
      </c>
      <c r="R77" s="767">
        <f>IF(J77="","",(P77*AB77)+Z77*(AC77+AD77*(1-AE77)))</f>
        <v>1397.1211573236892</v>
      </c>
      <c r="S77" s="966">
        <f>SUM(Q77:R77)</f>
        <v>57945.600000000006</v>
      </c>
      <c r="T77" s="116"/>
      <c r="X77" s="760">
        <f t="shared" ref="X77:X108" si="23">IF(H77="","",5/12*VLOOKUP(H77,Salaris2020,I77+1,FALSE)+7/12*VLOOKUP(H77,Salaris2021,I77+1,FALSE))</f>
        <v>3018</v>
      </c>
      <c r="Y77" s="745">
        <f>$Y$13</f>
        <v>0.6</v>
      </c>
      <c r="Z77" s="758">
        <f>X77*12/1659</f>
        <v>21.83001808318264</v>
      </c>
      <c r="AA77" s="758">
        <f>X77*12*(1+Y77)/1659</f>
        <v>34.928028933092229</v>
      </c>
      <c r="AB77" s="758">
        <f>AA77-Z77</f>
        <v>13.098010849909588</v>
      </c>
      <c r="AC77" s="544">
        <f t="shared" ref="AC77:AC108" si="24">N77+O77</f>
        <v>40</v>
      </c>
      <c r="AD77" s="544">
        <f t="shared" ref="AD77:AD108" si="25">L77+M77</f>
        <v>0</v>
      </c>
      <c r="AE77" s="759">
        <f>IF(H77&gt;8,tab!C$194,tab!C$197)</f>
        <v>0.4</v>
      </c>
      <c r="AF77" s="544">
        <f t="shared" ref="AF77:AF108" si="26">IF(F77&lt;25,0,IF(F77=25,25,IF(F77&lt;40,0,IF(F77=40,40,IF(F77&gt;=40,0)))))</f>
        <v>0</v>
      </c>
      <c r="AG77" s="760">
        <f t="shared" ref="AG77:AG108" si="27">IF(AF77=25,(X77*1.08*(J77)/2),IF(AF77=40,(V77*1.08*(J77)),IF(AF77=0,0)))</f>
        <v>0</v>
      </c>
    </row>
    <row r="78" spans="2:36" ht="13.15" customHeight="1" x14ac:dyDescent="0.2">
      <c r="C78" s="31"/>
      <c r="D78" s="117" t="str">
        <f t="shared" si="19"/>
        <v/>
      </c>
      <c r="E78" s="117" t="str">
        <f t="shared" si="19"/>
        <v/>
      </c>
      <c r="F78" s="33" t="str">
        <f>IF(F16="","",F16+1)</f>
        <v/>
      </c>
      <c r="G78" s="118" t="str">
        <f t="shared" ref="G78:G126" si="28">IF(G16="","",G16)</f>
        <v/>
      </c>
      <c r="H78" s="33" t="str">
        <f t="shared" ref="H78:H126" si="29">IF(H16=0,"",H16)</f>
        <v/>
      </c>
      <c r="I78" s="119" t="str">
        <f t="shared" si="20"/>
        <v/>
      </c>
      <c r="J78" s="120" t="str">
        <f t="shared" si="21"/>
        <v/>
      </c>
      <c r="K78" s="170"/>
      <c r="L78" s="1141">
        <f t="shared" si="22"/>
        <v>0</v>
      </c>
      <c r="M78" s="1141">
        <f t="shared" si="22"/>
        <v>0</v>
      </c>
      <c r="N78" s="804" t="str">
        <f t="shared" ref="N78:N126" si="30">IF(J78="","",IF(J78*40&gt;40,40,J78*40))</f>
        <v/>
      </c>
      <c r="O78" s="795"/>
      <c r="P78" s="1156" t="str">
        <f t="shared" ref="P78:P126" si="31">IF(J78="","",SUM(L78:O78))</f>
        <v/>
      </c>
      <c r="Q78" s="957" t="str">
        <f t="shared" ref="Q78:Q126" si="32">IF(J78="","",(1659*J78-P78)*AA78)</f>
        <v/>
      </c>
      <c r="R78" s="767" t="str">
        <f t="shared" ref="R78:R126" si="33">IF(J78="","",(P78*AB78)+Z78*(AC78+AD78*(1-AE78)))</f>
        <v/>
      </c>
      <c r="S78" s="966">
        <f t="shared" ref="S78:S126" si="34">SUM(Q78:R78)</f>
        <v>0</v>
      </c>
      <c r="T78" s="116"/>
      <c r="X78" s="760" t="str">
        <f t="shared" si="23"/>
        <v/>
      </c>
      <c r="Y78" s="745">
        <f t="shared" ref="Y78:Y126" si="35">$Y$13</f>
        <v>0.6</v>
      </c>
      <c r="Z78" s="758" t="e">
        <f t="shared" ref="Z78:Z126" si="36">X78*12/1659</f>
        <v>#VALUE!</v>
      </c>
      <c r="AA78" s="758" t="e">
        <f t="shared" ref="AA78:AA126" si="37">X78*12*(1+Y78)/1659</f>
        <v>#VALUE!</v>
      </c>
      <c r="AB78" s="758" t="e">
        <f t="shared" ref="AB78:AB126" si="38">AA78-Z78</f>
        <v>#VALUE!</v>
      </c>
      <c r="AC78" s="544" t="e">
        <f t="shared" si="24"/>
        <v>#VALUE!</v>
      </c>
      <c r="AD78" s="544">
        <f t="shared" si="25"/>
        <v>0</v>
      </c>
      <c r="AE78" s="759">
        <f>IF(H78&gt;8,tab!C$194,tab!C$197)</f>
        <v>0.5</v>
      </c>
      <c r="AF78" s="544">
        <f t="shared" si="26"/>
        <v>0</v>
      </c>
      <c r="AG78" s="760">
        <f t="shared" si="27"/>
        <v>0</v>
      </c>
    </row>
    <row r="79" spans="2:36" ht="13.15" customHeight="1" x14ac:dyDescent="0.2">
      <c r="C79" s="31"/>
      <c r="D79" s="117" t="str">
        <f t="shared" si="19"/>
        <v/>
      </c>
      <c r="E79" s="117" t="str">
        <f t="shared" si="19"/>
        <v/>
      </c>
      <c r="F79" s="33" t="str">
        <f t="shared" ref="F79:F126" si="39">IF(F17="","",F17+1)</f>
        <v/>
      </c>
      <c r="G79" s="118" t="str">
        <f t="shared" si="28"/>
        <v/>
      </c>
      <c r="H79" s="33" t="str">
        <f t="shared" si="29"/>
        <v/>
      </c>
      <c r="I79" s="119" t="str">
        <f t="shared" si="20"/>
        <v/>
      </c>
      <c r="J79" s="120" t="str">
        <f t="shared" si="21"/>
        <v/>
      </c>
      <c r="K79" s="170"/>
      <c r="L79" s="1141">
        <f t="shared" si="22"/>
        <v>0</v>
      </c>
      <c r="M79" s="1141">
        <f t="shared" si="22"/>
        <v>0</v>
      </c>
      <c r="N79" s="804" t="str">
        <f t="shared" si="30"/>
        <v/>
      </c>
      <c r="O79" s="795"/>
      <c r="P79" s="1156" t="str">
        <f t="shared" si="31"/>
        <v/>
      </c>
      <c r="Q79" s="957" t="str">
        <f t="shared" si="32"/>
        <v/>
      </c>
      <c r="R79" s="767" t="str">
        <f t="shared" si="33"/>
        <v/>
      </c>
      <c r="S79" s="966">
        <f t="shared" si="34"/>
        <v>0</v>
      </c>
      <c r="T79" s="116"/>
      <c r="X79" s="760" t="str">
        <f t="shared" si="23"/>
        <v/>
      </c>
      <c r="Y79" s="745">
        <f t="shared" si="35"/>
        <v>0.6</v>
      </c>
      <c r="Z79" s="758" t="e">
        <f t="shared" si="36"/>
        <v>#VALUE!</v>
      </c>
      <c r="AA79" s="758" t="e">
        <f t="shared" si="37"/>
        <v>#VALUE!</v>
      </c>
      <c r="AB79" s="758" t="e">
        <f t="shared" si="38"/>
        <v>#VALUE!</v>
      </c>
      <c r="AC79" s="544" t="e">
        <f t="shared" si="24"/>
        <v>#VALUE!</v>
      </c>
      <c r="AD79" s="544">
        <f t="shared" si="25"/>
        <v>0</v>
      </c>
      <c r="AE79" s="759">
        <f>IF(H79&gt;8,tab!C$194,tab!C$197)</f>
        <v>0.5</v>
      </c>
      <c r="AF79" s="544">
        <f t="shared" si="26"/>
        <v>0</v>
      </c>
      <c r="AG79" s="760">
        <f t="shared" si="27"/>
        <v>0</v>
      </c>
    </row>
    <row r="80" spans="2:36" ht="13.15" customHeight="1" x14ac:dyDescent="0.2">
      <c r="C80" s="31"/>
      <c r="D80" s="117" t="str">
        <f t="shared" si="19"/>
        <v/>
      </c>
      <c r="E80" s="117" t="str">
        <f t="shared" si="19"/>
        <v/>
      </c>
      <c r="F80" s="33" t="str">
        <f t="shared" si="39"/>
        <v/>
      </c>
      <c r="G80" s="118" t="str">
        <f t="shared" si="28"/>
        <v/>
      </c>
      <c r="H80" s="33" t="str">
        <f t="shared" si="29"/>
        <v/>
      </c>
      <c r="I80" s="119" t="str">
        <f t="shared" si="20"/>
        <v/>
      </c>
      <c r="J80" s="120" t="str">
        <f t="shared" si="21"/>
        <v/>
      </c>
      <c r="K80" s="170"/>
      <c r="L80" s="1141">
        <f t="shared" si="22"/>
        <v>0</v>
      </c>
      <c r="M80" s="1141">
        <f t="shared" si="22"/>
        <v>0</v>
      </c>
      <c r="N80" s="804" t="str">
        <f t="shared" si="30"/>
        <v/>
      </c>
      <c r="O80" s="795"/>
      <c r="P80" s="1156" t="str">
        <f t="shared" si="31"/>
        <v/>
      </c>
      <c r="Q80" s="957" t="str">
        <f t="shared" si="32"/>
        <v/>
      </c>
      <c r="R80" s="767" t="str">
        <f t="shared" si="33"/>
        <v/>
      </c>
      <c r="S80" s="966">
        <f t="shared" si="34"/>
        <v>0</v>
      </c>
      <c r="T80" s="116"/>
      <c r="X80" s="760" t="str">
        <f t="shared" si="23"/>
        <v/>
      </c>
      <c r="Y80" s="745">
        <f t="shared" si="35"/>
        <v>0.6</v>
      </c>
      <c r="Z80" s="758" t="e">
        <f t="shared" si="36"/>
        <v>#VALUE!</v>
      </c>
      <c r="AA80" s="758" t="e">
        <f t="shared" si="37"/>
        <v>#VALUE!</v>
      </c>
      <c r="AB80" s="758" t="e">
        <f t="shared" si="38"/>
        <v>#VALUE!</v>
      </c>
      <c r="AC80" s="544" t="e">
        <f t="shared" si="24"/>
        <v>#VALUE!</v>
      </c>
      <c r="AD80" s="544">
        <f t="shared" si="25"/>
        <v>0</v>
      </c>
      <c r="AE80" s="759">
        <f>IF(H80&gt;8,tab!C$194,tab!C$197)</f>
        <v>0.5</v>
      </c>
      <c r="AF80" s="544">
        <f t="shared" si="26"/>
        <v>0</v>
      </c>
      <c r="AG80" s="760">
        <f t="shared" si="27"/>
        <v>0</v>
      </c>
    </row>
    <row r="81" spans="3:34" ht="13.15" customHeight="1" x14ac:dyDescent="0.2">
      <c r="C81" s="31"/>
      <c r="D81" s="117" t="str">
        <f t="shared" si="19"/>
        <v/>
      </c>
      <c r="E81" s="117" t="str">
        <f t="shared" si="19"/>
        <v/>
      </c>
      <c r="F81" s="33" t="str">
        <f t="shared" si="39"/>
        <v/>
      </c>
      <c r="G81" s="118" t="str">
        <f t="shared" si="28"/>
        <v/>
      </c>
      <c r="H81" s="33" t="str">
        <f t="shared" si="29"/>
        <v/>
      </c>
      <c r="I81" s="119" t="str">
        <f t="shared" si="20"/>
        <v/>
      </c>
      <c r="J81" s="120" t="str">
        <f t="shared" si="21"/>
        <v/>
      </c>
      <c r="K81" s="170"/>
      <c r="L81" s="1141">
        <f t="shared" si="22"/>
        <v>0</v>
      </c>
      <c r="M81" s="1141">
        <f t="shared" si="22"/>
        <v>0</v>
      </c>
      <c r="N81" s="804" t="str">
        <f t="shared" si="30"/>
        <v/>
      </c>
      <c r="O81" s="795"/>
      <c r="P81" s="1156" t="str">
        <f t="shared" si="31"/>
        <v/>
      </c>
      <c r="Q81" s="957" t="str">
        <f t="shared" si="32"/>
        <v/>
      </c>
      <c r="R81" s="767" t="str">
        <f t="shared" si="33"/>
        <v/>
      </c>
      <c r="S81" s="966">
        <f t="shared" si="34"/>
        <v>0</v>
      </c>
      <c r="T81" s="116"/>
      <c r="X81" s="760" t="str">
        <f t="shared" si="23"/>
        <v/>
      </c>
      <c r="Y81" s="745">
        <f t="shared" si="35"/>
        <v>0.6</v>
      </c>
      <c r="Z81" s="758" t="e">
        <f t="shared" si="36"/>
        <v>#VALUE!</v>
      </c>
      <c r="AA81" s="758" t="e">
        <f t="shared" si="37"/>
        <v>#VALUE!</v>
      </c>
      <c r="AB81" s="758" t="e">
        <f t="shared" si="38"/>
        <v>#VALUE!</v>
      </c>
      <c r="AC81" s="544" t="e">
        <f t="shared" si="24"/>
        <v>#VALUE!</v>
      </c>
      <c r="AD81" s="544">
        <f t="shared" si="25"/>
        <v>0</v>
      </c>
      <c r="AE81" s="759">
        <f>IF(H81&gt;8,tab!C$194,tab!C$197)</f>
        <v>0.5</v>
      </c>
      <c r="AF81" s="544">
        <f t="shared" si="26"/>
        <v>0</v>
      </c>
      <c r="AG81" s="760">
        <f t="shared" si="27"/>
        <v>0</v>
      </c>
    </row>
    <row r="82" spans="3:34" ht="13.15" customHeight="1" x14ac:dyDescent="0.2">
      <c r="C82" s="31"/>
      <c r="D82" s="117" t="str">
        <f t="shared" si="19"/>
        <v/>
      </c>
      <c r="E82" s="117" t="str">
        <f t="shared" si="19"/>
        <v/>
      </c>
      <c r="F82" s="33" t="str">
        <f t="shared" si="39"/>
        <v/>
      </c>
      <c r="G82" s="118" t="str">
        <f t="shared" si="28"/>
        <v/>
      </c>
      <c r="H82" s="33" t="str">
        <f t="shared" si="29"/>
        <v/>
      </c>
      <c r="I82" s="119" t="str">
        <f t="shared" si="20"/>
        <v/>
      </c>
      <c r="J82" s="120" t="str">
        <f t="shared" si="21"/>
        <v/>
      </c>
      <c r="K82" s="170"/>
      <c r="L82" s="1141">
        <f t="shared" si="22"/>
        <v>0</v>
      </c>
      <c r="M82" s="1141">
        <f t="shared" si="22"/>
        <v>0</v>
      </c>
      <c r="N82" s="804" t="str">
        <f t="shared" si="30"/>
        <v/>
      </c>
      <c r="O82" s="795"/>
      <c r="P82" s="1156" t="str">
        <f t="shared" si="31"/>
        <v/>
      </c>
      <c r="Q82" s="957" t="str">
        <f t="shared" si="32"/>
        <v/>
      </c>
      <c r="R82" s="767" t="str">
        <f t="shared" si="33"/>
        <v/>
      </c>
      <c r="S82" s="966">
        <f t="shared" si="34"/>
        <v>0</v>
      </c>
      <c r="T82" s="116"/>
      <c r="X82" s="760" t="str">
        <f t="shared" si="23"/>
        <v/>
      </c>
      <c r="Y82" s="745">
        <f t="shared" si="35"/>
        <v>0.6</v>
      </c>
      <c r="Z82" s="758" t="e">
        <f t="shared" si="36"/>
        <v>#VALUE!</v>
      </c>
      <c r="AA82" s="758" t="e">
        <f t="shared" si="37"/>
        <v>#VALUE!</v>
      </c>
      <c r="AB82" s="758" t="e">
        <f t="shared" si="38"/>
        <v>#VALUE!</v>
      </c>
      <c r="AC82" s="544" t="e">
        <f t="shared" si="24"/>
        <v>#VALUE!</v>
      </c>
      <c r="AD82" s="544">
        <f t="shared" si="25"/>
        <v>0</v>
      </c>
      <c r="AE82" s="759">
        <f>IF(H82&gt;8,tab!C$194,tab!C$197)</f>
        <v>0.5</v>
      </c>
      <c r="AF82" s="544">
        <f t="shared" si="26"/>
        <v>0</v>
      </c>
      <c r="AG82" s="760">
        <f t="shared" si="27"/>
        <v>0</v>
      </c>
      <c r="AH82" s="544"/>
    </row>
    <row r="83" spans="3:34" ht="13.15" customHeight="1" x14ac:dyDescent="0.2">
      <c r="C83" s="31"/>
      <c r="D83" s="117" t="str">
        <f t="shared" si="19"/>
        <v/>
      </c>
      <c r="E83" s="117" t="str">
        <f t="shared" si="19"/>
        <v/>
      </c>
      <c r="F83" s="33" t="str">
        <f t="shared" si="39"/>
        <v/>
      </c>
      <c r="G83" s="118" t="str">
        <f t="shared" si="28"/>
        <v/>
      </c>
      <c r="H83" s="33" t="str">
        <f t="shared" si="29"/>
        <v/>
      </c>
      <c r="I83" s="119" t="str">
        <f t="shared" si="20"/>
        <v/>
      </c>
      <c r="J83" s="120" t="str">
        <f t="shared" si="21"/>
        <v/>
      </c>
      <c r="K83" s="170"/>
      <c r="L83" s="1141">
        <f t="shared" si="22"/>
        <v>0</v>
      </c>
      <c r="M83" s="1141">
        <f t="shared" si="22"/>
        <v>0</v>
      </c>
      <c r="N83" s="804" t="str">
        <f t="shared" si="30"/>
        <v/>
      </c>
      <c r="O83" s="795"/>
      <c r="P83" s="1156" t="str">
        <f t="shared" si="31"/>
        <v/>
      </c>
      <c r="Q83" s="957" t="str">
        <f t="shared" si="32"/>
        <v/>
      </c>
      <c r="R83" s="767" t="str">
        <f t="shared" si="33"/>
        <v/>
      </c>
      <c r="S83" s="966">
        <f t="shared" si="34"/>
        <v>0</v>
      </c>
      <c r="T83" s="116"/>
      <c r="X83" s="760" t="str">
        <f t="shared" si="23"/>
        <v/>
      </c>
      <c r="Y83" s="745">
        <f t="shared" si="35"/>
        <v>0.6</v>
      </c>
      <c r="Z83" s="758" t="e">
        <f t="shared" si="36"/>
        <v>#VALUE!</v>
      </c>
      <c r="AA83" s="758" t="e">
        <f t="shared" si="37"/>
        <v>#VALUE!</v>
      </c>
      <c r="AB83" s="758" t="e">
        <f t="shared" si="38"/>
        <v>#VALUE!</v>
      </c>
      <c r="AC83" s="544" t="e">
        <f t="shared" si="24"/>
        <v>#VALUE!</v>
      </c>
      <c r="AD83" s="544">
        <f t="shared" si="25"/>
        <v>0</v>
      </c>
      <c r="AE83" s="759">
        <f>IF(H83&gt;8,tab!C$194,tab!C$197)</f>
        <v>0.5</v>
      </c>
      <c r="AF83" s="544">
        <f t="shared" si="26"/>
        <v>0</v>
      </c>
      <c r="AG83" s="760">
        <f t="shared" si="27"/>
        <v>0</v>
      </c>
      <c r="AH83" s="544"/>
    </row>
    <row r="84" spans="3:34" ht="13.15" customHeight="1" x14ac:dyDescent="0.2">
      <c r="C84" s="31"/>
      <c r="D84" s="117" t="str">
        <f t="shared" si="19"/>
        <v/>
      </c>
      <c r="E84" s="117" t="str">
        <f t="shared" si="19"/>
        <v/>
      </c>
      <c r="F84" s="33" t="str">
        <f t="shared" si="39"/>
        <v/>
      </c>
      <c r="G84" s="118" t="str">
        <f t="shared" si="28"/>
        <v/>
      </c>
      <c r="H84" s="33" t="str">
        <f t="shared" si="29"/>
        <v/>
      </c>
      <c r="I84" s="119" t="str">
        <f t="shared" si="20"/>
        <v/>
      </c>
      <c r="J84" s="120" t="str">
        <f t="shared" si="21"/>
        <v/>
      </c>
      <c r="K84" s="170"/>
      <c r="L84" s="1141">
        <f t="shared" si="22"/>
        <v>0</v>
      </c>
      <c r="M84" s="1141">
        <f t="shared" si="22"/>
        <v>0</v>
      </c>
      <c r="N84" s="804" t="str">
        <f t="shared" si="30"/>
        <v/>
      </c>
      <c r="O84" s="795"/>
      <c r="P84" s="1156" t="str">
        <f t="shared" si="31"/>
        <v/>
      </c>
      <c r="Q84" s="957" t="str">
        <f t="shared" si="32"/>
        <v/>
      </c>
      <c r="R84" s="767" t="str">
        <f t="shared" si="33"/>
        <v/>
      </c>
      <c r="S84" s="966">
        <f t="shared" si="34"/>
        <v>0</v>
      </c>
      <c r="T84" s="116"/>
      <c r="X84" s="760" t="str">
        <f t="shared" si="23"/>
        <v/>
      </c>
      <c r="Y84" s="745">
        <f t="shared" si="35"/>
        <v>0.6</v>
      </c>
      <c r="Z84" s="758" t="e">
        <f t="shared" si="36"/>
        <v>#VALUE!</v>
      </c>
      <c r="AA84" s="758" t="e">
        <f t="shared" si="37"/>
        <v>#VALUE!</v>
      </c>
      <c r="AB84" s="758" t="e">
        <f t="shared" si="38"/>
        <v>#VALUE!</v>
      </c>
      <c r="AC84" s="544" t="e">
        <f t="shared" si="24"/>
        <v>#VALUE!</v>
      </c>
      <c r="AD84" s="544">
        <f t="shared" si="25"/>
        <v>0</v>
      </c>
      <c r="AE84" s="759">
        <f>IF(H84&gt;8,tab!C$194,tab!C$197)</f>
        <v>0.5</v>
      </c>
      <c r="AF84" s="544">
        <f t="shared" si="26"/>
        <v>0</v>
      </c>
      <c r="AG84" s="760">
        <f t="shared" si="27"/>
        <v>0</v>
      </c>
      <c r="AH84" s="544"/>
    </row>
    <row r="85" spans="3:34" ht="13.15" customHeight="1" x14ac:dyDescent="0.2">
      <c r="C85" s="31"/>
      <c r="D85" s="117" t="str">
        <f t="shared" si="19"/>
        <v/>
      </c>
      <c r="E85" s="117" t="str">
        <f t="shared" si="19"/>
        <v/>
      </c>
      <c r="F85" s="33" t="str">
        <f t="shared" si="39"/>
        <v/>
      </c>
      <c r="G85" s="118" t="str">
        <f t="shared" si="28"/>
        <v/>
      </c>
      <c r="H85" s="33" t="str">
        <f t="shared" si="29"/>
        <v/>
      </c>
      <c r="I85" s="119" t="str">
        <f t="shared" si="20"/>
        <v/>
      </c>
      <c r="J85" s="120" t="str">
        <f t="shared" si="21"/>
        <v/>
      </c>
      <c r="K85" s="170"/>
      <c r="L85" s="1141">
        <f t="shared" si="22"/>
        <v>0</v>
      </c>
      <c r="M85" s="1141">
        <f t="shared" si="22"/>
        <v>0</v>
      </c>
      <c r="N85" s="804" t="str">
        <f t="shared" si="30"/>
        <v/>
      </c>
      <c r="O85" s="795"/>
      <c r="P85" s="1156" t="str">
        <f t="shared" si="31"/>
        <v/>
      </c>
      <c r="Q85" s="957" t="str">
        <f t="shared" si="32"/>
        <v/>
      </c>
      <c r="R85" s="767" t="str">
        <f t="shared" si="33"/>
        <v/>
      </c>
      <c r="S85" s="966">
        <f t="shared" si="34"/>
        <v>0</v>
      </c>
      <c r="T85" s="116"/>
      <c r="X85" s="760" t="str">
        <f t="shared" si="23"/>
        <v/>
      </c>
      <c r="Y85" s="745">
        <f t="shared" si="35"/>
        <v>0.6</v>
      </c>
      <c r="Z85" s="758" t="e">
        <f t="shared" si="36"/>
        <v>#VALUE!</v>
      </c>
      <c r="AA85" s="758" t="e">
        <f t="shared" si="37"/>
        <v>#VALUE!</v>
      </c>
      <c r="AB85" s="758" t="e">
        <f t="shared" si="38"/>
        <v>#VALUE!</v>
      </c>
      <c r="AC85" s="544" t="e">
        <f t="shared" si="24"/>
        <v>#VALUE!</v>
      </c>
      <c r="AD85" s="544">
        <f t="shared" si="25"/>
        <v>0</v>
      </c>
      <c r="AE85" s="759">
        <f>IF(H85&gt;8,tab!C$194,tab!C$197)</f>
        <v>0.5</v>
      </c>
      <c r="AF85" s="544">
        <f t="shared" si="26"/>
        <v>0</v>
      </c>
      <c r="AG85" s="760">
        <f t="shared" si="27"/>
        <v>0</v>
      </c>
      <c r="AH85" s="544"/>
    </row>
    <row r="86" spans="3:34" ht="13.15" customHeight="1" x14ac:dyDescent="0.2">
      <c r="C86" s="31"/>
      <c r="D86" s="117" t="str">
        <f t="shared" si="19"/>
        <v/>
      </c>
      <c r="E86" s="117" t="str">
        <f t="shared" si="19"/>
        <v/>
      </c>
      <c r="F86" s="33" t="str">
        <f t="shared" si="39"/>
        <v/>
      </c>
      <c r="G86" s="118" t="str">
        <f t="shared" si="28"/>
        <v/>
      </c>
      <c r="H86" s="33" t="str">
        <f t="shared" si="29"/>
        <v/>
      </c>
      <c r="I86" s="119" t="str">
        <f t="shared" si="20"/>
        <v/>
      </c>
      <c r="J86" s="120" t="str">
        <f t="shared" si="21"/>
        <v/>
      </c>
      <c r="K86" s="170"/>
      <c r="L86" s="1141">
        <f t="shared" si="22"/>
        <v>0</v>
      </c>
      <c r="M86" s="1141">
        <f t="shared" si="22"/>
        <v>0</v>
      </c>
      <c r="N86" s="804" t="str">
        <f t="shared" si="30"/>
        <v/>
      </c>
      <c r="O86" s="795"/>
      <c r="P86" s="1156" t="str">
        <f t="shared" si="31"/>
        <v/>
      </c>
      <c r="Q86" s="957" t="str">
        <f t="shared" si="32"/>
        <v/>
      </c>
      <c r="R86" s="767" t="str">
        <f t="shared" si="33"/>
        <v/>
      </c>
      <c r="S86" s="966">
        <f t="shared" si="34"/>
        <v>0</v>
      </c>
      <c r="T86" s="116"/>
      <c r="X86" s="760" t="str">
        <f t="shared" si="23"/>
        <v/>
      </c>
      <c r="Y86" s="745">
        <f t="shared" si="35"/>
        <v>0.6</v>
      </c>
      <c r="Z86" s="758" t="e">
        <f t="shared" si="36"/>
        <v>#VALUE!</v>
      </c>
      <c r="AA86" s="758" t="e">
        <f t="shared" si="37"/>
        <v>#VALUE!</v>
      </c>
      <c r="AB86" s="758" t="e">
        <f t="shared" si="38"/>
        <v>#VALUE!</v>
      </c>
      <c r="AC86" s="544" t="e">
        <f t="shared" si="24"/>
        <v>#VALUE!</v>
      </c>
      <c r="AD86" s="544">
        <f t="shared" si="25"/>
        <v>0</v>
      </c>
      <c r="AE86" s="759">
        <f>IF(H86&gt;8,tab!C$194,tab!C$197)</f>
        <v>0.5</v>
      </c>
      <c r="AF86" s="544">
        <f t="shared" si="26"/>
        <v>0</v>
      </c>
      <c r="AG86" s="760">
        <f t="shared" si="27"/>
        <v>0</v>
      </c>
      <c r="AH86" s="544"/>
    </row>
    <row r="87" spans="3:34" ht="13.15" customHeight="1" x14ac:dyDescent="0.2">
      <c r="C87" s="31"/>
      <c r="D87" s="117" t="str">
        <f t="shared" si="19"/>
        <v/>
      </c>
      <c r="E87" s="117" t="str">
        <f t="shared" si="19"/>
        <v/>
      </c>
      <c r="F87" s="33" t="str">
        <f t="shared" si="39"/>
        <v/>
      </c>
      <c r="G87" s="118" t="str">
        <f t="shared" si="28"/>
        <v/>
      </c>
      <c r="H87" s="33" t="str">
        <f t="shared" si="29"/>
        <v/>
      </c>
      <c r="I87" s="119" t="str">
        <f t="shared" si="20"/>
        <v/>
      </c>
      <c r="J87" s="120" t="str">
        <f t="shared" si="21"/>
        <v/>
      </c>
      <c r="K87" s="170"/>
      <c r="L87" s="1141">
        <f t="shared" si="22"/>
        <v>0</v>
      </c>
      <c r="M87" s="1141">
        <f t="shared" si="22"/>
        <v>0</v>
      </c>
      <c r="N87" s="804" t="str">
        <f t="shared" si="30"/>
        <v/>
      </c>
      <c r="O87" s="795"/>
      <c r="P87" s="1156" t="str">
        <f t="shared" si="31"/>
        <v/>
      </c>
      <c r="Q87" s="957" t="str">
        <f t="shared" si="32"/>
        <v/>
      </c>
      <c r="R87" s="767" t="str">
        <f t="shared" si="33"/>
        <v/>
      </c>
      <c r="S87" s="966">
        <f t="shared" si="34"/>
        <v>0</v>
      </c>
      <c r="T87" s="116"/>
      <c r="X87" s="760" t="str">
        <f t="shared" si="23"/>
        <v/>
      </c>
      <c r="Y87" s="745">
        <f t="shared" si="35"/>
        <v>0.6</v>
      </c>
      <c r="Z87" s="758" t="e">
        <f t="shared" si="36"/>
        <v>#VALUE!</v>
      </c>
      <c r="AA87" s="758" t="e">
        <f t="shared" si="37"/>
        <v>#VALUE!</v>
      </c>
      <c r="AB87" s="758" t="e">
        <f t="shared" si="38"/>
        <v>#VALUE!</v>
      </c>
      <c r="AC87" s="544" t="e">
        <f t="shared" si="24"/>
        <v>#VALUE!</v>
      </c>
      <c r="AD87" s="544">
        <f t="shared" si="25"/>
        <v>0</v>
      </c>
      <c r="AE87" s="759">
        <f>IF(H87&gt;8,tab!C$194,tab!C$197)</f>
        <v>0.5</v>
      </c>
      <c r="AF87" s="544">
        <f t="shared" si="26"/>
        <v>0</v>
      </c>
      <c r="AG87" s="760">
        <f t="shared" si="27"/>
        <v>0</v>
      </c>
      <c r="AH87" s="544"/>
    </row>
    <row r="88" spans="3:34" ht="13.15" customHeight="1" x14ac:dyDescent="0.2">
      <c r="C88" s="31"/>
      <c r="D88" s="117" t="str">
        <f t="shared" si="19"/>
        <v/>
      </c>
      <c r="E88" s="117" t="str">
        <f t="shared" si="19"/>
        <v/>
      </c>
      <c r="F88" s="33" t="str">
        <f t="shared" si="39"/>
        <v/>
      </c>
      <c r="G88" s="118" t="str">
        <f t="shared" si="28"/>
        <v/>
      </c>
      <c r="H88" s="33" t="str">
        <f t="shared" si="29"/>
        <v/>
      </c>
      <c r="I88" s="119" t="str">
        <f t="shared" si="20"/>
        <v/>
      </c>
      <c r="J88" s="120" t="str">
        <f t="shared" si="21"/>
        <v/>
      </c>
      <c r="K88" s="170"/>
      <c r="L88" s="1141">
        <f t="shared" si="22"/>
        <v>0</v>
      </c>
      <c r="M88" s="1141">
        <f t="shared" si="22"/>
        <v>0</v>
      </c>
      <c r="N88" s="804" t="str">
        <f t="shared" si="30"/>
        <v/>
      </c>
      <c r="O88" s="795"/>
      <c r="P88" s="1156" t="str">
        <f t="shared" si="31"/>
        <v/>
      </c>
      <c r="Q88" s="957" t="str">
        <f t="shared" si="32"/>
        <v/>
      </c>
      <c r="R88" s="767" t="str">
        <f t="shared" si="33"/>
        <v/>
      </c>
      <c r="S88" s="966">
        <f t="shared" si="34"/>
        <v>0</v>
      </c>
      <c r="T88" s="116"/>
      <c r="X88" s="760" t="str">
        <f t="shared" si="23"/>
        <v/>
      </c>
      <c r="Y88" s="745">
        <f t="shared" si="35"/>
        <v>0.6</v>
      </c>
      <c r="Z88" s="758" t="e">
        <f t="shared" si="36"/>
        <v>#VALUE!</v>
      </c>
      <c r="AA88" s="758" t="e">
        <f t="shared" si="37"/>
        <v>#VALUE!</v>
      </c>
      <c r="AB88" s="758" t="e">
        <f t="shared" si="38"/>
        <v>#VALUE!</v>
      </c>
      <c r="AC88" s="544" t="e">
        <f t="shared" si="24"/>
        <v>#VALUE!</v>
      </c>
      <c r="AD88" s="544">
        <f t="shared" si="25"/>
        <v>0</v>
      </c>
      <c r="AE88" s="759">
        <f>IF(H88&gt;8,tab!C$194,tab!C$197)</f>
        <v>0.5</v>
      </c>
      <c r="AF88" s="544">
        <f t="shared" si="26"/>
        <v>0</v>
      </c>
      <c r="AG88" s="760">
        <f t="shared" si="27"/>
        <v>0</v>
      </c>
      <c r="AH88" s="544"/>
    </row>
    <row r="89" spans="3:34" ht="13.15" customHeight="1" x14ac:dyDescent="0.2">
      <c r="C89" s="31"/>
      <c r="D89" s="117" t="str">
        <f t="shared" si="19"/>
        <v/>
      </c>
      <c r="E89" s="117" t="str">
        <f t="shared" si="19"/>
        <v/>
      </c>
      <c r="F89" s="33" t="str">
        <f t="shared" si="39"/>
        <v/>
      </c>
      <c r="G89" s="118" t="str">
        <f t="shared" si="28"/>
        <v/>
      </c>
      <c r="H89" s="33" t="str">
        <f t="shared" si="29"/>
        <v/>
      </c>
      <c r="I89" s="119" t="str">
        <f t="shared" si="20"/>
        <v/>
      </c>
      <c r="J89" s="120" t="str">
        <f t="shared" si="21"/>
        <v/>
      </c>
      <c r="K89" s="170"/>
      <c r="L89" s="1141">
        <f t="shared" si="22"/>
        <v>0</v>
      </c>
      <c r="M89" s="1141">
        <f t="shared" si="22"/>
        <v>0</v>
      </c>
      <c r="N89" s="804" t="str">
        <f t="shared" si="30"/>
        <v/>
      </c>
      <c r="O89" s="795"/>
      <c r="P89" s="1156" t="str">
        <f t="shared" si="31"/>
        <v/>
      </c>
      <c r="Q89" s="957" t="str">
        <f t="shared" si="32"/>
        <v/>
      </c>
      <c r="R89" s="767" t="str">
        <f t="shared" si="33"/>
        <v/>
      </c>
      <c r="S89" s="966">
        <f t="shared" si="34"/>
        <v>0</v>
      </c>
      <c r="T89" s="116"/>
      <c r="X89" s="760" t="str">
        <f t="shared" si="23"/>
        <v/>
      </c>
      <c r="Y89" s="745">
        <f t="shared" si="35"/>
        <v>0.6</v>
      </c>
      <c r="Z89" s="758" t="e">
        <f t="shared" si="36"/>
        <v>#VALUE!</v>
      </c>
      <c r="AA89" s="758" t="e">
        <f t="shared" si="37"/>
        <v>#VALUE!</v>
      </c>
      <c r="AB89" s="758" t="e">
        <f t="shared" si="38"/>
        <v>#VALUE!</v>
      </c>
      <c r="AC89" s="544" t="e">
        <f t="shared" si="24"/>
        <v>#VALUE!</v>
      </c>
      <c r="AD89" s="544">
        <f t="shared" si="25"/>
        <v>0</v>
      </c>
      <c r="AE89" s="759">
        <f>IF(H89&gt;8,tab!C$194,tab!C$197)</f>
        <v>0.5</v>
      </c>
      <c r="AF89" s="544">
        <f t="shared" si="26"/>
        <v>0</v>
      </c>
      <c r="AG89" s="760">
        <f t="shared" si="27"/>
        <v>0</v>
      </c>
      <c r="AH89" s="544"/>
    </row>
    <row r="90" spans="3:34" ht="13.15" customHeight="1" x14ac:dyDescent="0.2">
      <c r="C90" s="31"/>
      <c r="D90" s="117" t="str">
        <f t="shared" si="19"/>
        <v/>
      </c>
      <c r="E90" s="117" t="str">
        <f t="shared" si="19"/>
        <v/>
      </c>
      <c r="F90" s="33" t="str">
        <f t="shared" si="39"/>
        <v/>
      </c>
      <c r="G90" s="118" t="str">
        <f t="shared" si="28"/>
        <v/>
      </c>
      <c r="H90" s="33" t="str">
        <f t="shared" si="29"/>
        <v/>
      </c>
      <c r="I90" s="119" t="str">
        <f t="shared" si="20"/>
        <v/>
      </c>
      <c r="J90" s="120" t="str">
        <f t="shared" si="21"/>
        <v/>
      </c>
      <c r="K90" s="170"/>
      <c r="L90" s="1141">
        <f t="shared" si="22"/>
        <v>0</v>
      </c>
      <c r="M90" s="1141">
        <f t="shared" si="22"/>
        <v>0</v>
      </c>
      <c r="N90" s="804" t="str">
        <f t="shared" si="30"/>
        <v/>
      </c>
      <c r="O90" s="795"/>
      <c r="P90" s="1156" t="str">
        <f t="shared" si="31"/>
        <v/>
      </c>
      <c r="Q90" s="957" t="str">
        <f t="shared" si="32"/>
        <v/>
      </c>
      <c r="R90" s="767" t="str">
        <f t="shared" si="33"/>
        <v/>
      </c>
      <c r="S90" s="966">
        <f t="shared" si="34"/>
        <v>0</v>
      </c>
      <c r="T90" s="116"/>
      <c r="X90" s="760" t="str">
        <f t="shared" si="23"/>
        <v/>
      </c>
      <c r="Y90" s="745">
        <f t="shared" si="35"/>
        <v>0.6</v>
      </c>
      <c r="Z90" s="758" t="e">
        <f t="shared" si="36"/>
        <v>#VALUE!</v>
      </c>
      <c r="AA90" s="758" t="e">
        <f t="shared" si="37"/>
        <v>#VALUE!</v>
      </c>
      <c r="AB90" s="758" t="e">
        <f t="shared" si="38"/>
        <v>#VALUE!</v>
      </c>
      <c r="AC90" s="544" t="e">
        <f t="shared" si="24"/>
        <v>#VALUE!</v>
      </c>
      <c r="AD90" s="544">
        <f t="shared" si="25"/>
        <v>0</v>
      </c>
      <c r="AE90" s="759">
        <f>IF(H90&gt;8,tab!C$194,tab!C$197)</f>
        <v>0.5</v>
      </c>
      <c r="AF90" s="544">
        <f t="shared" si="26"/>
        <v>0</v>
      </c>
      <c r="AG90" s="760">
        <f t="shared" si="27"/>
        <v>0</v>
      </c>
      <c r="AH90" s="544"/>
    </row>
    <row r="91" spans="3:34" ht="13.15" customHeight="1" x14ac:dyDescent="0.2">
      <c r="C91" s="31"/>
      <c r="D91" s="117" t="str">
        <f t="shared" si="19"/>
        <v/>
      </c>
      <c r="E91" s="117" t="str">
        <f t="shared" si="19"/>
        <v/>
      </c>
      <c r="F91" s="33" t="str">
        <f t="shared" si="39"/>
        <v/>
      </c>
      <c r="G91" s="118" t="str">
        <f t="shared" si="28"/>
        <v/>
      </c>
      <c r="H91" s="33" t="str">
        <f t="shared" si="29"/>
        <v/>
      </c>
      <c r="I91" s="119" t="str">
        <f t="shared" si="20"/>
        <v/>
      </c>
      <c r="J91" s="120" t="str">
        <f t="shared" si="21"/>
        <v/>
      </c>
      <c r="K91" s="170"/>
      <c r="L91" s="1141">
        <f t="shared" si="22"/>
        <v>0</v>
      </c>
      <c r="M91" s="1141">
        <f t="shared" si="22"/>
        <v>0</v>
      </c>
      <c r="N91" s="804" t="str">
        <f t="shared" si="30"/>
        <v/>
      </c>
      <c r="O91" s="795"/>
      <c r="P91" s="1156" t="str">
        <f t="shared" si="31"/>
        <v/>
      </c>
      <c r="Q91" s="957" t="str">
        <f t="shared" si="32"/>
        <v/>
      </c>
      <c r="R91" s="767" t="str">
        <f t="shared" si="33"/>
        <v/>
      </c>
      <c r="S91" s="966">
        <f t="shared" si="34"/>
        <v>0</v>
      </c>
      <c r="T91" s="116"/>
      <c r="X91" s="760" t="str">
        <f t="shared" si="23"/>
        <v/>
      </c>
      <c r="Y91" s="745">
        <f t="shared" si="35"/>
        <v>0.6</v>
      </c>
      <c r="Z91" s="758" t="e">
        <f t="shared" si="36"/>
        <v>#VALUE!</v>
      </c>
      <c r="AA91" s="758" t="e">
        <f t="shared" si="37"/>
        <v>#VALUE!</v>
      </c>
      <c r="AB91" s="758" t="e">
        <f t="shared" si="38"/>
        <v>#VALUE!</v>
      </c>
      <c r="AC91" s="544" t="e">
        <f t="shared" si="24"/>
        <v>#VALUE!</v>
      </c>
      <c r="AD91" s="544">
        <f t="shared" si="25"/>
        <v>0</v>
      </c>
      <c r="AE91" s="759">
        <f>IF(H91&gt;8,tab!C$194,tab!C$197)</f>
        <v>0.5</v>
      </c>
      <c r="AF91" s="544">
        <f t="shared" si="26"/>
        <v>0</v>
      </c>
      <c r="AG91" s="760">
        <f t="shared" si="27"/>
        <v>0</v>
      </c>
      <c r="AH91" s="544"/>
    </row>
    <row r="92" spans="3:34" ht="13.15" customHeight="1" x14ac:dyDescent="0.2">
      <c r="C92" s="31"/>
      <c r="D92" s="117" t="str">
        <f t="shared" si="19"/>
        <v/>
      </c>
      <c r="E92" s="117" t="str">
        <f t="shared" si="19"/>
        <v/>
      </c>
      <c r="F92" s="33" t="str">
        <f t="shared" si="39"/>
        <v/>
      </c>
      <c r="G92" s="118" t="str">
        <f t="shared" si="28"/>
        <v/>
      </c>
      <c r="H92" s="33" t="str">
        <f t="shared" si="29"/>
        <v/>
      </c>
      <c r="I92" s="119" t="str">
        <f t="shared" si="20"/>
        <v/>
      </c>
      <c r="J92" s="120" t="str">
        <f t="shared" si="21"/>
        <v/>
      </c>
      <c r="K92" s="170"/>
      <c r="L92" s="1141">
        <f t="shared" si="22"/>
        <v>0</v>
      </c>
      <c r="M92" s="1141">
        <f t="shared" si="22"/>
        <v>0</v>
      </c>
      <c r="N92" s="804" t="str">
        <f t="shared" si="30"/>
        <v/>
      </c>
      <c r="O92" s="795"/>
      <c r="P92" s="1156" t="str">
        <f t="shared" si="31"/>
        <v/>
      </c>
      <c r="Q92" s="957" t="str">
        <f t="shared" si="32"/>
        <v/>
      </c>
      <c r="R92" s="767" t="str">
        <f t="shared" si="33"/>
        <v/>
      </c>
      <c r="S92" s="966">
        <f t="shared" si="34"/>
        <v>0</v>
      </c>
      <c r="T92" s="116"/>
      <c r="X92" s="760" t="str">
        <f t="shared" si="23"/>
        <v/>
      </c>
      <c r="Y92" s="745">
        <f t="shared" si="35"/>
        <v>0.6</v>
      </c>
      <c r="Z92" s="758" t="e">
        <f t="shared" si="36"/>
        <v>#VALUE!</v>
      </c>
      <c r="AA92" s="758" t="e">
        <f t="shared" si="37"/>
        <v>#VALUE!</v>
      </c>
      <c r="AB92" s="758" t="e">
        <f t="shared" si="38"/>
        <v>#VALUE!</v>
      </c>
      <c r="AC92" s="544" t="e">
        <f t="shared" si="24"/>
        <v>#VALUE!</v>
      </c>
      <c r="AD92" s="544">
        <f t="shared" si="25"/>
        <v>0</v>
      </c>
      <c r="AE92" s="759">
        <f>IF(H92&gt;8,tab!C$194,tab!C$197)</f>
        <v>0.5</v>
      </c>
      <c r="AF92" s="544">
        <f t="shared" si="26"/>
        <v>0</v>
      </c>
      <c r="AG92" s="760">
        <f t="shared" si="27"/>
        <v>0</v>
      </c>
      <c r="AH92" s="544"/>
    </row>
    <row r="93" spans="3:34" ht="13.15" customHeight="1" x14ac:dyDescent="0.2">
      <c r="C93" s="31"/>
      <c r="D93" s="117" t="str">
        <f t="shared" si="19"/>
        <v/>
      </c>
      <c r="E93" s="117" t="str">
        <f t="shared" si="19"/>
        <v/>
      </c>
      <c r="F93" s="33" t="str">
        <f t="shared" si="39"/>
        <v/>
      </c>
      <c r="G93" s="118" t="str">
        <f t="shared" si="28"/>
        <v/>
      </c>
      <c r="H93" s="33" t="str">
        <f t="shared" si="29"/>
        <v/>
      </c>
      <c r="I93" s="119" t="str">
        <f t="shared" si="20"/>
        <v/>
      </c>
      <c r="J93" s="120" t="str">
        <f t="shared" si="21"/>
        <v/>
      </c>
      <c r="K93" s="170"/>
      <c r="L93" s="1141">
        <f t="shared" si="22"/>
        <v>0</v>
      </c>
      <c r="M93" s="1141">
        <f t="shared" si="22"/>
        <v>0</v>
      </c>
      <c r="N93" s="804" t="str">
        <f t="shared" si="30"/>
        <v/>
      </c>
      <c r="O93" s="795"/>
      <c r="P93" s="1156" t="str">
        <f t="shared" si="31"/>
        <v/>
      </c>
      <c r="Q93" s="957" t="str">
        <f t="shared" si="32"/>
        <v/>
      </c>
      <c r="R93" s="767" t="str">
        <f t="shared" si="33"/>
        <v/>
      </c>
      <c r="S93" s="966">
        <f t="shared" si="34"/>
        <v>0</v>
      </c>
      <c r="T93" s="116"/>
      <c r="X93" s="760" t="str">
        <f t="shared" si="23"/>
        <v/>
      </c>
      <c r="Y93" s="745">
        <f t="shared" si="35"/>
        <v>0.6</v>
      </c>
      <c r="Z93" s="758" t="e">
        <f t="shared" si="36"/>
        <v>#VALUE!</v>
      </c>
      <c r="AA93" s="758" t="e">
        <f t="shared" si="37"/>
        <v>#VALUE!</v>
      </c>
      <c r="AB93" s="758" t="e">
        <f t="shared" si="38"/>
        <v>#VALUE!</v>
      </c>
      <c r="AC93" s="544" t="e">
        <f t="shared" si="24"/>
        <v>#VALUE!</v>
      </c>
      <c r="AD93" s="544">
        <f t="shared" si="25"/>
        <v>0</v>
      </c>
      <c r="AE93" s="759">
        <f>IF(H93&gt;8,tab!C$194,tab!C$197)</f>
        <v>0.5</v>
      </c>
      <c r="AF93" s="544">
        <f t="shared" si="26"/>
        <v>0</v>
      </c>
      <c r="AG93" s="760">
        <f t="shared" si="27"/>
        <v>0</v>
      </c>
      <c r="AH93" s="544"/>
    </row>
    <row r="94" spans="3:34" ht="13.15" customHeight="1" x14ac:dyDescent="0.2">
      <c r="C94" s="31"/>
      <c r="D94" s="117" t="str">
        <f t="shared" si="19"/>
        <v/>
      </c>
      <c r="E94" s="117" t="str">
        <f t="shared" si="19"/>
        <v/>
      </c>
      <c r="F94" s="33" t="str">
        <f t="shared" si="39"/>
        <v/>
      </c>
      <c r="G94" s="118" t="str">
        <f t="shared" si="28"/>
        <v/>
      </c>
      <c r="H94" s="33" t="str">
        <f t="shared" si="29"/>
        <v/>
      </c>
      <c r="I94" s="119" t="str">
        <f t="shared" si="20"/>
        <v/>
      </c>
      <c r="J94" s="120" t="str">
        <f t="shared" si="21"/>
        <v/>
      </c>
      <c r="K94" s="170"/>
      <c r="L94" s="1141">
        <f t="shared" si="22"/>
        <v>0</v>
      </c>
      <c r="M94" s="1141">
        <f t="shared" si="22"/>
        <v>0</v>
      </c>
      <c r="N94" s="804" t="str">
        <f t="shared" si="30"/>
        <v/>
      </c>
      <c r="O94" s="795"/>
      <c r="P94" s="1156" t="str">
        <f t="shared" si="31"/>
        <v/>
      </c>
      <c r="Q94" s="957" t="str">
        <f t="shared" si="32"/>
        <v/>
      </c>
      <c r="R94" s="767" t="str">
        <f t="shared" si="33"/>
        <v/>
      </c>
      <c r="S94" s="966">
        <f t="shared" si="34"/>
        <v>0</v>
      </c>
      <c r="T94" s="116"/>
      <c r="X94" s="760" t="str">
        <f t="shared" si="23"/>
        <v/>
      </c>
      <c r="Y94" s="745">
        <f t="shared" si="35"/>
        <v>0.6</v>
      </c>
      <c r="Z94" s="758" t="e">
        <f t="shared" si="36"/>
        <v>#VALUE!</v>
      </c>
      <c r="AA94" s="758" t="e">
        <f t="shared" si="37"/>
        <v>#VALUE!</v>
      </c>
      <c r="AB94" s="758" t="e">
        <f t="shared" si="38"/>
        <v>#VALUE!</v>
      </c>
      <c r="AC94" s="544" t="e">
        <f t="shared" si="24"/>
        <v>#VALUE!</v>
      </c>
      <c r="AD94" s="544">
        <f t="shared" si="25"/>
        <v>0</v>
      </c>
      <c r="AE94" s="759">
        <f>IF(H94&gt;8,tab!C$194,tab!C$197)</f>
        <v>0.5</v>
      </c>
      <c r="AF94" s="544">
        <f t="shared" si="26"/>
        <v>0</v>
      </c>
      <c r="AG94" s="760">
        <f t="shared" si="27"/>
        <v>0</v>
      </c>
      <c r="AH94" s="544"/>
    </row>
    <row r="95" spans="3:34" ht="13.15" customHeight="1" x14ac:dyDescent="0.2">
      <c r="C95" s="31"/>
      <c r="D95" s="117" t="str">
        <f t="shared" si="19"/>
        <v/>
      </c>
      <c r="E95" s="117" t="str">
        <f t="shared" si="19"/>
        <v/>
      </c>
      <c r="F95" s="33" t="str">
        <f t="shared" si="39"/>
        <v/>
      </c>
      <c r="G95" s="118" t="str">
        <f t="shared" si="28"/>
        <v/>
      </c>
      <c r="H95" s="33" t="str">
        <f t="shared" si="29"/>
        <v/>
      </c>
      <c r="I95" s="119" t="str">
        <f t="shared" si="20"/>
        <v/>
      </c>
      <c r="J95" s="120" t="str">
        <f t="shared" si="21"/>
        <v/>
      </c>
      <c r="K95" s="170"/>
      <c r="L95" s="1141">
        <f t="shared" si="22"/>
        <v>0</v>
      </c>
      <c r="M95" s="1141">
        <f t="shared" si="22"/>
        <v>0</v>
      </c>
      <c r="N95" s="804" t="str">
        <f t="shared" si="30"/>
        <v/>
      </c>
      <c r="O95" s="795"/>
      <c r="P95" s="1156" t="str">
        <f t="shared" si="31"/>
        <v/>
      </c>
      <c r="Q95" s="957" t="str">
        <f t="shared" si="32"/>
        <v/>
      </c>
      <c r="R95" s="767" t="str">
        <f t="shared" si="33"/>
        <v/>
      </c>
      <c r="S95" s="966">
        <f t="shared" si="34"/>
        <v>0</v>
      </c>
      <c r="T95" s="116"/>
      <c r="X95" s="760" t="str">
        <f t="shared" si="23"/>
        <v/>
      </c>
      <c r="Y95" s="745">
        <f t="shared" si="35"/>
        <v>0.6</v>
      </c>
      <c r="Z95" s="758" t="e">
        <f t="shared" si="36"/>
        <v>#VALUE!</v>
      </c>
      <c r="AA95" s="758" t="e">
        <f t="shared" si="37"/>
        <v>#VALUE!</v>
      </c>
      <c r="AB95" s="758" t="e">
        <f t="shared" si="38"/>
        <v>#VALUE!</v>
      </c>
      <c r="AC95" s="544" t="e">
        <f t="shared" si="24"/>
        <v>#VALUE!</v>
      </c>
      <c r="AD95" s="544">
        <f t="shared" si="25"/>
        <v>0</v>
      </c>
      <c r="AE95" s="759">
        <f>IF(H95&gt;8,tab!C$194,tab!C$197)</f>
        <v>0.5</v>
      </c>
      <c r="AF95" s="544">
        <f t="shared" si="26"/>
        <v>0</v>
      </c>
      <c r="AG95" s="760">
        <f t="shared" si="27"/>
        <v>0</v>
      </c>
      <c r="AH95" s="544"/>
    </row>
    <row r="96" spans="3:34" ht="13.15" customHeight="1" x14ac:dyDescent="0.2">
      <c r="C96" s="31"/>
      <c r="D96" s="117" t="str">
        <f t="shared" si="19"/>
        <v/>
      </c>
      <c r="E96" s="117" t="str">
        <f t="shared" si="19"/>
        <v/>
      </c>
      <c r="F96" s="33" t="str">
        <f t="shared" si="39"/>
        <v/>
      </c>
      <c r="G96" s="118" t="str">
        <f t="shared" si="28"/>
        <v/>
      </c>
      <c r="H96" s="33" t="str">
        <f t="shared" si="29"/>
        <v/>
      </c>
      <c r="I96" s="119" t="str">
        <f t="shared" si="20"/>
        <v/>
      </c>
      <c r="J96" s="120" t="str">
        <f t="shared" si="21"/>
        <v/>
      </c>
      <c r="K96" s="170"/>
      <c r="L96" s="1141">
        <f t="shared" si="22"/>
        <v>0</v>
      </c>
      <c r="M96" s="1141">
        <f t="shared" si="22"/>
        <v>0</v>
      </c>
      <c r="N96" s="804" t="str">
        <f t="shared" si="30"/>
        <v/>
      </c>
      <c r="O96" s="795"/>
      <c r="P96" s="1156" t="str">
        <f t="shared" si="31"/>
        <v/>
      </c>
      <c r="Q96" s="957" t="str">
        <f t="shared" si="32"/>
        <v/>
      </c>
      <c r="R96" s="767" t="str">
        <f t="shared" si="33"/>
        <v/>
      </c>
      <c r="S96" s="966">
        <f t="shared" si="34"/>
        <v>0</v>
      </c>
      <c r="T96" s="116"/>
      <c r="X96" s="760" t="str">
        <f t="shared" si="23"/>
        <v/>
      </c>
      <c r="Y96" s="745">
        <f t="shared" si="35"/>
        <v>0.6</v>
      </c>
      <c r="Z96" s="758" t="e">
        <f t="shared" si="36"/>
        <v>#VALUE!</v>
      </c>
      <c r="AA96" s="758" t="e">
        <f t="shared" si="37"/>
        <v>#VALUE!</v>
      </c>
      <c r="AB96" s="758" t="e">
        <f t="shared" si="38"/>
        <v>#VALUE!</v>
      </c>
      <c r="AC96" s="544" t="e">
        <f t="shared" si="24"/>
        <v>#VALUE!</v>
      </c>
      <c r="AD96" s="544">
        <f t="shared" si="25"/>
        <v>0</v>
      </c>
      <c r="AE96" s="759">
        <f>IF(H96&gt;8,tab!C$194,tab!C$197)</f>
        <v>0.5</v>
      </c>
      <c r="AF96" s="544">
        <f t="shared" si="26"/>
        <v>0</v>
      </c>
      <c r="AG96" s="760">
        <f t="shared" si="27"/>
        <v>0</v>
      </c>
      <c r="AH96" s="544"/>
    </row>
    <row r="97" spans="3:34" ht="13.15" customHeight="1" x14ac:dyDescent="0.2">
      <c r="C97" s="31"/>
      <c r="D97" s="117" t="str">
        <f t="shared" ref="D97:E116" si="40">IF(D35=0,"",D35)</f>
        <v/>
      </c>
      <c r="E97" s="117" t="str">
        <f t="shared" si="40"/>
        <v/>
      </c>
      <c r="F97" s="33" t="str">
        <f t="shared" si="39"/>
        <v/>
      </c>
      <c r="G97" s="118" t="str">
        <f t="shared" si="28"/>
        <v/>
      </c>
      <c r="H97" s="33" t="str">
        <f t="shared" si="29"/>
        <v/>
      </c>
      <c r="I97" s="119" t="str">
        <f t="shared" si="20"/>
        <v/>
      </c>
      <c r="J97" s="120" t="str">
        <f t="shared" ref="J97:J116" si="41">IF(J35="","",J35)</f>
        <v/>
      </c>
      <c r="K97" s="170"/>
      <c r="L97" s="1141">
        <f t="shared" ref="L97:M116" si="42">IF(L35="","",L35)</f>
        <v>0</v>
      </c>
      <c r="M97" s="1141">
        <f t="shared" si="42"/>
        <v>0</v>
      </c>
      <c r="N97" s="804" t="str">
        <f t="shared" si="30"/>
        <v/>
      </c>
      <c r="O97" s="795"/>
      <c r="P97" s="1156" t="str">
        <f t="shared" si="31"/>
        <v/>
      </c>
      <c r="Q97" s="957" t="str">
        <f t="shared" si="32"/>
        <v/>
      </c>
      <c r="R97" s="767" t="str">
        <f t="shared" si="33"/>
        <v/>
      </c>
      <c r="S97" s="966">
        <f t="shared" si="34"/>
        <v>0</v>
      </c>
      <c r="T97" s="116"/>
      <c r="X97" s="760" t="str">
        <f t="shared" si="23"/>
        <v/>
      </c>
      <c r="Y97" s="745">
        <f t="shared" si="35"/>
        <v>0.6</v>
      </c>
      <c r="Z97" s="758" t="e">
        <f t="shared" si="36"/>
        <v>#VALUE!</v>
      </c>
      <c r="AA97" s="758" t="e">
        <f t="shared" si="37"/>
        <v>#VALUE!</v>
      </c>
      <c r="AB97" s="758" t="e">
        <f t="shared" si="38"/>
        <v>#VALUE!</v>
      </c>
      <c r="AC97" s="544" t="e">
        <f t="shared" si="24"/>
        <v>#VALUE!</v>
      </c>
      <c r="AD97" s="544">
        <f t="shared" si="25"/>
        <v>0</v>
      </c>
      <c r="AE97" s="759">
        <f>IF(H97&gt;8,tab!C$194,tab!C$197)</f>
        <v>0.5</v>
      </c>
      <c r="AF97" s="544">
        <f t="shared" si="26"/>
        <v>0</v>
      </c>
      <c r="AG97" s="760">
        <f t="shared" si="27"/>
        <v>0</v>
      </c>
      <c r="AH97" s="544"/>
    </row>
    <row r="98" spans="3:34" ht="13.15" customHeight="1" x14ac:dyDescent="0.2">
      <c r="C98" s="31"/>
      <c r="D98" s="117" t="str">
        <f t="shared" si="40"/>
        <v/>
      </c>
      <c r="E98" s="117" t="str">
        <f t="shared" si="40"/>
        <v/>
      </c>
      <c r="F98" s="33" t="str">
        <f t="shared" si="39"/>
        <v/>
      </c>
      <c r="G98" s="118" t="str">
        <f t="shared" si="28"/>
        <v/>
      </c>
      <c r="H98" s="33" t="str">
        <f t="shared" si="29"/>
        <v/>
      </c>
      <c r="I98" s="119" t="str">
        <f t="shared" si="20"/>
        <v/>
      </c>
      <c r="J98" s="120" t="str">
        <f t="shared" si="41"/>
        <v/>
      </c>
      <c r="K98" s="170"/>
      <c r="L98" s="1141">
        <f t="shared" si="42"/>
        <v>0</v>
      </c>
      <c r="M98" s="1141">
        <f t="shared" si="42"/>
        <v>0</v>
      </c>
      <c r="N98" s="804" t="str">
        <f t="shared" si="30"/>
        <v/>
      </c>
      <c r="O98" s="795"/>
      <c r="P98" s="1156" t="str">
        <f t="shared" si="31"/>
        <v/>
      </c>
      <c r="Q98" s="957" t="str">
        <f t="shared" si="32"/>
        <v/>
      </c>
      <c r="R98" s="767" t="str">
        <f t="shared" si="33"/>
        <v/>
      </c>
      <c r="S98" s="966">
        <f t="shared" si="34"/>
        <v>0</v>
      </c>
      <c r="T98" s="116"/>
      <c r="X98" s="760" t="str">
        <f t="shared" si="23"/>
        <v/>
      </c>
      <c r="Y98" s="745">
        <f t="shared" si="35"/>
        <v>0.6</v>
      </c>
      <c r="Z98" s="758" t="e">
        <f t="shared" si="36"/>
        <v>#VALUE!</v>
      </c>
      <c r="AA98" s="758" t="e">
        <f t="shared" si="37"/>
        <v>#VALUE!</v>
      </c>
      <c r="AB98" s="758" t="e">
        <f t="shared" si="38"/>
        <v>#VALUE!</v>
      </c>
      <c r="AC98" s="544" t="e">
        <f t="shared" si="24"/>
        <v>#VALUE!</v>
      </c>
      <c r="AD98" s="544">
        <f t="shared" si="25"/>
        <v>0</v>
      </c>
      <c r="AE98" s="759">
        <f>IF(H98&gt;8,tab!C$194,tab!C$197)</f>
        <v>0.5</v>
      </c>
      <c r="AF98" s="544">
        <f t="shared" si="26"/>
        <v>0</v>
      </c>
      <c r="AG98" s="760">
        <f t="shared" si="27"/>
        <v>0</v>
      </c>
      <c r="AH98" s="544"/>
    </row>
    <row r="99" spans="3:34" ht="13.15" customHeight="1" x14ac:dyDescent="0.2">
      <c r="C99" s="31"/>
      <c r="D99" s="117" t="str">
        <f t="shared" si="40"/>
        <v/>
      </c>
      <c r="E99" s="117" t="str">
        <f t="shared" si="40"/>
        <v/>
      </c>
      <c r="F99" s="33" t="str">
        <f t="shared" si="39"/>
        <v/>
      </c>
      <c r="G99" s="118" t="str">
        <f t="shared" si="28"/>
        <v/>
      </c>
      <c r="H99" s="33" t="str">
        <f t="shared" si="29"/>
        <v/>
      </c>
      <c r="I99" s="119" t="str">
        <f t="shared" si="20"/>
        <v/>
      </c>
      <c r="J99" s="120" t="str">
        <f t="shared" si="41"/>
        <v/>
      </c>
      <c r="K99" s="170"/>
      <c r="L99" s="1141">
        <f t="shared" si="42"/>
        <v>0</v>
      </c>
      <c r="M99" s="1141">
        <f t="shared" si="42"/>
        <v>0</v>
      </c>
      <c r="N99" s="804" t="str">
        <f t="shared" si="30"/>
        <v/>
      </c>
      <c r="O99" s="795"/>
      <c r="P99" s="1156" t="str">
        <f t="shared" si="31"/>
        <v/>
      </c>
      <c r="Q99" s="957" t="str">
        <f t="shared" si="32"/>
        <v/>
      </c>
      <c r="R99" s="767" t="str">
        <f t="shared" si="33"/>
        <v/>
      </c>
      <c r="S99" s="966">
        <f t="shared" si="34"/>
        <v>0</v>
      </c>
      <c r="T99" s="116"/>
      <c r="X99" s="760" t="str">
        <f t="shared" si="23"/>
        <v/>
      </c>
      <c r="Y99" s="745">
        <f t="shared" si="35"/>
        <v>0.6</v>
      </c>
      <c r="Z99" s="758" t="e">
        <f t="shared" si="36"/>
        <v>#VALUE!</v>
      </c>
      <c r="AA99" s="758" t="e">
        <f t="shared" si="37"/>
        <v>#VALUE!</v>
      </c>
      <c r="AB99" s="758" t="e">
        <f t="shared" si="38"/>
        <v>#VALUE!</v>
      </c>
      <c r="AC99" s="544" t="e">
        <f t="shared" si="24"/>
        <v>#VALUE!</v>
      </c>
      <c r="AD99" s="544">
        <f t="shared" si="25"/>
        <v>0</v>
      </c>
      <c r="AE99" s="759">
        <f>IF(H99&gt;8,tab!C$194,tab!C$197)</f>
        <v>0.5</v>
      </c>
      <c r="AF99" s="544">
        <f t="shared" si="26"/>
        <v>0</v>
      </c>
      <c r="AG99" s="760">
        <f t="shared" si="27"/>
        <v>0</v>
      </c>
      <c r="AH99" s="544"/>
    </row>
    <row r="100" spans="3:34" ht="13.15" customHeight="1" x14ac:dyDescent="0.2">
      <c r="C100" s="31"/>
      <c r="D100" s="117" t="str">
        <f t="shared" si="40"/>
        <v/>
      </c>
      <c r="E100" s="117" t="str">
        <f t="shared" si="40"/>
        <v/>
      </c>
      <c r="F100" s="33" t="str">
        <f t="shared" si="39"/>
        <v/>
      </c>
      <c r="G100" s="118" t="str">
        <f t="shared" si="28"/>
        <v/>
      </c>
      <c r="H100" s="33" t="str">
        <f t="shared" si="29"/>
        <v/>
      </c>
      <c r="I100" s="119" t="str">
        <f t="shared" si="20"/>
        <v/>
      </c>
      <c r="J100" s="120" t="str">
        <f t="shared" si="41"/>
        <v/>
      </c>
      <c r="K100" s="170"/>
      <c r="L100" s="1141">
        <f t="shared" si="42"/>
        <v>0</v>
      </c>
      <c r="M100" s="1141">
        <f t="shared" si="42"/>
        <v>0</v>
      </c>
      <c r="N100" s="804" t="str">
        <f t="shared" si="30"/>
        <v/>
      </c>
      <c r="O100" s="795"/>
      <c r="P100" s="1156" t="str">
        <f t="shared" si="31"/>
        <v/>
      </c>
      <c r="Q100" s="957" t="str">
        <f t="shared" si="32"/>
        <v/>
      </c>
      <c r="R100" s="767" t="str">
        <f t="shared" si="33"/>
        <v/>
      </c>
      <c r="S100" s="966">
        <f t="shared" si="34"/>
        <v>0</v>
      </c>
      <c r="T100" s="116"/>
      <c r="X100" s="760" t="str">
        <f t="shared" si="23"/>
        <v/>
      </c>
      <c r="Y100" s="745">
        <f t="shared" si="35"/>
        <v>0.6</v>
      </c>
      <c r="Z100" s="758" t="e">
        <f t="shared" si="36"/>
        <v>#VALUE!</v>
      </c>
      <c r="AA100" s="758" t="e">
        <f t="shared" si="37"/>
        <v>#VALUE!</v>
      </c>
      <c r="AB100" s="758" t="e">
        <f t="shared" si="38"/>
        <v>#VALUE!</v>
      </c>
      <c r="AC100" s="544" t="e">
        <f t="shared" si="24"/>
        <v>#VALUE!</v>
      </c>
      <c r="AD100" s="544">
        <f t="shared" si="25"/>
        <v>0</v>
      </c>
      <c r="AE100" s="759">
        <f>IF(H100&gt;8,tab!C$194,tab!C$197)</f>
        <v>0.5</v>
      </c>
      <c r="AF100" s="544">
        <f t="shared" si="26"/>
        <v>0</v>
      </c>
      <c r="AG100" s="760">
        <f t="shared" si="27"/>
        <v>0</v>
      </c>
      <c r="AH100" s="544"/>
    </row>
    <row r="101" spans="3:34" ht="13.15" customHeight="1" x14ac:dyDescent="0.2">
      <c r="C101" s="31"/>
      <c r="D101" s="117" t="str">
        <f t="shared" si="40"/>
        <v/>
      </c>
      <c r="E101" s="117" t="str">
        <f t="shared" si="40"/>
        <v/>
      </c>
      <c r="F101" s="33" t="str">
        <f t="shared" si="39"/>
        <v/>
      </c>
      <c r="G101" s="118" t="str">
        <f t="shared" si="28"/>
        <v/>
      </c>
      <c r="H101" s="33" t="str">
        <f t="shared" si="29"/>
        <v/>
      </c>
      <c r="I101" s="119" t="str">
        <f t="shared" si="20"/>
        <v/>
      </c>
      <c r="J101" s="120" t="str">
        <f t="shared" si="41"/>
        <v/>
      </c>
      <c r="K101" s="170"/>
      <c r="L101" s="1141">
        <f t="shared" si="42"/>
        <v>0</v>
      </c>
      <c r="M101" s="1141">
        <f t="shared" si="42"/>
        <v>0</v>
      </c>
      <c r="N101" s="804" t="str">
        <f t="shared" si="30"/>
        <v/>
      </c>
      <c r="O101" s="795"/>
      <c r="P101" s="1156" t="str">
        <f t="shared" si="31"/>
        <v/>
      </c>
      <c r="Q101" s="957" t="str">
        <f t="shared" si="32"/>
        <v/>
      </c>
      <c r="R101" s="767" t="str">
        <f t="shared" si="33"/>
        <v/>
      </c>
      <c r="S101" s="966">
        <f t="shared" si="34"/>
        <v>0</v>
      </c>
      <c r="T101" s="116"/>
      <c r="X101" s="760" t="str">
        <f t="shared" si="23"/>
        <v/>
      </c>
      <c r="Y101" s="745">
        <f t="shared" si="35"/>
        <v>0.6</v>
      </c>
      <c r="Z101" s="758" t="e">
        <f t="shared" si="36"/>
        <v>#VALUE!</v>
      </c>
      <c r="AA101" s="758" t="e">
        <f t="shared" si="37"/>
        <v>#VALUE!</v>
      </c>
      <c r="AB101" s="758" t="e">
        <f t="shared" si="38"/>
        <v>#VALUE!</v>
      </c>
      <c r="AC101" s="544" t="e">
        <f t="shared" si="24"/>
        <v>#VALUE!</v>
      </c>
      <c r="AD101" s="544">
        <f t="shared" si="25"/>
        <v>0</v>
      </c>
      <c r="AE101" s="759">
        <f>IF(H101&gt;8,tab!C$194,tab!C$197)</f>
        <v>0.5</v>
      </c>
      <c r="AF101" s="544">
        <f t="shared" si="26"/>
        <v>0</v>
      </c>
      <c r="AG101" s="760">
        <f t="shared" si="27"/>
        <v>0</v>
      </c>
      <c r="AH101" s="544"/>
    </row>
    <row r="102" spans="3:34" ht="13.15" customHeight="1" x14ac:dyDescent="0.2">
      <c r="C102" s="31"/>
      <c r="D102" s="117" t="str">
        <f t="shared" si="40"/>
        <v/>
      </c>
      <c r="E102" s="117" t="str">
        <f t="shared" si="40"/>
        <v/>
      </c>
      <c r="F102" s="33" t="str">
        <f t="shared" si="39"/>
        <v/>
      </c>
      <c r="G102" s="118" t="str">
        <f t="shared" si="28"/>
        <v/>
      </c>
      <c r="H102" s="33" t="str">
        <f t="shared" si="29"/>
        <v/>
      </c>
      <c r="I102" s="119" t="str">
        <f t="shared" si="20"/>
        <v/>
      </c>
      <c r="J102" s="120" t="str">
        <f t="shared" si="41"/>
        <v/>
      </c>
      <c r="K102" s="170"/>
      <c r="L102" s="1141">
        <f t="shared" si="42"/>
        <v>0</v>
      </c>
      <c r="M102" s="1141">
        <f t="shared" si="42"/>
        <v>0</v>
      </c>
      <c r="N102" s="804" t="str">
        <f t="shared" si="30"/>
        <v/>
      </c>
      <c r="O102" s="795"/>
      <c r="P102" s="1156" t="str">
        <f t="shared" si="31"/>
        <v/>
      </c>
      <c r="Q102" s="957" t="str">
        <f t="shared" si="32"/>
        <v/>
      </c>
      <c r="R102" s="767" t="str">
        <f t="shared" si="33"/>
        <v/>
      </c>
      <c r="S102" s="966">
        <f t="shared" si="34"/>
        <v>0</v>
      </c>
      <c r="T102" s="116"/>
      <c r="X102" s="760" t="str">
        <f t="shared" si="23"/>
        <v/>
      </c>
      <c r="Y102" s="745">
        <f t="shared" si="35"/>
        <v>0.6</v>
      </c>
      <c r="Z102" s="758" t="e">
        <f t="shared" si="36"/>
        <v>#VALUE!</v>
      </c>
      <c r="AA102" s="758" t="e">
        <f t="shared" si="37"/>
        <v>#VALUE!</v>
      </c>
      <c r="AB102" s="758" t="e">
        <f t="shared" si="38"/>
        <v>#VALUE!</v>
      </c>
      <c r="AC102" s="544" t="e">
        <f t="shared" si="24"/>
        <v>#VALUE!</v>
      </c>
      <c r="AD102" s="544">
        <f t="shared" si="25"/>
        <v>0</v>
      </c>
      <c r="AE102" s="759">
        <f>IF(H102&gt;8,tab!C$194,tab!C$197)</f>
        <v>0.5</v>
      </c>
      <c r="AF102" s="544">
        <f t="shared" si="26"/>
        <v>0</v>
      </c>
      <c r="AG102" s="760">
        <f t="shared" si="27"/>
        <v>0</v>
      </c>
      <c r="AH102" s="544"/>
    </row>
    <row r="103" spans="3:34" ht="13.15" customHeight="1" x14ac:dyDescent="0.2">
      <c r="C103" s="31"/>
      <c r="D103" s="117" t="str">
        <f t="shared" si="40"/>
        <v/>
      </c>
      <c r="E103" s="117" t="str">
        <f t="shared" si="40"/>
        <v/>
      </c>
      <c r="F103" s="33" t="str">
        <f t="shared" si="39"/>
        <v/>
      </c>
      <c r="G103" s="118" t="str">
        <f t="shared" si="28"/>
        <v/>
      </c>
      <c r="H103" s="33" t="str">
        <f t="shared" si="29"/>
        <v/>
      </c>
      <c r="I103" s="119" t="str">
        <f t="shared" si="20"/>
        <v/>
      </c>
      <c r="J103" s="120" t="str">
        <f t="shared" si="41"/>
        <v/>
      </c>
      <c r="K103" s="170"/>
      <c r="L103" s="1141">
        <f t="shared" si="42"/>
        <v>0</v>
      </c>
      <c r="M103" s="1141">
        <f t="shared" si="42"/>
        <v>0</v>
      </c>
      <c r="N103" s="804" t="str">
        <f t="shared" si="30"/>
        <v/>
      </c>
      <c r="O103" s="795"/>
      <c r="P103" s="1156" t="str">
        <f t="shared" si="31"/>
        <v/>
      </c>
      <c r="Q103" s="957" t="str">
        <f t="shared" si="32"/>
        <v/>
      </c>
      <c r="R103" s="767" t="str">
        <f t="shared" si="33"/>
        <v/>
      </c>
      <c r="S103" s="966">
        <f t="shared" si="34"/>
        <v>0</v>
      </c>
      <c r="T103" s="116"/>
      <c r="X103" s="760" t="str">
        <f t="shared" si="23"/>
        <v/>
      </c>
      <c r="Y103" s="745">
        <f t="shared" si="35"/>
        <v>0.6</v>
      </c>
      <c r="Z103" s="758" t="e">
        <f t="shared" si="36"/>
        <v>#VALUE!</v>
      </c>
      <c r="AA103" s="758" t="e">
        <f t="shared" si="37"/>
        <v>#VALUE!</v>
      </c>
      <c r="AB103" s="758" t="e">
        <f t="shared" si="38"/>
        <v>#VALUE!</v>
      </c>
      <c r="AC103" s="544" t="e">
        <f t="shared" si="24"/>
        <v>#VALUE!</v>
      </c>
      <c r="AD103" s="544">
        <f t="shared" si="25"/>
        <v>0</v>
      </c>
      <c r="AE103" s="759">
        <f>IF(H103&gt;8,tab!C$194,tab!C$197)</f>
        <v>0.5</v>
      </c>
      <c r="AF103" s="544">
        <f t="shared" si="26"/>
        <v>0</v>
      </c>
      <c r="AG103" s="760">
        <f t="shared" si="27"/>
        <v>0</v>
      </c>
      <c r="AH103" s="544"/>
    </row>
    <row r="104" spans="3:34" ht="13.15" customHeight="1" x14ac:dyDescent="0.2">
      <c r="C104" s="31"/>
      <c r="D104" s="117" t="str">
        <f t="shared" si="40"/>
        <v/>
      </c>
      <c r="E104" s="117" t="str">
        <f t="shared" si="40"/>
        <v/>
      </c>
      <c r="F104" s="33" t="str">
        <f t="shared" si="39"/>
        <v/>
      </c>
      <c r="G104" s="118" t="str">
        <f t="shared" si="28"/>
        <v/>
      </c>
      <c r="H104" s="33" t="str">
        <f t="shared" si="29"/>
        <v/>
      </c>
      <c r="I104" s="119" t="str">
        <f t="shared" si="20"/>
        <v/>
      </c>
      <c r="J104" s="120" t="str">
        <f t="shared" si="41"/>
        <v/>
      </c>
      <c r="K104" s="170"/>
      <c r="L104" s="1141">
        <f t="shared" si="42"/>
        <v>0</v>
      </c>
      <c r="M104" s="1141">
        <f t="shared" si="42"/>
        <v>0</v>
      </c>
      <c r="N104" s="804" t="str">
        <f t="shared" si="30"/>
        <v/>
      </c>
      <c r="O104" s="795"/>
      <c r="P104" s="1156" t="str">
        <f t="shared" si="31"/>
        <v/>
      </c>
      <c r="Q104" s="957" t="str">
        <f t="shared" si="32"/>
        <v/>
      </c>
      <c r="R104" s="767" t="str">
        <f t="shared" si="33"/>
        <v/>
      </c>
      <c r="S104" s="966">
        <f t="shared" si="34"/>
        <v>0</v>
      </c>
      <c r="T104" s="116"/>
      <c r="X104" s="760" t="str">
        <f t="shared" si="23"/>
        <v/>
      </c>
      <c r="Y104" s="745">
        <f t="shared" si="35"/>
        <v>0.6</v>
      </c>
      <c r="Z104" s="758" t="e">
        <f t="shared" si="36"/>
        <v>#VALUE!</v>
      </c>
      <c r="AA104" s="758" t="e">
        <f t="shared" si="37"/>
        <v>#VALUE!</v>
      </c>
      <c r="AB104" s="758" t="e">
        <f t="shared" si="38"/>
        <v>#VALUE!</v>
      </c>
      <c r="AC104" s="544" t="e">
        <f t="shared" si="24"/>
        <v>#VALUE!</v>
      </c>
      <c r="AD104" s="544">
        <f t="shared" si="25"/>
        <v>0</v>
      </c>
      <c r="AE104" s="759">
        <f>IF(H104&gt;8,tab!C$194,tab!C$197)</f>
        <v>0.5</v>
      </c>
      <c r="AF104" s="544">
        <f t="shared" si="26"/>
        <v>0</v>
      </c>
      <c r="AG104" s="760">
        <f t="shared" si="27"/>
        <v>0</v>
      </c>
      <c r="AH104" s="544"/>
    </row>
    <row r="105" spans="3:34" ht="13.15" customHeight="1" x14ac:dyDescent="0.2">
      <c r="C105" s="31"/>
      <c r="D105" s="117" t="str">
        <f t="shared" si="40"/>
        <v/>
      </c>
      <c r="E105" s="117" t="str">
        <f t="shared" si="40"/>
        <v/>
      </c>
      <c r="F105" s="33" t="str">
        <f t="shared" si="39"/>
        <v/>
      </c>
      <c r="G105" s="118" t="str">
        <f t="shared" si="28"/>
        <v/>
      </c>
      <c r="H105" s="33" t="str">
        <f t="shared" si="29"/>
        <v/>
      </c>
      <c r="I105" s="119" t="str">
        <f t="shared" si="20"/>
        <v/>
      </c>
      <c r="J105" s="120" t="str">
        <f t="shared" si="41"/>
        <v/>
      </c>
      <c r="K105" s="170"/>
      <c r="L105" s="1141">
        <f t="shared" si="42"/>
        <v>0</v>
      </c>
      <c r="M105" s="1141">
        <f t="shared" si="42"/>
        <v>0</v>
      </c>
      <c r="N105" s="804" t="str">
        <f t="shared" si="30"/>
        <v/>
      </c>
      <c r="O105" s="795"/>
      <c r="P105" s="1156" t="str">
        <f t="shared" si="31"/>
        <v/>
      </c>
      <c r="Q105" s="957" t="str">
        <f t="shared" si="32"/>
        <v/>
      </c>
      <c r="R105" s="767" t="str">
        <f t="shared" si="33"/>
        <v/>
      </c>
      <c r="S105" s="966">
        <f t="shared" si="34"/>
        <v>0</v>
      </c>
      <c r="T105" s="116"/>
      <c r="X105" s="760" t="str">
        <f t="shared" si="23"/>
        <v/>
      </c>
      <c r="Y105" s="745">
        <f t="shared" si="35"/>
        <v>0.6</v>
      </c>
      <c r="Z105" s="758" t="e">
        <f t="shared" si="36"/>
        <v>#VALUE!</v>
      </c>
      <c r="AA105" s="758" t="e">
        <f t="shared" si="37"/>
        <v>#VALUE!</v>
      </c>
      <c r="AB105" s="758" t="e">
        <f t="shared" si="38"/>
        <v>#VALUE!</v>
      </c>
      <c r="AC105" s="544" t="e">
        <f t="shared" si="24"/>
        <v>#VALUE!</v>
      </c>
      <c r="AD105" s="544">
        <f t="shared" si="25"/>
        <v>0</v>
      </c>
      <c r="AE105" s="759">
        <f>IF(H105&gt;8,tab!C$194,tab!C$197)</f>
        <v>0.5</v>
      </c>
      <c r="AF105" s="544">
        <f t="shared" si="26"/>
        <v>0</v>
      </c>
      <c r="AG105" s="760">
        <f t="shared" si="27"/>
        <v>0</v>
      </c>
      <c r="AH105" s="544"/>
    </row>
    <row r="106" spans="3:34" ht="13.15" customHeight="1" x14ac:dyDescent="0.2">
      <c r="C106" s="31"/>
      <c r="D106" s="117" t="str">
        <f t="shared" si="40"/>
        <v/>
      </c>
      <c r="E106" s="117" t="str">
        <f t="shared" si="40"/>
        <v/>
      </c>
      <c r="F106" s="33" t="str">
        <f t="shared" si="39"/>
        <v/>
      </c>
      <c r="G106" s="118" t="str">
        <f t="shared" si="28"/>
        <v/>
      </c>
      <c r="H106" s="33" t="str">
        <f t="shared" si="29"/>
        <v/>
      </c>
      <c r="I106" s="119" t="str">
        <f t="shared" si="20"/>
        <v/>
      </c>
      <c r="J106" s="120" t="str">
        <f t="shared" si="41"/>
        <v/>
      </c>
      <c r="K106" s="170"/>
      <c r="L106" s="1141">
        <f t="shared" si="42"/>
        <v>0</v>
      </c>
      <c r="M106" s="1141">
        <f t="shared" si="42"/>
        <v>0</v>
      </c>
      <c r="N106" s="804" t="str">
        <f t="shared" si="30"/>
        <v/>
      </c>
      <c r="O106" s="795"/>
      <c r="P106" s="1156" t="str">
        <f t="shared" si="31"/>
        <v/>
      </c>
      <c r="Q106" s="957" t="str">
        <f t="shared" si="32"/>
        <v/>
      </c>
      <c r="R106" s="767" t="str">
        <f t="shared" si="33"/>
        <v/>
      </c>
      <c r="S106" s="966">
        <f t="shared" si="34"/>
        <v>0</v>
      </c>
      <c r="T106" s="116"/>
      <c r="X106" s="760" t="str">
        <f t="shared" si="23"/>
        <v/>
      </c>
      <c r="Y106" s="745">
        <f t="shared" si="35"/>
        <v>0.6</v>
      </c>
      <c r="Z106" s="758" t="e">
        <f t="shared" si="36"/>
        <v>#VALUE!</v>
      </c>
      <c r="AA106" s="758" t="e">
        <f t="shared" si="37"/>
        <v>#VALUE!</v>
      </c>
      <c r="AB106" s="758" t="e">
        <f t="shared" si="38"/>
        <v>#VALUE!</v>
      </c>
      <c r="AC106" s="544" t="e">
        <f t="shared" si="24"/>
        <v>#VALUE!</v>
      </c>
      <c r="AD106" s="544">
        <f t="shared" si="25"/>
        <v>0</v>
      </c>
      <c r="AE106" s="759">
        <f>IF(H106&gt;8,tab!C$194,tab!C$197)</f>
        <v>0.5</v>
      </c>
      <c r="AF106" s="544">
        <f t="shared" si="26"/>
        <v>0</v>
      </c>
      <c r="AG106" s="760">
        <f t="shared" si="27"/>
        <v>0</v>
      </c>
      <c r="AH106" s="544"/>
    </row>
    <row r="107" spans="3:34" ht="13.15" customHeight="1" x14ac:dyDescent="0.2">
      <c r="C107" s="31"/>
      <c r="D107" s="117" t="str">
        <f t="shared" si="40"/>
        <v/>
      </c>
      <c r="E107" s="117" t="str">
        <f t="shared" si="40"/>
        <v/>
      </c>
      <c r="F107" s="33" t="str">
        <f t="shared" si="39"/>
        <v/>
      </c>
      <c r="G107" s="118" t="str">
        <f t="shared" si="28"/>
        <v/>
      </c>
      <c r="H107" s="33" t="str">
        <f t="shared" si="29"/>
        <v/>
      </c>
      <c r="I107" s="119" t="str">
        <f t="shared" si="20"/>
        <v/>
      </c>
      <c r="J107" s="120" t="str">
        <f t="shared" si="41"/>
        <v/>
      </c>
      <c r="K107" s="170"/>
      <c r="L107" s="1141">
        <f t="shared" si="42"/>
        <v>0</v>
      </c>
      <c r="M107" s="1141">
        <f t="shared" si="42"/>
        <v>0</v>
      </c>
      <c r="N107" s="804" t="str">
        <f t="shared" si="30"/>
        <v/>
      </c>
      <c r="O107" s="795"/>
      <c r="P107" s="1156" t="str">
        <f t="shared" si="31"/>
        <v/>
      </c>
      <c r="Q107" s="957" t="str">
        <f t="shared" si="32"/>
        <v/>
      </c>
      <c r="R107" s="767" t="str">
        <f t="shared" si="33"/>
        <v/>
      </c>
      <c r="S107" s="966">
        <f t="shared" si="34"/>
        <v>0</v>
      </c>
      <c r="T107" s="116"/>
      <c r="X107" s="760" t="str">
        <f t="shared" si="23"/>
        <v/>
      </c>
      <c r="Y107" s="745">
        <f t="shared" si="35"/>
        <v>0.6</v>
      </c>
      <c r="Z107" s="758" t="e">
        <f t="shared" si="36"/>
        <v>#VALUE!</v>
      </c>
      <c r="AA107" s="758" t="e">
        <f t="shared" si="37"/>
        <v>#VALUE!</v>
      </c>
      <c r="AB107" s="758" t="e">
        <f t="shared" si="38"/>
        <v>#VALUE!</v>
      </c>
      <c r="AC107" s="544" t="e">
        <f t="shared" si="24"/>
        <v>#VALUE!</v>
      </c>
      <c r="AD107" s="544">
        <f t="shared" si="25"/>
        <v>0</v>
      </c>
      <c r="AE107" s="759">
        <f>IF(H107&gt;8,tab!C$194,tab!C$197)</f>
        <v>0.5</v>
      </c>
      <c r="AF107" s="544">
        <f t="shared" si="26"/>
        <v>0</v>
      </c>
      <c r="AG107" s="760">
        <f t="shared" si="27"/>
        <v>0</v>
      </c>
      <c r="AH107" s="544"/>
    </row>
    <row r="108" spans="3:34" ht="13.15" customHeight="1" x14ac:dyDescent="0.2">
      <c r="C108" s="31"/>
      <c r="D108" s="117" t="str">
        <f t="shared" si="40"/>
        <v/>
      </c>
      <c r="E108" s="117" t="str">
        <f t="shared" si="40"/>
        <v/>
      </c>
      <c r="F108" s="33" t="str">
        <f t="shared" si="39"/>
        <v/>
      </c>
      <c r="G108" s="118" t="str">
        <f t="shared" si="28"/>
        <v/>
      </c>
      <c r="H108" s="33" t="str">
        <f t="shared" si="29"/>
        <v/>
      </c>
      <c r="I108" s="119" t="str">
        <f t="shared" si="20"/>
        <v/>
      </c>
      <c r="J108" s="120" t="str">
        <f t="shared" si="41"/>
        <v/>
      </c>
      <c r="K108" s="170"/>
      <c r="L108" s="1141">
        <f t="shared" si="42"/>
        <v>0</v>
      </c>
      <c r="M108" s="1141">
        <f t="shared" si="42"/>
        <v>0</v>
      </c>
      <c r="N108" s="804" t="str">
        <f t="shared" si="30"/>
        <v/>
      </c>
      <c r="O108" s="795"/>
      <c r="P108" s="1156" t="str">
        <f t="shared" si="31"/>
        <v/>
      </c>
      <c r="Q108" s="957" t="str">
        <f t="shared" si="32"/>
        <v/>
      </c>
      <c r="R108" s="767" t="str">
        <f t="shared" si="33"/>
        <v/>
      </c>
      <c r="S108" s="966">
        <f t="shared" si="34"/>
        <v>0</v>
      </c>
      <c r="T108" s="116"/>
      <c r="X108" s="760" t="str">
        <f t="shared" si="23"/>
        <v/>
      </c>
      <c r="Y108" s="745">
        <f t="shared" si="35"/>
        <v>0.6</v>
      </c>
      <c r="Z108" s="758" t="e">
        <f t="shared" si="36"/>
        <v>#VALUE!</v>
      </c>
      <c r="AA108" s="758" t="e">
        <f t="shared" si="37"/>
        <v>#VALUE!</v>
      </c>
      <c r="AB108" s="758" t="e">
        <f t="shared" si="38"/>
        <v>#VALUE!</v>
      </c>
      <c r="AC108" s="544" t="e">
        <f t="shared" si="24"/>
        <v>#VALUE!</v>
      </c>
      <c r="AD108" s="544">
        <f t="shared" si="25"/>
        <v>0</v>
      </c>
      <c r="AE108" s="759">
        <f>IF(H108&gt;8,tab!C$194,tab!C$197)</f>
        <v>0.5</v>
      </c>
      <c r="AF108" s="544">
        <f t="shared" si="26"/>
        <v>0</v>
      </c>
      <c r="AG108" s="760">
        <f t="shared" si="27"/>
        <v>0</v>
      </c>
      <c r="AH108" s="544"/>
    </row>
    <row r="109" spans="3:34" ht="13.15" customHeight="1" x14ac:dyDescent="0.2">
      <c r="C109" s="31"/>
      <c r="D109" s="117" t="str">
        <f t="shared" si="40"/>
        <v/>
      </c>
      <c r="E109" s="117" t="str">
        <f t="shared" si="40"/>
        <v/>
      </c>
      <c r="F109" s="33" t="str">
        <f t="shared" si="39"/>
        <v/>
      </c>
      <c r="G109" s="118" t="str">
        <f t="shared" si="28"/>
        <v/>
      </c>
      <c r="H109" s="33" t="str">
        <f t="shared" si="29"/>
        <v/>
      </c>
      <c r="I109" s="119" t="str">
        <f t="shared" ref="I109:I126" si="43">IF(E109="","",IF(I47+1&gt;VLOOKUP(H109,Salaris2021,22,FALSE),I47,I47+1))</f>
        <v/>
      </c>
      <c r="J109" s="120" t="str">
        <f t="shared" si="41"/>
        <v/>
      </c>
      <c r="K109" s="170"/>
      <c r="L109" s="1141">
        <f t="shared" si="42"/>
        <v>0</v>
      </c>
      <c r="M109" s="1141">
        <f t="shared" si="42"/>
        <v>0</v>
      </c>
      <c r="N109" s="804" t="str">
        <f t="shared" si="30"/>
        <v/>
      </c>
      <c r="O109" s="795"/>
      <c r="P109" s="1156" t="str">
        <f t="shared" si="31"/>
        <v/>
      </c>
      <c r="Q109" s="957" t="str">
        <f t="shared" si="32"/>
        <v/>
      </c>
      <c r="R109" s="767" t="str">
        <f t="shared" si="33"/>
        <v/>
      </c>
      <c r="S109" s="966">
        <f t="shared" si="34"/>
        <v>0</v>
      </c>
      <c r="T109" s="116"/>
      <c r="X109" s="760" t="str">
        <f t="shared" ref="X109:X126" si="44">IF(H109="","",5/12*VLOOKUP(H109,Salaris2020,I109+1,FALSE)+7/12*VLOOKUP(H109,Salaris2021,I109+1,FALSE))</f>
        <v/>
      </c>
      <c r="Y109" s="745">
        <f t="shared" si="35"/>
        <v>0.6</v>
      </c>
      <c r="Z109" s="758" t="e">
        <f t="shared" si="36"/>
        <v>#VALUE!</v>
      </c>
      <c r="AA109" s="758" t="e">
        <f t="shared" si="37"/>
        <v>#VALUE!</v>
      </c>
      <c r="AB109" s="758" t="e">
        <f t="shared" si="38"/>
        <v>#VALUE!</v>
      </c>
      <c r="AC109" s="544" t="e">
        <f t="shared" ref="AC109:AC126" si="45">N109+O109</f>
        <v>#VALUE!</v>
      </c>
      <c r="AD109" s="544">
        <f t="shared" ref="AD109:AD126" si="46">L109+M109</f>
        <v>0</v>
      </c>
      <c r="AE109" s="759">
        <f>IF(H109&gt;8,tab!C$194,tab!C$197)</f>
        <v>0.5</v>
      </c>
      <c r="AF109" s="544">
        <f t="shared" ref="AF109:AF126" si="47">IF(F109&lt;25,0,IF(F109=25,25,IF(F109&lt;40,0,IF(F109=40,40,IF(F109&gt;=40,0)))))</f>
        <v>0</v>
      </c>
      <c r="AG109" s="760">
        <f t="shared" ref="AG109:AG126" si="48">IF(AF109=25,(X109*1.08*(J109)/2),IF(AF109=40,(V109*1.08*(J109)),IF(AF109=0,0)))</f>
        <v>0</v>
      </c>
      <c r="AH109" s="544"/>
    </row>
    <row r="110" spans="3:34" ht="13.15" customHeight="1" x14ac:dyDescent="0.2">
      <c r="C110" s="31"/>
      <c r="D110" s="117" t="str">
        <f t="shared" si="40"/>
        <v/>
      </c>
      <c r="E110" s="117" t="str">
        <f t="shared" si="40"/>
        <v/>
      </c>
      <c r="F110" s="33" t="str">
        <f t="shared" si="39"/>
        <v/>
      </c>
      <c r="G110" s="118" t="str">
        <f t="shared" si="28"/>
        <v/>
      </c>
      <c r="H110" s="33" t="str">
        <f t="shared" si="29"/>
        <v/>
      </c>
      <c r="I110" s="119" t="str">
        <f t="shared" si="43"/>
        <v/>
      </c>
      <c r="J110" s="120" t="str">
        <f t="shared" si="41"/>
        <v/>
      </c>
      <c r="K110" s="170"/>
      <c r="L110" s="1141">
        <f t="shared" si="42"/>
        <v>0</v>
      </c>
      <c r="M110" s="1141">
        <f t="shared" si="42"/>
        <v>0</v>
      </c>
      <c r="N110" s="804" t="str">
        <f t="shared" si="30"/>
        <v/>
      </c>
      <c r="O110" s="795"/>
      <c r="P110" s="1156" t="str">
        <f t="shared" si="31"/>
        <v/>
      </c>
      <c r="Q110" s="957" t="str">
        <f t="shared" si="32"/>
        <v/>
      </c>
      <c r="R110" s="767" t="str">
        <f t="shared" si="33"/>
        <v/>
      </c>
      <c r="S110" s="966">
        <f t="shared" si="34"/>
        <v>0</v>
      </c>
      <c r="T110" s="116"/>
      <c r="X110" s="760" t="str">
        <f t="shared" si="44"/>
        <v/>
      </c>
      <c r="Y110" s="745">
        <f t="shared" si="35"/>
        <v>0.6</v>
      </c>
      <c r="Z110" s="758" t="e">
        <f t="shared" si="36"/>
        <v>#VALUE!</v>
      </c>
      <c r="AA110" s="758" t="e">
        <f t="shared" si="37"/>
        <v>#VALUE!</v>
      </c>
      <c r="AB110" s="758" t="e">
        <f t="shared" si="38"/>
        <v>#VALUE!</v>
      </c>
      <c r="AC110" s="544" t="e">
        <f t="shared" si="45"/>
        <v>#VALUE!</v>
      </c>
      <c r="AD110" s="544">
        <f t="shared" si="46"/>
        <v>0</v>
      </c>
      <c r="AE110" s="759">
        <f>IF(H110&gt;8,tab!C$194,tab!C$197)</f>
        <v>0.5</v>
      </c>
      <c r="AF110" s="544">
        <f t="shared" si="47"/>
        <v>0</v>
      </c>
      <c r="AG110" s="760">
        <f t="shared" si="48"/>
        <v>0</v>
      </c>
      <c r="AH110" s="544"/>
    </row>
    <row r="111" spans="3:34" ht="13.15" customHeight="1" x14ac:dyDescent="0.2">
      <c r="C111" s="31"/>
      <c r="D111" s="117" t="str">
        <f t="shared" si="40"/>
        <v/>
      </c>
      <c r="E111" s="117" t="str">
        <f t="shared" si="40"/>
        <v/>
      </c>
      <c r="F111" s="33" t="str">
        <f t="shared" si="39"/>
        <v/>
      </c>
      <c r="G111" s="118" t="str">
        <f t="shared" si="28"/>
        <v/>
      </c>
      <c r="H111" s="33" t="str">
        <f t="shared" si="29"/>
        <v/>
      </c>
      <c r="I111" s="119" t="str">
        <f t="shared" si="43"/>
        <v/>
      </c>
      <c r="J111" s="120" t="str">
        <f t="shared" si="41"/>
        <v/>
      </c>
      <c r="K111" s="170"/>
      <c r="L111" s="1141">
        <f t="shared" si="42"/>
        <v>0</v>
      </c>
      <c r="M111" s="1141">
        <f t="shared" si="42"/>
        <v>0</v>
      </c>
      <c r="N111" s="804" t="str">
        <f t="shared" si="30"/>
        <v/>
      </c>
      <c r="O111" s="795"/>
      <c r="P111" s="1156" t="str">
        <f t="shared" si="31"/>
        <v/>
      </c>
      <c r="Q111" s="957" t="str">
        <f t="shared" si="32"/>
        <v/>
      </c>
      <c r="R111" s="767" t="str">
        <f t="shared" si="33"/>
        <v/>
      </c>
      <c r="S111" s="966">
        <f t="shared" si="34"/>
        <v>0</v>
      </c>
      <c r="T111" s="116"/>
      <c r="X111" s="760" t="str">
        <f t="shared" si="44"/>
        <v/>
      </c>
      <c r="Y111" s="745">
        <f t="shared" si="35"/>
        <v>0.6</v>
      </c>
      <c r="Z111" s="758" t="e">
        <f t="shared" si="36"/>
        <v>#VALUE!</v>
      </c>
      <c r="AA111" s="758" t="e">
        <f t="shared" si="37"/>
        <v>#VALUE!</v>
      </c>
      <c r="AB111" s="758" t="e">
        <f t="shared" si="38"/>
        <v>#VALUE!</v>
      </c>
      <c r="AC111" s="544" t="e">
        <f t="shared" si="45"/>
        <v>#VALUE!</v>
      </c>
      <c r="AD111" s="544">
        <f t="shared" si="46"/>
        <v>0</v>
      </c>
      <c r="AE111" s="759">
        <f>IF(H111&gt;8,tab!C$194,tab!C$197)</f>
        <v>0.5</v>
      </c>
      <c r="AF111" s="544">
        <f t="shared" si="47"/>
        <v>0</v>
      </c>
      <c r="AG111" s="760">
        <f t="shared" si="48"/>
        <v>0</v>
      </c>
      <c r="AH111" s="544"/>
    </row>
    <row r="112" spans="3:34" ht="13.15" customHeight="1" x14ac:dyDescent="0.2">
      <c r="C112" s="31"/>
      <c r="D112" s="117" t="str">
        <f t="shared" si="40"/>
        <v/>
      </c>
      <c r="E112" s="117" t="str">
        <f t="shared" si="40"/>
        <v/>
      </c>
      <c r="F112" s="33" t="str">
        <f t="shared" si="39"/>
        <v/>
      </c>
      <c r="G112" s="118" t="str">
        <f t="shared" si="28"/>
        <v/>
      </c>
      <c r="H112" s="33" t="str">
        <f t="shared" si="29"/>
        <v/>
      </c>
      <c r="I112" s="119" t="str">
        <f t="shared" si="43"/>
        <v/>
      </c>
      <c r="J112" s="120" t="str">
        <f t="shared" si="41"/>
        <v/>
      </c>
      <c r="K112" s="170"/>
      <c r="L112" s="1141">
        <f t="shared" si="42"/>
        <v>0</v>
      </c>
      <c r="M112" s="1141">
        <f t="shared" si="42"/>
        <v>0</v>
      </c>
      <c r="N112" s="804" t="str">
        <f t="shared" si="30"/>
        <v/>
      </c>
      <c r="O112" s="795"/>
      <c r="P112" s="1156" t="str">
        <f t="shared" si="31"/>
        <v/>
      </c>
      <c r="Q112" s="957" t="str">
        <f t="shared" si="32"/>
        <v/>
      </c>
      <c r="R112" s="767" t="str">
        <f t="shared" si="33"/>
        <v/>
      </c>
      <c r="S112" s="966">
        <f t="shared" si="34"/>
        <v>0</v>
      </c>
      <c r="T112" s="116"/>
      <c r="X112" s="760" t="str">
        <f t="shared" si="44"/>
        <v/>
      </c>
      <c r="Y112" s="745">
        <f t="shared" si="35"/>
        <v>0.6</v>
      </c>
      <c r="Z112" s="758" t="e">
        <f t="shared" si="36"/>
        <v>#VALUE!</v>
      </c>
      <c r="AA112" s="758" t="e">
        <f t="shared" si="37"/>
        <v>#VALUE!</v>
      </c>
      <c r="AB112" s="758" t="e">
        <f t="shared" si="38"/>
        <v>#VALUE!</v>
      </c>
      <c r="AC112" s="544" t="e">
        <f t="shared" si="45"/>
        <v>#VALUE!</v>
      </c>
      <c r="AD112" s="544">
        <f t="shared" si="46"/>
        <v>0</v>
      </c>
      <c r="AE112" s="759">
        <f>IF(H112&gt;8,tab!C$194,tab!C$197)</f>
        <v>0.5</v>
      </c>
      <c r="AF112" s="544">
        <f t="shared" si="47"/>
        <v>0</v>
      </c>
      <c r="AG112" s="760">
        <f t="shared" si="48"/>
        <v>0</v>
      </c>
      <c r="AH112" s="544"/>
    </row>
    <row r="113" spans="3:34" ht="13.15" customHeight="1" x14ac:dyDescent="0.2">
      <c r="C113" s="31"/>
      <c r="D113" s="117" t="str">
        <f t="shared" si="40"/>
        <v/>
      </c>
      <c r="E113" s="117" t="str">
        <f t="shared" si="40"/>
        <v/>
      </c>
      <c r="F113" s="33" t="str">
        <f t="shared" si="39"/>
        <v/>
      </c>
      <c r="G113" s="118" t="str">
        <f t="shared" si="28"/>
        <v/>
      </c>
      <c r="H113" s="33" t="str">
        <f t="shared" si="29"/>
        <v/>
      </c>
      <c r="I113" s="119" t="str">
        <f t="shared" si="43"/>
        <v/>
      </c>
      <c r="J113" s="120" t="str">
        <f t="shared" si="41"/>
        <v/>
      </c>
      <c r="K113" s="170"/>
      <c r="L113" s="1141">
        <f t="shared" si="42"/>
        <v>0</v>
      </c>
      <c r="M113" s="1141">
        <f t="shared" si="42"/>
        <v>0</v>
      </c>
      <c r="N113" s="804" t="str">
        <f t="shared" si="30"/>
        <v/>
      </c>
      <c r="O113" s="795"/>
      <c r="P113" s="1156" t="str">
        <f t="shared" si="31"/>
        <v/>
      </c>
      <c r="Q113" s="957" t="str">
        <f t="shared" si="32"/>
        <v/>
      </c>
      <c r="R113" s="767" t="str">
        <f t="shared" si="33"/>
        <v/>
      </c>
      <c r="S113" s="966">
        <f t="shared" si="34"/>
        <v>0</v>
      </c>
      <c r="T113" s="116"/>
      <c r="X113" s="760" t="str">
        <f t="shared" si="44"/>
        <v/>
      </c>
      <c r="Y113" s="745">
        <f t="shared" si="35"/>
        <v>0.6</v>
      </c>
      <c r="Z113" s="758" t="e">
        <f t="shared" si="36"/>
        <v>#VALUE!</v>
      </c>
      <c r="AA113" s="758" t="e">
        <f t="shared" si="37"/>
        <v>#VALUE!</v>
      </c>
      <c r="AB113" s="758" t="e">
        <f t="shared" si="38"/>
        <v>#VALUE!</v>
      </c>
      <c r="AC113" s="544" t="e">
        <f t="shared" si="45"/>
        <v>#VALUE!</v>
      </c>
      <c r="AD113" s="544">
        <f t="shared" si="46"/>
        <v>0</v>
      </c>
      <c r="AE113" s="759">
        <f>IF(H113&gt;8,tab!C$194,tab!C$197)</f>
        <v>0.5</v>
      </c>
      <c r="AF113" s="544">
        <f t="shared" si="47"/>
        <v>0</v>
      </c>
      <c r="AG113" s="760">
        <f t="shared" si="48"/>
        <v>0</v>
      </c>
      <c r="AH113" s="544"/>
    </row>
    <row r="114" spans="3:34" ht="13.15" customHeight="1" x14ac:dyDescent="0.2">
      <c r="C114" s="31"/>
      <c r="D114" s="117" t="str">
        <f t="shared" si="40"/>
        <v/>
      </c>
      <c r="E114" s="117" t="str">
        <f t="shared" si="40"/>
        <v/>
      </c>
      <c r="F114" s="33" t="str">
        <f t="shared" si="39"/>
        <v/>
      </c>
      <c r="G114" s="118" t="str">
        <f t="shared" si="28"/>
        <v/>
      </c>
      <c r="H114" s="33" t="str">
        <f t="shared" si="29"/>
        <v/>
      </c>
      <c r="I114" s="119" t="str">
        <f t="shared" si="43"/>
        <v/>
      </c>
      <c r="J114" s="120" t="str">
        <f t="shared" si="41"/>
        <v/>
      </c>
      <c r="K114" s="170"/>
      <c r="L114" s="1141">
        <f t="shared" si="42"/>
        <v>0</v>
      </c>
      <c r="M114" s="1141">
        <f t="shared" si="42"/>
        <v>0</v>
      </c>
      <c r="N114" s="804" t="str">
        <f t="shared" si="30"/>
        <v/>
      </c>
      <c r="O114" s="795"/>
      <c r="P114" s="1156" t="str">
        <f t="shared" si="31"/>
        <v/>
      </c>
      <c r="Q114" s="957" t="str">
        <f t="shared" si="32"/>
        <v/>
      </c>
      <c r="R114" s="767" t="str">
        <f t="shared" si="33"/>
        <v/>
      </c>
      <c r="S114" s="966">
        <f t="shared" si="34"/>
        <v>0</v>
      </c>
      <c r="T114" s="116"/>
      <c r="X114" s="760" t="str">
        <f t="shared" si="44"/>
        <v/>
      </c>
      <c r="Y114" s="745">
        <f t="shared" si="35"/>
        <v>0.6</v>
      </c>
      <c r="Z114" s="758" t="e">
        <f t="shared" si="36"/>
        <v>#VALUE!</v>
      </c>
      <c r="AA114" s="758" t="e">
        <f t="shared" si="37"/>
        <v>#VALUE!</v>
      </c>
      <c r="AB114" s="758" t="e">
        <f t="shared" si="38"/>
        <v>#VALUE!</v>
      </c>
      <c r="AC114" s="544" t="e">
        <f t="shared" si="45"/>
        <v>#VALUE!</v>
      </c>
      <c r="AD114" s="544">
        <f t="shared" si="46"/>
        <v>0</v>
      </c>
      <c r="AE114" s="759">
        <f>IF(H114&gt;8,tab!C$194,tab!C$197)</f>
        <v>0.5</v>
      </c>
      <c r="AF114" s="544">
        <f t="shared" si="47"/>
        <v>0</v>
      </c>
      <c r="AG114" s="760">
        <f t="shared" si="48"/>
        <v>0</v>
      </c>
      <c r="AH114" s="544"/>
    </row>
    <row r="115" spans="3:34" ht="13.15" customHeight="1" x14ac:dyDescent="0.2">
      <c r="C115" s="31"/>
      <c r="D115" s="117" t="str">
        <f t="shared" si="40"/>
        <v/>
      </c>
      <c r="E115" s="117" t="str">
        <f t="shared" si="40"/>
        <v/>
      </c>
      <c r="F115" s="33" t="str">
        <f t="shared" si="39"/>
        <v/>
      </c>
      <c r="G115" s="118" t="str">
        <f t="shared" si="28"/>
        <v/>
      </c>
      <c r="H115" s="33" t="str">
        <f t="shared" si="29"/>
        <v/>
      </c>
      <c r="I115" s="119" t="str">
        <f t="shared" si="43"/>
        <v/>
      </c>
      <c r="J115" s="120" t="str">
        <f t="shared" si="41"/>
        <v/>
      </c>
      <c r="K115" s="170"/>
      <c r="L115" s="1141">
        <f t="shared" si="42"/>
        <v>0</v>
      </c>
      <c r="M115" s="1141">
        <f t="shared" si="42"/>
        <v>0</v>
      </c>
      <c r="N115" s="804" t="str">
        <f t="shared" si="30"/>
        <v/>
      </c>
      <c r="O115" s="795"/>
      <c r="P115" s="1156" t="str">
        <f t="shared" si="31"/>
        <v/>
      </c>
      <c r="Q115" s="957" t="str">
        <f t="shared" si="32"/>
        <v/>
      </c>
      <c r="R115" s="767" t="str">
        <f t="shared" si="33"/>
        <v/>
      </c>
      <c r="S115" s="966">
        <f t="shared" si="34"/>
        <v>0</v>
      </c>
      <c r="T115" s="116"/>
      <c r="X115" s="760" t="str">
        <f t="shared" si="44"/>
        <v/>
      </c>
      <c r="Y115" s="745">
        <f t="shared" si="35"/>
        <v>0.6</v>
      </c>
      <c r="Z115" s="758" t="e">
        <f t="shared" si="36"/>
        <v>#VALUE!</v>
      </c>
      <c r="AA115" s="758" t="e">
        <f t="shared" si="37"/>
        <v>#VALUE!</v>
      </c>
      <c r="AB115" s="758" t="e">
        <f t="shared" si="38"/>
        <v>#VALUE!</v>
      </c>
      <c r="AC115" s="544" t="e">
        <f t="shared" si="45"/>
        <v>#VALUE!</v>
      </c>
      <c r="AD115" s="544">
        <f t="shared" si="46"/>
        <v>0</v>
      </c>
      <c r="AE115" s="759">
        <f>IF(H115&gt;8,tab!C$194,tab!C$197)</f>
        <v>0.5</v>
      </c>
      <c r="AF115" s="544">
        <f t="shared" si="47"/>
        <v>0</v>
      </c>
      <c r="AG115" s="760">
        <f t="shared" si="48"/>
        <v>0</v>
      </c>
      <c r="AH115" s="544"/>
    </row>
    <row r="116" spans="3:34" ht="13.15" customHeight="1" x14ac:dyDescent="0.2">
      <c r="C116" s="31"/>
      <c r="D116" s="117" t="str">
        <f t="shared" si="40"/>
        <v/>
      </c>
      <c r="E116" s="117" t="str">
        <f t="shared" si="40"/>
        <v/>
      </c>
      <c r="F116" s="33" t="str">
        <f t="shared" si="39"/>
        <v/>
      </c>
      <c r="G116" s="118" t="str">
        <f t="shared" si="28"/>
        <v/>
      </c>
      <c r="H116" s="33" t="str">
        <f t="shared" si="29"/>
        <v/>
      </c>
      <c r="I116" s="119" t="str">
        <f t="shared" si="43"/>
        <v/>
      </c>
      <c r="J116" s="120" t="str">
        <f t="shared" si="41"/>
        <v/>
      </c>
      <c r="K116" s="170"/>
      <c r="L116" s="1141">
        <f t="shared" si="42"/>
        <v>0</v>
      </c>
      <c r="M116" s="1141">
        <f t="shared" si="42"/>
        <v>0</v>
      </c>
      <c r="N116" s="804" t="str">
        <f t="shared" si="30"/>
        <v/>
      </c>
      <c r="O116" s="795"/>
      <c r="P116" s="1156" t="str">
        <f t="shared" si="31"/>
        <v/>
      </c>
      <c r="Q116" s="957" t="str">
        <f t="shared" si="32"/>
        <v/>
      </c>
      <c r="R116" s="767" t="str">
        <f t="shared" si="33"/>
        <v/>
      </c>
      <c r="S116" s="966">
        <f t="shared" si="34"/>
        <v>0</v>
      </c>
      <c r="T116" s="116"/>
      <c r="X116" s="760" t="str">
        <f t="shared" si="44"/>
        <v/>
      </c>
      <c r="Y116" s="745">
        <f t="shared" si="35"/>
        <v>0.6</v>
      </c>
      <c r="Z116" s="758" t="e">
        <f t="shared" si="36"/>
        <v>#VALUE!</v>
      </c>
      <c r="AA116" s="758" t="e">
        <f t="shared" si="37"/>
        <v>#VALUE!</v>
      </c>
      <c r="AB116" s="758" t="e">
        <f t="shared" si="38"/>
        <v>#VALUE!</v>
      </c>
      <c r="AC116" s="544" t="e">
        <f t="shared" si="45"/>
        <v>#VALUE!</v>
      </c>
      <c r="AD116" s="544">
        <f t="shared" si="46"/>
        <v>0</v>
      </c>
      <c r="AE116" s="759">
        <f>IF(H116&gt;8,tab!C$194,tab!C$197)</f>
        <v>0.5</v>
      </c>
      <c r="AF116" s="544">
        <f t="shared" si="47"/>
        <v>0</v>
      </c>
      <c r="AG116" s="760">
        <f t="shared" si="48"/>
        <v>0</v>
      </c>
      <c r="AH116" s="544"/>
    </row>
    <row r="117" spans="3:34" ht="13.15" customHeight="1" x14ac:dyDescent="0.2">
      <c r="C117" s="31"/>
      <c r="D117" s="117" t="str">
        <f t="shared" ref="D117:E126" si="49">IF(D55=0,"",D55)</f>
        <v/>
      </c>
      <c r="E117" s="117" t="str">
        <f t="shared" si="49"/>
        <v/>
      </c>
      <c r="F117" s="33" t="str">
        <f t="shared" si="39"/>
        <v/>
      </c>
      <c r="G117" s="118" t="str">
        <f t="shared" si="28"/>
        <v/>
      </c>
      <c r="H117" s="33" t="str">
        <f t="shared" si="29"/>
        <v/>
      </c>
      <c r="I117" s="119" t="str">
        <f t="shared" si="43"/>
        <v/>
      </c>
      <c r="J117" s="120" t="str">
        <f t="shared" ref="J117:J126" si="50">IF(J55="","",J55)</f>
        <v/>
      </c>
      <c r="K117" s="170"/>
      <c r="L117" s="1141">
        <f t="shared" ref="L117:M126" si="51">IF(L55="","",L55)</f>
        <v>0</v>
      </c>
      <c r="M117" s="1141">
        <f t="shared" si="51"/>
        <v>0</v>
      </c>
      <c r="N117" s="804" t="str">
        <f t="shared" si="30"/>
        <v/>
      </c>
      <c r="O117" s="795"/>
      <c r="P117" s="1156" t="str">
        <f t="shared" si="31"/>
        <v/>
      </c>
      <c r="Q117" s="957" t="str">
        <f t="shared" si="32"/>
        <v/>
      </c>
      <c r="R117" s="767" t="str">
        <f t="shared" si="33"/>
        <v/>
      </c>
      <c r="S117" s="966">
        <f t="shared" si="34"/>
        <v>0</v>
      </c>
      <c r="T117" s="116"/>
      <c r="X117" s="760" t="str">
        <f t="shared" si="44"/>
        <v/>
      </c>
      <c r="Y117" s="745">
        <f t="shared" si="35"/>
        <v>0.6</v>
      </c>
      <c r="Z117" s="758" t="e">
        <f t="shared" si="36"/>
        <v>#VALUE!</v>
      </c>
      <c r="AA117" s="758" t="e">
        <f t="shared" si="37"/>
        <v>#VALUE!</v>
      </c>
      <c r="AB117" s="758" t="e">
        <f t="shared" si="38"/>
        <v>#VALUE!</v>
      </c>
      <c r="AC117" s="544" t="e">
        <f t="shared" si="45"/>
        <v>#VALUE!</v>
      </c>
      <c r="AD117" s="544">
        <f t="shared" si="46"/>
        <v>0</v>
      </c>
      <c r="AE117" s="759">
        <f>IF(H117&gt;8,tab!C$194,tab!C$197)</f>
        <v>0.5</v>
      </c>
      <c r="AF117" s="544">
        <f t="shared" si="47"/>
        <v>0</v>
      </c>
      <c r="AG117" s="760">
        <f t="shared" si="48"/>
        <v>0</v>
      </c>
      <c r="AH117" s="544"/>
    </row>
    <row r="118" spans="3:34" ht="13.15" customHeight="1" x14ac:dyDescent="0.2">
      <c r="C118" s="31"/>
      <c r="D118" s="117" t="str">
        <f t="shared" si="49"/>
        <v/>
      </c>
      <c r="E118" s="117" t="str">
        <f t="shared" si="49"/>
        <v/>
      </c>
      <c r="F118" s="33" t="str">
        <f t="shared" si="39"/>
        <v/>
      </c>
      <c r="G118" s="118" t="str">
        <f t="shared" si="28"/>
        <v/>
      </c>
      <c r="H118" s="33" t="str">
        <f t="shared" si="29"/>
        <v/>
      </c>
      <c r="I118" s="119" t="str">
        <f t="shared" si="43"/>
        <v/>
      </c>
      <c r="J118" s="120" t="str">
        <f t="shared" si="50"/>
        <v/>
      </c>
      <c r="K118" s="170"/>
      <c r="L118" s="1141">
        <f t="shared" si="51"/>
        <v>0</v>
      </c>
      <c r="M118" s="1141">
        <f t="shared" si="51"/>
        <v>0</v>
      </c>
      <c r="N118" s="804" t="str">
        <f t="shared" si="30"/>
        <v/>
      </c>
      <c r="O118" s="795"/>
      <c r="P118" s="1156" t="str">
        <f t="shared" si="31"/>
        <v/>
      </c>
      <c r="Q118" s="957" t="str">
        <f t="shared" si="32"/>
        <v/>
      </c>
      <c r="R118" s="767" t="str">
        <f t="shared" si="33"/>
        <v/>
      </c>
      <c r="S118" s="966">
        <f t="shared" si="34"/>
        <v>0</v>
      </c>
      <c r="T118" s="116"/>
      <c r="X118" s="760" t="str">
        <f t="shared" si="44"/>
        <v/>
      </c>
      <c r="Y118" s="745">
        <f t="shared" si="35"/>
        <v>0.6</v>
      </c>
      <c r="Z118" s="758" t="e">
        <f t="shared" si="36"/>
        <v>#VALUE!</v>
      </c>
      <c r="AA118" s="758" t="e">
        <f t="shared" si="37"/>
        <v>#VALUE!</v>
      </c>
      <c r="AB118" s="758" t="e">
        <f t="shared" si="38"/>
        <v>#VALUE!</v>
      </c>
      <c r="AC118" s="544" t="e">
        <f t="shared" si="45"/>
        <v>#VALUE!</v>
      </c>
      <c r="AD118" s="544">
        <f t="shared" si="46"/>
        <v>0</v>
      </c>
      <c r="AE118" s="759">
        <f>IF(H118&gt;8,tab!C$194,tab!C$197)</f>
        <v>0.5</v>
      </c>
      <c r="AF118" s="544">
        <f t="shared" si="47"/>
        <v>0</v>
      </c>
      <c r="AG118" s="760">
        <f t="shared" si="48"/>
        <v>0</v>
      </c>
      <c r="AH118" s="544"/>
    </row>
    <row r="119" spans="3:34" ht="13.15" customHeight="1" x14ac:dyDescent="0.2">
      <c r="C119" s="31"/>
      <c r="D119" s="117" t="str">
        <f t="shared" si="49"/>
        <v/>
      </c>
      <c r="E119" s="117" t="str">
        <f t="shared" si="49"/>
        <v/>
      </c>
      <c r="F119" s="33" t="str">
        <f t="shared" si="39"/>
        <v/>
      </c>
      <c r="G119" s="118" t="str">
        <f t="shared" si="28"/>
        <v/>
      </c>
      <c r="H119" s="33" t="str">
        <f t="shared" si="29"/>
        <v/>
      </c>
      <c r="I119" s="119" t="str">
        <f t="shared" si="43"/>
        <v/>
      </c>
      <c r="J119" s="120" t="str">
        <f t="shared" si="50"/>
        <v/>
      </c>
      <c r="K119" s="170"/>
      <c r="L119" s="1141">
        <f t="shared" si="51"/>
        <v>0</v>
      </c>
      <c r="M119" s="1141">
        <f t="shared" si="51"/>
        <v>0</v>
      </c>
      <c r="N119" s="804" t="str">
        <f t="shared" si="30"/>
        <v/>
      </c>
      <c r="O119" s="795"/>
      <c r="P119" s="1156" t="str">
        <f t="shared" si="31"/>
        <v/>
      </c>
      <c r="Q119" s="957" t="str">
        <f t="shared" si="32"/>
        <v/>
      </c>
      <c r="R119" s="767" t="str">
        <f t="shared" si="33"/>
        <v/>
      </c>
      <c r="S119" s="966">
        <f t="shared" si="34"/>
        <v>0</v>
      </c>
      <c r="T119" s="116"/>
      <c r="X119" s="760" t="str">
        <f t="shared" si="44"/>
        <v/>
      </c>
      <c r="Y119" s="745">
        <f t="shared" si="35"/>
        <v>0.6</v>
      </c>
      <c r="Z119" s="758" t="e">
        <f t="shared" si="36"/>
        <v>#VALUE!</v>
      </c>
      <c r="AA119" s="758" t="e">
        <f t="shared" si="37"/>
        <v>#VALUE!</v>
      </c>
      <c r="AB119" s="758" t="e">
        <f t="shared" si="38"/>
        <v>#VALUE!</v>
      </c>
      <c r="AC119" s="544" t="e">
        <f t="shared" si="45"/>
        <v>#VALUE!</v>
      </c>
      <c r="AD119" s="544">
        <f t="shared" si="46"/>
        <v>0</v>
      </c>
      <c r="AE119" s="759">
        <f>IF(H119&gt;8,tab!C$194,tab!C$197)</f>
        <v>0.5</v>
      </c>
      <c r="AF119" s="544">
        <f t="shared" si="47"/>
        <v>0</v>
      </c>
      <c r="AG119" s="760">
        <f t="shared" si="48"/>
        <v>0</v>
      </c>
      <c r="AH119" s="544"/>
    </row>
    <row r="120" spans="3:34" ht="13.15" customHeight="1" x14ac:dyDescent="0.2">
      <c r="C120" s="31"/>
      <c r="D120" s="117" t="str">
        <f t="shared" si="49"/>
        <v/>
      </c>
      <c r="E120" s="117" t="str">
        <f t="shared" si="49"/>
        <v/>
      </c>
      <c r="F120" s="33" t="str">
        <f t="shared" si="39"/>
        <v/>
      </c>
      <c r="G120" s="118" t="str">
        <f t="shared" si="28"/>
        <v/>
      </c>
      <c r="H120" s="33" t="str">
        <f t="shared" si="29"/>
        <v/>
      </c>
      <c r="I120" s="119" t="str">
        <f t="shared" si="43"/>
        <v/>
      </c>
      <c r="J120" s="120" t="str">
        <f t="shared" si="50"/>
        <v/>
      </c>
      <c r="K120" s="170"/>
      <c r="L120" s="1141">
        <f t="shared" si="51"/>
        <v>0</v>
      </c>
      <c r="M120" s="1141">
        <f t="shared" si="51"/>
        <v>0</v>
      </c>
      <c r="N120" s="804" t="str">
        <f t="shared" si="30"/>
        <v/>
      </c>
      <c r="O120" s="795"/>
      <c r="P120" s="1156" t="str">
        <f t="shared" si="31"/>
        <v/>
      </c>
      <c r="Q120" s="957" t="str">
        <f t="shared" si="32"/>
        <v/>
      </c>
      <c r="R120" s="767" t="str">
        <f t="shared" si="33"/>
        <v/>
      </c>
      <c r="S120" s="966">
        <f t="shared" si="34"/>
        <v>0</v>
      </c>
      <c r="T120" s="116"/>
      <c r="X120" s="760" t="str">
        <f t="shared" si="44"/>
        <v/>
      </c>
      <c r="Y120" s="745">
        <f t="shared" si="35"/>
        <v>0.6</v>
      </c>
      <c r="Z120" s="758" t="e">
        <f t="shared" si="36"/>
        <v>#VALUE!</v>
      </c>
      <c r="AA120" s="758" t="e">
        <f t="shared" si="37"/>
        <v>#VALUE!</v>
      </c>
      <c r="AB120" s="758" t="e">
        <f t="shared" si="38"/>
        <v>#VALUE!</v>
      </c>
      <c r="AC120" s="544" t="e">
        <f t="shared" si="45"/>
        <v>#VALUE!</v>
      </c>
      <c r="AD120" s="544">
        <f t="shared" si="46"/>
        <v>0</v>
      </c>
      <c r="AE120" s="759">
        <f>IF(H120&gt;8,tab!C$194,tab!C$197)</f>
        <v>0.5</v>
      </c>
      <c r="AF120" s="544">
        <f t="shared" si="47"/>
        <v>0</v>
      </c>
      <c r="AG120" s="760">
        <f t="shared" si="48"/>
        <v>0</v>
      </c>
      <c r="AH120" s="544"/>
    </row>
    <row r="121" spans="3:34" ht="13.15" customHeight="1" x14ac:dyDescent="0.2">
      <c r="C121" s="31"/>
      <c r="D121" s="117" t="str">
        <f t="shared" si="49"/>
        <v/>
      </c>
      <c r="E121" s="117" t="str">
        <f t="shared" si="49"/>
        <v/>
      </c>
      <c r="F121" s="33" t="str">
        <f t="shared" si="39"/>
        <v/>
      </c>
      <c r="G121" s="118" t="str">
        <f t="shared" si="28"/>
        <v/>
      </c>
      <c r="H121" s="33" t="str">
        <f t="shared" si="29"/>
        <v/>
      </c>
      <c r="I121" s="119" t="str">
        <f t="shared" si="43"/>
        <v/>
      </c>
      <c r="J121" s="120" t="str">
        <f t="shared" si="50"/>
        <v/>
      </c>
      <c r="K121" s="170"/>
      <c r="L121" s="1141">
        <f t="shared" si="51"/>
        <v>0</v>
      </c>
      <c r="M121" s="1141">
        <f t="shared" si="51"/>
        <v>0</v>
      </c>
      <c r="N121" s="804" t="str">
        <f t="shared" si="30"/>
        <v/>
      </c>
      <c r="O121" s="795"/>
      <c r="P121" s="1156" t="str">
        <f t="shared" si="31"/>
        <v/>
      </c>
      <c r="Q121" s="957" t="str">
        <f t="shared" si="32"/>
        <v/>
      </c>
      <c r="R121" s="767" t="str">
        <f t="shared" si="33"/>
        <v/>
      </c>
      <c r="S121" s="966">
        <f t="shared" si="34"/>
        <v>0</v>
      </c>
      <c r="T121" s="116"/>
      <c r="X121" s="760" t="str">
        <f t="shared" si="44"/>
        <v/>
      </c>
      <c r="Y121" s="745">
        <f t="shared" si="35"/>
        <v>0.6</v>
      </c>
      <c r="Z121" s="758" t="e">
        <f t="shared" si="36"/>
        <v>#VALUE!</v>
      </c>
      <c r="AA121" s="758" t="e">
        <f t="shared" si="37"/>
        <v>#VALUE!</v>
      </c>
      <c r="AB121" s="758" t="e">
        <f t="shared" si="38"/>
        <v>#VALUE!</v>
      </c>
      <c r="AC121" s="544" t="e">
        <f t="shared" si="45"/>
        <v>#VALUE!</v>
      </c>
      <c r="AD121" s="544">
        <f t="shared" si="46"/>
        <v>0</v>
      </c>
      <c r="AE121" s="759">
        <f>IF(H121&gt;8,tab!C$194,tab!C$197)</f>
        <v>0.5</v>
      </c>
      <c r="AF121" s="544">
        <f t="shared" si="47"/>
        <v>0</v>
      </c>
      <c r="AG121" s="760">
        <f t="shared" si="48"/>
        <v>0</v>
      </c>
      <c r="AH121" s="544"/>
    </row>
    <row r="122" spans="3:34" ht="13.15" customHeight="1" x14ac:dyDescent="0.2">
      <c r="C122" s="31"/>
      <c r="D122" s="117" t="str">
        <f t="shared" si="49"/>
        <v/>
      </c>
      <c r="E122" s="117" t="str">
        <f t="shared" si="49"/>
        <v/>
      </c>
      <c r="F122" s="33" t="str">
        <f t="shared" si="39"/>
        <v/>
      </c>
      <c r="G122" s="118" t="str">
        <f t="shared" si="28"/>
        <v/>
      </c>
      <c r="H122" s="33" t="str">
        <f t="shared" si="29"/>
        <v/>
      </c>
      <c r="I122" s="119" t="str">
        <f t="shared" si="43"/>
        <v/>
      </c>
      <c r="J122" s="120" t="str">
        <f t="shared" si="50"/>
        <v/>
      </c>
      <c r="K122" s="170"/>
      <c r="L122" s="1141">
        <f t="shared" si="51"/>
        <v>0</v>
      </c>
      <c r="M122" s="1141">
        <f t="shared" si="51"/>
        <v>0</v>
      </c>
      <c r="N122" s="804" t="str">
        <f t="shared" si="30"/>
        <v/>
      </c>
      <c r="O122" s="795"/>
      <c r="P122" s="1156" t="str">
        <f t="shared" si="31"/>
        <v/>
      </c>
      <c r="Q122" s="957" t="str">
        <f t="shared" si="32"/>
        <v/>
      </c>
      <c r="R122" s="767" t="str">
        <f t="shared" si="33"/>
        <v/>
      </c>
      <c r="S122" s="966">
        <f t="shared" si="34"/>
        <v>0</v>
      </c>
      <c r="T122" s="116"/>
      <c r="X122" s="760" t="str">
        <f t="shared" si="44"/>
        <v/>
      </c>
      <c r="Y122" s="745">
        <f t="shared" si="35"/>
        <v>0.6</v>
      </c>
      <c r="Z122" s="758" t="e">
        <f t="shared" si="36"/>
        <v>#VALUE!</v>
      </c>
      <c r="AA122" s="758" t="e">
        <f t="shared" si="37"/>
        <v>#VALUE!</v>
      </c>
      <c r="AB122" s="758" t="e">
        <f t="shared" si="38"/>
        <v>#VALUE!</v>
      </c>
      <c r="AC122" s="544" t="e">
        <f t="shared" si="45"/>
        <v>#VALUE!</v>
      </c>
      <c r="AD122" s="544">
        <f t="shared" si="46"/>
        <v>0</v>
      </c>
      <c r="AE122" s="759">
        <f>IF(H122&gt;8,tab!C$194,tab!C$197)</f>
        <v>0.5</v>
      </c>
      <c r="AF122" s="544">
        <f t="shared" si="47"/>
        <v>0</v>
      </c>
      <c r="AG122" s="760">
        <f t="shared" si="48"/>
        <v>0</v>
      </c>
      <c r="AH122" s="544"/>
    </row>
    <row r="123" spans="3:34" ht="13.15" customHeight="1" x14ac:dyDescent="0.2">
      <c r="C123" s="31"/>
      <c r="D123" s="117" t="str">
        <f t="shared" si="49"/>
        <v/>
      </c>
      <c r="E123" s="117" t="str">
        <f t="shared" si="49"/>
        <v/>
      </c>
      <c r="F123" s="33" t="str">
        <f t="shared" si="39"/>
        <v/>
      </c>
      <c r="G123" s="118" t="str">
        <f t="shared" si="28"/>
        <v/>
      </c>
      <c r="H123" s="33" t="str">
        <f t="shared" si="29"/>
        <v/>
      </c>
      <c r="I123" s="119" t="str">
        <f t="shared" si="43"/>
        <v/>
      </c>
      <c r="J123" s="120" t="str">
        <f t="shared" si="50"/>
        <v/>
      </c>
      <c r="K123" s="170"/>
      <c r="L123" s="1141">
        <f t="shared" si="51"/>
        <v>0</v>
      </c>
      <c r="M123" s="1141">
        <f t="shared" si="51"/>
        <v>0</v>
      </c>
      <c r="N123" s="804" t="str">
        <f t="shared" si="30"/>
        <v/>
      </c>
      <c r="O123" s="795"/>
      <c r="P123" s="1156" t="str">
        <f t="shared" si="31"/>
        <v/>
      </c>
      <c r="Q123" s="957" t="str">
        <f t="shared" si="32"/>
        <v/>
      </c>
      <c r="R123" s="767" t="str">
        <f t="shared" si="33"/>
        <v/>
      </c>
      <c r="S123" s="966">
        <f t="shared" si="34"/>
        <v>0</v>
      </c>
      <c r="T123" s="116"/>
      <c r="X123" s="760" t="str">
        <f t="shared" si="44"/>
        <v/>
      </c>
      <c r="Y123" s="745">
        <f t="shared" si="35"/>
        <v>0.6</v>
      </c>
      <c r="Z123" s="758" t="e">
        <f t="shared" si="36"/>
        <v>#VALUE!</v>
      </c>
      <c r="AA123" s="758" t="e">
        <f t="shared" si="37"/>
        <v>#VALUE!</v>
      </c>
      <c r="AB123" s="758" t="e">
        <f t="shared" si="38"/>
        <v>#VALUE!</v>
      </c>
      <c r="AC123" s="544" t="e">
        <f t="shared" si="45"/>
        <v>#VALUE!</v>
      </c>
      <c r="AD123" s="544">
        <f t="shared" si="46"/>
        <v>0</v>
      </c>
      <c r="AE123" s="759">
        <f>IF(H123&gt;8,tab!C$194,tab!C$197)</f>
        <v>0.5</v>
      </c>
      <c r="AF123" s="544">
        <f t="shared" si="47"/>
        <v>0</v>
      </c>
      <c r="AG123" s="760">
        <f t="shared" si="48"/>
        <v>0</v>
      </c>
      <c r="AH123" s="544"/>
    </row>
    <row r="124" spans="3:34" ht="13.15" customHeight="1" x14ac:dyDescent="0.2">
      <c r="C124" s="31"/>
      <c r="D124" s="117" t="str">
        <f t="shared" si="49"/>
        <v/>
      </c>
      <c r="E124" s="117" t="str">
        <f t="shared" si="49"/>
        <v/>
      </c>
      <c r="F124" s="33" t="str">
        <f t="shared" si="39"/>
        <v/>
      </c>
      <c r="G124" s="118" t="str">
        <f t="shared" si="28"/>
        <v/>
      </c>
      <c r="H124" s="33" t="str">
        <f t="shared" si="29"/>
        <v/>
      </c>
      <c r="I124" s="119" t="str">
        <f t="shared" si="43"/>
        <v/>
      </c>
      <c r="J124" s="120" t="str">
        <f t="shared" si="50"/>
        <v/>
      </c>
      <c r="K124" s="170"/>
      <c r="L124" s="1141">
        <f t="shared" si="51"/>
        <v>0</v>
      </c>
      <c r="M124" s="1141">
        <f t="shared" si="51"/>
        <v>0</v>
      </c>
      <c r="N124" s="804" t="str">
        <f t="shared" si="30"/>
        <v/>
      </c>
      <c r="O124" s="795"/>
      <c r="P124" s="1156" t="str">
        <f t="shared" si="31"/>
        <v/>
      </c>
      <c r="Q124" s="957" t="str">
        <f t="shared" si="32"/>
        <v/>
      </c>
      <c r="R124" s="767" t="str">
        <f t="shared" si="33"/>
        <v/>
      </c>
      <c r="S124" s="966">
        <f t="shared" si="34"/>
        <v>0</v>
      </c>
      <c r="T124" s="116"/>
      <c r="X124" s="760" t="str">
        <f t="shared" si="44"/>
        <v/>
      </c>
      <c r="Y124" s="745">
        <f t="shared" si="35"/>
        <v>0.6</v>
      </c>
      <c r="Z124" s="758" t="e">
        <f t="shared" si="36"/>
        <v>#VALUE!</v>
      </c>
      <c r="AA124" s="758" t="e">
        <f t="shared" si="37"/>
        <v>#VALUE!</v>
      </c>
      <c r="AB124" s="758" t="e">
        <f t="shared" si="38"/>
        <v>#VALUE!</v>
      </c>
      <c r="AC124" s="544" t="e">
        <f t="shared" si="45"/>
        <v>#VALUE!</v>
      </c>
      <c r="AD124" s="544">
        <f t="shared" si="46"/>
        <v>0</v>
      </c>
      <c r="AE124" s="759">
        <f>IF(H124&gt;8,tab!C$194,tab!C$197)</f>
        <v>0.5</v>
      </c>
      <c r="AF124" s="544">
        <f t="shared" si="47"/>
        <v>0</v>
      </c>
      <c r="AG124" s="760">
        <f t="shared" si="48"/>
        <v>0</v>
      </c>
      <c r="AH124" s="544"/>
    </row>
    <row r="125" spans="3:34" ht="13.15" customHeight="1" x14ac:dyDescent="0.2">
      <c r="C125" s="31"/>
      <c r="D125" s="117" t="str">
        <f t="shared" si="49"/>
        <v/>
      </c>
      <c r="E125" s="117" t="str">
        <f t="shared" si="49"/>
        <v/>
      </c>
      <c r="F125" s="33" t="str">
        <f t="shared" si="39"/>
        <v/>
      </c>
      <c r="G125" s="118" t="str">
        <f t="shared" si="28"/>
        <v/>
      </c>
      <c r="H125" s="33" t="str">
        <f t="shared" si="29"/>
        <v/>
      </c>
      <c r="I125" s="119" t="str">
        <f t="shared" si="43"/>
        <v/>
      </c>
      <c r="J125" s="120" t="str">
        <f t="shared" si="50"/>
        <v/>
      </c>
      <c r="K125" s="170"/>
      <c r="L125" s="1141">
        <f t="shared" si="51"/>
        <v>0</v>
      </c>
      <c r="M125" s="1141">
        <f t="shared" si="51"/>
        <v>0</v>
      </c>
      <c r="N125" s="804" t="str">
        <f t="shared" si="30"/>
        <v/>
      </c>
      <c r="O125" s="795"/>
      <c r="P125" s="1156" t="str">
        <f t="shared" si="31"/>
        <v/>
      </c>
      <c r="Q125" s="957" t="str">
        <f t="shared" si="32"/>
        <v/>
      </c>
      <c r="R125" s="767" t="str">
        <f t="shared" si="33"/>
        <v/>
      </c>
      <c r="S125" s="966">
        <f t="shared" si="34"/>
        <v>0</v>
      </c>
      <c r="T125" s="116"/>
      <c r="X125" s="760" t="str">
        <f t="shared" si="44"/>
        <v/>
      </c>
      <c r="Y125" s="745">
        <f t="shared" si="35"/>
        <v>0.6</v>
      </c>
      <c r="Z125" s="758" t="e">
        <f t="shared" si="36"/>
        <v>#VALUE!</v>
      </c>
      <c r="AA125" s="758" t="e">
        <f t="shared" si="37"/>
        <v>#VALUE!</v>
      </c>
      <c r="AB125" s="758" t="e">
        <f t="shared" si="38"/>
        <v>#VALUE!</v>
      </c>
      <c r="AC125" s="544" t="e">
        <f t="shared" si="45"/>
        <v>#VALUE!</v>
      </c>
      <c r="AD125" s="544">
        <f t="shared" si="46"/>
        <v>0</v>
      </c>
      <c r="AE125" s="759">
        <f>IF(H125&gt;8,tab!C$194,tab!C$197)</f>
        <v>0.5</v>
      </c>
      <c r="AF125" s="544">
        <f t="shared" si="47"/>
        <v>0</v>
      </c>
      <c r="AG125" s="760">
        <f t="shared" si="48"/>
        <v>0</v>
      </c>
      <c r="AH125" s="544"/>
    </row>
    <row r="126" spans="3:34" ht="13.15" customHeight="1" x14ac:dyDescent="0.2">
      <c r="C126" s="31"/>
      <c r="D126" s="117" t="str">
        <f t="shared" si="49"/>
        <v/>
      </c>
      <c r="E126" s="117" t="str">
        <f t="shared" si="49"/>
        <v/>
      </c>
      <c r="F126" s="33" t="str">
        <f t="shared" si="39"/>
        <v/>
      </c>
      <c r="G126" s="118" t="str">
        <f t="shared" si="28"/>
        <v/>
      </c>
      <c r="H126" s="33" t="str">
        <f t="shared" si="29"/>
        <v/>
      </c>
      <c r="I126" s="119" t="str">
        <f t="shared" si="43"/>
        <v/>
      </c>
      <c r="J126" s="120" t="str">
        <f t="shared" si="50"/>
        <v/>
      </c>
      <c r="K126" s="170"/>
      <c r="L126" s="1141">
        <f t="shared" si="51"/>
        <v>0</v>
      </c>
      <c r="M126" s="1141">
        <f t="shared" si="51"/>
        <v>0</v>
      </c>
      <c r="N126" s="804" t="str">
        <f t="shared" si="30"/>
        <v/>
      </c>
      <c r="O126" s="795"/>
      <c r="P126" s="1156" t="str">
        <f t="shared" si="31"/>
        <v/>
      </c>
      <c r="Q126" s="957" t="str">
        <f t="shared" si="32"/>
        <v/>
      </c>
      <c r="R126" s="767" t="str">
        <f t="shared" si="33"/>
        <v/>
      </c>
      <c r="S126" s="966">
        <f t="shared" si="34"/>
        <v>0</v>
      </c>
      <c r="T126" s="116"/>
      <c r="X126" s="760" t="str">
        <f t="shared" si="44"/>
        <v/>
      </c>
      <c r="Y126" s="745">
        <f t="shared" si="35"/>
        <v>0.6</v>
      </c>
      <c r="Z126" s="758" t="e">
        <f t="shared" si="36"/>
        <v>#VALUE!</v>
      </c>
      <c r="AA126" s="758" t="e">
        <f t="shared" si="37"/>
        <v>#VALUE!</v>
      </c>
      <c r="AB126" s="758" t="e">
        <f t="shared" si="38"/>
        <v>#VALUE!</v>
      </c>
      <c r="AC126" s="544" t="e">
        <f t="shared" si="45"/>
        <v>#VALUE!</v>
      </c>
      <c r="AD126" s="544">
        <f t="shared" si="46"/>
        <v>0</v>
      </c>
      <c r="AE126" s="759">
        <f>IF(H126&gt;8,tab!C$194,tab!C$197)</f>
        <v>0.5</v>
      </c>
      <c r="AF126" s="544">
        <f t="shared" si="47"/>
        <v>0</v>
      </c>
      <c r="AG126" s="760">
        <f t="shared" si="48"/>
        <v>0</v>
      </c>
      <c r="AH126" s="544"/>
    </row>
    <row r="127" spans="3:34" ht="13.15" customHeight="1" x14ac:dyDescent="0.2">
      <c r="C127" s="31"/>
      <c r="D127" s="28"/>
      <c r="E127" s="28"/>
      <c r="F127" s="28"/>
      <c r="G127" s="28"/>
      <c r="H127" s="30"/>
      <c r="I127" s="158"/>
      <c r="J127" s="768">
        <f>SUM(J77:J126)</f>
        <v>1</v>
      </c>
      <c r="K127" s="121"/>
      <c r="L127" s="802">
        <f>SUM(L77:L126)</f>
        <v>0</v>
      </c>
      <c r="M127" s="802">
        <f>SUM(M77:M126)</f>
        <v>0</v>
      </c>
      <c r="N127" s="497"/>
      <c r="O127" s="802">
        <f>SUM(O77:O126)</f>
        <v>0</v>
      </c>
      <c r="P127" s="803">
        <f>SUM(P77:P126)</f>
        <v>40</v>
      </c>
      <c r="Q127" s="959">
        <f>SUM(Q77:Q126)</f>
        <v>56548.478842676319</v>
      </c>
      <c r="R127" s="959">
        <f>SUM(R77:R126)</f>
        <v>1397.1211573236892</v>
      </c>
      <c r="S127" s="959">
        <f>SUM(S77:S126)</f>
        <v>57945.600000000006</v>
      </c>
      <c r="T127" s="75"/>
      <c r="AG127" s="760">
        <f>SUM(AG77:AG126)</f>
        <v>0</v>
      </c>
      <c r="AH127" s="544"/>
    </row>
    <row r="128" spans="3:34" ht="13.15" customHeight="1" x14ac:dyDescent="0.2">
      <c r="C128" s="36"/>
      <c r="D128" s="127"/>
      <c r="E128" s="127"/>
      <c r="F128" s="127"/>
      <c r="G128" s="127"/>
      <c r="H128" s="129"/>
      <c r="I128" s="130"/>
      <c r="J128" s="131"/>
      <c r="K128" s="130"/>
      <c r="L128" s="130"/>
      <c r="M128" s="133"/>
      <c r="N128" s="132"/>
      <c r="O128" s="132"/>
      <c r="P128" s="135"/>
      <c r="Q128" s="135"/>
      <c r="R128" s="134"/>
      <c r="S128" s="967"/>
      <c r="T128" s="75"/>
      <c r="AG128" s="544"/>
      <c r="AH128" s="544"/>
    </row>
    <row r="129" spans="3:36" ht="13.15" customHeight="1" x14ac:dyDescent="0.2">
      <c r="G129" s="174"/>
      <c r="H129" s="8"/>
      <c r="J129" s="123"/>
      <c r="L129" s="147"/>
      <c r="M129" s="147"/>
      <c r="N129" s="116"/>
      <c r="O129" s="116"/>
      <c r="P129" s="124"/>
      <c r="Q129" s="149"/>
      <c r="R129" s="148"/>
      <c r="AG129" s="544"/>
      <c r="AH129" s="544"/>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tab!F2</f>
        <v>2021/22</v>
      </c>
      <c r="G131" s="174"/>
      <c r="H131" s="8"/>
      <c r="J131" s="123"/>
      <c r="L131" s="147"/>
      <c r="M131" s="147"/>
      <c r="N131" s="116"/>
      <c r="O131" s="116"/>
      <c r="P131" s="124"/>
      <c r="Q131" s="149"/>
      <c r="R131" s="148"/>
    </row>
    <row r="132" spans="3:36" ht="13.15" customHeight="1" x14ac:dyDescent="0.2">
      <c r="C132" s="34" t="s">
        <v>125</v>
      </c>
      <c r="E132" s="150">
        <f>tab!G3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59"/>
      <c r="Q134" s="25"/>
      <c r="R134" s="106"/>
      <c r="S134" s="968"/>
      <c r="T134" s="77"/>
      <c r="X134" s="666"/>
      <c r="Y134" s="667"/>
      <c r="Z134" s="666"/>
      <c r="AA134" s="666"/>
      <c r="AB134" s="666"/>
      <c r="AC134" s="658"/>
      <c r="AD134" s="668"/>
      <c r="AE134" s="669"/>
      <c r="AF134" s="670"/>
      <c r="AG134" s="671"/>
      <c r="AH134" s="668"/>
    </row>
    <row r="135" spans="3:36" ht="13.15" customHeight="1" x14ac:dyDescent="0.2">
      <c r="C135" s="597"/>
      <c r="D135" s="1340" t="s">
        <v>126</v>
      </c>
      <c r="E135" s="1341"/>
      <c r="F135" s="1341"/>
      <c r="G135" s="1341"/>
      <c r="H135" s="1342"/>
      <c r="I135" s="1342"/>
      <c r="J135" s="1342"/>
      <c r="K135" s="685"/>
      <c r="L135" s="686" t="s">
        <v>440</v>
      </c>
      <c r="M135" s="687"/>
      <c r="N135" s="688"/>
      <c r="O135" s="688"/>
      <c r="P135" s="1155"/>
      <c r="Q135" s="579" t="s">
        <v>450</v>
      </c>
      <c r="R135" s="688"/>
      <c r="S135" s="964"/>
      <c r="T135" s="598"/>
      <c r="U135" s="165"/>
      <c r="V135" s="660"/>
      <c r="W135" s="660"/>
      <c r="X135" s="544"/>
      <c r="Y135" s="544"/>
      <c r="AG135" s="544"/>
      <c r="AH135" s="544"/>
      <c r="AI135" s="692"/>
      <c r="AJ135" s="692"/>
    </row>
    <row r="136" spans="3:36" ht="13.15" customHeight="1" x14ac:dyDescent="0.2">
      <c r="C136" s="282"/>
      <c r="D136" s="696" t="s">
        <v>127</v>
      </c>
      <c r="E136" s="696" t="s">
        <v>88</v>
      </c>
      <c r="F136" s="697" t="s">
        <v>128</v>
      </c>
      <c r="G136" s="698" t="s">
        <v>129</v>
      </c>
      <c r="H136" s="697" t="s">
        <v>130</v>
      </c>
      <c r="I136" s="697" t="s">
        <v>131</v>
      </c>
      <c r="J136" s="699" t="s">
        <v>132</v>
      </c>
      <c r="K136" s="696"/>
      <c r="L136" s="700" t="s">
        <v>441</v>
      </c>
      <c r="M136" s="700" t="s">
        <v>444</v>
      </c>
      <c r="N136" s="700" t="s">
        <v>446</v>
      </c>
      <c r="O136" s="700" t="s">
        <v>443</v>
      </c>
      <c r="P136" s="701" t="s">
        <v>449</v>
      </c>
      <c r="Q136" s="700" t="s">
        <v>133</v>
      </c>
      <c r="R136" s="702" t="s">
        <v>453</v>
      </c>
      <c r="S136" s="703" t="s">
        <v>133</v>
      </c>
      <c r="T136" s="600"/>
      <c r="U136" s="167"/>
      <c r="V136" s="706"/>
      <c r="W136" s="706"/>
      <c r="X136" s="705" t="s">
        <v>139</v>
      </c>
      <c r="Y136" s="706" t="s">
        <v>454</v>
      </c>
      <c r="Z136" s="707" t="s">
        <v>455</v>
      </c>
      <c r="AA136" s="707" t="s">
        <v>455</v>
      </c>
      <c r="AB136" s="707" t="s">
        <v>456</v>
      </c>
      <c r="AC136" s="707" t="s">
        <v>457</v>
      </c>
      <c r="AD136" s="707" t="s">
        <v>458</v>
      </c>
      <c r="AE136" s="707" t="s">
        <v>459</v>
      </c>
      <c r="AF136" s="707" t="s">
        <v>134</v>
      </c>
      <c r="AG136" s="703" t="s">
        <v>135</v>
      </c>
      <c r="AH136" s="544"/>
      <c r="AI136" s="692"/>
      <c r="AJ136" s="708"/>
    </row>
    <row r="137" spans="3:36" ht="13.15" customHeight="1" x14ac:dyDescent="0.2">
      <c r="C137" s="31"/>
      <c r="D137" s="709"/>
      <c r="E137" s="696"/>
      <c r="F137" s="697" t="s">
        <v>136</v>
      </c>
      <c r="G137" s="698" t="s">
        <v>137</v>
      </c>
      <c r="H137" s="697"/>
      <c r="I137" s="697"/>
      <c r="J137" s="699" t="s">
        <v>467</v>
      </c>
      <c r="K137" s="696"/>
      <c r="L137" s="700" t="s">
        <v>442</v>
      </c>
      <c r="M137" s="700" t="s">
        <v>445</v>
      </c>
      <c r="N137" s="700" t="s">
        <v>447</v>
      </c>
      <c r="O137" s="700" t="s">
        <v>448</v>
      </c>
      <c r="P137" s="701" t="s">
        <v>141</v>
      </c>
      <c r="Q137" s="707" t="s">
        <v>451</v>
      </c>
      <c r="R137" s="702" t="s">
        <v>452</v>
      </c>
      <c r="S137" s="710" t="s">
        <v>141</v>
      </c>
      <c r="T137" s="601"/>
      <c r="X137" s="707" t="s">
        <v>460</v>
      </c>
      <c r="Y137" s="711">
        <f>tab!C$193</f>
        <v>0.6</v>
      </c>
      <c r="Z137" s="707" t="s">
        <v>461</v>
      </c>
      <c r="AA137" s="707" t="s">
        <v>462</v>
      </c>
      <c r="AB137" s="707" t="s">
        <v>463</v>
      </c>
      <c r="AC137" s="707" t="s">
        <v>464</v>
      </c>
      <c r="AD137" s="707" t="s">
        <v>464</v>
      </c>
      <c r="AE137" s="707" t="s">
        <v>465</v>
      </c>
      <c r="AF137" s="707"/>
      <c r="AG137" s="707" t="s">
        <v>140</v>
      </c>
      <c r="AH137" s="544"/>
      <c r="AJ137" s="712"/>
    </row>
    <row r="138" spans="3:36" ht="13.15" customHeight="1" x14ac:dyDescent="0.2">
      <c r="C138" s="31"/>
      <c r="D138" s="1"/>
      <c r="E138" s="1"/>
      <c r="F138" s="1"/>
      <c r="G138" s="109"/>
      <c r="H138" s="110"/>
      <c r="I138" s="110"/>
      <c r="J138" s="111"/>
      <c r="K138" s="1"/>
      <c r="L138" s="112"/>
      <c r="M138" s="113"/>
      <c r="N138" s="113"/>
      <c r="O138" s="113"/>
      <c r="P138" s="606"/>
      <c r="Q138" s="113"/>
      <c r="R138" s="114"/>
      <c r="S138" s="965"/>
      <c r="T138" s="165"/>
      <c r="X138" s="739"/>
      <c r="Y138" s="740"/>
      <c r="AG138" s="544"/>
      <c r="AH138" s="544"/>
      <c r="AJ138" s="712"/>
    </row>
    <row r="139" spans="3:36" ht="13.15" customHeight="1" x14ac:dyDescent="0.2">
      <c r="C139" s="31"/>
      <c r="D139" s="117" t="str">
        <f t="shared" ref="D139:E158" si="52">IF(D77=0,"",D77)</f>
        <v/>
      </c>
      <c r="E139" s="117" t="str">
        <f t="shared" si="52"/>
        <v>nn</v>
      </c>
      <c r="F139" s="33">
        <f>IF(F77=0,"",F77+1)</f>
        <v>27</v>
      </c>
      <c r="G139" s="118">
        <f>IF(G77="","",G77)</f>
        <v>28341</v>
      </c>
      <c r="H139" s="33">
        <f>IF(H77=0,"",H77)</f>
        <v>8</v>
      </c>
      <c r="I139" s="119">
        <f t="shared" ref="I139:I170" si="53">IF(E139="","",IF(I77+1&gt;VLOOKUP(H139,Salaris2021,22,FALSE),I77,I77+1))</f>
        <v>9</v>
      </c>
      <c r="J139" s="120">
        <f t="shared" ref="J139:J158" si="54">IF(J77="","",J77)</f>
        <v>1</v>
      </c>
      <c r="K139" s="170"/>
      <c r="L139" s="1141">
        <f t="shared" ref="L139:M158" si="55">IF(L77="","",L77)</f>
        <v>0</v>
      </c>
      <c r="M139" s="1141">
        <f t="shared" si="55"/>
        <v>0</v>
      </c>
      <c r="N139" s="804">
        <f>IF(J139="","",IF(J139*40&gt;40,40,J139*40))</f>
        <v>40</v>
      </c>
      <c r="O139" s="795"/>
      <c r="P139" s="1156">
        <f>IF(J139="","",SUM(L139:O139))</f>
        <v>40</v>
      </c>
      <c r="Q139" s="957">
        <f>IF(J139="","",(1659*J139-P139)*AA139)</f>
        <v>57710.177215189869</v>
      </c>
      <c r="R139" s="767">
        <f>IF(J139="","",(P139*AB139)+Z139*(AC139+AD139*(1-AE139)))</f>
        <v>1425.8227848101264</v>
      </c>
      <c r="S139" s="966">
        <f>SUM(Q139:R139)</f>
        <v>59135.999999999993</v>
      </c>
      <c r="T139" s="116"/>
      <c r="X139" s="760">
        <f t="shared" ref="X139:X170" si="56">IF(H139="","",VLOOKUP(H139,Salaris2021,I139+1,FALSE))</f>
        <v>3080</v>
      </c>
      <c r="Y139" s="745">
        <f>$Y$13</f>
        <v>0.6</v>
      </c>
      <c r="Z139" s="758">
        <f>X139*12/1659</f>
        <v>22.278481012658229</v>
      </c>
      <c r="AA139" s="758">
        <f>X139*12*(1+Y139)/1659</f>
        <v>35.645569620253163</v>
      </c>
      <c r="AB139" s="758">
        <f>AA139-Z139</f>
        <v>13.367088607594933</v>
      </c>
      <c r="AC139" s="544">
        <f t="shared" ref="AC139:AC170" si="57">N139+O139</f>
        <v>40</v>
      </c>
      <c r="AD139" s="544">
        <f t="shared" ref="AD139:AD170" si="58">L139+M139</f>
        <v>0</v>
      </c>
      <c r="AE139" s="759">
        <f>IF(H139&gt;8,tab!C$194,tab!C$197)</f>
        <v>0.4</v>
      </c>
      <c r="AF139" s="544">
        <f t="shared" ref="AF139:AF170" si="59">IF(F139&lt;25,0,IF(F139=25,25,IF(F139&lt;40,0,IF(F139=40,40,IF(F139&gt;=40,0)))))</f>
        <v>0</v>
      </c>
      <c r="AG139" s="760">
        <f t="shared" ref="AG139:AG170" si="60">IF(AF139=25,(X139*1.08*(J139)/2),IF(AF139=40,(V139*1.08*(J139)),IF(AF139=0,0)))</f>
        <v>0</v>
      </c>
    </row>
    <row r="140" spans="3:36" ht="13.15" customHeight="1" x14ac:dyDescent="0.2">
      <c r="C140" s="31"/>
      <c r="D140" s="117" t="str">
        <f t="shared" si="52"/>
        <v/>
      </c>
      <c r="E140" s="117" t="str">
        <f t="shared" si="52"/>
        <v/>
      </c>
      <c r="F140" s="33" t="str">
        <f>IF(F78="","",F78+1)</f>
        <v/>
      </c>
      <c r="G140" s="118" t="str">
        <f t="shared" ref="G140:G188" si="61">IF(G78="","",G78)</f>
        <v/>
      </c>
      <c r="H140" s="33" t="str">
        <f t="shared" ref="H140:H188" si="62">IF(H78=0,"",H78)</f>
        <v/>
      </c>
      <c r="I140" s="119" t="str">
        <f t="shared" si="53"/>
        <v/>
      </c>
      <c r="J140" s="120" t="str">
        <f t="shared" si="54"/>
        <v/>
      </c>
      <c r="K140" s="170"/>
      <c r="L140" s="1141">
        <f t="shared" si="55"/>
        <v>0</v>
      </c>
      <c r="M140" s="1141">
        <f t="shared" si="55"/>
        <v>0</v>
      </c>
      <c r="N140" s="804" t="str">
        <f t="shared" ref="N140:N188" si="63">IF(J140="","",IF(J140*40&gt;40,40,J140*40))</f>
        <v/>
      </c>
      <c r="O140" s="795"/>
      <c r="P140" s="1156" t="str">
        <f t="shared" ref="P140:P188" si="64">IF(J140="","",SUM(L140:O140))</f>
        <v/>
      </c>
      <c r="Q140" s="957" t="str">
        <f t="shared" ref="Q140:Q188" si="65">IF(J140="","",(1659*J140-P140)*AA140)</f>
        <v/>
      </c>
      <c r="R140" s="767" t="str">
        <f t="shared" ref="R140:R188" si="66">IF(J140="","",(P140*AB140)+Z140*(AC140+AD140*(1-AE140)))</f>
        <v/>
      </c>
      <c r="S140" s="966">
        <f t="shared" ref="S140:S188" si="67">SUM(Q140:R140)</f>
        <v>0</v>
      </c>
      <c r="T140" s="116"/>
      <c r="X140" s="760" t="str">
        <f t="shared" si="56"/>
        <v/>
      </c>
      <c r="Y140" s="745">
        <f t="shared" ref="Y140:Y188" si="68">$Y$13</f>
        <v>0.6</v>
      </c>
      <c r="Z140" s="758" t="e">
        <f t="shared" ref="Z140:Z188" si="69">X140*12/1659</f>
        <v>#VALUE!</v>
      </c>
      <c r="AA140" s="758" t="e">
        <f t="shared" ref="AA140:AA188" si="70">X140*12*(1+Y140)/1659</f>
        <v>#VALUE!</v>
      </c>
      <c r="AB140" s="758" t="e">
        <f t="shared" ref="AB140:AB188" si="71">AA140-Z140</f>
        <v>#VALUE!</v>
      </c>
      <c r="AC140" s="544" t="e">
        <f t="shared" si="57"/>
        <v>#VALUE!</v>
      </c>
      <c r="AD140" s="544">
        <f t="shared" si="58"/>
        <v>0</v>
      </c>
      <c r="AE140" s="759">
        <f>IF(H140&gt;8,tab!C$194,tab!C$197)</f>
        <v>0.5</v>
      </c>
      <c r="AF140" s="544">
        <f t="shared" si="59"/>
        <v>0</v>
      </c>
      <c r="AG140" s="760">
        <f t="shared" si="60"/>
        <v>0</v>
      </c>
    </row>
    <row r="141" spans="3:36" ht="13.15" customHeight="1" x14ac:dyDescent="0.2">
      <c r="C141" s="31"/>
      <c r="D141" s="117" t="str">
        <f t="shared" si="52"/>
        <v/>
      </c>
      <c r="E141" s="117" t="str">
        <f t="shared" si="52"/>
        <v/>
      </c>
      <c r="F141" s="33" t="str">
        <f t="shared" ref="F141:F188" si="72">IF(F79="","",F79+1)</f>
        <v/>
      </c>
      <c r="G141" s="118" t="str">
        <f t="shared" si="61"/>
        <v/>
      </c>
      <c r="H141" s="33" t="str">
        <f t="shared" si="62"/>
        <v/>
      </c>
      <c r="I141" s="119" t="str">
        <f t="shared" si="53"/>
        <v/>
      </c>
      <c r="J141" s="120" t="str">
        <f t="shared" si="54"/>
        <v/>
      </c>
      <c r="K141" s="170"/>
      <c r="L141" s="1141">
        <f t="shared" si="55"/>
        <v>0</v>
      </c>
      <c r="M141" s="1141">
        <f t="shared" si="55"/>
        <v>0</v>
      </c>
      <c r="N141" s="804" t="str">
        <f t="shared" si="63"/>
        <v/>
      </c>
      <c r="O141" s="795"/>
      <c r="P141" s="1156" t="str">
        <f t="shared" si="64"/>
        <v/>
      </c>
      <c r="Q141" s="957" t="str">
        <f t="shared" si="65"/>
        <v/>
      </c>
      <c r="R141" s="767" t="str">
        <f t="shared" si="66"/>
        <v/>
      </c>
      <c r="S141" s="966">
        <f t="shared" si="67"/>
        <v>0</v>
      </c>
      <c r="T141" s="116"/>
      <c r="X141" s="760" t="str">
        <f t="shared" si="56"/>
        <v/>
      </c>
      <c r="Y141" s="745">
        <f t="shared" si="68"/>
        <v>0.6</v>
      </c>
      <c r="Z141" s="758" t="e">
        <f t="shared" si="69"/>
        <v>#VALUE!</v>
      </c>
      <c r="AA141" s="758" t="e">
        <f t="shared" si="70"/>
        <v>#VALUE!</v>
      </c>
      <c r="AB141" s="758" t="e">
        <f t="shared" si="71"/>
        <v>#VALUE!</v>
      </c>
      <c r="AC141" s="544" t="e">
        <f t="shared" si="57"/>
        <v>#VALUE!</v>
      </c>
      <c r="AD141" s="544">
        <f t="shared" si="58"/>
        <v>0</v>
      </c>
      <c r="AE141" s="759">
        <f>IF(H141&gt;8,tab!C$194,tab!C$197)</f>
        <v>0.5</v>
      </c>
      <c r="AF141" s="544">
        <f t="shared" si="59"/>
        <v>0</v>
      </c>
      <c r="AG141" s="760">
        <f t="shared" si="60"/>
        <v>0</v>
      </c>
    </row>
    <row r="142" spans="3:36" ht="13.15" customHeight="1" x14ac:dyDescent="0.2">
      <c r="C142" s="31"/>
      <c r="D142" s="117" t="str">
        <f t="shared" si="52"/>
        <v/>
      </c>
      <c r="E142" s="117" t="str">
        <f t="shared" si="52"/>
        <v/>
      </c>
      <c r="F142" s="33" t="str">
        <f t="shared" si="72"/>
        <v/>
      </c>
      <c r="G142" s="118" t="str">
        <f t="shared" si="61"/>
        <v/>
      </c>
      <c r="H142" s="33" t="str">
        <f t="shared" si="62"/>
        <v/>
      </c>
      <c r="I142" s="119" t="str">
        <f t="shared" si="53"/>
        <v/>
      </c>
      <c r="J142" s="120" t="str">
        <f t="shared" si="54"/>
        <v/>
      </c>
      <c r="K142" s="170"/>
      <c r="L142" s="1141">
        <f t="shared" si="55"/>
        <v>0</v>
      </c>
      <c r="M142" s="1141">
        <f t="shared" si="55"/>
        <v>0</v>
      </c>
      <c r="N142" s="804" t="str">
        <f t="shared" si="63"/>
        <v/>
      </c>
      <c r="O142" s="795"/>
      <c r="P142" s="1156" t="str">
        <f t="shared" si="64"/>
        <v/>
      </c>
      <c r="Q142" s="957" t="str">
        <f t="shared" si="65"/>
        <v/>
      </c>
      <c r="R142" s="767" t="str">
        <f t="shared" si="66"/>
        <v/>
      </c>
      <c r="S142" s="966">
        <f t="shared" si="67"/>
        <v>0</v>
      </c>
      <c r="T142" s="116"/>
      <c r="X142" s="760" t="str">
        <f t="shared" si="56"/>
        <v/>
      </c>
      <c r="Y142" s="745">
        <f t="shared" si="68"/>
        <v>0.6</v>
      </c>
      <c r="Z142" s="758" t="e">
        <f t="shared" si="69"/>
        <v>#VALUE!</v>
      </c>
      <c r="AA142" s="758" t="e">
        <f t="shared" si="70"/>
        <v>#VALUE!</v>
      </c>
      <c r="AB142" s="758" t="e">
        <f t="shared" si="71"/>
        <v>#VALUE!</v>
      </c>
      <c r="AC142" s="544" t="e">
        <f t="shared" si="57"/>
        <v>#VALUE!</v>
      </c>
      <c r="AD142" s="544">
        <f t="shared" si="58"/>
        <v>0</v>
      </c>
      <c r="AE142" s="759">
        <f>IF(H142&gt;8,tab!C$194,tab!C$197)</f>
        <v>0.5</v>
      </c>
      <c r="AF142" s="544">
        <f t="shared" si="59"/>
        <v>0</v>
      </c>
      <c r="AG142" s="760">
        <f t="shared" si="60"/>
        <v>0</v>
      </c>
    </row>
    <row r="143" spans="3:36" ht="13.15" customHeight="1" x14ac:dyDescent="0.2">
      <c r="C143" s="31"/>
      <c r="D143" s="117" t="str">
        <f t="shared" si="52"/>
        <v/>
      </c>
      <c r="E143" s="117" t="str">
        <f t="shared" si="52"/>
        <v/>
      </c>
      <c r="F143" s="33" t="str">
        <f t="shared" si="72"/>
        <v/>
      </c>
      <c r="G143" s="118" t="str">
        <f t="shared" si="61"/>
        <v/>
      </c>
      <c r="H143" s="33" t="str">
        <f t="shared" si="62"/>
        <v/>
      </c>
      <c r="I143" s="119" t="str">
        <f t="shared" si="53"/>
        <v/>
      </c>
      <c r="J143" s="120" t="str">
        <f t="shared" si="54"/>
        <v/>
      </c>
      <c r="K143" s="170"/>
      <c r="L143" s="1141">
        <f t="shared" si="55"/>
        <v>0</v>
      </c>
      <c r="M143" s="1141">
        <f t="shared" si="55"/>
        <v>0</v>
      </c>
      <c r="N143" s="804" t="str">
        <f t="shared" si="63"/>
        <v/>
      </c>
      <c r="O143" s="795"/>
      <c r="P143" s="1156" t="str">
        <f t="shared" si="64"/>
        <v/>
      </c>
      <c r="Q143" s="957" t="str">
        <f t="shared" si="65"/>
        <v/>
      </c>
      <c r="R143" s="767" t="str">
        <f t="shared" si="66"/>
        <v/>
      </c>
      <c r="S143" s="966">
        <f t="shared" si="67"/>
        <v>0</v>
      </c>
      <c r="T143" s="116"/>
      <c r="X143" s="760" t="str">
        <f t="shared" si="56"/>
        <v/>
      </c>
      <c r="Y143" s="745">
        <f t="shared" si="68"/>
        <v>0.6</v>
      </c>
      <c r="Z143" s="758" t="e">
        <f t="shared" si="69"/>
        <v>#VALUE!</v>
      </c>
      <c r="AA143" s="758" t="e">
        <f t="shared" si="70"/>
        <v>#VALUE!</v>
      </c>
      <c r="AB143" s="758" t="e">
        <f t="shared" si="71"/>
        <v>#VALUE!</v>
      </c>
      <c r="AC143" s="544" t="e">
        <f t="shared" si="57"/>
        <v>#VALUE!</v>
      </c>
      <c r="AD143" s="544">
        <f t="shared" si="58"/>
        <v>0</v>
      </c>
      <c r="AE143" s="759">
        <f>IF(H143&gt;8,tab!C$194,tab!C$197)</f>
        <v>0.5</v>
      </c>
      <c r="AF143" s="544">
        <f t="shared" si="59"/>
        <v>0</v>
      </c>
      <c r="AG143" s="760">
        <f t="shared" si="60"/>
        <v>0</v>
      </c>
    </row>
    <row r="144" spans="3:36" ht="13.15" customHeight="1" x14ac:dyDescent="0.2">
      <c r="C144" s="31"/>
      <c r="D144" s="117" t="str">
        <f t="shared" si="52"/>
        <v/>
      </c>
      <c r="E144" s="117" t="str">
        <f t="shared" si="52"/>
        <v/>
      </c>
      <c r="F144" s="33" t="str">
        <f t="shared" si="72"/>
        <v/>
      </c>
      <c r="G144" s="118" t="str">
        <f t="shared" si="61"/>
        <v/>
      </c>
      <c r="H144" s="33" t="str">
        <f t="shared" si="62"/>
        <v/>
      </c>
      <c r="I144" s="119" t="str">
        <f t="shared" si="53"/>
        <v/>
      </c>
      <c r="J144" s="120" t="str">
        <f t="shared" si="54"/>
        <v/>
      </c>
      <c r="K144" s="170"/>
      <c r="L144" s="1141">
        <f t="shared" si="55"/>
        <v>0</v>
      </c>
      <c r="M144" s="1141">
        <f t="shared" si="55"/>
        <v>0</v>
      </c>
      <c r="N144" s="804" t="str">
        <f t="shared" si="63"/>
        <v/>
      </c>
      <c r="O144" s="795"/>
      <c r="P144" s="1156" t="str">
        <f t="shared" si="64"/>
        <v/>
      </c>
      <c r="Q144" s="957" t="str">
        <f t="shared" si="65"/>
        <v/>
      </c>
      <c r="R144" s="767" t="str">
        <f t="shared" si="66"/>
        <v/>
      </c>
      <c r="S144" s="966">
        <f t="shared" si="67"/>
        <v>0</v>
      </c>
      <c r="T144" s="116"/>
      <c r="X144" s="760" t="str">
        <f t="shared" si="56"/>
        <v/>
      </c>
      <c r="Y144" s="745">
        <f t="shared" si="68"/>
        <v>0.6</v>
      </c>
      <c r="Z144" s="758" t="e">
        <f t="shared" si="69"/>
        <v>#VALUE!</v>
      </c>
      <c r="AA144" s="758" t="e">
        <f t="shared" si="70"/>
        <v>#VALUE!</v>
      </c>
      <c r="AB144" s="758" t="e">
        <f t="shared" si="71"/>
        <v>#VALUE!</v>
      </c>
      <c r="AC144" s="544" t="e">
        <f t="shared" si="57"/>
        <v>#VALUE!</v>
      </c>
      <c r="AD144" s="544">
        <f t="shared" si="58"/>
        <v>0</v>
      </c>
      <c r="AE144" s="759">
        <f>IF(H144&gt;8,tab!C$194,tab!C$197)</f>
        <v>0.5</v>
      </c>
      <c r="AF144" s="544">
        <f t="shared" si="59"/>
        <v>0</v>
      </c>
      <c r="AG144" s="760">
        <f t="shared" si="60"/>
        <v>0</v>
      </c>
    </row>
    <row r="145" spans="3:34" ht="13.15" customHeight="1" x14ac:dyDescent="0.2">
      <c r="C145" s="31"/>
      <c r="D145" s="117" t="str">
        <f t="shared" si="52"/>
        <v/>
      </c>
      <c r="E145" s="117" t="str">
        <f t="shared" si="52"/>
        <v/>
      </c>
      <c r="F145" s="33" t="str">
        <f t="shared" si="72"/>
        <v/>
      </c>
      <c r="G145" s="118" t="str">
        <f t="shared" si="61"/>
        <v/>
      </c>
      <c r="H145" s="33" t="str">
        <f t="shared" si="62"/>
        <v/>
      </c>
      <c r="I145" s="119" t="str">
        <f t="shared" si="53"/>
        <v/>
      </c>
      <c r="J145" s="120" t="str">
        <f t="shared" si="54"/>
        <v/>
      </c>
      <c r="K145" s="170"/>
      <c r="L145" s="1141">
        <f t="shared" si="55"/>
        <v>0</v>
      </c>
      <c r="M145" s="1141">
        <f t="shared" si="55"/>
        <v>0</v>
      </c>
      <c r="N145" s="804" t="str">
        <f t="shared" si="63"/>
        <v/>
      </c>
      <c r="O145" s="795"/>
      <c r="P145" s="1156" t="str">
        <f t="shared" si="64"/>
        <v/>
      </c>
      <c r="Q145" s="957" t="str">
        <f t="shared" si="65"/>
        <v/>
      </c>
      <c r="R145" s="767" t="str">
        <f t="shared" si="66"/>
        <v/>
      </c>
      <c r="S145" s="966">
        <f t="shared" si="67"/>
        <v>0</v>
      </c>
      <c r="T145" s="116"/>
      <c r="X145" s="760" t="str">
        <f t="shared" si="56"/>
        <v/>
      </c>
      <c r="Y145" s="745">
        <f t="shared" si="68"/>
        <v>0.6</v>
      </c>
      <c r="Z145" s="758" t="e">
        <f t="shared" si="69"/>
        <v>#VALUE!</v>
      </c>
      <c r="AA145" s="758" t="e">
        <f t="shared" si="70"/>
        <v>#VALUE!</v>
      </c>
      <c r="AB145" s="758" t="e">
        <f t="shared" si="71"/>
        <v>#VALUE!</v>
      </c>
      <c r="AC145" s="544" t="e">
        <f t="shared" si="57"/>
        <v>#VALUE!</v>
      </c>
      <c r="AD145" s="544">
        <f t="shared" si="58"/>
        <v>0</v>
      </c>
      <c r="AE145" s="759">
        <f>IF(H145&gt;8,tab!C$194,tab!C$197)</f>
        <v>0.5</v>
      </c>
      <c r="AF145" s="544">
        <f t="shared" si="59"/>
        <v>0</v>
      </c>
      <c r="AG145" s="760">
        <f t="shared" si="60"/>
        <v>0</v>
      </c>
    </row>
    <row r="146" spans="3:34" ht="13.15" customHeight="1" x14ac:dyDescent="0.2">
      <c r="C146" s="31"/>
      <c r="D146" s="117" t="str">
        <f t="shared" si="52"/>
        <v/>
      </c>
      <c r="E146" s="117" t="str">
        <f t="shared" si="52"/>
        <v/>
      </c>
      <c r="F146" s="33" t="str">
        <f t="shared" si="72"/>
        <v/>
      </c>
      <c r="G146" s="118" t="str">
        <f t="shared" si="61"/>
        <v/>
      </c>
      <c r="H146" s="33" t="str">
        <f t="shared" si="62"/>
        <v/>
      </c>
      <c r="I146" s="119" t="str">
        <f t="shared" si="53"/>
        <v/>
      </c>
      <c r="J146" s="120" t="str">
        <f t="shared" si="54"/>
        <v/>
      </c>
      <c r="K146" s="170"/>
      <c r="L146" s="1141">
        <f t="shared" si="55"/>
        <v>0</v>
      </c>
      <c r="M146" s="1141">
        <f t="shared" si="55"/>
        <v>0</v>
      </c>
      <c r="N146" s="804" t="str">
        <f t="shared" si="63"/>
        <v/>
      </c>
      <c r="O146" s="795"/>
      <c r="P146" s="1156" t="str">
        <f t="shared" si="64"/>
        <v/>
      </c>
      <c r="Q146" s="957" t="str">
        <f t="shared" si="65"/>
        <v/>
      </c>
      <c r="R146" s="767" t="str">
        <f t="shared" si="66"/>
        <v/>
      </c>
      <c r="S146" s="966">
        <f t="shared" si="67"/>
        <v>0</v>
      </c>
      <c r="T146" s="116"/>
      <c r="X146" s="760" t="str">
        <f t="shared" si="56"/>
        <v/>
      </c>
      <c r="Y146" s="745">
        <f t="shared" si="68"/>
        <v>0.6</v>
      </c>
      <c r="Z146" s="758" t="e">
        <f t="shared" si="69"/>
        <v>#VALUE!</v>
      </c>
      <c r="AA146" s="758" t="e">
        <f t="shared" si="70"/>
        <v>#VALUE!</v>
      </c>
      <c r="AB146" s="758" t="e">
        <f t="shared" si="71"/>
        <v>#VALUE!</v>
      </c>
      <c r="AC146" s="544" t="e">
        <f t="shared" si="57"/>
        <v>#VALUE!</v>
      </c>
      <c r="AD146" s="544">
        <f t="shared" si="58"/>
        <v>0</v>
      </c>
      <c r="AE146" s="759">
        <f>IF(H146&gt;8,tab!C$194,tab!C$197)</f>
        <v>0.5</v>
      </c>
      <c r="AF146" s="544">
        <f t="shared" si="59"/>
        <v>0</v>
      </c>
      <c r="AG146" s="760">
        <f t="shared" si="60"/>
        <v>0</v>
      </c>
      <c r="AH146" s="544"/>
    </row>
    <row r="147" spans="3:34" ht="13.15" customHeight="1" x14ac:dyDescent="0.2">
      <c r="C147" s="31"/>
      <c r="D147" s="117" t="str">
        <f t="shared" si="52"/>
        <v/>
      </c>
      <c r="E147" s="117" t="str">
        <f t="shared" si="52"/>
        <v/>
      </c>
      <c r="F147" s="33" t="str">
        <f t="shared" si="72"/>
        <v/>
      </c>
      <c r="G147" s="118" t="str">
        <f t="shared" si="61"/>
        <v/>
      </c>
      <c r="H147" s="33" t="str">
        <f t="shared" si="62"/>
        <v/>
      </c>
      <c r="I147" s="119" t="str">
        <f t="shared" si="53"/>
        <v/>
      </c>
      <c r="J147" s="120" t="str">
        <f t="shared" si="54"/>
        <v/>
      </c>
      <c r="K147" s="170"/>
      <c r="L147" s="1141">
        <f t="shared" si="55"/>
        <v>0</v>
      </c>
      <c r="M147" s="1141">
        <f t="shared" si="55"/>
        <v>0</v>
      </c>
      <c r="N147" s="804" t="str">
        <f t="shared" si="63"/>
        <v/>
      </c>
      <c r="O147" s="795"/>
      <c r="P147" s="1156" t="str">
        <f t="shared" si="64"/>
        <v/>
      </c>
      <c r="Q147" s="957" t="str">
        <f t="shared" si="65"/>
        <v/>
      </c>
      <c r="R147" s="767" t="str">
        <f t="shared" si="66"/>
        <v/>
      </c>
      <c r="S147" s="966">
        <f t="shared" si="67"/>
        <v>0</v>
      </c>
      <c r="T147" s="116"/>
      <c r="X147" s="760" t="str">
        <f t="shared" si="56"/>
        <v/>
      </c>
      <c r="Y147" s="745">
        <f t="shared" si="68"/>
        <v>0.6</v>
      </c>
      <c r="Z147" s="758" t="e">
        <f t="shared" si="69"/>
        <v>#VALUE!</v>
      </c>
      <c r="AA147" s="758" t="e">
        <f t="shared" si="70"/>
        <v>#VALUE!</v>
      </c>
      <c r="AB147" s="758" t="e">
        <f t="shared" si="71"/>
        <v>#VALUE!</v>
      </c>
      <c r="AC147" s="544" t="e">
        <f t="shared" si="57"/>
        <v>#VALUE!</v>
      </c>
      <c r="AD147" s="544">
        <f t="shared" si="58"/>
        <v>0</v>
      </c>
      <c r="AE147" s="759">
        <f>IF(H147&gt;8,tab!C$194,tab!C$197)</f>
        <v>0.5</v>
      </c>
      <c r="AF147" s="544">
        <f t="shared" si="59"/>
        <v>0</v>
      </c>
      <c r="AG147" s="760">
        <f t="shared" si="60"/>
        <v>0</v>
      </c>
      <c r="AH147" s="544"/>
    </row>
    <row r="148" spans="3:34" ht="13.15" customHeight="1" x14ac:dyDescent="0.2">
      <c r="C148" s="31"/>
      <c r="D148" s="117" t="str">
        <f t="shared" si="52"/>
        <v/>
      </c>
      <c r="E148" s="117" t="str">
        <f t="shared" si="52"/>
        <v/>
      </c>
      <c r="F148" s="33" t="str">
        <f t="shared" si="72"/>
        <v/>
      </c>
      <c r="G148" s="118" t="str">
        <f t="shared" si="61"/>
        <v/>
      </c>
      <c r="H148" s="33" t="str">
        <f t="shared" si="62"/>
        <v/>
      </c>
      <c r="I148" s="119" t="str">
        <f t="shared" si="53"/>
        <v/>
      </c>
      <c r="J148" s="120" t="str">
        <f t="shared" si="54"/>
        <v/>
      </c>
      <c r="K148" s="170"/>
      <c r="L148" s="1141">
        <f t="shared" si="55"/>
        <v>0</v>
      </c>
      <c r="M148" s="1141">
        <f t="shared" si="55"/>
        <v>0</v>
      </c>
      <c r="N148" s="804" t="str">
        <f t="shared" si="63"/>
        <v/>
      </c>
      <c r="O148" s="795"/>
      <c r="P148" s="1156" t="str">
        <f t="shared" si="64"/>
        <v/>
      </c>
      <c r="Q148" s="957" t="str">
        <f t="shared" si="65"/>
        <v/>
      </c>
      <c r="R148" s="767" t="str">
        <f t="shared" si="66"/>
        <v/>
      </c>
      <c r="S148" s="966">
        <f t="shared" si="67"/>
        <v>0</v>
      </c>
      <c r="T148" s="116"/>
      <c r="X148" s="760" t="str">
        <f t="shared" si="56"/>
        <v/>
      </c>
      <c r="Y148" s="745">
        <f t="shared" si="68"/>
        <v>0.6</v>
      </c>
      <c r="Z148" s="758" t="e">
        <f t="shared" si="69"/>
        <v>#VALUE!</v>
      </c>
      <c r="AA148" s="758" t="e">
        <f t="shared" si="70"/>
        <v>#VALUE!</v>
      </c>
      <c r="AB148" s="758" t="e">
        <f t="shared" si="71"/>
        <v>#VALUE!</v>
      </c>
      <c r="AC148" s="544" t="e">
        <f t="shared" si="57"/>
        <v>#VALUE!</v>
      </c>
      <c r="AD148" s="544">
        <f t="shared" si="58"/>
        <v>0</v>
      </c>
      <c r="AE148" s="759">
        <f>IF(H148&gt;8,tab!C$194,tab!C$197)</f>
        <v>0.5</v>
      </c>
      <c r="AF148" s="544">
        <f t="shared" si="59"/>
        <v>0</v>
      </c>
      <c r="AG148" s="760">
        <f t="shared" si="60"/>
        <v>0</v>
      </c>
      <c r="AH148" s="544"/>
    </row>
    <row r="149" spans="3:34" ht="13.15" customHeight="1" x14ac:dyDescent="0.2">
      <c r="C149" s="31"/>
      <c r="D149" s="117" t="str">
        <f t="shared" si="52"/>
        <v/>
      </c>
      <c r="E149" s="117" t="str">
        <f t="shared" si="52"/>
        <v/>
      </c>
      <c r="F149" s="33" t="str">
        <f t="shared" si="72"/>
        <v/>
      </c>
      <c r="G149" s="118" t="str">
        <f t="shared" si="61"/>
        <v/>
      </c>
      <c r="H149" s="33" t="str">
        <f t="shared" si="62"/>
        <v/>
      </c>
      <c r="I149" s="119" t="str">
        <f t="shared" si="53"/>
        <v/>
      </c>
      <c r="J149" s="120" t="str">
        <f t="shared" si="54"/>
        <v/>
      </c>
      <c r="K149" s="170"/>
      <c r="L149" s="1141">
        <f t="shared" si="55"/>
        <v>0</v>
      </c>
      <c r="M149" s="1141">
        <f t="shared" si="55"/>
        <v>0</v>
      </c>
      <c r="N149" s="804" t="str">
        <f t="shared" si="63"/>
        <v/>
      </c>
      <c r="O149" s="795"/>
      <c r="P149" s="1156" t="str">
        <f t="shared" si="64"/>
        <v/>
      </c>
      <c r="Q149" s="957" t="str">
        <f t="shared" si="65"/>
        <v/>
      </c>
      <c r="R149" s="767" t="str">
        <f t="shared" si="66"/>
        <v/>
      </c>
      <c r="S149" s="966">
        <f t="shared" si="67"/>
        <v>0</v>
      </c>
      <c r="T149" s="116"/>
      <c r="X149" s="760" t="str">
        <f t="shared" si="56"/>
        <v/>
      </c>
      <c r="Y149" s="745">
        <f t="shared" si="68"/>
        <v>0.6</v>
      </c>
      <c r="Z149" s="758" t="e">
        <f t="shared" si="69"/>
        <v>#VALUE!</v>
      </c>
      <c r="AA149" s="758" t="e">
        <f t="shared" si="70"/>
        <v>#VALUE!</v>
      </c>
      <c r="AB149" s="758" t="e">
        <f t="shared" si="71"/>
        <v>#VALUE!</v>
      </c>
      <c r="AC149" s="544" t="e">
        <f t="shared" si="57"/>
        <v>#VALUE!</v>
      </c>
      <c r="AD149" s="544">
        <f t="shared" si="58"/>
        <v>0</v>
      </c>
      <c r="AE149" s="759">
        <f>IF(H149&gt;8,tab!C$194,tab!C$197)</f>
        <v>0.5</v>
      </c>
      <c r="AF149" s="544">
        <f t="shared" si="59"/>
        <v>0</v>
      </c>
      <c r="AG149" s="760">
        <f t="shared" si="60"/>
        <v>0</v>
      </c>
      <c r="AH149" s="544"/>
    </row>
    <row r="150" spans="3:34" ht="13.15" customHeight="1" x14ac:dyDescent="0.2">
      <c r="C150" s="31"/>
      <c r="D150" s="117" t="str">
        <f t="shared" si="52"/>
        <v/>
      </c>
      <c r="E150" s="117" t="str">
        <f t="shared" si="52"/>
        <v/>
      </c>
      <c r="F150" s="33" t="str">
        <f t="shared" si="72"/>
        <v/>
      </c>
      <c r="G150" s="118" t="str">
        <f t="shared" si="61"/>
        <v/>
      </c>
      <c r="H150" s="33" t="str">
        <f t="shared" si="62"/>
        <v/>
      </c>
      <c r="I150" s="119" t="str">
        <f t="shared" si="53"/>
        <v/>
      </c>
      <c r="J150" s="120" t="str">
        <f t="shared" si="54"/>
        <v/>
      </c>
      <c r="K150" s="170"/>
      <c r="L150" s="1141">
        <f t="shared" si="55"/>
        <v>0</v>
      </c>
      <c r="M150" s="1141">
        <f t="shared" si="55"/>
        <v>0</v>
      </c>
      <c r="N150" s="804" t="str">
        <f t="shared" si="63"/>
        <v/>
      </c>
      <c r="O150" s="795"/>
      <c r="P150" s="1156" t="str">
        <f t="shared" si="64"/>
        <v/>
      </c>
      <c r="Q150" s="957" t="str">
        <f t="shared" si="65"/>
        <v/>
      </c>
      <c r="R150" s="767" t="str">
        <f t="shared" si="66"/>
        <v/>
      </c>
      <c r="S150" s="966">
        <f t="shared" si="67"/>
        <v>0</v>
      </c>
      <c r="T150" s="116"/>
      <c r="X150" s="760" t="str">
        <f t="shared" si="56"/>
        <v/>
      </c>
      <c r="Y150" s="745">
        <f t="shared" si="68"/>
        <v>0.6</v>
      </c>
      <c r="Z150" s="758" t="e">
        <f t="shared" si="69"/>
        <v>#VALUE!</v>
      </c>
      <c r="AA150" s="758" t="e">
        <f t="shared" si="70"/>
        <v>#VALUE!</v>
      </c>
      <c r="AB150" s="758" t="e">
        <f t="shared" si="71"/>
        <v>#VALUE!</v>
      </c>
      <c r="AC150" s="544" t="e">
        <f t="shared" si="57"/>
        <v>#VALUE!</v>
      </c>
      <c r="AD150" s="544">
        <f t="shared" si="58"/>
        <v>0</v>
      </c>
      <c r="AE150" s="759">
        <f>IF(H150&gt;8,tab!C$194,tab!C$197)</f>
        <v>0.5</v>
      </c>
      <c r="AF150" s="544">
        <f t="shared" si="59"/>
        <v>0</v>
      </c>
      <c r="AG150" s="760">
        <f t="shared" si="60"/>
        <v>0</v>
      </c>
      <c r="AH150" s="544"/>
    </row>
    <row r="151" spans="3:34" ht="13.15" customHeight="1" x14ac:dyDescent="0.2">
      <c r="C151" s="31"/>
      <c r="D151" s="117" t="str">
        <f t="shared" si="52"/>
        <v/>
      </c>
      <c r="E151" s="117" t="str">
        <f t="shared" si="52"/>
        <v/>
      </c>
      <c r="F151" s="33" t="str">
        <f t="shared" si="72"/>
        <v/>
      </c>
      <c r="G151" s="118" t="str">
        <f t="shared" si="61"/>
        <v/>
      </c>
      <c r="H151" s="33" t="str">
        <f t="shared" si="62"/>
        <v/>
      </c>
      <c r="I151" s="119" t="str">
        <f t="shared" si="53"/>
        <v/>
      </c>
      <c r="J151" s="120" t="str">
        <f t="shared" si="54"/>
        <v/>
      </c>
      <c r="K151" s="170"/>
      <c r="L151" s="1141">
        <f t="shared" si="55"/>
        <v>0</v>
      </c>
      <c r="M151" s="1141">
        <f t="shared" si="55"/>
        <v>0</v>
      </c>
      <c r="N151" s="804" t="str">
        <f t="shared" si="63"/>
        <v/>
      </c>
      <c r="O151" s="795"/>
      <c r="P151" s="1156" t="str">
        <f t="shared" si="64"/>
        <v/>
      </c>
      <c r="Q151" s="957" t="str">
        <f t="shared" si="65"/>
        <v/>
      </c>
      <c r="R151" s="767" t="str">
        <f t="shared" si="66"/>
        <v/>
      </c>
      <c r="S151" s="966">
        <f t="shared" si="67"/>
        <v>0</v>
      </c>
      <c r="T151" s="116"/>
      <c r="X151" s="760" t="str">
        <f t="shared" si="56"/>
        <v/>
      </c>
      <c r="Y151" s="745">
        <f t="shared" si="68"/>
        <v>0.6</v>
      </c>
      <c r="Z151" s="758" t="e">
        <f t="shared" si="69"/>
        <v>#VALUE!</v>
      </c>
      <c r="AA151" s="758" t="e">
        <f t="shared" si="70"/>
        <v>#VALUE!</v>
      </c>
      <c r="AB151" s="758" t="e">
        <f t="shared" si="71"/>
        <v>#VALUE!</v>
      </c>
      <c r="AC151" s="544" t="e">
        <f t="shared" si="57"/>
        <v>#VALUE!</v>
      </c>
      <c r="AD151" s="544">
        <f t="shared" si="58"/>
        <v>0</v>
      </c>
      <c r="AE151" s="759">
        <f>IF(H151&gt;8,tab!C$194,tab!C$197)</f>
        <v>0.5</v>
      </c>
      <c r="AF151" s="544">
        <f t="shared" si="59"/>
        <v>0</v>
      </c>
      <c r="AG151" s="760">
        <f t="shared" si="60"/>
        <v>0</v>
      </c>
      <c r="AH151" s="544"/>
    </row>
    <row r="152" spans="3:34" ht="13.15" customHeight="1" x14ac:dyDescent="0.2">
      <c r="C152" s="31"/>
      <c r="D152" s="117" t="str">
        <f t="shared" si="52"/>
        <v/>
      </c>
      <c r="E152" s="117" t="str">
        <f t="shared" si="52"/>
        <v/>
      </c>
      <c r="F152" s="33" t="str">
        <f t="shared" si="72"/>
        <v/>
      </c>
      <c r="G152" s="118" t="str">
        <f t="shared" si="61"/>
        <v/>
      </c>
      <c r="H152" s="33" t="str">
        <f t="shared" si="62"/>
        <v/>
      </c>
      <c r="I152" s="119" t="str">
        <f t="shared" si="53"/>
        <v/>
      </c>
      <c r="J152" s="120" t="str">
        <f t="shared" si="54"/>
        <v/>
      </c>
      <c r="K152" s="170"/>
      <c r="L152" s="1141">
        <f t="shared" si="55"/>
        <v>0</v>
      </c>
      <c r="M152" s="1141">
        <f t="shared" si="55"/>
        <v>0</v>
      </c>
      <c r="N152" s="804" t="str">
        <f t="shared" si="63"/>
        <v/>
      </c>
      <c r="O152" s="795"/>
      <c r="P152" s="1156" t="str">
        <f t="shared" si="64"/>
        <v/>
      </c>
      <c r="Q152" s="957" t="str">
        <f t="shared" si="65"/>
        <v/>
      </c>
      <c r="R152" s="767" t="str">
        <f t="shared" si="66"/>
        <v/>
      </c>
      <c r="S152" s="966">
        <f t="shared" si="67"/>
        <v>0</v>
      </c>
      <c r="T152" s="116"/>
      <c r="X152" s="760" t="str">
        <f t="shared" si="56"/>
        <v/>
      </c>
      <c r="Y152" s="745">
        <f t="shared" si="68"/>
        <v>0.6</v>
      </c>
      <c r="Z152" s="758" t="e">
        <f t="shared" si="69"/>
        <v>#VALUE!</v>
      </c>
      <c r="AA152" s="758" t="e">
        <f t="shared" si="70"/>
        <v>#VALUE!</v>
      </c>
      <c r="AB152" s="758" t="e">
        <f t="shared" si="71"/>
        <v>#VALUE!</v>
      </c>
      <c r="AC152" s="544" t="e">
        <f t="shared" si="57"/>
        <v>#VALUE!</v>
      </c>
      <c r="AD152" s="544">
        <f t="shared" si="58"/>
        <v>0</v>
      </c>
      <c r="AE152" s="759">
        <f>IF(H152&gt;8,tab!C$194,tab!C$197)</f>
        <v>0.5</v>
      </c>
      <c r="AF152" s="544">
        <f t="shared" si="59"/>
        <v>0</v>
      </c>
      <c r="AG152" s="760">
        <f t="shared" si="60"/>
        <v>0</v>
      </c>
      <c r="AH152" s="544"/>
    </row>
    <row r="153" spans="3:34" ht="13.15" customHeight="1" x14ac:dyDescent="0.2">
      <c r="C153" s="31"/>
      <c r="D153" s="117" t="str">
        <f t="shared" si="52"/>
        <v/>
      </c>
      <c r="E153" s="117" t="str">
        <f t="shared" si="52"/>
        <v/>
      </c>
      <c r="F153" s="33" t="str">
        <f t="shared" si="72"/>
        <v/>
      </c>
      <c r="G153" s="118" t="str">
        <f t="shared" si="61"/>
        <v/>
      </c>
      <c r="H153" s="33" t="str">
        <f t="shared" si="62"/>
        <v/>
      </c>
      <c r="I153" s="119" t="str">
        <f t="shared" si="53"/>
        <v/>
      </c>
      <c r="J153" s="120" t="str">
        <f t="shared" si="54"/>
        <v/>
      </c>
      <c r="K153" s="170"/>
      <c r="L153" s="1141">
        <f t="shared" si="55"/>
        <v>0</v>
      </c>
      <c r="M153" s="1141">
        <f t="shared" si="55"/>
        <v>0</v>
      </c>
      <c r="N153" s="804" t="str">
        <f t="shared" si="63"/>
        <v/>
      </c>
      <c r="O153" s="795"/>
      <c r="P153" s="1156" t="str">
        <f t="shared" si="64"/>
        <v/>
      </c>
      <c r="Q153" s="957" t="str">
        <f t="shared" si="65"/>
        <v/>
      </c>
      <c r="R153" s="767" t="str">
        <f t="shared" si="66"/>
        <v/>
      </c>
      <c r="S153" s="966">
        <f t="shared" si="67"/>
        <v>0</v>
      </c>
      <c r="T153" s="116"/>
      <c r="X153" s="760" t="str">
        <f t="shared" si="56"/>
        <v/>
      </c>
      <c r="Y153" s="745">
        <f t="shared" si="68"/>
        <v>0.6</v>
      </c>
      <c r="Z153" s="758" t="e">
        <f t="shared" si="69"/>
        <v>#VALUE!</v>
      </c>
      <c r="AA153" s="758" t="e">
        <f t="shared" si="70"/>
        <v>#VALUE!</v>
      </c>
      <c r="AB153" s="758" t="e">
        <f t="shared" si="71"/>
        <v>#VALUE!</v>
      </c>
      <c r="AC153" s="544" t="e">
        <f t="shared" si="57"/>
        <v>#VALUE!</v>
      </c>
      <c r="AD153" s="544">
        <f t="shared" si="58"/>
        <v>0</v>
      </c>
      <c r="AE153" s="759">
        <f>IF(H153&gt;8,tab!C$194,tab!C$197)</f>
        <v>0.5</v>
      </c>
      <c r="AF153" s="544">
        <f t="shared" si="59"/>
        <v>0</v>
      </c>
      <c r="AG153" s="760">
        <f t="shared" si="60"/>
        <v>0</v>
      </c>
      <c r="AH153" s="544"/>
    </row>
    <row r="154" spans="3:34" ht="13.15" customHeight="1" x14ac:dyDescent="0.2">
      <c r="C154" s="31"/>
      <c r="D154" s="117" t="str">
        <f t="shared" si="52"/>
        <v/>
      </c>
      <c r="E154" s="117" t="str">
        <f t="shared" si="52"/>
        <v/>
      </c>
      <c r="F154" s="33" t="str">
        <f t="shared" si="72"/>
        <v/>
      </c>
      <c r="G154" s="118" t="str">
        <f t="shared" si="61"/>
        <v/>
      </c>
      <c r="H154" s="33" t="str">
        <f t="shared" si="62"/>
        <v/>
      </c>
      <c r="I154" s="119" t="str">
        <f t="shared" si="53"/>
        <v/>
      </c>
      <c r="J154" s="120" t="str">
        <f t="shared" si="54"/>
        <v/>
      </c>
      <c r="K154" s="170"/>
      <c r="L154" s="1141">
        <f t="shared" si="55"/>
        <v>0</v>
      </c>
      <c r="M154" s="1141">
        <f t="shared" si="55"/>
        <v>0</v>
      </c>
      <c r="N154" s="804" t="str">
        <f t="shared" si="63"/>
        <v/>
      </c>
      <c r="O154" s="795"/>
      <c r="P154" s="1156" t="str">
        <f t="shared" si="64"/>
        <v/>
      </c>
      <c r="Q154" s="957" t="str">
        <f t="shared" si="65"/>
        <v/>
      </c>
      <c r="R154" s="767" t="str">
        <f t="shared" si="66"/>
        <v/>
      </c>
      <c r="S154" s="966">
        <f t="shared" si="67"/>
        <v>0</v>
      </c>
      <c r="T154" s="116"/>
      <c r="X154" s="760" t="str">
        <f t="shared" si="56"/>
        <v/>
      </c>
      <c r="Y154" s="745">
        <f t="shared" si="68"/>
        <v>0.6</v>
      </c>
      <c r="Z154" s="758" t="e">
        <f t="shared" si="69"/>
        <v>#VALUE!</v>
      </c>
      <c r="AA154" s="758" t="e">
        <f t="shared" si="70"/>
        <v>#VALUE!</v>
      </c>
      <c r="AB154" s="758" t="e">
        <f t="shared" si="71"/>
        <v>#VALUE!</v>
      </c>
      <c r="AC154" s="544" t="e">
        <f t="shared" si="57"/>
        <v>#VALUE!</v>
      </c>
      <c r="AD154" s="544">
        <f t="shared" si="58"/>
        <v>0</v>
      </c>
      <c r="AE154" s="759">
        <f>IF(H154&gt;8,tab!C$194,tab!C$197)</f>
        <v>0.5</v>
      </c>
      <c r="AF154" s="544">
        <f t="shared" si="59"/>
        <v>0</v>
      </c>
      <c r="AG154" s="760">
        <f t="shared" si="60"/>
        <v>0</v>
      </c>
      <c r="AH154" s="544"/>
    </row>
    <row r="155" spans="3:34" ht="13.15" customHeight="1" x14ac:dyDescent="0.2">
      <c r="C155" s="31"/>
      <c r="D155" s="117" t="str">
        <f t="shared" si="52"/>
        <v/>
      </c>
      <c r="E155" s="117" t="str">
        <f t="shared" si="52"/>
        <v/>
      </c>
      <c r="F155" s="33" t="str">
        <f t="shared" si="72"/>
        <v/>
      </c>
      <c r="G155" s="118" t="str">
        <f t="shared" si="61"/>
        <v/>
      </c>
      <c r="H155" s="33" t="str">
        <f t="shared" si="62"/>
        <v/>
      </c>
      <c r="I155" s="119" t="str">
        <f t="shared" si="53"/>
        <v/>
      </c>
      <c r="J155" s="120" t="str">
        <f t="shared" si="54"/>
        <v/>
      </c>
      <c r="K155" s="170"/>
      <c r="L155" s="1141">
        <f t="shared" si="55"/>
        <v>0</v>
      </c>
      <c r="M155" s="1141">
        <f t="shared" si="55"/>
        <v>0</v>
      </c>
      <c r="N155" s="804" t="str">
        <f t="shared" si="63"/>
        <v/>
      </c>
      <c r="O155" s="795"/>
      <c r="P155" s="1156" t="str">
        <f t="shared" si="64"/>
        <v/>
      </c>
      <c r="Q155" s="957" t="str">
        <f t="shared" si="65"/>
        <v/>
      </c>
      <c r="R155" s="767" t="str">
        <f t="shared" si="66"/>
        <v/>
      </c>
      <c r="S155" s="966">
        <f t="shared" si="67"/>
        <v>0</v>
      </c>
      <c r="T155" s="116"/>
      <c r="X155" s="760" t="str">
        <f t="shared" si="56"/>
        <v/>
      </c>
      <c r="Y155" s="745">
        <f t="shared" si="68"/>
        <v>0.6</v>
      </c>
      <c r="Z155" s="758" t="e">
        <f t="shared" si="69"/>
        <v>#VALUE!</v>
      </c>
      <c r="AA155" s="758" t="e">
        <f t="shared" si="70"/>
        <v>#VALUE!</v>
      </c>
      <c r="AB155" s="758" t="e">
        <f t="shared" si="71"/>
        <v>#VALUE!</v>
      </c>
      <c r="AC155" s="544" t="e">
        <f t="shared" si="57"/>
        <v>#VALUE!</v>
      </c>
      <c r="AD155" s="544">
        <f t="shared" si="58"/>
        <v>0</v>
      </c>
      <c r="AE155" s="759">
        <f>IF(H155&gt;8,tab!C$194,tab!C$197)</f>
        <v>0.5</v>
      </c>
      <c r="AF155" s="544">
        <f t="shared" si="59"/>
        <v>0</v>
      </c>
      <c r="AG155" s="760">
        <f t="shared" si="60"/>
        <v>0</v>
      </c>
      <c r="AH155" s="544"/>
    </row>
    <row r="156" spans="3:34" ht="13.15" customHeight="1" x14ac:dyDescent="0.2">
      <c r="C156" s="31"/>
      <c r="D156" s="117" t="str">
        <f t="shared" si="52"/>
        <v/>
      </c>
      <c r="E156" s="117" t="str">
        <f t="shared" si="52"/>
        <v/>
      </c>
      <c r="F156" s="33" t="str">
        <f t="shared" si="72"/>
        <v/>
      </c>
      <c r="G156" s="118" t="str">
        <f t="shared" si="61"/>
        <v/>
      </c>
      <c r="H156" s="33" t="str">
        <f t="shared" si="62"/>
        <v/>
      </c>
      <c r="I156" s="119" t="str">
        <f t="shared" si="53"/>
        <v/>
      </c>
      <c r="J156" s="120" t="str">
        <f t="shared" si="54"/>
        <v/>
      </c>
      <c r="K156" s="170"/>
      <c r="L156" s="1141">
        <f t="shared" si="55"/>
        <v>0</v>
      </c>
      <c r="M156" s="1141">
        <f t="shared" si="55"/>
        <v>0</v>
      </c>
      <c r="N156" s="804" t="str">
        <f t="shared" si="63"/>
        <v/>
      </c>
      <c r="O156" s="795"/>
      <c r="P156" s="1156" t="str">
        <f t="shared" si="64"/>
        <v/>
      </c>
      <c r="Q156" s="957" t="str">
        <f t="shared" si="65"/>
        <v/>
      </c>
      <c r="R156" s="767" t="str">
        <f t="shared" si="66"/>
        <v/>
      </c>
      <c r="S156" s="966">
        <f t="shared" si="67"/>
        <v>0</v>
      </c>
      <c r="T156" s="116"/>
      <c r="X156" s="760" t="str">
        <f t="shared" si="56"/>
        <v/>
      </c>
      <c r="Y156" s="745">
        <f t="shared" si="68"/>
        <v>0.6</v>
      </c>
      <c r="Z156" s="758" t="e">
        <f t="shared" si="69"/>
        <v>#VALUE!</v>
      </c>
      <c r="AA156" s="758" t="e">
        <f t="shared" si="70"/>
        <v>#VALUE!</v>
      </c>
      <c r="AB156" s="758" t="e">
        <f t="shared" si="71"/>
        <v>#VALUE!</v>
      </c>
      <c r="AC156" s="544" t="e">
        <f t="shared" si="57"/>
        <v>#VALUE!</v>
      </c>
      <c r="AD156" s="544">
        <f t="shared" si="58"/>
        <v>0</v>
      </c>
      <c r="AE156" s="759">
        <f>IF(H156&gt;8,tab!C$194,tab!C$197)</f>
        <v>0.5</v>
      </c>
      <c r="AF156" s="544">
        <f t="shared" si="59"/>
        <v>0</v>
      </c>
      <c r="AG156" s="760">
        <f t="shared" si="60"/>
        <v>0</v>
      </c>
      <c r="AH156" s="544"/>
    </row>
    <row r="157" spans="3:34" ht="13.15" customHeight="1" x14ac:dyDescent="0.2">
      <c r="C157" s="31"/>
      <c r="D157" s="117" t="str">
        <f t="shared" si="52"/>
        <v/>
      </c>
      <c r="E157" s="117" t="str">
        <f t="shared" si="52"/>
        <v/>
      </c>
      <c r="F157" s="33" t="str">
        <f t="shared" si="72"/>
        <v/>
      </c>
      <c r="G157" s="118" t="str">
        <f t="shared" si="61"/>
        <v/>
      </c>
      <c r="H157" s="33" t="str">
        <f t="shared" si="62"/>
        <v/>
      </c>
      <c r="I157" s="119" t="str">
        <f t="shared" si="53"/>
        <v/>
      </c>
      <c r="J157" s="120" t="str">
        <f t="shared" si="54"/>
        <v/>
      </c>
      <c r="K157" s="170"/>
      <c r="L157" s="1141">
        <f t="shared" si="55"/>
        <v>0</v>
      </c>
      <c r="M157" s="1141">
        <f t="shared" si="55"/>
        <v>0</v>
      </c>
      <c r="N157" s="804" t="str">
        <f t="shared" si="63"/>
        <v/>
      </c>
      <c r="O157" s="795"/>
      <c r="P157" s="1156" t="str">
        <f t="shared" si="64"/>
        <v/>
      </c>
      <c r="Q157" s="957" t="str">
        <f t="shared" si="65"/>
        <v/>
      </c>
      <c r="R157" s="767" t="str">
        <f t="shared" si="66"/>
        <v/>
      </c>
      <c r="S157" s="966">
        <f t="shared" si="67"/>
        <v>0</v>
      </c>
      <c r="T157" s="116"/>
      <c r="X157" s="760" t="str">
        <f t="shared" si="56"/>
        <v/>
      </c>
      <c r="Y157" s="745">
        <f t="shared" si="68"/>
        <v>0.6</v>
      </c>
      <c r="Z157" s="758" t="e">
        <f t="shared" si="69"/>
        <v>#VALUE!</v>
      </c>
      <c r="AA157" s="758" t="e">
        <f t="shared" si="70"/>
        <v>#VALUE!</v>
      </c>
      <c r="AB157" s="758" t="e">
        <f t="shared" si="71"/>
        <v>#VALUE!</v>
      </c>
      <c r="AC157" s="544" t="e">
        <f t="shared" si="57"/>
        <v>#VALUE!</v>
      </c>
      <c r="AD157" s="544">
        <f t="shared" si="58"/>
        <v>0</v>
      </c>
      <c r="AE157" s="759">
        <f>IF(H157&gt;8,tab!C$194,tab!C$197)</f>
        <v>0.5</v>
      </c>
      <c r="AF157" s="544">
        <f t="shared" si="59"/>
        <v>0</v>
      </c>
      <c r="AG157" s="760">
        <f t="shared" si="60"/>
        <v>0</v>
      </c>
      <c r="AH157" s="544"/>
    </row>
    <row r="158" spans="3:34" ht="13.15" customHeight="1" x14ac:dyDescent="0.2">
      <c r="C158" s="31"/>
      <c r="D158" s="117" t="str">
        <f t="shared" si="52"/>
        <v/>
      </c>
      <c r="E158" s="117" t="str">
        <f t="shared" si="52"/>
        <v/>
      </c>
      <c r="F158" s="33" t="str">
        <f t="shared" si="72"/>
        <v/>
      </c>
      <c r="G158" s="118" t="str">
        <f t="shared" si="61"/>
        <v/>
      </c>
      <c r="H158" s="33" t="str">
        <f t="shared" si="62"/>
        <v/>
      </c>
      <c r="I158" s="119" t="str">
        <f t="shared" si="53"/>
        <v/>
      </c>
      <c r="J158" s="120" t="str">
        <f t="shared" si="54"/>
        <v/>
      </c>
      <c r="K158" s="170"/>
      <c r="L158" s="1141">
        <f t="shared" si="55"/>
        <v>0</v>
      </c>
      <c r="M158" s="1141">
        <f t="shared" si="55"/>
        <v>0</v>
      </c>
      <c r="N158" s="804" t="str">
        <f t="shared" si="63"/>
        <v/>
      </c>
      <c r="O158" s="795"/>
      <c r="P158" s="1156" t="str">
        <f t="shared" si="64"/>
        <v/>
      </c>
      <c r="Q158" s="957" t="str">
        <f t="shared" si="65"/>
        <v/>
      </c>
      <c r="R158" s="767" t="str">
        <f t="shared" si="66"/>
        <v/>
      </c>
      <c r="S158" s="966">
        <f t="shared" si="67"/>
        <v>0</v>
      </c>
      <c r="T158" s="116"/>
      <c r="X158" s="760" t="str">
        <f t="shared" si="56"/>
        <v/>
      </c>
      <c r="Y158" s="745">
        <f t="shared" si="68"/>
        <v>0.6</v>
      </c>
      <c r="Z158" s="758" t="e">
        <f t="shared" si="69"/>
        <v>#VALUE!</v>
      </c>
      <c r="AA158" s="758" t="e">
        <f t="shared" si="70"/>
        <v>#VALUE!</v>
      </c>
      <c r="AB158" s="758" t="e">
        <f t="shared" si="71"/>
        <v>#VALUE!</v>
      </c>
      <c r="AC158" s="544" t="e">
        <f t="shared" si="57"/>
        <v>#VALUE!</v>
      </c>
      <c r="AD158" s="544">
        <f t="shared" si="58"/>
        <v>0</v>
      </c>
      <c r="AE158" s="759">
        <f>IF(H158&gt;8,tab!C$194,tab!C$197)</f>
        <v>0.5</v>
      </c>
      <c r="AF158" s="544">
        <f t="shared" si="59"/>
        <v>0</v>
      </c>
      <c r="AG158" s="760">
        <f t="shared" si="60"/>
        <v>0</v>
      </c>
      <c r="AH158" s="544"/>
    </row>
    <row r="159" spans="3:34" ht="13.15" customHeight="1" x14ac:dyDescent="0.2">
      <c r="C159" s="31"/>
      <c r="D159" s="117" t="str">
        <f t="shared" ref="D159:E178" si="73">IF(D97=0,"",D97)</f>
        <v/>
      </c>
      <c r="E159" s="117" t="str">
        <f t="shared" si="73"/>
        <v/>
      </c>
      <c r="F159" s="33" t="str">
        <f t="shared" si="72"/>
        <v/>
      </c>
      <c r="G159" s="118" t="str">
        <f t="shared" si="61"/>
        <v/>
      </c>
      <c r="H159" s="33" t="str">
        <f t="shared" si="62"/>
        <v/>
      </c>
      <c r="I159" s="119" t="str">
        <f t="shared" si="53"/>
        <v/>
      </c>
      <c r="J159" s="120" t="str">
        <f t="shared" ref="J159:J178" si="74">IF(J97="","",J97)</f>
        <v/>
      </c>
      <c r="K159" s="170"/>
      <c r="L159" s="1141">
        <f t="shared" ref="L159:M178" si="75">IF(L97="","",L97)</f>
        <v>0</v>
      </c>
      <c r="M159" s="1141">
        <f t="shared" si="75"/>
        <v>0</v>
      </c>
      <c r="N159" s="804" t="str">
        <f t="shared" si="63"/>
        <v/>
      </c>
      <c r="O159" s="795"/>
      <c r="P159" s="1156" t="str">
        <f t="shared" si="64"/>
        <v/>
      </c>
      <c r="Q159" s="957" t="str">
        <f t="shared" si="65"/>
        <v/>
      </c>
      <c r="R159" s="767" t="str">
        <f t="shared" si="66"/>
        <v/>
      </c>
      <c r="S159" s="966">
        <f t="shared" si="67"/>
        <v>0</v>
      </c>
      <c r="T159" s="116"/>
      <c r="X159" s="760" t="str">
        <f t="shared" si="56"/>
        <v/>
      </c>
      <c r="Y159" s="745">
        <f t="shared" si="68"/>
        <v>0.6</v>
      </c>
      <c r="Z159" s="758" t="e">
        <f t="shared" si="69"/>
        <v>#VALUE!</v>
      </c>
      <c r="AA159" s="758" t="e">
        <f t="shared" si="70"/>
        <v>#VALUE!</v>
      </c>
      <c r="AB159" s="758" t="e">
        <f t="shared" si="71"/>
        <v>#VALUE!</v>
      </c>
      <c r="AC159" s="544" t="e">
        <f t="shared" si="57"/>
        <v>#VALUE!</v>
      </c>
      <c r="AD159" s="544">
        <f t="shared" si="58"/>
        <v>0</v>
      </c>
      <c r="AE159" s="759">
        <f>IF(H159&gt;8,tab!C$194,tab!C$197)</f>
        <v>0.5</v>
      </c>
      <c r="AF159" s="544">
        <f t="shared" si="59"/>
        <v>0</v>
      </c>
      <c r="AG159" s="760">
        <f t="shared" si="60"/>
        <v>0</v>
      </c>
      <c r="AH159" s="544"/>
    </row>
    <row r="160" spans="3:34" ht="13.15" customHeight="1" x14ac:dyDescent="0.2">
      <c r="C160" s="31"/>
      <c r="D160" s="117" t="str">
        <f t="shared" si="73"/>
        <v/>
      </c>
      <c r="E160" s="117" t="str">
        <f t="shared" si="73"/>
        <v/>
      </c>
      <c r="F160" s="33" t="str">
        <f t="shared" si="72"/>
        <v/>
      </c>
      <c r="G160" s="118" t="str">
        <f t="shared" si="61"/>
        <v/>
      </c>
      <c r="H160" s="33" t="str">
        <f t="shared" si="62"/>
        <v/>
      </c>
      <c r="I160" s="119" t="str">
        <f t="shared" si="53"/>
        <v/>
      </c>
      <c r="J160" s="120" t="str">
        <f t="shared" si="74"/>
        <v/>
      </c>
      <c r="K160" s="170"/>
      <c r="L160" s="1141">
        <f t="shared" si="75"/>
        <v>0</v>
      </c>
      <c r="M160" s="1141">
        <f t="shared" si="75"/>
        <v>0</v>
      </c>
      <c r="N160" s="804" t="str">
        <f t="shared" si="63"/>
        <v/>
      </c>
      <c r="O160" s="795"/>
      <c r="P160" s="1156" t="str">
        <f t="shared" si="64"/>
        <v/>
      </c>
      <c r="Q160" s="957" t="str">
        <f t="shared" si="65"/>
        <v/>
      </c>
      <c r="R160" s="767" t="str">
        <f t="shared" si="66"/>
        <v/>
      </c>
      <c r="S160" s="966">
        <f t="shared" si="67"/>
        <v>0</v>
      </c>
      <c r="T160" s="116"/>
      <c r="X160" s="760" t="str">
        <f t="shared" si="56"/>
        <v/>
      </c>
      <c r="Y160" s="745">
        <f t="shared" si="68"/>
        <v>0.6</v>
      </c>
      <c r="Z160" s="758" t="e">
        <f t="shared" si="69"/>
        <v>#VALUE!</v>
      </c>
      <c r="AA160" s="758" t="e">
        <f t="shared" si="70"/>
        <v>#VALUE!</v>
      </c>
      <c r="AB160" s="758" t="e">
        <f t="shared" si="71"/>
        <v>#VALUE!</v>
      </c>
      <c r="AC160" s="544" t="e">
        <f t="shared" si="57"/>
        <v>#VALUE!</v>
      </c>
      <c r="AD160" s="544">
        <f t="shared" si="58"/>
        <v>0</v>
      </c>
      <c r="AE160" s="759">
        <f>IF(H160&gt;8,tab!C$194,tab!C$197)</f>
        <v>0.5</v>
      </c>
      <c r="AF160" s="544">
        <f t="shared" si="59"/>
        <v>0</v>
      </c>
      <c r="AG160" s="760">
        <f t="shared" si="60"/>
        <v>0</v>
      </c>
      <c r="AH160" s="544"/>
    </row>
    <row r="161" spans="3:34" ht="13.15" customHeight="1" x14ac:dyDescent="0.2">
      <c r="C161" s="31"/>
      <c r="D161" s="117" t="str">
        <f t="shared" si="73"/>
        <v/>
      </c>
      <c r="E161" s="117" t="str">
        <f t="shared" si="73"/>
        <v/>
      </c>
      <c r="F161" s="33" t="str">
        <f t="shared" si="72"/>
        <v/>
      </c>
      <c r="G161" s="118" t="str">
        <f t="shared" si="61"/>
        <v/>
      </c>
      <c r="H161" s="33" t="str">
        <f t="shared" si="62"/>
        <v/>
      </c>
      <c r="I161" s="119" t="str">
        <f t="shared" si="53"/>
        <v/>
      </c>
      <c r="J161" s="120" t="str">
        <f t="shared" si="74"/>
        <v/>
      </c>
      <c r="K161" s="170"/>
      <c r="L161" s="1141">
        <f t="shared" si="75"/>
        <v>0</v>
      </c>
      <c r="M161" s="1141">
        <f t="shared" si="75"/>
        <v>0</v>
      </c>
      <c r="N161" s="804" t="str">
        <f t="shared" si="63"/>
        <v/>
      </c>
      <c r="O161" s="795"/>
      <c r="P161" s="1156" t="str">
        <f t="shared" si="64"/>
        <v/>
      </c>
      <c r="Q161" s="957" t="str">
        <f t="shared" si="65"/>
        <v/>
      </c>
      <c r="R161" s="767" t="str">
        <f t="shared" si="66"/>
        <v/>
      </c>
      <c r="S161" s="966">
        <f t="shared" si="67"/>
        <v>0</v>
      </c>
      <c r="T161" s="116"/>
      <c r="X161" s="760" t="str">
        <f t="shared" si="56"/>
        <v/>
      </c>
      <c r="Y161" s="745">
        <f t="shared" si="68"/>
        <v>0.6</v>
      </c>
      <c r="Z161" s="758" t="e">
        <f t="shared" si="69"/>
        <v>#VALUE!</v>
      </c>
      <c r="AA161" s="758" t="e">
        <f t="shared" si="70"/>
        <v>#VALUE!</v>
      </c>
      <c r="AB161" s="758" t="e">
        <f t="shared" si="71"/>
        <v>#VALUE!</v>
      </c>
      <c r="AC161" s="544" t="e">
        <f t="shared" si="57"/>
        <v>#VALUE!</v>
      </c>
      <c r="AD161" s="544">
        <f t="shared" si="58"/>
        <v>0</v>
      </c>
      <c r="AE161" s="759">
        <f>IF(H161&gt;8,tab!C$194,tab!C$197)</f>
        <v>0.5</v>
      </c>
      <c r="AF161" s="544">
        <f t="shared" si="59"/>
        <v>0</v>
      </c>
      <c r="AG161" s="760">
        <f t="shared" si="60"/>
        <v>0</v>
      </c>
      <c r="AH161" s="544"/>
    </row>
    <row r="162" spans="3:34" ht="13.15" customHeight="1" x14ac:dyDescent="0.2">
      <c r="C162" s="31"/>
      <c r="D162" s="117" t="str">
        <f t="shared" si="73"/>
        <v/>
      </c>
      <c r="E162" s="117" t="str">
        <f t="shared" si="73"/>
        <v/>
      </c>
      <c r="F162" s="33" t="str">
        <f t="shared" si="72"/>
        <v/>
      </c>
      <c r="G162" s="118" t="str">
        <f t="shared" si="61"/>
        <v/>
      </c>
      <c r="H162" s="33" t="str">
        <f t="shared" si="62"/>
        <v/>
      </c>
      <c r="I162" s="119" t="str">
        <f t="shared" si="53"/>
        <v/>
      </c>
      <c r="J162" s="120" t="str">
        <f t="shared" si="74"/>
        <v/>
      </c>
      <c r="K162" s="170"/>
      <c r="L162" s="1141">
        <f t="shared" si="75"/>
        <v>0</v>
      </c>
      <c r="M162" s="1141">
        <f t="shared" si="75"/>
        <v>0</v>
      </c>
      <c r="N162" s="804" t="str">
        <f t="shared" si="63"/>
        <v/>
      </c>
      <c r="O162" s="795"/>
      <c r="P162" s="1156" t="str">
        <f t="shared" si="64"/>
        <v/>
      </c>
      <c r="Q162" s="957" t="str">
        <f t="shared" si="65"/>
        <v/>
      </c>
      <c r="R162" s="767" t="str">
        <f t="shared" si="66"/>
        <v/>
      </c>
      <c r="S162" s="966">
        <f t="shared" si="67"/>
        <v>0</v>
      </c>
      <c r="T162" s="116"/>
      <c r="X162" s="760" t="str">
        <f t="shared" si="56"/>
        <v/>
      </c>
      <c r="Y162" s="745">
        <f t="shared" si="68"/>
        <v>0.6</v>
      </c>
      <c r="Z162" s="758" t="e">
        <f t="shared" si="69"/>
        <v>#VALUE!</v>
      </c>
      <c r="AA162" s="758" t="e">
        <f t="shared" si="70"/>
        <v>#VALUE!</v>
      </c>
      <c r="AB162" s="758" t="e">
        <f t="shared" si="71"/>
        <v>#VALUE!</v>
      </c>
      <c r="AC162" s="544" t="e">
        <f t="shared" si="57"/>
        <v>#VALUE!</v>
      </c>
      <c r="AD162" s="544">
        <f t="shared" si="58"/>
        <v>0</v>
      </c>
      <c r="AE162" s="759">
        <f>IF(H162&gt;8,tab!C$194,tab!C$197)</f>
        <v>0.5</v>
      </c>
      <c r="AF162" s="544">
        <f t="shared" si="59"/>
        <v>0</v>
      </c>
      <c r="AG162" s="760">
        <f t="shared" si="60"/>
        <v>0</v>
      </c>
      <c r="AH162" s="544"/>
    </row>
    <row r="163" spans="3:34" ht="13.15" customHeight="1" x14ac:dyDescent="0.2">
      <c r="C163" s="31"/>
      <c r="D163" s="117" t="str">
        <f t="shared" si="73"/>
        <v/>
      </c>
      <c r="E163" s="117" t="str">
        <f t="shared" si="73"/>
        <v/>
      </c>
      <c r="F163" s="33" t="str">
        <f t="shared" si="72"/>
        <v/>
      </c>
      <c r="G163" s="118" t="str">
        <f t="shared" si="61"/>
        <v/>
      </c>
      <c r="H163" s="33" t="str">
        <f t="shared" si="62"/>
        <v/>
      </c>
      <c r="I163" s="119" t="str">
        <f t="shared" si="53"/>
        <v/>
      </c>
      <c r="J163" s="120" t="str">
        <f t="shared" si="74"/>
        <v/>
      </c>
      <c r="K163" s="170"/>
      <c r="L163" s="1141">
        <f t="shared" si="75"/>
        <v>0</v>
      </c>
      <c r="M163" s="1141">
        <f t="shared" si="75"/>
        <v>0</v>
      </c>
      <c r="N163" s="804" t="str">
        <f t="shared" si="63"/>
        <v/>
      </c>
      <c r="O163" s="795"/>
      <c r="P163" s="1156" t="str">
        <f t="shared" si="64"/>
        <v/>
      </c>
      <c r="Q163" s="957" t="str">
        <f t="shared" si="65"/>
        <v/>
      </c>
      <c r="R163" s="767" t="str">
        <f t="shared" si="66"/>
        <v/>
      </c>
      <c r="S163" s="966">
        <f t="shared" si="67"/>
        <v>0</v>
      </c>
      <c r="T163" s="116"/>
      <c r="X163" s="760" t="str">
        <f t="shared" si="56"/>
        <v/>
      </c>
      <c r="Y163" s="745">
        <f t="shared" si="68"/>
        <v>0.6</v>
      </c>
      <c r="Z163" s="758" t="e">
        <f t="shared" si="69"/>
        <v>#VALUE!</v>
      </c>
      <c r="AA163" s="758" t="e">
        <f t="shared" si="70"/>
        <v>#VALUE!</v>
      </c>
      <c r="AB163" s="758" t="e">
        <f t="shared" si="71"/>
        <v>#VALUE!</v>
      </c>
      <c r="AC163" s="544" t="e">
        <f t="shared" si="57"/>
        <v>#VALUE!</v>
      </c>
      <c r="AD163" s="544">
        <f t="shared" si="58"/>
        <v>0</v>
      </c>
      <c r="AE163" s="759">
        <f>IF(H163&gt;8,tab!C$194,tab!C$197)</f>
        <v>0.5</v>
      </c>
      <c r="AF163" s="544">
        <f t="shared" si="59"/>
        <v>0</v>
      </c>
      <c r="AG163" s="760">
        <f t="shared" si="60"/>
        <v>0</v>
      </c>
      <c r="AH163" s="544"/>
    </row>
    <row r="164" spans="3:34" ht="13.15" customHeight="1" x14ac:dyDescent="0.2">
      <c r="C164" s="31"/>
      <c r="D164" s="117" t="str">
        <f t="shared" si="73"/>
        <v/>
      </c>
      <c r="E164" s="117" t="str">
        <f t="shared" si="73"/>
        <v/>
      </c>
      <c r="F164" s="33" t="str">
        <f t="shared" si="72"/>
        <v/>
      </c>
      <c r="G164" s="118" t="str">
        <f t="shared" si="61"/>
        <v/>
      </c>
      <c r="H164" s="33" t="str">
        <f t="shared" si="62"/>
        <v/>
      </c>
      <c r="I164" s="119" t="str">
        <f t="shared" si="53"/>
        <v/>
      </c>
      <c r="J164" s="120" t="str">
        <f t="shared" si="74"/>
        <v/>
      </c>
      <c r="K164" s="170"/>
      <c r="L164" s="1141">
        <f t="shared" si="75"/>
        <v>0</v>
      </c>
      <c r="M164" s="1141">
        <f t="shared" si="75"/>
        <v>0</v>
      </c>
      <c r="N164" s="804" t="str">
        <f t="shared" si="63"/>
        <v/>
      </c>
      <c r="O164" s="795"/>
      <c r="P164" s="1156" t="str">
        <f t="shared" si="64"/>
        <v/>
      </c>
      <c r="Q164" s="957" t="str">
        <f t="shared" si="65"/>
        <v/>
      </c>
      <c r="R164" s="767" t="str">
        <f t="shared" si="66"/>
        <v/>
      </c>
      <c r="S164" s="966">
        <f t="shared" si="67"/>
        <v>0</v>
      </c>
      <c r="T164" s="116"/>
      <c r="X164" s="760" t="str">
        <f t="shared" si="56"/>
        <v/>
      </c>
      <c r="Y164" s="745">
        <f t="shared" si="68"/>
        <v>0.6</v>
      </c>
      <c r="Z164" s="758" t="e">
        <f t="shared" si="69"/>
        <v>#VALUE!</v>
      </c>
      <c r="AA164" s="758" t="e">
        <f t="shared" si="70"/>
        <v>#VALUE!</v>
      </c>
      <c r="AB164" s="758" t="e">
        <f t="shared" si="71"/>
        <v>#VALUE!</v>
      </c>
      <c r="AC164" s="544" t="e">
        <f t="shared" si="57"/>
        <v>#VALUE!</v>
      </c>
      <c r="AD164" s="544">
        <f t="shared" si="58"/>
        <v>0</v>
      </c>
      <c r="AE164" s="759">
        <f>IF(H164&gt;8,tab!C$194,tab!C$197)</f>
        <v>0.5</v>
      </c>
      <c r="AF164" s="544">
        <f t="shared" si="59"/>
        <v>0</v>
      </c>
      <c r="AG164" s="760">
        <f t="shared" si="60"/>
        <v>0</v>
      </c>
      <c r="AH164" s="544"/>
    </row>
    <row r="165" spans="3:34" ht="13.15" customHeight="1" x14ac:dyDescent="0.2">
      <c r="C165" s="31"/>
      <c r="D165" s="117" t="str">
        <f t="shared" si="73"/>
        <v/>
      </c>
      <c r="E165" s="117" t="str">
        <f t="shared" si="73"/>
        <v/>
      </c>
      <c r="F165" s="33" t="str">
        <f t="shared" si="72"/>
        <v/>
      </c>
      <c r="G165" s="118" t="str">
        <f t="shared" si="61"/>
        <v/>
      </c>
      <c r="H165" s="33" t="str">
        <f t="shared" si="62"/>
        <v/>
      </c>
      <c r="I165" s="119" t="str">
        <f t="shared" si="53"/>
        <v/>
      </c>
      <c r="J165" s="120" t="str">
        <f t="shared" si="74"/>
        <v/>
      </c>
      <c r="K165" s="170"/>
      <c r="L165" s="1141">
        <f t="shared" si="75"/>
        <v>0</v>
      </c>
      <c r="M165" s="1141">
        <f t="shared" si="75"/>
        <v>0</v>
      </c>
      <c r="N165" s="804" t="str">
        <f t="shared" si="63"/>
        <v/>
      </c>
      <c r="O165" s="795"/>
      <c r="P165" s="1156" t="str">
        <f t="shared" si="64"/>
        <v/>
      </c>
      <c r="Q165" s="957" t="str">
        <f t="shared" si="65"/>
        <v/>
      </c>
      <c r="R165" s="767" t="str">
        <f t="shared" si="66"/>
        <v/>
      </c>
      <c r="S165" s="966">
        <f t="shared" si="67"/>
        <v>0</v>
      </c>
      <c r="T165" s="116"/>
      <c r="X165" s="760" t="str">
        <f t="shared" si="56"/>
        <v/>
      </c>
      <c r="Y165" s="745">
        <f t="shared" si="68"/>
        <v>0.6</v>
      </c>
      <c r="Z165" s="758" t="e">
        <f t="shared" si="69"/>
        <v>#VALUE!</v>
      </c>
      <c r="AA165" s="758" t="e">
        <f t="shared" si="70"/>
        <v>#VALUE!</v>
      </c>
      <c r="AB165" s="758" t="e">
        <f t="shared" si="71"/>
        <v>#VALUE!</v>
      </c>
      <c r="AC165" s="544" t="e">
        <f t="shared" si="57"/>
        <v>#VALUE!</v>
      </c>
      <c r="AD165" s="544">
        <f t="shared" si="58"/>
        <v>0</v>
      </c>
      <c r="AE165" s="759">
        <f>IF(H165&gt;8,tab!C$194,tab!C$197)</f>
        <v>0.5</v>
      </c>
      <c r="AF165" s="544">
        <f t="shared" si="59"/>
        <v>0</v>
      </c>
      <c r="AG165" s="760">
        <f t="shared" si="60"/>
        <v>0</v>
      </c>
      <c r="AH165" s="544"/>
    </row>
    <row r="166" spans="3:34" ht="13.15" customHeight="1" x14ac:dyDescent="0.2">
      <c r="C166" s="31"/>
      <c r="D166" s="117" t="str">
        <f t="shared" si="73"/>
        <v/>
      </c>
      <c r="E166" s="117" t="str">
        <f t="shared" si="73"/>
        <v/>
      </c>
      <c r="F166" s="33" t="str">
        <f t="shared" si="72"/>
        <v/>
      </c>
      <c r="G166" s="118" t="str">
        <f t="shared" si="61"/>
        <v/>
      </c>
      <c r="H166" s="33" t="str">
        <f t="shared" si="62"/>
        <v/>
      </c>
      <c r="I166" s="119" t="str">
        <f t="shared" si="53"/>
        <v/>
      </c>
      <c r="J166" s="120" t="str">
        <f t="shared" si="74"/>
        <v/>
      </c>
      <c r="K166" s="170"/>
      <c r="L166" s="1141">
        <f t="shared" si="75"/>
        <v>0</v>
      </c>
      <c r="M166" s="1141">
        <f t="shared" si="75"/>
        <v>0</v>
      </c>
      <c r="N166" s="804" t="str">
        <f t="shared" si="63"/>
        <v/>
      </c>
      <c r="O166" s="795"/>
      <c r="P166" s="1156" t="str">
        <f t="shared" si="64"/>
        <v/>
      </c>
      <c r="Q166" s="957" t="str">
        <f t="shared" si="65"/>
        <v/>
      </c>
      <c r="R166" s="767" t="str">
        <f t="shared" si="66"/>
        <v/>
      </c>
      <c r="S166" s="966">
        <f t="shared" si="67"/>
        <v>0</v>
      </c>
      <c r="T166" s="116"/>
      <c r="X166" s="760" t="str">
        <f t="shared" si="56"/>
        <v/>
      </c>
      <c r="Y166" s="745">
        <f t="shared" si="68"/>
        <v>0.6</v>
      </c>
      <c r="Z166" s="758" t="e">
        <f t="shared" si="69"/>
        <v>#VALUE!</v>
      </c>
      <c r="AA166" s="758" t="e">
        <f t="shared" si="70"/>
        <v>#VALUE!</v>
      </c>
      <c r="AB166" s="758" t="e">
        <f t="shared" si="71"/>
        <v>#VALUE!</v>
      </c>
      <c r="AC166" s="544" t="e">
        <f t="shared" si="57"/>
        <v>#VALUE!</v>
      </c>
      <c r="AD166" s="544">
        <f t="shared" si="58"/>
        <v>0</v>
      </c>
      <c r="AE166" s="759">
        <f>IF(H166&gt;8,tab!C$194,tab!C$197)</f>
        <v>0.5</v>
      </c>
      <c r="AF166" s="544">
        <f t="shared" si="59"/>
        <v>0</v>
      </c>
      <c r="AG166" s="760">
        <f t="shared" si="60"/>
        <v>0</v>
      </c>
      <c r="AH166" s="544"/>
    </row>
    <row r="167" spans="3:34" ht="13.15" customHeight="1" x14ac:dyDescent="0.2">
      <c r="C167" s="31"/>
      <c r="D167" s="117" t="str">
        <f t="shared" si="73"/>
        <v/>
      </c>
      <c r="E167" s="117" t="str">
        <f t="shared" si="73"/>
        <v/>
      </c>
      <c r="F167" s="33" t="str">
        <f t="shared" si="72"/>
        <v/>
      </c>
      <c r="G167" s="118" t="str">
        <f t="shared" si="61"/>
        <v/>
      </c>
      <c r="H167" s="33" t="str">
        <f t="shared" si="62"/>
        <v/>
      </c>
      <c r="I167" s="119" t="str">
        <f t="shared" si="53"/>
        <v/>
      </c>
      <c r="J167" s="120" t="str">
        <f t="shared" si="74"/>
        <v/>
      </c>
      <c r="K167" s="170"/>
      <c r="L167" s="1141">
        <f t="shared" si="75"/>
        <v>0</v>
      </c>
      <c r="M167" s="1141">
        <f t="shared" si="75"/>
        <v>0</v>
      </c>
      <c r="N167" s="804" t="str">
        <f t="shared" si="63"/>
        <v/>
      </c>
      <c r="O167" s="795"/>
      <c r="P167" s="1156" t="str">
        <f t="shared" si="64"/>
        <v/>
      </c>
      <c r="Q167" s="957" t="str">
        <f t="shared" si="65"/>
        <v/>
      </c>
      <c r="R167" s="767" t="str">
        <f t="shared" si="66"/>
        <v/>
      </c>
      <c r="S167" s="966">
        <f t="shared" si="67"/>
        <v>0</v>
      </c>
      <c r="T167" s="116"/>
      <c r="X167" s="760" t="str">
        <f t="shared" si="56"/>
        <v/>
      </c>
      <c r="Y167" s="745">
        <f t="shared" si="68"/>
        <v>0.6</v>
      </c>
      <c r="Z167" s="758" t="e">
        <f t="shared" si="69"/>
        <v>#VALUE!</v>
      </c>
      <c r="AA167" s="758" t="e">
        <f t="shared" si="70"/>
        <v>#VALUE!</v>
      </c>
      <c r="AB167" s="758" t="e">
        <f t="shared" si="71"/>
        <v>#VALUE!</v>
      </c>
      <c r="AC167" s="544" t="e">
        <f t="shared" si="57"/>
        <v>#VALUE!</v>
      </c>
      <c r="AD167" s="544">
        <f t="shared" si="58"/>
        <v>0</v>
      </c>
      <c r="AE167" s="759">
        <f>IF(H167&gt;8,tab!C$194,tab!C$197)</f>
        <v>0.5</v>
      </c>
      <c r="AF167" s="544">
        <f t="shared" si="59"/>
        <v>0</v>
      </c>
      <c r="AG167" s="760">
        <f t="shared" si="60"/>
        <v>0</v>
      </c>
      <c r="AH167" s="544"/>
    </row>
    <row r="168" spans="3:34" ht="13.15" customHeight="1" x14ac:dyDescent="0.2">
      <c r="C168" s="31"/>
      <c r="D168" s="117" t="str">
        <f t="shared" si="73"/>
        <v/>
      </c>
      <c r="E168" s="117" t="str">
        <f t="shared" si="73"/>
        <v/>
      </c>
      <c r="F168" s="33" t="str">
        <f t="shared" si="72"/>
        <v/>
      </c>
      <c r="G168" s="118" t="str">
        <f t="shared" si="61"/>
        <v/>
      </c>
      <c r="H168" s="33" t="str">
        <f t="shared" si="62"/>
        <v/>
      </c>
      <c r="I168" s="119" t="str">
        <f t="shared" si="53"/>
        <v/>
      </c>
      <c r="J168" s="120" t="str">
        <f t="shared" si="74"/>
        <v/>
      </c>
      <c r="K168" s="170"/>
      <c r="L168" s="1141">
        <f t="shared" si="75"/>
        <v>0</v>
      </c>
      <c r="M168" s="1141">
        <f t="shared" si="75"/>
        <v>0</v>
      </c>
      <c r="N168" s="804" t="str">
        <f t="shared" si="63"/>
        <v/>
      </c>
      <c r="O168" s="795"/>
      <c r="P168" s="1156" t="str">
        <f t="shared" si="64"/>
        <v/>
      </c>
      <c r="Q168" s="957" t="str">
        <f t="shared" si="65"/>
        <v/>
      </c>
      <c r="R168" s="767" t="str">
        <f t="shared" si="66"/>
        <v/>
      </c>
      <c r="S168" s="966">
        <f t="shared" si="67"/>
        <v>0</v>
      </c>
      <c r="T168" s="116"/>
      <c r="X168" s="760" t="str">
        <f t="shared" si="56"/>
        <v/>
      </c>
      <c r="Y168" s="745">
        <f t="shared" si="68"/>
        <v>0.6</v>
      </c>
      <c r="Z168" s="758" t="e">
        <f t="shared" si="69"/>
        <v>#VALUE!</v>
      </c>
      <c r="AA168" s="758" t="e">
        <f t="shared" si="70"/>
        <v>#VALUE!</v>
      </c>
      <c r="AB168" s="758" t="e">
        <f t="shared" si="71"/>
        <v>#VALUE!</v>
      </c>
      <c r="AC168" s="544" t="e">
        <f t="shared" si="57"/>
        <v>#VALUE!</v>
      </c>
      <c r="AD168" s="544">
        <f t="shared" si="58"/>
        <v>0</v>
      </c>
      <c r="AE168" s="759">
        <f>IF(H168&gt;8,tab!C$194,tab!C$197)</f>
        <v>0.5</v>
      </c>
      <c r="AF168" s="544">
        <f t="shared" si="59"/>
        <v>0</v>
      </c>
      <c r="AG168" s="760">
        <f t="shared" si="60"/>
        <v>0</v>
      </c>
      <c r="AH168" s="544"/>
    </row>
    <row r="169" spans="3:34" ht="13.15" customHeight="1" x14ac:dyDescent="0.2">
      <c r="C169" s="31"/>
      <c r="D169" s="117" t="str">
        <f t="shared" si="73"/>
        <v/>
      </c>
      <c r="E169" s="117" t="str">
        <f t="shared" si="73"/>
        <v/>
      </c>
      <c r="F169" s="33" t="str">
        <f t="shared" si="72"/>
        <v/>
      </c>
      <c r="G169" s="118" t="str">
        <f t="shared" si="61"/>
        <v/>
      </c>
      <c r="H169" s="33" t="str">
        <f t="shared" si="62"/>
        <v/>
      </c>
      <c r="I169" s="119" t="str">
        <f t="shared" si="53"/>
        <v/>
      </c>
      <c r="J169" s="120" t="str">
        <f t="shared" si="74"/>
        <v/>
      </c>
      <c r="K169" s="170"/>
      <c r="L169" s="1141">
        <f t="shared" si="75"/>
        <v>0</v>
      </c>
      <c r="M169" s="1141">
        <f t="shared" si="75"/>
        <v>0</v>
      </c>
      <c r="N169" s="804" t="str">
        <f t="shared" si="63"/>
        <v/>
      </c>
      <c r="O169" s="795"/>
      <c r="P169" s="1156" t="str">
        <f t="shared" si="64"/>
        <v/>
      </c>
      <c r="Q169" s="957" t="str">
        <f t="shared" si="65"/>
        <v/>
      </c>
      <c r="R169" s="767" t="str">
        <f t="shared" si="66"/>
        <v/>
      </c>
      <c r="S169" s="966">
        <f t="shared" si="67"/>
        <v>0</v>
      </c>
      <c r="T169" s="116"/>
      <c r="X169" s="760" t="str">
        <f t="shared" si="56"/>
        <v/>
      </c>
      <c r="Y169" s="745">
        <f t="shared" si="68"/>
        <v>0.6</v>
      </c>
      <c r="Z169" s="758" t="e">
        <f t="shared" si="69"/>
        <v>#VALUE!</v>
      </c>
      <c r="AA169" s="758" t="e">
        <f t="shared" si="70"/>
        <v>#VALUE!</v>
      </c>
      <c r="AB169" s="758" t="e">
        <f t="shared" si="71"/>
        <v>#VALUE!</v>
      </c>
      <c r="AC169" s="544" t="e">
        <f t="shared" si="57"/>
        <v>#VALUE!</v>
      </c>
      <c r="AD169" s="544">
        <f t="shared" si="58"/>
        <v>0</v>
      </c>
      <c r="AE169" s="759">
        <f>IF(H169&gt;8,tab!C$194,tab!C$197)</f>
        <v>0.5</v>
      </c>
      <c r="AF169" s="544">
        <f t="shared" si="59"/>
        <v>0</v>
      </c>
      <c r="AG169" s="760">
        <f t="shared" si="60"/>
        <v>0</v>
      </c>
      <c r="AH169" s="544"/>
    </row>
    <row r="170" spans="3:34" ht="13.15" customHeight="1" x14ac:dyDescent="0.2">
      <c r="C170" s="31"/>
      <c r="D170" s="117" t="str">
        <f t="shared" si="73"/>
        <v/>
      </c>
      <c r="E170" s="117" t="str">
        <f t="shared" si="73"/>
        <v/>
      </c>
      <c r="F170" s="33" t="str">
        <f t="shared" si="72"/>
        <v/>
      </c>
      <c r="G170" s="118" t="str">
        <f t="shared" si="61"/>
        <v/>
      </c>
      <c r="H170" s="33" t="str">
        <f t="shared" si="62"/>
        <v/>
      </c>
      <c r="I170" s="119" t="str">
        <f t="shared" si="53"/>
        <v/>
      </c>
      <c r="J170" s="120" t="str">
        <f t="shared" si="74"/>
        <v/>
      </c>
      <c r="K170" s="170"/>
      <c r="L170" s="1141">
        <f t="shared" si="75"/>
        <v>0</v>
      </c>
      <c r="M170" s="1141">
        <f t="shared" si="75"/>
        <v>0</v>
      </c>
      <c r="N170" s="804" t="str">
        <f t="shared" si="63"/>
        <v/>
      </c>
      <c r="O170" s="795"/>
      <c r="P170" s="1156" t="str">
        <f t="shared" si="64"/>
        <v/>
      </c>
      <c r="Q170" s="957" t="str">
        <f t="shared" si="65"/>
        <v/>
      </c>
      <c r="R170" s="767" t="str">
        <f t="shared" si="66"/>
        <v/>
      </c>
      <c r="S170" s="966">
        <f t="shared" si="67"/>
        <v>0</v>
      </c>
      <c r="T170" s="116"/>
      <c r="X170" s="760" t="str">
        <f t="shared" si="56"/>
        <v/>
      </c>
      <c r="Y170" s="745">
        <f t="shared" si="68"/>
        <v>0.6</v>
      </c>
      <c r="Z170" s="758" t="e">
        <f t="shared" si="69"/>
        <v>#VALUE!</v>
      </c>
      <c r="AA170" s="758" t="e">
        <f t="shared" si="70"/>
        <v>#VALUE!</v>
      </c>
      <c r="AB170" s="758" t="e">
        <f t="shared" si="71"/>
        <v>#VALUE!</v>
      </c>
      <c r="AC170" s="544" t="e">
        <f t="shared" si="57"/>
        <v>#VALUE!</v>
      </c>
      <c r="AD170" s="544">
        <f t="shared" si="58"/>
        <v>0</v>
      </c>
      <c r="AE170" s="759">
        <f>IF(H170&gt;8,tab!C$194,tab!C$197)</f>
        <v>0.5</v>
      </c>
      <c r="AF170" s="544">
        <f t="shared" si="59"/>
        <v>0</v>
      </c>
      <c r="AG170" s="760">
        <f t="shared" si="60"/>
        <v>0</v>
      </c>
      <c r="AH170" s="544"/>
    </row>
    <row r="171" spans="3:34" ht="13.15" customHeight="1" x14ac:dyDescent="0.2">
      <c r="C171" s="31"/>
      <c r="D171" s="117" t="str">
        <f t="shared" si="73"/>
        <v/>
      </c>
      <c r="E171" s="117" t="str">
        <f t="shared" si="73"/>
        <v/>
      </c>
      <c r="F171" s="33" t="str">
        <f t="shared" si="72"/>
        <v/>
      </c>
      <c r="G171" s="118" t="str">
        <f t="shared" si="61"/>
        <v/>
      </c>
      <c r="H171" s="33" t="str">
        <f t="shared" si="62"/>
        <v/>
      </c>
      <c r="I171" s="119" t="str">
        <f t="shared" ref="I171:I188" si="76">IF(E171="","",IF(I109+1&gt;VLOOKUP(H171,Salaris2021,22,FALSE),I109,I109+1))</f>
        <v/>
      </c>
      <c r="J171" s="120" t="str">
        <f t="shared" si="74"/>
        <v/>
      </c>
      <c r="K171" s="170"/>
      <c r="L171" s="1141">
        <f t="shared" si="75"/>
        <v>0</v>
      </c>
      <c r="M171" s="1141">
        <f t="shared" si="75"/>
        <v>0</v>
      </c>
      <c r="N171" s="804" t="str">
        <f t="shared" si="63"/>
        <v/>
      </c>
      <c r="O171" s="795"/>
      <c r="P171" s="1156" t="str">
        <f t="shared" si="64"/>
        <v/>
      </c>
      <c r="Q171" s="957" t="str">
        <f t="shared" si="65"/>
        <v/>
      </c>
      <c r="R171" s="767" t="str">
        <f t="shared" si="66"/>
        <v/>
      </c>
      <c r="S171" s="966">
        <f t="shared" si="67"/>
        <v>0</v>
      </c>
      <c r="T171" s="116"/>
      <c r="X171" s="760" t="str">
        <f t="shared" ref="X171:X188" si="77">IF(H171="","",VLOOKUP(H171,Salaris2021,I171+1,FALSE))</f>
        <v/>
      </c>
      <c r="Y171" s="745">
        <f t="shared" si="68"/>
        <v>0.6</v>
      </c>
      <c r="Z171" s="758" t="e">
        <f t="shared" si="69"/>
        <v>#VALUE!</v>
      </c>
      <c r="AA171" s="758" t="e">
        <f t="shared" si="70"/>
        <v>#VALUE!</v>
      </c>
      <c r="AB171" s="758" t="e">
        <f t="shared" si="71"/>
        <v>#VALUE!</v>
      </c>
      <c r="AC171" s="544" t="e">
        <f t="shared" ref="AC171:AC188" si="78">N171+O171</f>
        <v>#VALUE!</v>
      </c>
      <c r="AD171" s="544">
        <f t="shared" ref="AD171:AD188" si="79">L171+M171</f>
        <v>0</v>
      </c>
      <c r="AE171" s="759">
        <f>IF(H171&gt;8,tab!C$194,tab!C$197)</f>
        <v>0.5</v>
      </c>
      <c r="AF171" s="544">
        <f t="shared" ref="AF171:AF188" si="80">IF(F171&lt;25,0,IF(F171=25,25,IF(F171&lt;40,0,IF(F171=40,40,IF(F171&gt;=40,0)))))</f>
        <v>0</v>
      </c>
      <c r="AG171" s="760">
        <f t="shared" ref="AG171:AG188" si="81">IF(AF171=25,(X171*1.08*(J171)/2),IF(AF171=40,(V171*1.08*(J171)),IF(AF171=0,0)))</f>
        <v>0</v>
      </c>
      <c r="AH171" s="544"/>
    </row>
    <row r="172" spans="3:34" ht="13.15" customHeight="1" x14ac:dyDescent="0.2">
      <c r="C172" s="31"/>
      <c r="D172" s="117" t="str">
        <f t="shared" si="73"/>
        <v/>
      </c>
      <c r="E172" s="117" t="str">
        <f t="shared" si="73"/>
        <v/>
      </c>
      <c r="F172" s="33" t="str">
        <f t="shared" si="72"/>
        <v/>
      </c>
      <c r="G172" s="118" t="str">
        <f t="shared" si="61"/>
        <v/>
      </c>
      <c r="H172" s="33" t="str">
        <f t="shared" si="62"/>
        <v/>
      </c>
      <c r="I172" s="119" t="str">
        <f t="shared" si="76"/>
        <v/>
      </c>
      <c r="J172" s="120" t="str">
        <f t="shared" si="74"/>
        <v/>
      </c>
      <c r="K172" s="170"/>
      <c r="L172" s="1141">
        <f t="shared" si="75"/>
        <v>0</v>
      </c>
      <c r="M172" s="1141">
        <f t="shared" si="75"/>
        <v>0</v>
      </c>
      <c r="N172" s="804" t="str">
        <f t="shared" si="63"/>
        <v/>
      </c>
      <c r="O172" s="795"/>
      <c r="P172" s="1156" t="str">
        <f t="shared" si="64"/>
        <v/>
      </c>
      <c r="Q172" s="957" t="str">
        <f t="shared" si="65"/>
        <v/>
      </c>
      <c r="R172" s="767" t="str">
        <f t="shared" si="66"/>
        <v/>
      </c>
      <c r="S172" s="966">
        <f t="shared" si="67"/>
        <v>0</v>
      </c>
      <c r="T172" s="116"/>
      <c r="X172" s="760" t="str">
        <f t="shared" si="77"/>
        <v/>
      </c>
      <c r="Y172" s="745">
        <f t="shared" si="68"/>
        <v>0.6</v>
      </c>
      <c r="Z172" s="758" t="e">
        <f t="shared" si="69"/>
        <v>#VALUE!</v>
      </c>
      <c r="AA172" s="758" t="e">
        <f t="shared" si="70"/>
        <v>#VALUE!</v>
      </c>
      <c r="AB172" s="758" t="e">
        <f t="shared" si="71"/>
        <v>#VALUE!</v>
      </c>
      <c r="AC172" s="544" t="e">
        <f t="shared" si="78"/>
        <v>#VALUE!</v>
      </c>
      <c r="AD172" s="544">
        <f t="shared" si="79"/>
        <v>0</v>
      </c>
      <c r="AE172" s="759">
        <f>IF(H172&gt;8,tab!C$194,tab!C$197)</f>
        <v>0.5</v>
      </c>
      <c r="AF172" s="544">
        <f t="shared" si="80"/>
        <v>0</v>
      </c>
      <c r="AG172" s="760">
        <f t="shared" si="81"/>
        <v>0</v>
      </c>
      <c r="AH172" s="544"/>
    </row>
    <row r="173" spans="3:34" ht="13.15" customHeight="1" x14ac:dyDescent="0.2">
      <c r="C173" s="31"/>
      <c r="D173" s="117" t="str">
        <f t="shared" si="73"/>
        <v/>
      </c>
      <c r="E173" s="117" t="str">
        <f t="shared" si="73"/>
        <v/>
      </c>
      <c r="F173" s="33" t="str">
        <f t="shared" si="72"/>
        <v/>
      </c>
      <c r="G173" s="118" t="str">
        <f t="shared" si="61"/>
        <v/>
      </c>
      <c r="H173" s="33" t="str">
        <f t="shared" si="62"/>
        <v/>
      </c>
      <c r="I173" s="119" t="str">
        <f t="shared" si="76"/>
        <v/>
      </c>
      <c r="J173" s="120" t="str">
        <f t="shared" si="74"/>
        <v/>
      </c>
      <c r="K173" s="170"/>
      <c r="L173" s="1141">
        <f t="shared" si="75"/>
        <v>0</v>
      </c>
      <c r="M173" s="1141">
        <f t="shared" si="75"/>
        <v>0</v>
      </c>
      <c r="N173" s="804" t="str">
        <f t="shared" si="63"/>
        <v/>
      </c>
      <c r="O173" s="795"/>
      <c r="P173" s="1156" t="str">
        <f t="shared" si="64"/>
        <v/>
      </c>
      <c r="Q173" s="957" t="str">
        <f t="shared" si="65"/>
        <v/>
      </c>
      <c r="R173" s="767" t="str">
        <f t="shared" si="66"/>
        <v/>
      </c>
      <c r="S173" s="966">
        <f t="shared" si="67"/>
        <v>0</v>
      </c>
      <c r="T173" s="116"/>
      <c r="X173" s="760" t="str">
        <f t="shared" si="77"/>
        <v/>
      </c>
      <c r="Y173" s="745">
        <f t="shared" si="68"/>
        <v>0.6</v>
      </c>
      <c r="Z173" s="758" t="e">
        <f t="shared" si="69"/>
        <v>#VALUE!</v>
      </c>
      <c r="AA173" s="758" t="e">
        <f t="shared" si="70"/>
        <v>#VALUE!</v>
      </c>
      <c r="AB173" s="758" t="e">
        <f t="shared" si="71"/>
        <v>#VALUE!</v>
      </c>
      <c r="AC173" s="544" t="e">
        <f t="shared" si="78"/>
        <v>#VALUE!</v>
      </c>
      <c r="AD173" s="544">
        <f t="shared" si="79"/>
        <v>0</v>
      </c>
      <c r="AE173" s="759">
        <f>IF(H173&gt;8,tab!C$194,tab!C$197)</f>
        <v>0.5</v>
      </c>
      <c r="AF173" s="544">
        <f t="shared" si="80"/>
        <v>0</v>
      </c>
      <c r="AG173" s="760">
        <f t="shared" si="81"/>
        <v>0</v>
      </c>
      <c r="AH173" s="544"/>
    </row>
    <row r="174" spans="3:34" ht="13.15" customHeight="1" x14ac:dyDescent="0.2">
      <c r="C174" s="31"/>
      <c r="D174" s="117" t="str">
        <f t="shared" si="73"/>
        <v/>
      </c>
      <c r="E174" s="117" t="str">
        <f t="shared" si="73"/>
        <v/>
      </c>
      <c r="F174" s="33" t="str">
        <f t="shared" si="72"/>
        <v/>
      </c>
      <c r="G174" s="118" t="str">
        <f t="shared" si="61"/>
        <v/>
      </c>
      <c r="H174" s="33" t="str">
        <f t="shared" si="62"/>
        <v/>
      </c>
      <c r="I174" s="119" t="str">
        <f t="shared" si="76"/>
        <v/>
      </c>
      <c r="J174" s="120" t="str">
        <f t="shared" si="74"/>
        <v/>
      </c>
      <c r="K174" s="170"/>
      <c r="L174" s="1141">
        <f t="shared" si="75"/>
        <v>0</v>
      </c>
      <c r="M174" s="1141">
        <f t="shared" si="75"/>
        <v>0</v>
      </c>
      <c r="N174" s="804" t="str">
        <f t="shared" si="63"/>
        <v/>
      </c>
      <c r="O174" s="795"/>
      <c r="P174" s="1156" t="str">
        <f t="shared" si="64"/>
        <v/>
      </c>
      <c r="Q174" s="957" t="str">
        <f t="shared" si="65"/>
        <v/>
      </c>
      <c r="R174" s="767" t="str">
        <f t="shared" si="66"/>
        <v/>
      </c>
      <c r="S174" s="966">
        <f t="shared" si="67"/>
        <v>0</v>
      </c>
      <c r="T174" s="116"/>
      <c r="X174" s="760" t="str">
        <f t="shared" si="77"/>
        <v/>
      </c>
      <c r="Y174" s="745">
        <f t="shared" si="68"/>
        <v>0.6</v>
      </c>
      <c r="Z174" s="758" t="e">
        <f t="shared" si="69"/>
        <v>#VALUE!</v>
      </c>
      <c r="AA174" s="758" t="e">
        <f t="shared" si="70"/>
        <v>#VALUE!</v>
      </c>
      <c r="AB174" s="758" t="e">
        <f t="shared" si="71"/>
        <v>#VALUE!</v>
      </c>
      <c r="AC174" s="544" t="e">
        <f t="shared" si="78"/>
        <v>#VALUE!</v>
      </c>
      <c r="AD174" s="544">
        <f t="shared" si="79"/>
        <v>0</v>
      </c>
      <c r="AE174" s="759">
        <f>IF(H174&gt;8,tab!C$194,tab!C$197)</f>
        <v>0.5</v>
      </c>
      <c r="AF174" s="544">
        <f t="shared" si="80"/>
        <v>0</v>
      </c>
      <c r="AG174" s="760">
        <f t="shared" si="81"/>
        <v>0</v>
      </c>
      <c r="AH174" s="544"/>
    </row>
    <row r="175" spans="3:34" ht="13.15" customHeight="1" x14ac:dyDescent="0.2">
      <c r="C175" s="31"/>
      <c r="D175" s="117" t="str">
        <f t="shared" si="73"/>
        <v/>
      </c>
      <c r="E175" s="117" t="str">
        <f t="shared" si="73"/>
        <v/>
      </c>
      <c r="F175" s="33" t="str">
        <f t="shared" si="72"/>
        <v/>
      </c>
      <c r="G175" s="118" t="str">
        <f t="shared" si="61"/>
        <v/>
      </c>
      <c r="H175" s="33" t="str">
        <f t="shared" si="62"/>
        <v/>
      </c>
      <c r="I175" s="119" t="str">
        <f t="shared" si="76"/>
        <v/>
      </c>
      <c r="J175" s="120" t="str">
        <f t="shared" si="74"/>
        <v/>
      </c>
      <c r="K175" s="170"/>
      <c r="L175" s="1141">
        <f t="shared" si="75"/>
        <v>0</v>
      </c>
      <c r="M175" s="1141">
        <f t="shared" si="75"/>
        <v>0</v>
      </c>
      <c r="N175" s="804" t="str">
        <f t="shared" si="63"/>
        <v/>
      </c>
      <c r="O175" s="795"/>
      <c r="P175" s="1156" t="str">
        <f t="shared" si="64"/>
        <v/>
      </c>
      <c r="Q175" s="957" t="str">
        <f t="shared" si="65"/>
        <v/>
      </c>
      <c r="R175" s="767" t="str">
        <f t="shared" si="66"/>
        <v/>
      </c>
      <c r="S175" s="966">
        <f t="shared" si="67"/>
        <v>0</v>
      </c>
      <c r="T175" s="116"/>
      <c r="X175" s="760" t="str">
        <f t="shared" si="77"/>
        <v/>
      </c>
      <c r="Y175" s="745">
        <f t="shared" si="68"/>
        <v>0.6</v>
      </c>
      <c r="Z175" s="758" t="e">
        <f t="shared" si="69"/>
        <v>#VALUE!</v>
      </c>
      <c r="AA175" s="758" t="e">
        <f t="shared" si="70"/>
        <v>#VALUE!</v>
      </c>
      <c r="AB175" s="758" t="e">
        <f t="shared" si="71"/>
        <v>#VALUE!</v>
      </c>
      <c r="AC175" s="544" t="e">
        <f t="shared" si="78"/>
        <v>#VALUE!</v>
      </c>
      <c r="AD175" s="544">
        <f t="shared" si="79"/>
        <v>0</v>
      </c>
      <c r="AE175" s="759">
        <f>IF(H175&gt;8,tab!C$194,tab!C$197)</f>
        <v>0.5</v>
      </c>
      <c r="AF175" s="544">
        <f t="shared" si="80"/>
        <v>0</v>
      </c>
      <c r="AG175" s="760">
        <f t="shared" si="81"/>
        <v>0</v>
      </c>
      <c r="AH175" s="544"/>
    </row>
    <row r="176" spans="3:34" ht="13.15" customHeight="1" x14ac:dyDescent="0.2">
      <c r="C176" s="31"/>
      <c r="D176" s="117" t="str">
        <f t="shared" si="73"/>
        <v/>
      </c>
      <c r="E176" s="117" t="str">
        <f t="shared" si="73"/>
        <v/>
      </c>
      <c r="F176" s="33" t="str">
        <f t="shared" si="72"/>
        <v/>
      </c>
      <c r="G176" s="118" t="str">
        <f t="shared" si="61"/>
        <v/>
      </c>
      <c r="H176" s="33" t="str">
        <f t="shared" si="62"/>
        <v/>
      </c>
      <c r="I176" s="119" t="str">
        <f t="shared" si="76"/>
        <v/>
      </c>
      <c r="J176" s="120" t="str">
        <f t="shared" si="74"/>
        <v/>
      </c>
      <c r="K176" s="170"/>
      <c r="L176" s="1141">
        <f t="shared" si="75"/>
        <v>0</v>
      </c>
      <c r="M176" s="1141">
        <f t="shared" si="75"/>
        <v>0</v>
      </c>
      <c r="N176" s="804" t="str">
        <f t="shared" si="63"/>
        <v/>
      </c>
      <c r="O176" s="795"/>
      <c r="P176" s="1156" t="str">
        <f t="shared" si="64"/>
        <v/>
      </c>
      <c r="Q176" s="957" t="str">
        <f t="shared" si="65"/>
        <v/>
      </c>
      <c r="R176" s="767" t="str">
        <f t="shared" si="66"/>
        <v/>
      </c>
      <c r="S176" s="966">
        <f t="shared" si="67"/>
        <v>0</v>
      </c>
      <c r="T176" s="116"/>
      <c r="X176" s="760" t="str">
        <f t="shared" si="77"/>
        <v/>
      </c>
      <c r="Y176" s="745">
        <f t="shared" si="68"/>
        <v>0.6</v>
      </c>
      <c r="Z176" s="758" t="e">
        <f t="shared" si="69"/>
        <v>#VALUE!</v>
      </c>
      <c r="AA176" s="758" t="e">
        <f t="shared" si="70"/>
        <v>#VALUE!</v>
      </c>
      <c r="AB176" s="758" t="e">
        <f t="shared" si="71"/>
        <v>#VALUE!</v>
      </c>
      <c r="AC176" s="544" t="e">
        <f t="shared" si="78"/>
        <v>#VALUE!</v>
      </c>
      <c r="AD176" s="544">
        <f t="shared" si="79"/>
        <v>0</v>
      </c>
      <c r="AE176" s="759">
        <f>IF(H176&gt;8,tab!C$194,tab!C$197)</f>
        <v>0.5</v>
      </c>
      <c r="AF176" s="544">
        <f t="shared" si="80"/>
        <v>0</v>
      </c>
      <c r="AG176" s="760">
        <f t="shared" si="81"/>
        <v>0</v>
      </c>
      <c r="AH176" s="544"/>
    </row>
    <row r="177" spans="3:34" ht="13.15" customHeight="1" x14ac:dyDescent="0.2">
      <c r="C177" s="31"/>
      <c r="D177" s="117" t="str">
        <f t="shared" si="73"/>
        <v/>
      </c>
      <c r="E177" s="117" t="str">
        <f t="shared" si="73"/>
        <v/>
      </c>
      <c r="F177" s="33" t="str">
        <f t="shared" si="72"/>
        <v/>
      </c>
      <c r="G177" s="118" t="str">
        <f t="shared" si="61"/>
        <v/>
      </c>
      <c r="H177" s="33" t="str">
        <f t="shared" si="62"/>
        <v/>
      </c>
      <c r="I177" s="119" t="str">
        <f t="shared" si="76"/>
        <v/>
      </c>
      <c r="J177" s="120" t="str">
        <f t="shared" si="74"/>
        <v/>
      </c>
      <c r="K177" s="170"/>
      <c r="L177" s="1141">
        <f t="shared" si="75"/>
        <v>0</v>
      </c>
      <c r="M177" s="1141">
        <f t="shared" si="75"/>
        <v>0</v>
      </c>
      <c r="N177" s="804" t="str">
        <f t="shared" si="63"/>
        <v/>
      </c>
      <c r="O177" s="795"/>
      <c r="P177" s="1156" t="str">
        <f t="shared" si="64"/>
        <v/>
      </c>
      <c r="Q177" s="957" t="str">
        <f t="shared" si="65"/>
        <v/>
      </c>
      <c r="R177" s="767" t="str">
        <f t="shared" si="66"/>
        <v/>
      </c>
      <c r="S177" s="966">
        <f t="shared" si="67"/>
        <v>0</v>
      </c>
      <c r="T177" s="116"/>
      <c r="X177" s="760" t="str">
        <f t="shared" si="77"/>
        <v/>
      </c>
      <c r="Y177" s="745">
        <f t="shared" si="68"/>
        <v>0.6</v>
      </c>
      <c r="Z177" s="758" t="e">
        <f t="shared" si="69"/>
        <v>#VALUE!</v>
      </c>
      <c r="AA177" s="758" t="e">
        <f t="shared" si="70"/>
        <v>#VALUE!</v>
      </c>
      <c r="AB177" s="758" t="e">
        <f t="shared" si="71"/>
        <v>#VALUE!</v>
      </c>
      <c r="AC177" s="544" t="e">
        <f t="shared" si="78"/>
        <v>#VALUE!</v>
      </c>
      <c r="AD177" s="544">
        <f t="shared" si="79"/>
        <v>0</v>
      </c>
      <c r="AE177" s="759">
        <f>IF(H177&gt;8,tab!C$194,tab!C$197)</f>
        <v>0.5</v>
      </c>
      <c r="AF177" s="544">
        <f t="shared" si="80"/>
        <v>0</v>
      </c>
      <c r="AG177" s="760">
        <f t="shared" si="81"/>
        <v>0</v>
      </c>
      <c r="AH177" s="544"/>
    </row>
    <row r="178" spans="3:34" ht="13.15" customHeight="1" x14ac:dyDescent="0.2">
      <c r="C178" s="31"/>
      <c r="D178" s="117" t="str">
        <f t="shared" si="73"/>
        <v/>
      </c>
      <c r="E178" s="117" t="str">
        <f t="shared" si="73"/>
        <v/>
      </c>
      <c r="F178" s="33" t="str">
        <f t="shared" si="72"/>
        <v/>
      </c>
      <c r="G178" s="118" t="str">
        <f t="shared" si="61"/>
        <v/>
      </c>
      <c r="H178" s="33" t="str">
        <f t="shared" si="62"/>
        <v/>
      </c>
      <c r="I178" s="119" t="str">
        <f t="shared" si="76"/>
        <v/>
      </c>
      <c r="J178" s="120" t="str">
        <f t="shared" si="74"/>
        <v/>
      </c>
      <c r="K178" s="170"/>
      <c r="L178" s="1141">
        <f t="shared" si="75"/>
        <v>0</v>
      </c>
      <c r="M178" s="1141">
        <f t="shared" si="75"/>
        <v>0</v>
      </c>
      <c r="N178" s="804" t="str">
        <f t="shared" si="63"/>
        <v/>
      </c>
      <c r="O178" s="795"/>
      <c r="P178" s="1156" t="str">
        <f t="shared" si="64"/>
        <v/>
      </c>
      <c r="Q178" s="957" t="str">
        <f t="shared" si="65"/>
        <v/>
      </c>
      <c r="R178" s="767" t="str">
        <f t="shared" si="66"/>
        <v/>
      </c>
      <c r="S178" s="966">
        <f t="shared" si="67"/>
        <v>0</v>
      </c>
      <c r="T178" s="116"/>
      <c r="X178" s="760" t="str">
        <f t="shared" si="77"/>
        <v/>
      </c>
      <c r="Y178" s="745">
        <f t="shared" si="68"/>
        <v>0.6</v>
      </c>
      <c r="Z178" s="758" t="e">
        <f t="shared" si="69"/>
        <v>#VALUE!</v>
      </c>
      <c r="AA178" s="758" t="e">
        <f t="shared" si="70"/>
        <v>#VALUE!</v>
      </c>
      <c r="AB178" s="758" t="e">
        <f t="shared" si="71"/>
        <v>#VALUE!</v>
      </c>
      <c r="AC178" s="544" t="e">
        <f t="shared" si="78"/>
        <v>#VALUE!</v>
      </c>
      <c r="AD178" s="544">
        <f t="shared" si="79"/>
        <v>0</v>
      </c>
      <c r="AE178" s="759">
        <f>IF(H178&gt;8,tab!C$194,tab!C$197)</f>
        <v>0.5</v>
      </c>
      <c r="AF178" s="544">
        <f t="shared" si="80"/>
        <v>0</v>
      </c>
      <c r="AG178" s="760">
        <f t="shared" si="81"/>
        <v>0</v>
      </c>
      <c r="AH178" s="544"/>
    </row>
    <row r="179" spans="3:34" ht="13.15" customHeight="1" x14ac:dyDescent="0.2">
      <c r="C179" s="31"/>
      <c r="D179" s="117" t="str">
        <f t="shared" ref="D179:E188" si="82">IF(D117=0,"",D117)</f>
        <v/>
      </c>
      <c r="E179" s="117" t="str">
        <f t="shared" si="82"/>
        <v/>
      </c>
      <c r="F179" s="33" t="str">
        <f t="shared" si="72"/>
        <v/>
      </c>
      <c r="G179" s="118" t="str">
        <f t="shared" si="61"/>
        <v/>
      </c>
      <c r="H179" s="33" t="str">
        <f t="shared" si="62"/>
        <v/>
      </c>
      <c r="I179" s="119" t="str">
        <f t="shared" si="76"/>
        <v/>
      </c>
      <c r="J179" s="120" t="str">
        <f t="shared" ref="J179:J188" si="83">IF(J117="","",J117)</f>
        <v/>
      </c>
      <c r="K179" s="170"/>
      <c r="L179" s="1141">
        <f t="shared" ref="L179:M188" si="84">IF(L117="","",L117)</f>
        <v>0</v>
      </c>
      <c r="M179" s="1141">
        <f t="shared" si="84"/>
        <v>0</v>
      </c>
      <c r="N179" s="804" t="str">
        <f t="shared" si="63"/>
        <v/>
      </c>
      <c r="O179" s="795"/>
      <c r="P179" s="1156" t="str">
        <f t="shared" si="64"/>
        <v/>
      </c>
      <c r="Q179" s="957" t="str">
        <f t="shared" si="65"/>
        <v/>
      </c>
      <c r="R179" s="767" t="str">
        <f t="shared" si="66"/>
        <v/>
      </c>
      <c r="S179" s="966">
        <f t="shared" si="67"/>
        <v>0</v>
      </c>
      <c r="T179" s="116"/>
      <c r="X179" s="760" t="str">
        <f t="shared" si="77"/>
        <v/>
      </c>
      <c r="Y179" s="745">
        <f t="shared" si="68"/>
        <v>0.6</v>
      </c>
      <c r="Z179" s="758" t="e">
        <f t="shared" si="69"/>
        <v>#VALUE!</v>
      </c>
      <c r="AA179" s="758" t="e">
        <f t="shared" si="70"/>
        <v>#VALUE!</v>
      </c>
      <c r="AB179" s="758" t="e">
        <f t="shared" si="71"/>
        <v>#VALUE!</v>
      </c>
      <c r="AC179" s="544" t="e">
        <f t="shared" si="78"/>
        <v>#VALUE!</v>
      </c>
      <c r="AD179" s="544">
        <f t="shared" si="79"/>
        <v>0</v>
      </c>
      <c r="AE179" s="759">
        <f>IF(H179&gt;8,tab!C$194,tab!C$197)</f>
        <v>0.5</v>
      </c>
      <c r="AF179" s="544">
        <f t="shared" si="80"/>
        <v>0</v>
      </c>
      <c r="AG179" s="760">
        <f t="shared" si="81"/>
        <v>0</v>
      </c>
      <c r="AH179" s="544"/>
    </row>
    <row r="180" spans="3:34" ht="13.15" customHeight="1" x14ac:dyDescent="0.2">
      <c r="C180" s="31"/>
      <c r="D180" s="117" t="str">
        <f t="shared" si="82"/>
        <v/>
      </c>
      <c r="E180" s="117" t="str">
        <f t="shared" si="82"/>
        <v/>
      </c>
      <c r="F180" s="33" t="str">
        <f t="shared" si="72"/>
        <v/>
      </c>
      <c r="G180" s="118" t="str">
        <f t="shared" si="61"/>
        <v/>
      </c>
      <c r="H180" s="33" t="str">
        <f t="shared" si="62"/>
        <v/>
      </c>
      <c r="I180" s="119" t="str">
        <f t="shared" si="76"/>
        <v/>
      </c>
      <c r="J180" s="120" t="str">
        <f t="shared" si="83"/>
        <v/>
      </c>
      <c r="K180" s="170"/>
      <c r="L180" s="1141">
        <f t="shared" si="84"/>
        <v>0</v>
      </c>
      <c r="M180" s="1141">
        <f t="shared" si="84"/>
        <v>0</v>
      </c>
      <c r="N180" s="804" t="str">
        <f t="shared" si="63"/>
        <v/>
      </c>
      <c r="O180" s="795"/>
      <c r="P180" s="1156" t="str">
        <f t="shared" si="64"/>
        <v/>
      </c>
      <c r="Q180" s="957" t="str">
        <f t="shared" si="65"/>
        <v/>
      </c>
      <c r="R180" s="767" t="str">
        <f t="shared" si="66"/>
        <v/>
      </c>
      <c r="S180" s="966">
        <f t="shared" si="67"/>
        <v>0</v>
      </c>
      <c r="T180" s="116"/>
      <c r="X180" s="760" t="str">
        <f t="shared" si="77"/>
        <v/>
      </c>
      <c r="Y180" s="745">
        <f t="shared" si="68"/>
        <v>0.6</v>
      </c>
      <c r="Z180" s="758" t="e">
        <f t="shared" si="69"/>
        <v>#VALUE!</v>
      </c>
      <c r="AA180" s="758" t="e">
        <f t="shared" si="70"/>
        <v>#VALUE!</v>
      </c>
      <c r="AB180" s="758" t="e">
        <f t="shared" si="71"/>
        <v>#VALUE!</v>
      </c>
      <c r="AC180" s="544" t="e">
        <f t="shared" si="78"/>
        <v>#VALUE!</v>
      </c>
      <c r="AD180" s="544">
        <f t="shared" si="79"/>
        <v>0</v>
      </c>
      <c r="AE180" s="759">
        <f>IF(H180&gt;8,tab!C$194,tab!C$197)</f>
        <v>0.5</v>
      </c>
      <c r="AF180" s="544">
        <f t="shared" si="80"/>
        <v>0</v>
      </c>
      <c r="AG180" s="760">
        <f t="shared" si="81"/>
        <v>0</v>
      </c>
      <c r="AH180" s="544"/>
    </row>
    <row r="181" spans="3:34" ht="13.15" customHeight="1" x14ac:dyDescent="0.2">
      <c r="C181" s="31"/>
      <c r="D181" s="117" t="str">
        <f t="shared" si="82"/>
        <v/>
      </c>
      <c r="E181" s="117" t="str">
        <f t="shared" si="82"/>
        <v/>
      </c>
      <c r="F181" s="33" t="str">
        <f t="shared" si="72"/>
        <v/>
      </c>
      <c r="G181" s="118" t="str">
        <f t="shared" si="61"/>
        <v/>
      </c>
      <c r="H181" s="33" t="str">
        <f t="shared" si="62"/>
        <v/>
      </c>
      <c r="I181" s="119" t="str">
        <f t="shared" si="76"/>
        <v/>
      </c>
      <c r="J181" s="120" t="str">
        <f t="shared" si="83"/>
        <v/>
      </c>
      <c r="K181" s="170"/>
      <c r="L181" s="1141">
        <f t="shared" si="84"/>
        <v>0</v>
      </c>
      <c r="M181" s="1141">
        <f t="shared" si="84"/>
        <v>0</v>
      </c>
      <c r="N181" s="804" t="str">
        <f t="shared" si="63"/>
        <v/>
      </c>
      <c r="O181" s="795"/>
      <c r="P181" s="1156" t="str">
        <f t="shared" si="64"/>
        <v/>
      </c>
      <c r="Q181" s="957" t="str">
        <f t="shared" si="65"/>
        <v/>
      </c>
      <c r="R181" s="767" t="str">
        <f t="shared" si="66"/>
        <v/>
      </c>
      <c r="S181" s="966">
        <f t="shared" si="67"/>
        <v>0</v>
      </c>
      <c r="T181" s="116"/>
      <c r="X181" s="760" t="str">
        <f t="shared" si="77"/>
        <v/>
      </c>
      <c r="Y181" s="745">
        <f t="shared" si="68"/>
        <v>0.6</v>
      </c>
      <c r="Z181" s="758" t="e">
        <f t="shared" si="69"/>
        <v>#VALUE!</v>
      </c>
      <c r="AA181" s="758" t="e">
        <f t="shared" si="70"/>
        <v>#VALUE!</v>
      </c>
      <c r="AB181" s="758" t="e">
        <f t="shared" si="71"/>
        <v>#VALUE!</v>
      </c>
      <c r="AC181" s="544" t="e">
        <f t="shared" si="78"/>
        <v>#VALUE!</v>
      </c>
      <c r="AD181" s="544">
        <f t="shared" si="79"/>
        <v>0</v>
      </c>
      <c r="AE181" s="759">
        <f>IF(H181&gt;8,tab!C$194,tab!C$197)</f>
        <v>0.5</v>
      </c>
      <c r="AF181" s="544">
        <f t="shared" si="80"/>
        <v>0</v>
      </c>
      <c r="AG181" s="760">
        <f t="shared" si="81"/>
        <v>0</v>
      </c>
      <c r="AH181" s="544"/>
    </row>
    <row r="182" spans="3:34" ht="13.15" customHeight="1" x14ac:dyDescent="0.2">
      <c r="C182" s="31"/>
      <c r="D182" s="117" t="str">
        <f t="shared" si="82"/>
        <v/>
      </c>
      <c r="E182" s="117" t="str">
        <f t="shared" si="82"/>
        <v/>
      </c>
      <c r="F182" s="33" t="str">
        <f t="shared" si="72"/>
        <v/>
      </c>
      <c r="G182" s="118" t="str">
        <f t="shared" si="61"/>
        <v/>
      </c>
      <c r="H182" s="33" t="str">
        <f t="shared" si="62"/>
        <v/>
      </c>
      <c r="I182" s="119" t="str">
        <f t="shared" si="76"/>
        <v/>
      </c>
      <c r="J182" s="120" t="str">
        <f t="shared" si="83"/>
        <v/>
      </c>
      <c r="K182" s="170"/>
      <c r="L182" s="1141">
        <f t="shared" si="84"/>
        <v>0</v>
      </c>
      <c r="M182" s="1141">
        <f t="shared" si="84"/>
        <v>0</v>
      </c>
      <c r="N182" s="804" t="str">
        <f t="shared" si="63"/>
        <v/>
      </c>
      <c r="O182" s="795"/>
      <c r="P182" s="1156" t="str">
        <f t="shared" si="64"/>
        <v/>
      </c>
      <c r="Q182" s="957" t="str">
        <f t="shared" si="65"/>
        <v/>
      </c>
      <c r="R182" s="767" t="str">
        <f t="shared" si="66"/>
        <v/>
      </c>
      <c r="S182" s="966">
        <f t="shared" si="67"/>
        <v>0</v>
      </c>
      <c r="T182" s="116"/>
      <c r="X182" s="760" t="str">
        <f t="shared" si="77"/>
        <v/>
      </c>
      <c r="Y182" s="745">
        <f t="shared" si="68"/>
        <v>0.6</v>
      </c>
      <c r="Z182" s="758" t="e">
        <f t="shared" si="69"/>
        <v>#VALUE!</v>
      </c>
      <c r="AA182" s="758" t="e">
        <f t="shared" si="70"/>
        <v>#VALUE!</v>
      </c>
      <c r="AB182" s="758" t="e">
        <f t="shared" si="71"/>
        <v>#VALUE!</v>
      </c>
      <c r="AC182" s="544" t="e">
        <f t="shared" si="78"/>
        <v>#VALUE!</v>
      </c>
      <c r="AD182" s="544">
        <f t="shared" si="79"/>
        <v>0</v>
      </c>
      <c r="AE182" s="759">
        <f>IF(H182&gt;8,tab!C$194,tab!C$197)</f>
        <v>0.5</v>
      </c>
      <c r="AF182" s="544">
        <f t="shared" si="80"/>
        <v>0</v>
      </c>
      <c r="AG182" s="760">
        <f t="shared" si="81"/>
        <v>0</v>
      </c>
      <c r="AH182" s="544"/>
    </row>
    <row r="183" spans="3:34" ht="13.15" customHeight="1" x14ac:dyDescent="0.2">
      <c r="C183" s="31"/>
      <c r="D183" s="117" t="str">
        <f t="shared" si="82"/>
        <v/>
      </c>
      <c r="E183" s="117" t="str">
        <f t="shared" si="82"/>
        <v/>
      </c>
      <c r="F183" s="33" t="str">
        <f t="shared" si="72"/>
        <v/>
      </c>
      <c r="G183" s="118" t="str">
        <f t="shared" si="61"/>
        <v/>
      </c>
      <c r="H183" s="33" t="str">
        <f t="shared" si="62"/>
        <v/>
      </c>
      <c r="I183" s="119" t="str">
        <f t="shared" si="76"/>
        <v/>
      </c>
      <c r="J183" s="120" t="str">
        <f t="shared" si="83"/>
        <v/>
      </c>
      <c r="K183" s="170"/>
      <c r="L183" s="1141">
        <f t="shared" si="84"/>
        <v>0</v>
      </c>
      <c r="M183" s="1141">
        <f t="shared" si="84"/>
        <v>0</v>
      </c>
      <c r="N183" s="804" t="str">
        <f t="shared" si="63"/>
        <v/>
      </c>
      <c r="O183" s="795"/>
      <c r="P183" s="1156" t="str">
        <f t="shared" si="64"/>
        <v/>
      </c>
      <c r="Q183" s="957" t="str">
        <f t="shared" si="65"/>
        <v/>
      </c>
      <c r="R183" s="767" t="str">
        <f t="shared" si="66"/>
        <v/>
      </c>
      <c r="S183" s="966">
        <f t="shared" si="67"/>
        <v>0</v>
      </c>
      <c r="T183" s="116"/>
      <c r="X183" s="760" t="str">
        <f t="shared" si="77"/>
        <v/>
      </c>
      <c r="Y183" s="745">
        <f t="shared" si="68"/>
        <v>0.6</v>
      </c>
      <c r="Z183" s="758" t="e">
        <f t="shared" si="69"/>
        <v>#VALUE!</v>
      </c>
      <c r="AA183" s="758" t="e">
        <f t="shared" si="70"/>
        <v>#VALUE!</v>
      </c>
      <c r="AB183" s="758" t="e">
        <f t="shared" si="71"/>
        <v>#VALUE!</v>
      </c>
      <c r="AC183" s="544" t="e">
        <f t="shared" si="78"/>
        <v>#VALUE!</v>
      </c>
      <c r="AD183" s="544">
        <f t="shared" si="79"/>
        <v>0</v>
      </c>
      <c r="AE183" s="759">
        <f>IF(H183&gt;8,tab!C$194,tab!C$197)</f>
        <v>0.5</v>
      </c>
      <c r="AF183" s="544">
        <f t="shared" si="80"/>
        <v>0</v>
      </c>
      <c r="AG183" s="760">
        <f t="shared" si="81"/>
        <v>0</v>
      </c>
      <c r="AH183" s="544"/>
    </row>
    <row r="184" spans="3:34" ht="13.15" customHeight="1" x14ac:dyDescent="0.2">
      <c r="C184" s="31"/>
      <c r="D184" s="117" t="str">
        <f t="shared" si="82"/>
        <v/>
      </c>
      <c r="E184" s="117" t="str">
        <f t="shared" si="82"/>
        <v/>
      </c>
      <c r="F184" s="33" t="str">
        <f t="shared" si="72"/>
        <v/>
      </c>
      <c r="G184" s="118" t="str">
        <f t="shared" si="61"/>
        <v/>
      </c>
      <c r="H184" s="33" t="str">
        <f t="shared" si="62"/>
        <v/>
      </c>
      <c r="I184" s="119" t="str">
        <f t="shared" si="76"/>
        <v/>
      </c>
      <c r="J184" s="120" t="str">
        <f t="shared" si="83"/>
        <v/>
      </c>
      <c r="K184" s="170"/>
      <c r="L184" s="1141">
        <f t="shared" si="84"/>
        <v>0</v>
      </c>
      <c r="M184" s="1141">
        <f t="shared" si="84"/>
        <v>0</v>
      </c>
      <c r="N184" s="804" t="str">
        <f t="shared" si="63"/>
        <v/>
      </c>
      <c r="O184" s="795"/>
      <c r="P184" s="1156" t="str">
        <f t="shared" si="64"/>
        <v/>
      </c>
      <c r="Q184" s="957" t="str">
        <f t="shared" si="65"/>
        <v/>
      </c>
      <c r="R184" s="767" t="str">
        <f t="shared" si="66"/>
        <v/>
      </c>
      <c r="S184" s="966">
        <f t="shared" si="67"/>
        <v>0</v>
      </c>
      <c r="T184" s="116"/>
      <c r="X184" s="760" t="str">
        <f t="shared" si="77"/>
        <v/>
      </c>
      <c r="Y184" s="745">
        <f t="shared" si="68"/>
        <v>0.6</v>
      </c>
      <c r="Z184" s="758" t="e">
        <f t="shared" si="69"/>
        <v>#VALUE!</v>
      </c>
      <c r="AA184" s="758" t="e">
        <f t="shared" si="70"/>
        <v>#VALUE!</v>
      </c>
      <c r="AB184" s="758" t="e">
        <f t="shared" si="71"/>
        <v>#VALUE!</v>
      </c>
      <c r="AC184" s="544" t="e">
        <f t="shared" si="78"/>
        <v>#VALUE!</v>
      </c>
      <c r="AD184" s="544">
        <f t="shared" si="79"/>
        <v>0</v>
      </c>
      <c r="AE184" s="759">
        <f>IF(H184&gt;8,tab!C$194,tab!C$197)</f>
        <v>0.5</v>
      </c>
      <c r="AF184" s="544">
        <f t="shared" si="80"/>
        <v>0</v>
      </c>
      <c r="AG184" s="760">
        <f t="shared" si="81"/>
        <v>0</v>
      </c>
      <c r="AH184" s="544"/>
    </row>
    <row r="185" spans="3:34" ht="13.15" customHeight="1" x14ac:dyDescent="0.2">
      <c r="C185" s="31"/>
      <c r="D185" s="117" t="str">
        <f t="shared" si="82"/>
        <v/>
      </c>
      <c r="E185" s="117" t="str">
        <f t="shared" si="82"/>
        <v/>
      </c>
      <c r="F185" s="33" t="str">
        <f t="shared" si="72"/>
        <v/>
      </c>
      <c r="G185" s="118" t="str">
        <f t="shared" si="61"/>
        <v/>
      </c>
      <c r="H185" s="33" t="str">
        <f t="shared" si="62"/>
        <v/>
      </c>
      <c r="I185" s="119" t="str">
        <f t="shared" si="76"/>
        <v/>
      </c>
      <c r="J185" s="120" t="str">
        <f t="shared" si="83"/>
        <v/>
      </c>
      <c r="K185" s="170"/>
      <c r="L185" s="1141">
        <f t="shared" si="84"/>
        <v>0</v>
      </c>
      <c r="M185" s="1141">
        <f t="shared" si="84"/>
        <v>0</v>
      </c>
      <c r="N185" s="804" t="str">
        <f t="shared" si="63"/>
        <v/>
      </c>
      <c r="O185" s="795"/>
      <c r="P185" s="1156" t="str">
        <f t="shared" si="64"/>
        <v/>
      </c>
      <c r="Q185" s="957" t="str">
        <f t="shared" si="65"/>
        <v/>
      </c>
      <c r="R185" s="767" t="str">
        <f t="shared" si="66"/>
        <v/>
      </c>
      <c r="S185" s="966">
        <f t="shared" si="67"/>
        <v>0</v>
      </c>
      <c r="T185" s="116"/>
      <c r="X185" s="760" t="str">
        <f t="shared" si="77"/>
        <v/>
      </c>
      <c r="Y185" s="745">
        <f t="shared" si="68"/>
        <v>0.6</v>
      </c>
      <c r="Z185" s="758" t="e">
        <f t="shared" si="69"/>
        <v>#VALUE!</v>
      </c>
      <c r="AA185" s="758" t="e">
        <f t="shared" si="70"/>
        <v>#VALUE!</v>
      </c>
      <c r="AB185" s="758" t="e">
        <f t="shared" si="71"/>
        <v>#VALUE!</v>
      </c>
      <c r="AC185" s="544" t="e">
        <f t="shared" si="78"/>
        <v>#VALUE!</v>
      </c>
      <c r="AD185" s="544">
        <f t="shared" si="79"/>
        <v>0</v>
      </c>
      <c r="AE185" s="759">
        <f>IF(H185&gt;8,tab!C$194,tab!C$197)</f>
        <v>0.5</v>
      </c>
      <c r="AF185" s="544">
        <f t="shared" si="80"/>
        <v>0</v>
      </c>
      <c r="AG185" s="760">
        <f t="shared" si="81"/>
        <v>0</v>
      </c>
      <c r="AH185" s="544"/>
    </row>
    <row r="186" spans="3:34" ht="13.15" customHeight="1" x14ac:dyDescent="0.2">
      <c r="C186" s="31"/>
      <c r="D186" s="117" t="str">
        <f t="shared" si="82"/>
        <v/>
      </c>
      <c r="E186" s="117" t="str">
        <f t="shared" si="82"/>
        <v/>
      </c>
      <c r="F186" s="33" t="str">
        <f t="shared" si="72"/>
        <v/>
      </c>
      <c r="G186" s="118" t="str">
        <f t="shared" si="61"/>
        <v/>
      </c>
      <c r="H186" s="33" t="str">
        <f t="shared" si="62"/>
        <v/>
      </c>
      <c r="I186" s="119" t="str">
        <f t="shared" si="76"/>
        <v/>
      </c>
      <c r="J186" s="120" t="str">
        <f t="shared" si="83"/>
        <v/>
      </c>
      <c r="K186" s="170"/>
      <c r="L186" s="1141">
        <f t="shared" si="84"/>
        <v>0</v>
      </c>
      <c r="M186" s="1141">
        <f t="shared" si="84"/>
        <v>0</v>
      </c>
      <c r="N186" s="804" t="str">
        <f t="shared" si="63"/>
        <v/>
      </c>
      <c r="O186" s="795"/>
      <c r="P186" s="1156" t="str">
        <f t="shared" si="64"/>
        <v/>
      </c>
      <c r="Q186" s="957" t="str">
        <f t="shared" si="65"/>
        <v/>
      </c>
      <c r="R186" s="767" t="str">
        <f t="shared" si="66"/>
        <v/>
      </c>
      <c r="S186" s="966">
        <f t="shared" si="67"/>
        <v>0</v>
      </c>
      <c r="T186" s="116"/>
      <c r="X186" s="760" t="str">
        <f t="shared" si="77"/>
        <v/>
      </c>
      <c r="Y186" s="745">
        <f t="shared" si="68"/>
        <v>0.6</v>
      </c>
      <c r="Z186" s="758" t="e">
        <f t="shared" si="69"/>
        <v>#VALUE!</v>
      </c>
      <c r="AA186" s="758" t="e">
        <f t="shared" si="70"/>
        <v>#VALUE!</v>
      </c>
      <c r="AB186" s="758" t="e">
        <f t="shared" si="71"/>
        <v>#VALUE!</v>
      </c>
      <c r="AC186" s="544" t="e">
        <f t="shared" si="78"/>
        <v>#VALUE!</v>
      </c>
      <c r="AD186" s="544">
        <f t="shared" si="79"/>
        <v>0</v>
      </c>
      <c r="AE186" s="759">
        <f>IF(H186&gt;8,tab!C$194,tab!C$197)</f>
        <v>0.5</v>
      </c>
      <c r="AF186" s="544">
        <f t="shared" si="80"/>
        <v>0</v>
      </c>
      <c r="AG186" s="760">
        <f t="shared" si="81"/>
        <v>0</v>
      </c>
      <c r="AH186" s="544"/>
    </row>
    <row r="187" spans="3:34" ht="13.15" customHeight="1" x14ac:dyDescent="0.2">
      <c r="C187" s="31"/>
      <c r="D187" s="117" t="str">
        <f t="shared" si="82"/>
        <v/>
      </c>
      <c r="E187" s="117" t="str">
        <f t="shared" si="82"/>
        <v/>
      </c>
      <c r="F187" s="33" t="str">
        <f t="shared" si="72"/>
        <v/>
      </c>
      <c r="G187" s="118" t="str">
        <f t="shared" si="61"/>
        <v/>
      </c>
      <c r="H187" s="33" t="str">
        <f t="shared" si="62"/>
        <v/>
      </c>
      <c r="I187" s="119" t="str">
        <f t="shared" si="76"/>
        <v/>
      </c>
      <c r="J187" s="120" t="str">
        <f t="shared" si="83"/>
        <v/>
      </c>
      <c r="K187" s="170"/>
      <c r="L187" s="1141">
        <f t="shared" si="84"/>
        <v>0</v>
      </c>
      <c r="M187" s="1141">
        <f t="shared" si="84"/>
        <v>0</v>
      </c>
      <c r="N187" s="804" t="str">
        <f t="shared" si="63"/>
        <v/>
      </c>
      <c r="O187" s="795"/>
      <c r="P187" s="1156" t="str">
        <f t="shared" si="64"/>
        <v/>
      </c>
      <c r="Q187" s="957" t="str">
        <f t="shared" si="65"/>
        <v/>
      </c>
      <c r="R187" s="767" t="str">
        <f t="shared" si="66"/>
        <v/>
      </c>
      <c r="S187" s="966">
        <f t="shared" si="67"/>
        <v>0</v>
      </c>
      <c r="T187" s="116"/>
      <c r="X187" s="760" t="str">
        <f t="shared" si="77"/>
        <v/>
      </c>
      <c r="Y187" s="745">
        <f t="shared" si="68"/>
        <v>0.6</v>
      </c>
      <c r="Z187" s="758" t="e">
        <f t="shared" si="69"/>
        <v>#VALUE!</v>
      </c>
      <c r="AA187" s="758" t="e">
        <f t="shared" si="70"/>
        <v>#VALUE!</v>
      </c>
      <c r="AB187" s="758" t="e">
        <f t="shared" si="71"/>
        <v>#VALUE!</v>
      </c>
      <c r="AC187" s="544" t="e">
        <f t="shared" si="78"/>
        <v>#VALUE!</v>
      </c>
      <c r="AD187" s="544">
        <f t="shared" si="79"/>
        <v>0</v>
      </c>
      <c r="AE187" s="759">
        <f>IF(H187&gt;8,tab!C$194,tab!C$197)</f>
        <v>0.5</v>
      </c>
      <c r="AF187" s="544">
        <f t="shared" si="80"/>
        <v>0</v>
      </c>
      <c r="AG187" s="760">
        <f t="shared" si="81"/>
        <v>0</v>
      </c>
      <c r="AH187" s="544"/>
    </row>
    <row r="188" spans="3:34" ht="13.15" customHeight="1" x14ac:dyDescent="0.2">
      <c r="C188" s="31"/>
      <c r="D188" s="117" t="str">
        <f t="shared" si="82"/>
        <v/>
      </c>
      <c r="E188" s="117" t="str">
        <f t="shared" si="82"/>
        <v/>
      </c>
      <c r="F188" s="33" t="str">
        <f t="shared" si="72"/>
        <v/>
      </c>
      <c r="G188" s="118" t="str">
        <f t="shared" si="61"/>
        <v/>
      </c>
      <c r="H188" s="33" t="str">
        <f t="shared" si="62"/>
        <v/>
      </c>
      <c r="I188" s="119" t="str">
        <f t="shared" si="76"/>
        <v/>
      </c>
      <c r="J188" s="120" t="str">
        <f t="shared" si="83"/>
        <v/>
      </c>
      <c r="K188" s="170"/>
      <c r="L188" s="1141">
        <f t="shared" si="84"/>
        <v>0</v>
      </c>
      <c r="M188" s="1141">
        <f t="shared" si="84"/>
        <v>0</v>
      </c>
      <c r="N188" s="804" t="str">
        <f t="shared" si="63"/>
        <v/>
      </c>
      <c r="O188" s="795"/>
      <c r="P188" s="1156" t="str">
        <f t="shared" si="64"/>
        <v/>
      </c>
      <c r="Q188" s="957" t="str">
        <f t="shared" si="65"/>
        <v/>
      </c>
      <c r="R188" s="767" t="str">
        <f t="shared" si="66"/>
        <v/>
      </c>
      <c r="S188" s="966">
        <f t="shared" si="67"/>
        <v>0</v>
      </c>
      <c r="T188" s="116"/>
      <c r="X188" s="760" t="str">
        <f t="shared" si="77"/>
        <v/>
      </c>
      <c r="Y188" s="745">
        <f t="shared" si="68"/>
        <v>0.6</v>
      </c>
      <c r="Z188" s="758" t="e">
        <f t="shared" si="69"/>
        <v>#VALUE!</v>
      </c>
      <c r="AA188" s="758" t="e">
        <f t="shared" si="70"/>
        <v>#VALUE!</v>
      </c>
      <c r="AB188" s="758" t="e">
        <f t="shared" si="71"/>
        <v>#VALUE!</v>
      </c>
      <c r="AC188" s="544" t="e">
        <f t="shared" si="78"/>
        <v>#VALUE!</v>
      </c>
      <c r="AD188" s="544">
        <f t="shared" si="79"/>
        <v>0</v>
      </c>
      <c r="AE188" s="759">
        <f>IF(H188&gt;8,tab!C$194,tab!C$197)</f>
        <v>0.5</v>
      </c>
      <c r="AF188" s="544">
        <f t="shared" si="80"/>
        <v>0</v>
      </c>
      <c r="AG188" s="760">
        <f t="shared" si="81"/>
        <v>0</v>
      </c>
      <c r="AH188" s="544"/>
    </row>
    <row r="189" spans="3:34" ht="13.15" customHeight="1" x14ac:dyDescent="0.2">
      <c r="C189" s="31"/>
      <c r="D189" s="28"/>
      <c r="E189" s="28"/>
      <c r="F189" s="28"/>
      <c r="G189" s="28"/>
      <c r="H189" s="30"/>
      <c r="I189" s="158"/>
      <c r="J189" s="768">
        <f>SUM(J139:J188)</f>
        <v>1</v>
      </c>
      <c r="K189" s="121"/>
      <c r="L189" s="802">
        <f>SUM(L139:L188)</f>
        <v>0</v>
      </c>
      <c r="M189" s="802">
        <f>SUM(M139:M188)</f>
        <v>0</v>
      </c>
      <c r="N189" s="497"/>
      <c r="O189" s="802">
        <f>SUM(O139:O188)</f>
        <v>0</v>
      </c>
      <c r="P189" s="803">
        <f>SUM(P139:P188)</f>
        <v>40</v>
      </c>
      <c r="Q189" s="959">
        <f>SUM(Q139:Q188)</f>
        <v>57710.177215189869</v>
      </c>
      <c r="R189" s="959">
        <f>SUM(R139:R188)</f>
        <v>1425.8227848101264</v>
      </c>
      <c r="S189" s="959">
        <f>SUM(S139:S188)</f>
        <v>59135.999999999993</v>
      </c>
      <c r="T189" s="75"/>
      <c r="AG189" s="760">
        <f>SUM(AG139:AG188)</f>
        <v>0</v>
      </c>
      <c r="AH189" s="544"/>
    </row>
    <row r="190" spans="3:34" ht="13.15" customHeight="1" x14ac:dyDescent="0.2">
      <c r="C190" s="36"/>
      <c r="D190" s="127"/>
      <c r="E190" s="127"/>
      <c r="F190" s="127"/>
      <c r="G190" s="127"/>
      <c r="H190" s="129"/>
      <c r="I190" s="130"/>
      <c r="J190" s="131"/>
      <c r="K190" s="130"/>
      <c r="L190" s="130"/>
      <c r="M190" s="133"/>
      <c r="N190" s="132"/>
      <c r="O190" s="132"/>
      <c r="P190" s="135"/>
      <c r="Q190" s="135"/>
      <c r="R190" s="134"/>
      <c r="S190" s="967"/>
      <c r="T190" s="75"/>
      <c r="AG190" s="544"/>
      <c r="AH190" s="544"/>
    </row>
    <row r="191" spans="3:34" ht="13.15" customHeight="1" x14ac:dyDescent="0.2"/>
    <row r="192" spans="3:34" ht="13.15" customHeight="1" x14ac:dyDescent="0.2"/>
    <row r="193" spans="3:34" ht="13.15" customHeight="1" x14ac:dyDescent="0.2">
      <c r="C193" s="34" t="s">
        <v>48</v>
      </c>
      <c r="E193" s="150" t="str">
        <f>tab!G2</f>
        <v>2022/23</v>
      </c>
      <c r="G193" s="174"/>
      <c r="H193" s="8"/>
      <c r="J193" s="123"/>
      <c r="L193" s="147"/>
      <c r="M193" s="147"/>
      <c r="N193" s="116"/>
      <c r="O193" s="116"/>
      <c r="P193" s="124"/>
      <c r="Q193" s="149"/>
      <c r="R193" s="148"/>
      <c r="AG193" s="544"/>
      <c r="AH193" s="544"/>
    </row>
    <row r="194" spans="3:34" ht="13.15" customHeight="1" x14ac:dyDescent="0.2">
      <c r="C194" s="34" t="s">
        <v>125</v>
      </c>
      <c r="E194" s="150">
        <f>tab!H3</f>
        <v>44835</v>
      </c>
      <c r="G194" s="174"/>
      <c r="H194" s="8"/>
      <c r="J194" s="123"/>
      <c r="L194" s="147"/>
      <c r="M194" s="147"/>
      <c r="N194" s="116"/>
      <c r="O194" s="116"/>
      <c r="P194" s="124"/>
      <c r="Q194" s="149"/>
      <c r="R194" s="148"/>
    </row>
    <row r="195" spans="3:34" ht="13.15" customHeight="1" x14ac:dyDescent="0.2">
      <c r="G195" s="174"/>
      <c r="H195" s="8"/>
      <c r="J195" s="123"/>
      <c r="L195" s="147"/>
      <c r="M195" s="147"/>
      <c r="N195" s="116"/>
      <c r="O195" s="116"/>
      <c r="P195" s="124"/>
      <c r="Q195" s="149"/>
      <c r="R195" s="148"/>
    </row>
    <row r="196" spans="3:34" ht="13.15" customHeight="1" x14ac:dyDescent="0.2">
      <c r="C196" s="23"/>
      <c r="D196" s="100"/>
      <c r="E196" s="101"/>
      <c r="F196" s="25"/>
      <c r="G196" s="102"/>
      <c r="H196" s="103"/>
      <c r="I196" s="103"/>
      <c r="J196" s="104"/>
      <c r="K196" s="24"/>
      <c r="L196" s="105"/>
      <c r="M196" s="25"/>
      <c r="N196" s="24"/>
      <c r="O196" s="24"/>
      <c r="P196" s="1159"/>
      <c r="Q196" s="25"/>
      <c r="R196" s="106"/>
      <c r="S196" s="968"/>
      <c r="T196" s="77"/>
    </row>
    <row r="197" spans="3:34" ht="13.15" customHeight="1" x14ac:dyDescent="0.2">
      <c r="C197" s="597"/>
      <c r="D197" s="1340" t="s">
        <v>126</v>
      </c>
      <c r="E197" s="1341"/>
      <c r="F197" s="1341"/>
      <c r="G197" s="1341"/>
      <c r="H197" s="1342"/>
      <c r="I197" s="1342"/>
      <c r="J197" s="1342"/>
      <c r="K197" s="685"/>
      <c r="L197" s="686" t="s">
        <v>440</v>
      </c>
      <c r="M197" s="687"/>
      <c r="N197" s="688"/>
      <c r="O197" s="688"/>
      <c r="P197" s="1155"/>
      <c r="Q197" s="579" t="s">
        <v>450</v>
      </c>
      <c r="R197" s="688"/>
      <c r="S197" s="964"/>
      <c r="T197" s="598"/>
    </row>
    <row r="198" spans="3:34" ht="13.15" customHeight="1" x14ac:dyDescent="0.2">
      <c r="C198" s="282"/>
      <c r="D198" s="696" t="s">
        <v>127</v>
      </c>
      <c r="E198" s="696" t="s">
        <v>88</v>
      </c>
      <c r="F198" s="697" t="s">
        <v>128</v>
      </c>
      <c r="G198" s="698" t="s">
        <v>129</v>
      </c>
      <c r="H198" s="697" t="s">
        <v>130</v>
      </c>
      <c r="I198" s="697" t="s">
        <v>131</v>
      </c>
      <c r="J198" s="699" t="s">
        <v>132</v>
      </c>
      <c r="K198" s="696"/>
      <c r="L198" s="700" t="s">
        <v>441</v>
      </c>
      <c r="M198" s="700" t="s">
        <v>444</v>
      </c>
      <c r="N198" s="700" t="s">
        <v>446</v>
      </c>
      <c r="O198" s="700" t="s">
        <v>443</v>
      </c>
      <c r="P198" s="701" t="s">
        <v>449</v>
      </c>
      <c r="Q198" s="700" t="s">
        <v>133</v>
      </c>
      <c r="R198" s="702" t="s">
        <v>453</v>
      </c>
      <c r="S198" s="703" t="s">
        <v>133</v>
      </c>
      <c r="T198" s="600"/>
      <c r="X198" s="705" t="s">
        <v>139</v>
      </c>
      <c r="Y198" s="706" t="s">
        <v>454</v>
      </c>
      <c r="Z198" s="707" t="s">
        <v>455</v>
      </c>
      <c r="AA198" s="707" t="s">
        <v>455</v>
      </c>
      <c r="AB198" s="707" t="s">
        <v>456</v>
      </c>
      <c r="AC198" s="707" t="s">
        <v>457</v>
      </c>
      <c r="AD198" s="707" t="s">
        <v>458</v>
      </c>
      <c r="AE198" s="707" t="s">
        <v>459</v>
      </c>
      <c r="AF198" s="707" t="s">
        <v>134</v>
      </c>
      <c r="AG198" s="703" t="s">
        <v>135</v>
      </c>
    </row>
    <row r="199" spans="3:34" ht="13.15" customHeight="1" x14ac:dyDescent="0.2">
      <c r="C199" s="31"/>
      <c r="D199" s="709"/>
      <c r="E199" s="696"/>
      <c r="F199" s="697" t="s">
        <v>136</v>
      </c>
      <c r="G199" s="698" t="s">
        <v>137</v>
      </c>
      <c r="H199" s="697"/>
      <c r="I199" s="697"/>
      <c r="J199" s="699" t="s">
        <v>467</v>
      </c>
      <c r="K199" s="696"/>
      <c r="L199" s="700" t="s">
        <v>442</v>
      </c>
      <c r="M199" s="700" t="s">
        <v>445</v>
      </c>
      <c r="N199" s="700" t="s">
        <v>447</v>
      </c>
      <c r="O199" s="700" t="s">
        <v>448</v>
      </c>
      <c r="P199" s="701" t="s">
        <v>141</v>
      </c>
      <c r="Q199" s="707" t="s">
        <v>451</v>
      </c>
      <c r="R199" s="702" t="s">
        <v>452</v>
      </c>
      <c r="S199" s="710" t="s">
        <v>141</v>
      </c>
      <c r="T199" s="601"/>
      <c r="X199" s="707" t="s">
        <v>460</v>
      </c>
      <c r="Y199" s="711">
        <f>tab!C$193</f>
        <v>0.6</v>
      </c>
      <c r="Z199" s="707" t="s">
        <v>461</v>
      </c>
      <c r="AA199" s="707" t="s">
        <v>462</v>
      </c>
      <c r="AB199" s="707" t="s">
        <v>463</v>
      </c>
      <c r="AC199" s="707" t="s">
        <v>464</v>
      </c>
      <c r="AD199" s="707" t="s">
        <v>464</v>
      </c>
      <c r="AE199" s="707" t="s">
        <v>465</v>
      </c>
      <c r="AF199" s="707"/>
      <c r="AG199" s="707" t="s">
        <v>140</v>
      </c>
    </row>
    <row r="200" spans="3:34" ht="13.15" customHeight="1" x14ac:dyDescent="0.2">
      <c r="C200" s="31"/>
      <c r="D200" s="1"/>
      <c r="E200" s="1"/>
      <c r="F200" s="1"/>
      <c r="G200" s="109"/>
      <c r="H200" s="110"/>
      <c r="I200" s="110"/>
      <c r="J200" s="111"/>
      <c r="K200" s="1"/>
      <c r="L200" s="112"/>
      <c r="M200" s="113"/>
      <c r="N200" s="113"/>
      <c r="O200" s="113"/>
      <c r="P200" s="606"/>
      <c r="Q200" s="113"/>
      <c r="R200" s="114"/>
      <c r="S200" s="965"/>
      <c r="T200" s="165"/>
      <c r="X200" s="739"/>
      <c r="Y200" s="740"/>
      <c r="AG200" s="544"/>
    </row>
    <row r="201" spans="3:34" ht="13.15" customHeight="1" x14ac:dyDescent="0.2">
      <c r="C201" s="31"/>
      <c r="D201" s="117" t="str">
        <f t="shared" ref="D201:E220" si="85">IF(D139=0,"",D139)</f>
        <v/>
      </c>
      <c r="E201" s="117" t="str">
        <f t="shared" si="85"/>
        <v>nn</v>
      </c>
      <c r="F201" s="33">
        <f>IF(F139=0,"",F139+1)</f>
        <v>28</v>
      </c>
      <c r="G201" s="118">
        <f>IF(G139="","",G139)</f>
        <v>28341</v>
      </c>
      <c r="H201" s="33">
        <f>IF(H139=0,"",H139)</f>
        <v>8</v>
      </c>
      <c r="I201" s="119">
        <f t="shared" ref="I201:I232" si="86">IF(E201="","",IF(I139+1&gt;VLOOKUP(H201,Salaris2021,22,FALSE),I139,I139+1))</f>
        <v>10</v>
      </c>
      <c r="J201" s="120">
        <f t="shared" ref="J201:J220" si="87">IF(J139="","",J139)</f>
        <v>1</v>
      </c>
      <c r="K201" s="170"/>
      <c r="L201" s="1141">
        <f t="shared" ref="L201:M220" si="88">IF(L139="","",L139)</f>
        <v>0</v>
      </c>
      <c r="M201" s="1141">
        <f t="shared" si="88"/>
        <v>0</v>
      </c>
      <c r="N201" s="804">
        <f>IF(J201="","",IF(J201*40&gt;40,40,J201*40))</f>
        <v>40</v>
      </c>
      <c r="O201" s="795"/>
      <c r="P201" s="1156">
        <f>IF(J201="","",SUM(L201:O201))</f>
        <v>40</v>
      </c>
      <c r="Q201" s="957">
        <f>IF(J201="","",(1659*J201-P201)*AA201)</f>
        <v>58946.82386980109</v>
      </c>
      <c r="R201" s="767">
        <f>IF(J201="","",(P201*AB201)+Z201*(AC201+AD201*(1-AE201)))</f>
        <v>1456.3761301989152</v>
      </c>
      <c r="S201" s="966">
        <f>SUM(Q201:R201)</f>
        <v>60403.200000000004</v>
      </c>
      <c r="T201" s="116"/>
      <c r="X201" s="760">
        <f t="shared" ref="X201:X232" si="89">IF(H201="","",VLOOKUP(H201,Salaris2021,I201+1,FALSE))</f>
        <v>3146</v>
      </c>
      <c r="Y201" s="745">
        <f>$Y$13</f>
        <v>0.6</v>
      </c>
      <c r="Z201" s="758">
        <f>X201*12/1659</f>
        <v>22.755877034358047</v>
      </c>
      <c r="AA201" s="758">
        <f>X201*12*(1+Y201)/1659</f>
        <v>36.409403254972879</v>
      </c>
      <c r="AB201" s="758">
        <f>AA201-Z201</f>
        <v>13.653526220614832</v>
      </c>
      <c r="AC201" s="544">
        <f t="shared" ref="AC201:AC232" si="90">N201+O201</f>
        <v>40</v>
      </c>
      <c r="AD201" s="544">
        <f t="shared" ref="AD201:AD232" si="91">L201+M201</f>
        <v>0</v>
      </c>
      <c r="AE201" s="759">
        <f>IF(H201&gt;8,tab!C$194,tab!C$197)</f>
        <v>0.4</v>
      </c>
      <c r="AF201" s="544">
        <f t="shared" ref="AF201:AF232" si="92">IF(F201&lt;25,0,IF(F201=25,25,IF(F201&lt;40,0,IF(F201=40,40,IF(F201&gt;=40,0)))))</f>
        <v>0</v>
      </c>
      <c r="AG201" s="760">
        <f t="shared" ref="AG201:AG232" si="93">IF(AF201=25,(X201*1.08*(J201)/2),IF(AF201=40,(V201*1.08*(J201)),IF(AF201=0,0)))</f>
        <v>0</v>
      </c>
    </row>
    <row r="202" spans="3:34" ht="13.15" customHeight="1" x14ac:dyDescent="0.2">
      <c r="C202" s="31"/>
      <c r="D202" s="117" t="str">
        <f t="shared" si="85"/>
        <v/>
      </c>
      <c r="E202" s="117" t="str">
        <f t="shared" si="85"/>
        <v/>
      </c>
      <c r="F202" s="33" t="str">
        <f>IF(F140="","",F140+1)</f>
        <v/>
      </c>
      <c r="G202" s="118" t="str">
        <f t="shared" ref="G202:G250" si="94">IF(G140="","",G140)</f>
        <v/>
      </c>
      <c r="H202" s="33" t="str">
        <f t="shared" ref="H202:H250" si="95">IF(H140=0,"",H140)</f>
        <v/>
      </c>
      <c r="I202" s="119" t="str">
        <f t="shared" si="86"/>
        <v/>
      </c>
      <c r="J202" s="120" t="str">
        <f t="shared" si="87"/>
        <v/>
      </c>
      <c r="K202" s="170"/>
      <c r="L202" s="1141">
        <f t="shared" si="88"/>
        <v>0</v>
      </c>
      <c r="M202" s="1141">
        <f t="shared" si="88"/>
        <v>0</v>
      </c>
      <c r="N202" s="804" t="str">
        <f t="shared" ref="N202:N250" si="96">IF(J202="","",IF(J202*40&gt;40,40,J202*40))</f>
        <v/>
      </c>
      <c r="O202" s="795"/>
      <c r="P202" s="1156" t="str">
        <f t="shared" ref="P202:P250" si="97">IF(J202="","",SUM(L202:O202))</f>
        <v/>
      </c>
      <c r="Q202" s="957" t="str">
        <f t="shared" ref="Q202:Q250" si="98">IF(J202="","",(1659*J202-P202)*AA202)</f>
        <v/>
      </c>
      <c r="R202" s="767" t="str">
        <f t="shared" ref="R202:R250" si="99">IF(J202="","",(P202*AB202)+Z202*(AC202+AD202*(1-AE202)))</f>
        <v/>
      </c>
      <c r="S202" s="966">
        <f t="shared" ref="S202:S250" si="100">SUM(Q202:R202)</f>
        <v>0</v>
      </c>
      <c r="T202" s="116"/>
      <c r="X202" s="760" t="str">
        <f t="shared" si="89"/>
        <v/>
      </c>
      <c r="Y202" s="745">
        <f t="shared" ref="Y202:Y250" si="101">$Y$13</f>
        <v>0.6</v>
      </c>
      <c r="Z202" s="758" t="e">
        <f t="shared" ref="Z202:Z250" si="102">X202*12/1659</f>
        <v>#VALUE!</v>
      </c>
      <c r="AA202" s="758" t="e">
        <f t="shared" ref="AA202:AA250" si="103">X202*12*(1+Y202)/1659</f>
        <v>#VALUE!</v>
      </c>
      <c r="AB202" s="758" t="e">
        <f t="shared" ref="AB202:AB250" si="104">AA202-Z202</f>
        <v>#VALUE!</v>
      </c>
      <c r="AC202" s="544" t="e">
        <f t="shared" si="90"/>
        <v>#VALUE!</v>
      </c>
      <c r="AD202" s="544">
        <f t="shared" si="91"/>
        <v>0</v>
      </c>
      <c r="AE202" s="759">
        <f>IF(H202&gt;8,tab!C$194,tab!C$197)</f>
        <v>0.5</v>
      </c>
      <c r="AF202" s="544">
        <f t="shared" si="92"/>
        <v>0</v>
      </c>
      <c r="AG202" s="760">
        <f t="shared" si="93"/>
        <v>0</v>
      </c>
    </row>
    <row r="203" spans="3:34" ht="13.15" customHeight="1" x14ac:dyDescent="0.2">
      <c r="C203" s="31"/>
      <c r="D203" s="117" t="str">
        <f t="shared" si="85"/>
        <v/>
      </c>
      <c r="E203" s="117" t="str">
        <f t="shared" si="85"/>
        <v/>
      </c>
      <c r="F203" s="33" t="str">
        <f t="shared" ref="F203:F250" si="105">IF(F141="","",F141+1)</f>
        <v/>
      </c>
      <c r="G203" s="118" t="str">
        <f t="shared" si="94"/>
        <v/>
      </c>
      <c r="H203" s="33" t="str">
        <f t="shared" si="95"/>
        <v/>
      </c>
      <c r="I203" s="119" t="str">
        <f t="shared" si="86"/>
        <v/>
      </c>
      <c r="J203" s="120" t="str">
        <f t="shared" si="87"/>
        <v/>
      </c>
      <c r="K203" s="170"/>
      <c r="L203" s="1141">
        <f t="shared" si="88"/>
        <v>0</v>
      </c>
      <c r="M203" s="1141">
        <f t="shared" si="88"/>
        <v>0</v>
      </c>
      <c r="N203" s="804" t="str">
        <f t="shared" si="96"/>
        <v/>
      </c>
      <c r="O203" s="795"/>
      <c r="P203" s="1156" t="str">
        <f t="shared" si="97"/>
        <v/>
      </c>
      <c r="Q203" s="957" t="str">
        <f t="shared" si="98"/>
        <v/>
      </c>
      <c r="R203" s="767" t="str">
        <f t="shared" si="99"/>
        <v/>
      </c>
      <c r="S203" s="966">
        <f t="shared" si="100"/>
        <v>0</v>
      </c>
      <c r="T203" s="116"/>
      <c r="X203" s="760" t="str">
        <f t="shared" si="89"/>
        <v/>
      </c>
      <c r="Y203" s="745">
        <f t="shared" si="101"/>
        <v>0.6</v>
      </c>
      <c r="Z203" s="758" t="e">
        <f t="shared" si="102"/>
        <v>#VALUE!</v>
      </c>
      <c r="AA203" s="758" t="e">
        <f t="shared" si="103"/>
        <v>#VALUE!</v>
      </c>
      <c r="AB203" s="758" t="e">
        <f t="shared" si="104"/>
        <v>#VALUE!</v>
      </c>
      <c r="AC203" s="544" t="e">
        <f t="shared" si="90"/>
        <v>#VALUE!</v>
      </c>
      <c r="AD203" s="544">
        <f t="shared" si="91"/>
        <v>0</v>
      </c>
      <c r="AE203" s="759">
        <f>IF(H203&gt;8,tab!C$194,tab!C$197)</f>
        <v>0.5</v>
      </c>
      <c r="AF203" s="544">
        <f t="shared" si="92"/>
        <v>0</v>
      </c>
      <c r="AG203" s="760">
        <f t="shared" si="93"/>
        <v>0</v>
      </c>
    </row>
    <row r="204" spans="3:34" ht="13.15" customHeight="1" x14ac:dyDescent="0.2">
      <c r="C204" s="31"/>
      <c r="D204" s="117" t="str">
        <f t="shared" si="85"/>
        <v/>
      </c>
      <c r="E204" s="117" t="str">
        <f t="shared" si="85"/>
        <v/>
      </c>
      <c r="F204" s="33" t="str">
        <f t="shared" si="105"/>
        <v/>
      </c>
      <c r="G204" s="118" t="str">
        <f t="shared" si="94"/>
        <v/>
      </c>
      <c r="H204" s="33" t="str">
        <f t="shared" si="95"/>
        <v/>
      </c>
      <c r="I204" s="119" t="str">
        <f t="shared" si="86"/>
        <v/>
      </c>
      <c r="J204" s="120" t="str">
        <f t="shared" si="87"/>
        <v/>
      </c>
      <c r="K204" s="170"/>
      <c r="L204" s="1141">
        <f t="shared" si="88"/>
        <v>0</v>
      </c>
      <c r="M204" s="1141">
        <f t="shared" si="88"/>
        <v>0</v>
      </c>
      <c r="N204" s="804" t="str">
        <f t="shared" si="96"/>
        <v/>
      </c>
      <c r="O204" s="795"/>
      <c r="P204" s="1156" t="str">
        <f t="shared" si="97"/>
        <v/>
      </c>
      <c r="Q204" s="957" t="str">
        <f t="shared" si="98"/>
        <v/>
      </c>
      <c r="R204" s="767" t="str">
        <f t="shared" si="99"/>
        <v/>
      </c>
      <c r="S204" s="966">
        <f t="shared" si="100"/>
        <v>0</v>
      </c>
      <c r="T204" s="116"/>
      <c r="X204" s="760" t="str">
        <f t="shared" si="89"/>
        <v/>
      </c>
      <c r="Y204" s="745">
        <f t="shared" si="101"/>
        <v>0.6</v>
      </c>
      <c r="Z204" s="758" t="e">
        <f t="shared" si="102"/>
        <v>#VALUE!</v>
      </c>
      <c r="AA204" s="758" t="e">
        <f t="shared" si="103"/>
        <v>#VALUE!</v>
      </c>
      <c r="AB204" s="758" t="e">
        <f t="shared" si="104"/>
        <v>#VALUE!</v>
      </c>
      <c r="AC204" s="544" t="e">
        <f t="shared" si="90"/>
        <v>#VALUE!</v>
      </c>
      <c r="AD204" s="544">
        <f t="shared" si="91"/>
        <v>0</v>
      </c>
      <c r="AE204" s="759">
        <f>IF(H204&gt;8,tab!C$194,tab!C$197)</f>
        <v>0.5</v>
      </c>
      <c r="AF204" s="544">
        <f t="shared" si="92"/>
        <v>0</v>
      </c>
      <c r="AG204" s="760">
        <f t="shared" si="93"/>
        <v>0</v>
      </c>
    </row>
    <row r="205" spans="3:34" ht="13.15" customHeight="1" x14ac:dyDescent="0.2">
      <c r="C205" s="31"/>
      <c r="D205" s="117" t="str">
        <f t="shared" si="85"/>
        <v/>
      </c>
      <c r="E205" s="117" t="str">
        <f t="shared" si="85"/>
        <v/>
      </c>
      <c r="F205" s="33" t="str">
        <f t="shared" si="105"/>
        <v/>
      </c>
      <c r="G205" s="118" t="str">
        <f t="shared" si="94"/>
        <v/>
      </c>
      <c r="H205" s="33" t="str">
        <f t="shared" si="95"/>
        <v/>
      </c>
      <c r="I205" s="119" t="str">
        <f t="shared" si="86"/>
        <v/>
      </c>
      <c r="J205" s="120" t="str">
        <f t="shared" si="87"/>
        <v/>
      </c>
      <c r="K205" s="170"/>
      <c r="L205" s="1141">
        <f t="shared" si="88"/>
        <v>0</v>
      </c>
      <c r="M205" s="1141">
        <f t="shared" si="88"/>
        <v>0</v>
      </c>
      <c r="N205" s="804" t="str">
        <f t="shared" si="96"/>
        <v/>
      </c>
      <c r="O205" s="795"/>
      <c r="P205" s="1156" t="str">
        <f t="shared" si="97"/>
        <v/>
      </c>
      <c r="Q205" s="957" t="str">
        <f t="shared" si="98"/>
        <v/>
      </c>
      <c r="R205" s="767" t="str">
        <f t="shared" si="99"/>
        <v/>
      </c>
      <c r="S205" s="966">
        <f t="shared" si="100"/>
        <v>0</v>
      </c>
      <c r="T205" s="116"/>
      <c r="X205" s="760" t="str">
        <f t="shared" si="89"/>
        <v/>
      </c>
      <c r="Y205" s="745">
        <f t="shared" si="101"/>
        <v>0.6</v>
      </c>
      <c r="Z205" s="758" t="e">
        <f t="shared" si="102"/>
        <v>#VALUE!</v>
      </c>
      <c r="AA205" s="758" t="e">
        <f t="shared" si="103"/>
        <v>#VALUE!</v>
      </c>
      <c r="AB205" s="758" t="e">
        <f t="shared" si="104"/>
        <v>#VALUE!</v>
      </c>
      <c r="AC205" s="544" t="e">
        <f t="shared" si="90"/>
        <v>#VALUE!</v>
      </c>
      <c r="AD205" s="544">
        <f t="shared" si="91"/>
        <v>0</v>
      </c>
      <c r="AE205" s="759">
        <f>IF(H205&gt;8,tab!C$194,tab!C$197)</f>
        <v>0.5</v>
      </c>
      <c r="AF205" s="544">
        <f t="shared" si="92"/>
        <v>0</v>
      </c>
      <c r="AG205" s="760">
        <f t="shared" si="93"/>
        <v>0</v>
      </c>
    </row>
    <row r="206" spans="3:34" ht="13.15" customHeight="1" x14ac:dyDescent="0.2">
      <c r="C206" s="31"/>
      <c r="D206" s="117" t="str">
        <f t="shared" si="85"/>
        <v/>
      </c>
      <c r="E206" s="117" t="str">
        <f t="shared" si="85"/>
        <v/>
      </c>
      <c r="F206" s="33" t="str">
        <f t="shared" si="105"/>
        <v/>
      </c>
      <c r="G206" s="118" t="str">
        <f t="shared" si="94"/>
        <v/>
      </c>
      <c r="H206" s="33" t="str">
        <f t="shared" si="95"/>
        <v/>
      </c>
      <c r="I206" s="119" t="str">
        <f t="shared" si="86"/>
        <v/>
      </c>
      <c r="J206" s="120" t="str">
        <f t="shared" si="87"/>
        <v/>
      </c>
      <c r="K206" s="170"/>
      <c r="L206" s="1141">
        <f t="shared" si="88"/>
        <v>0</v>
      </c>
      <c r="M206" s="1141">
        <f t="shared" si="88"/>
        <v>0</v>
      </c>
      <c r="N206" s="804" t="str">
        <f t="shared" si="96"/>
        <v/>
      </c>
      <c r="O206" s="795"/>
      <c r="P206" s="1156" t="str">
        <f t="shared" si="97"/>
        <v/>
      </c>
      <c r="Q206" s="957" t="str">
        <f t="shared" si="98"/>
        <v/>
      </c>
      <c r="R206" s="767" t="str">
        <f t="shared" si="99"/>
        <v/>
      </c>
      <c r="S206" s="966">
        <f t="shared" si="100"/>
        <v>0</v>
      </c>
      <c r="T206" s="116"/>
      <c r="X206" s="760" t="str">
        <f t="shared" si="89"/>
        <v/>
      </c>
      <c r="Y206" s="745">
        <f t="shared" si="101"/>
        <v>0.6</v>
      </c>
      <c r="Z206" s="758" t="e">
        <f t="shared" si="102"/>
        <v>#VALUE!</v>
      </c>
      <c r="AA206" s="758" t="e">
        <f t="shared" si="103"/>
        <v>#VALUE!</v>
      </c>
      <c r="AB206" s="758" t="e">
        <f t="shared" si="104"/>
        <v>#VALUE!</v>
      </c>
      <c r="AC206" s="544" t="e">
        <f t="shared" si="90"/>
        <v>#VALUE!</v>
      </c>
      <c r="AD206" s="544">
        <f t="shared" si="91"/>
        <v>0</v>
      </c>
      <c r="AE206" s="759">
        <f>IF(H206&gt;8,tab!C$194,tab!C$197)</f>
        <v>0.5</v>
      </c>
      <c r="AF206" s="544">
        <f t="shared" si="92"/>
        <v>0</v>
      </c>
      <c r="AG206" s="760">
        <f t="shared" si="93"/>
        <v>0</v>
      </c>
    </row>
    <row r="207" spans="3:34" ht="13.15" customHeight="1" x14ac:dyDescent="0.2">
      <c r="C207" s="31"/>
      <c r="D207" s="117" t="str">
        <f t="shared" si="85"/>
        <v/>
      </c>
      <c r="E207" s="117" t="str">
        <f t="shared" si="85"/>
        <v/>
      </c>
      <c r="F207" s="33" t="str">
        <f t="shared" si="105"/>
        <v/>
      </c>
      <c r="G207" s="118" t="str">
        <f t="shared" si="94"/>
        <v/>
      </c>
      <c r="H207" s="33" t="str">
        <f t="shared" si="95"/>
        <v/>
      </c>
      <c r="I207" s="119" t="str">
        <f t="shared" si="86"/>
        <v/>
      </c>
      <c r="J207" s="120" t="str">
        <f t="shared" si="87"/>
        <v/>
      </c>
      <c r="K207" s="170"/>
      <c r="L207" s="1141">
        <f t="shared" si="88"/>
        <v>0</v>
      </c>
      <c r="M207" s="1141">
        <f t="shared" si="88"/>
        <v>0</v>
      </c>
      <c r="N207" s="804" t="str">
        <f t="shared" si="96"/>
        <v/>
      </c>
      <c r="O207" s="795"/>
      <c r="P207" s="1156" t="str">
        <f t="shared" si="97"/>
        <v/>
      </c>
      <c r="Q207" s="957" t="str">
        <f t="shared" si="98"/>
        <v/>
      </c>
      <c r="R207" s="767" t="str">
        <f t="shared" si="99"/>
        <v/>
      </c>
      <c r="S207" s="966">
        <f t="shared" si="100"/>
        <v>0</v>
      </c>
      <c r="T207" s="116"/>
      <c r="X207" s="760" t="str">
        <f t="shared" si="89"/>
        <v/>
      </c>
      <c r="Y207" s="745">
        <f t="shared" si="101"/>
        <v>0.6</v>
      </c>
      <c r="Z207" s="758" t="e">
        <f t="shared" si="102"/>
        <v>#VALUE!</v>
      </c>
      <c r="AA207" s="758" t="e">
        <f t="shared" si="103"/>
        <v>#VALUE!</v>
      </c>
      <c r="AB207" s="758" t="e">
        <f t="shared" si="104"/>
        <v>#VALUE!</v>
      </c>
      <c r="AC207" s="544" t="e">
        <f t="shared" si="90"/>
        <v>#VALUE!</v>
      </c>
      <c r="AD207" s="544">
        <f t="shared" si="91"/>
        <v>0</v>
      </c>
      <c r="AE207" s="759">
        <f>IF(H207&gt;8,tab!C$194,tab!C$197)</f>
        <v>0.5</v>
      </c>
      <c r="AF207" s="544">
        <f t="shared" si="92"/>
        <v>0</v>
      </c>
      <c r="AG207" s="760">
        <f t="shared" si="93"/>
        <v>0</v>
      </c>
    </row>
    <row r="208" spans="3:34" ht="13.15" customHeight="1" x14ac:dyDescent="0.2">
      <c r="C208" s="31"/>
      <c r="D208" s="117" t="str">
        <f t="shared" si="85"/>
        <v/>
      </c>
      <c r="E208" s="117" t="str">
        <f t="shared" si="85"/>
        <v/>
      </c>
      <c r="F208" s="33" t="str">
        <f t="shared" si="105"/>
        <v/>
      </c>
      <c r="G208" s="118" t="str">
        <f t="shared" si="94"/>
        <v/>
      </c>
      <c r="H208" s="33" t="str">
        <f t="shared" si="95"/>
        <v/>
      </c>
      <c r="I208" s="119" t="str">
        <f t="shared" si="86"/>
        <v/>
      </c>
      <c r="J208" s="120" t="str">
        <f t="shared" si="87"/>
        <v/>
      </c>
      <c r="K208" s="170"/>
      <c r="L208" s="1141">
        <f t="shared" si="88"/>
        <v>0</v>
      </c>
      <c r="M208" s="1141">
        <f t="shared" si="88"/>
        <v>0</v>
      </c>
      <c r="N208" s="804" t="str">
        <f t="shared" si="96"/>
        <v/>
      </c>
      <c r="O208" s="795"/>
      <c r="P208" s="1156" t="str">
        <f t="shared" si="97"/>
        <v/>
      </c>
      <c r="Q208" s="957" t="str">
        <f t="shared" si="98"/>
        <v/>
      </c>
      <c r="R208" s="767" t="str">
        <f t="shared" si="99"/>
        <v/>
      </c>
      <c r="S208" s="966">
        <f t="shared" si="100"/>
        <v>0</v>
      </c>
      <c r="T208" s="116"/>
      <c r="X208" s="760" t="str">
        <f t="shared" si="89"/>
        <v/>
      </c>
      <c r="Y208" s="745">
        <f t="shared" si="101"/>
        <v>0.6</v>
      </c>
      <c r="Z208" s="758" t="e">
        <f t="shared" si="102"/>
        <v>#VALUE!</v>
      </c>
      <c r="AA208" s="758" t="e">
        <f t="shared" si="103"/>
        <v>#VALUE!</v>
      </c>
      <c r="AB208" s="758" t="e">
        <f t="shared" si="104"/>
        <v>#VALUE!</v>
      </c>
      <c r="AC208" s="544" t="e">
        <f t="shared" si="90"/>
        <v>#VALUE!</v>
      </c>
      <c r="AD208" s="544">
        <f t="shared" si="91"/>
        <v>0</v>
      </c>
      <c r="AE208" s="759">
        <f>IF(H208&gt;8,tab!C$194,tab!C$197)</f>
        <v>0.5</v>
      </c>
      <c r="AF208" s="544">
        <f t="shared" si="92"/>
        <v>0</v>
      </c>
      <c r="AG208" s="760">
        <f t="shared" si="93"/>
        <v>0</v>
      </c>
    </row>
    <row r="209" spans="3:34" ht="13.15" customHeight="1" x14ac:dyDescent="0.2">
      <c r="C209" s="31"/>
      <c r="D209" s="117" t="str">
        <f t="shared" si="85"/>
        <v/>
      </c>
      <c r="E209" s="117" t="str">
        <f t="shared" si="85"/>
        <v/>
      </c>
      <c r="F209" s="33" t="str">
        <f t="shared" si="105"/>
        <v/>
      </c>
      <c r="G209" s="118" t="str">
        <f t="shared" si="94"/>
        <v/>
      </c>
      <c r="H209" s="33" t="str">
        <f t="shared" si="95"/>
        <v/>
      </c>
      <c r="I209" s="119" t="str">
        <f t="shared" si="86"/>
        <v/>
      </c>
      <c r="J209" s="120" t="str">
        <f t="shared" si="87"/>
        <v/>
      </c>
      <c r="K209" s="170"/>
      <c r="L209" s="1141">
        <f t="shared" si="88"/>
        <v>0</v>
      </c>
      <c r="M209" s="1141">
        <f t="shared" si="88"/>
        <v>0</v>
      </c>
      <c r="N209" s="804" t="str">
        <f t="shared" si="96"/>
        <v/>
      </c>
      <c r="O209" s="795"/>
      <c r="P209" s="1156" t="str">
        <f t="shared" si="97"/>
        <v/>
      </c>
      <c r="Q209" s="957" t="str">
        <f t="shared" si="98"/>
        <v/>
      </c>
      <c r="R209" s="767" t="str">
        <f t="shared" si="99"/>
        <v/>
      </c>
      <c r="S209" s="966">
        <f t="shared" si="100"/>
        <v>0</v>
      </c>
      <c r="T209" s="116"/>
      <c r="X209" s="760" t="str">
        <f t="shared" si="89"/>
        <v/>
      </c>
      <c r="Y209" s="745">
        <f t="shared" si="101"/>
        <v>0.6</v>
      </c>
      <c r="Z209" s="758" t="e">
        <f t="shared" si="102"/>
        <v>#VALUE!</v>
      </c>
      <c r="AA209" s="758" t="e">
        <f t="shared" si="103"/>
        <v>#VALUE!</v>
      </c>
      <c r="AB209" s="758" t="e">
        <f t="shared" si="104"/>
        <v>#VALUE!</v>
      </c>
      <c r="AC209" s="544" t="e">
        <f t="shared" si="90"/>
        <v>#VALUE!</v>
      </c>
      <c r="AD209" s="544">
        <f t="shared" si="91"/>
        <v>0</v>
      </c>
      <c r="AE209" s="759">
        <f>IF(H209&gt;8,tab!C$194,tab!C$197)</f>
        <v>0.5</v>
      </c>
      <c r="AF209" s="544">
        <f t="shared" si="92"/>
        <v>0</v>
      </c>
      <c r="AG209" s="760">
        <f t="shared" si="93"/>
        <v>0</v>
      </c>
    </row>
    <row r="210" spans="3:34" ht="13.15" customHeight="1" x14ac:dyDescent="0.2">
      <c r="C210" s="31"/>
      <c r="D210" s="117" t="str">
        <f t="shared" si="85"/>
        <v/>
      </c>
      <c r="E210" s="117" t="str">
        <f t="shared" si="85"/>
        <v/>
      </c>
      <c r="F210" s="33" t="str">
        <f t="shared" si="105"/>
        <v/>
      </c>
      <c r="G210" s="118" t="str">
        <f t="shared" si="94"/>
        <v/>
      </c>
      <c r="H210" s="33" t="str">
        <f t="shared" si="95"/>
        <v/>
      </c>
      <c r="I210" s="119" t="str">
        <f t="shared" si="86"/>
        <v/>
      </c>
      <c r="J210" s="120" t="str">
        <f t="shared" si="87"/>
        <v/>
      </c>
      <c r="K210" s="170"/>
      <c r="L210" s="1141">
        <f t="shared" si="88"/>
        <v>0</v>
      </c>
      <c r="M210" s="1141">
        <f t="shared" si="88"/>
        <v>0</v>
      </c>
      <c r="N210" s="804" t="str">
        <f t="shared" si="96"/>
        <v/>
      </c>
      <c r="O210" s="795"/>
      <c r="P210" s="1156" t="str">
        <f t="shared" si="97"/>
        <v/>
      </c>
      <c r="Q210" s="957" t="str">
        <f t="shared" si="98"/>
        <v/>
      </c>
      <c r="R210" s="767" t="str">
        <f t="shared" si="99"/>
        <v/>
      </c>
      <c r="S210" s="966">
        <f t="shared" si="100"/>
        <v>0</v>
      </c>
      <c r="T210" s="116"/>
      <c r="X210" s="760" t="str">
        <f t="shared" si="89"/>
        <v/>
      </c>
      <c r="Y210" s="745">
        <f t="shared" si="101"/>
        <v>0.6</v>
      </c>
      <c r="Z210" s="758" t="e">
        <f t="shared" si="102"/>
        <v>#VALUE!</v>
      </c>
      <c r="AA210" s="758" t="e">
        <f t="shared" si="103"/>
        <v>#VALUE!</v>
      </c>
      <c r="AB210" s="758" t="e">
        <f t="shared" si="104"/>
        <v>#VALUE!</v>
      </c>
      <c r="AC210" s="544" t="e">
        <f t="shared" si="90"/>
        <v>#VALUE!</v>
      </c>
      <c r="AD210" s="544">
        <f t="shared" si="91"/>
        <v>0</v>
      </c>
      <c r="AE210" s="759">
        <f>IF(H210&gt;8,tab!C$194,tab!C$197)</f>
        <v>0.5</v>
      </c>
      <c r="AF210" s="544">
        <f t="shared" si="92"/>
        <v>0</v>
      </c>
      <c r="AG210" s="760">
        <f t="shared" si="93"/>
        <v>0</v>
      </c>
      <c r="AH210" s="544"/>
    </row>
    <row r="211" spans="3:34" ht="13.15" customHeight="1" x14ac:dyDescent="0.2">
      <c r="C211" s="31"/>
      <c r="D211" s="117" t="str">
        <f t="shared" si="85"/>
        <v/>
      </c>
      <c r="E211" s="117" t="str">
        <f t="shared" si="85"/>
        <v/>
      </c>
      <c r="F211" s="33" t="str">
        <f t="shared" si="105"/>
        <v/>
      </c>
      <c r="G211" s="118" t="str">
        <f t="shared" si="94"/>
        <v/>
      </c>
      <c r="H211" s="33" t="str">
        <f t="shared" si="95"/>
        <v/>
      </c>
      <c r="I211" s="119" t="str">
        <f t="shared" si="86"/>
        <v/>
      </c>
      <c r="J211" s="120" t="str">
        <f t="shared" si="87"/>
        <v/>
      </c>
      <c r="K211" s="170"/>
      <c r="L211" s="1141">
        <f t="shared" si="88"/>
        <v>0</v>
      </c>
      <c r="M211" s="1141">
        <f t="shared" si="88"/>
        <v>0</v>
      </c>
      <c r="N211" s="804" t="str">
        <f t="shared" si="96"/>
        <v/>
      </c>
      <c r="O211" s="795"/>
      <c r="P211" s="1156" t="str">
        <f t="shared" si="97"/>
        <v/>
      </c>
      <c r="Q211" s="957" t="str">
        <f t="shared" si="98"/>
        <v/>
      </c>
      <c r="R211" s="767" t="str">
        <f t="shared" si="99"/>
        <v/>
      </c>
      <c r="S211" s="966">
        <f t="shared" si="100"/>
        <v>0</v>
      </c>
      <c r="T211" s="116"/>
      <c r="X211" s="760" t="str">
        <f t="shared" si="89"/>
        <v/>
      </c>
      <c r="Y211" s="745">
        <f t="shared" si="101"/>
        <v>0.6</v>
      </c>
      <c r="Z211" s="758" t="e">
        <f t="shared" si="102"/>
        <v>#VALUE!</v>
      </c>
      <c r="AA211" s="758" t="e">
        <f t="shared" si="103"/>
        <v>#VALUE!</v>
      </c>
      <c r="AB211" s="758" t="e">
        <f t="shared" si="104"/>
        <v>#VALUE!</v>
      </c>
      <c r="AC211" s="544" t="e">
        <f t="shared" si="90"/>
        <v>#VALUE!</v>
      </c>
      <c r="AD211" s="544">
        <f t="shared" si="91"/>
        <v>0</v>
      </c>
      <c r="AE211" s="759">
        <f>IF(H211&gt;8,tab!C$194,tab!C$197)</f>
        <v>0.5</v>
      </c>
      <c r="AF211" s="544">
        <f t="shared" si="92"/>
        <v>0</v>
      </c>
      <c r="AG211" s="760">
        <f t="shared" si="93"/>
        <v>0</v>
      </c>
      <c r="AH211" s="544"/>
    </row>
    <row r="212" spans="3:34" ht="13.15" customHeight="1" x14ac:dyDescent="0.2">
      <c r="C212" s="31"/>
      <c r="D212" s="117" t="str">
        <f t="shared" si="85"/>
        <v/>
      </c>
      <c r="E212" s="117" t="str">
        <f t="shared" si="85"/>
        <v/>
      </c>
      <c r="F212" s="33" t="str">
        <f t="shared" si="105"/>
        <v/>
      </c>
      <c r="G212" s="118" t="str">
        <f t="shared" si="94"/>
        <v/>
      </c>
      <c r="H212" s="33" t="str">
        <f t="shared" si="95"/>
        <v/>
      </c>
      <c r="I212" s="119" t="str">
        <f t="shared" si="86"/>
        <v/>
      </c>
      <c r="J212" s="120" t="str">
        <f t="shared" si="87"/>
        <v/>
      </c>
      <c r="K212" s="170"/>
      <c r="L212" s="1141">
        <f t="shared" si="88"/>
        <v>0</v>
      </c>
      <c r="M212" s="1141">
        <f t="shared" si="88"/>
        <v>0</v>
      </c>
      <c r="N212" s="804" t="str">
        <f t="shared" si="96"/>
        <v/>
      </c>
      <c r="O212" s="795"/>
      <c r="P212" s="1156" t="str">
        <f t="shared" si="97"/>
        <v/>
      </c>
      <c r="Q212" s="957" t="str">
        <f t="shared" si="98"/>
        <v/>
      </c>
      <c r="R212" s="767" t="str">
        <f t="shared" si="99"/>
        <v/>
      </c>
      <c r="S212" s="966">
        <f t="shared" si="100"/>
        <v>0</v>
      </c>
      <c r="T212" s="116"/>
      <c r="X212" s="760" t="str">
        <f t="shared" si="89"/>
        <v/>
      </c>
      <c r="Y212" s="745">
        <f t="shared" si="101"/>
        <v>0.6</v>
      </c>
      <c r="Z212" s="758" t="e">
        <f t="shared" si="102"/>
        <v>#VALUE!</v>
      </c>
      <c r="AA212" s="758" t="e">
        <f t="shared" si="103"/>
        <v>#VALUE!</v>
      </c>
      <c r="AB212" s="758" t="e">
        <f t="shared" si="104"/>
        <v>#VALUE!</v>
      </c>
      <c r="AC212" s="544" t="e">
        <f t="shared" si="90"/>
        <v>#VALUE!</v>
      </c>
      <c r="AD212" s="544">
        <f t="shared" si="91"/>
        <v>0</v>
      </c>
      <c r="AE212" s="759">
        <f>IF(H212&gt;8,tab!C$194,tab!C$197)</f>
        <v>0.5</v>
      </c>
      <c r="AF212" s="544">
        <f t="shared" si="92"/>
        <v>0</v>
      </c>
      <c r="AG212" s="760">
        <f t="shared" si="93"/>
        <v>0</v>
      </c>
      <c r="AH212" s="544"/>
    </row>
    <row r="213" spans="3:34" ht="13.15" customHeight="1" x14ac:dyDescent="0.2">
      <c r="C213" s="31"/>
      <c r="D213" s="117" t="str">
        <f t="shared" si="85"/>
        <v/>
      </c>
      <c r="E213" s="117" t="str">
        <f t="shared" si="85"/>
        <v/>
      </c>
      <c r="F213" s="33" t="str">
        <f t="shared" si="105"/>
        <v/>
      </c>
      <c r="G213" s="118" t="str">
        <f t="shared" si="94"/>
        <v/>
      </c>
      <c r="H213" s="33" t="str">
        <f t="shared" si="95"/>
        <v/>
      </c>
      <c r="I213" s="119" t="str">
        <f t="shared" si="86"/>
        <v/>
      </c>
      <c r="J213" s="120" t="str">
        <f t="shared" si="87"/>
        <v/>
      </c>
      <c r="K213" s="170"/>
      <c r="L213" s="1141">
        <f t="shared" si="88"/>
        <v>0</v>
      </c>
      <c r="M213" s="1141">
        <f t="shared" si="88"/>
        <v>0</v>
      </c>
      <c r="N213" s="804" t="str">
        <f t="shared" si="96"/>
        <v/>
      </c>
      <c r="O213" s="795"/>
      <c r="P213" s="1156" t="str">
        <f t="shared" si="97"/>
        <v/>
      </c>
      <c r="Q213" s="957" t="str">
        <f t="shared" si="98"/>
        <v/>
      </c>
      <c r="R213" s="767" t="str">
        <f t="shared" si="99"/>
        <v/>
      </c>
      <c r="S213" s="966">
        <f t="shared" si="100"/>
        <v>0</v>
      </c>
      <c r="T213" s="116"/>
      <c r="X213" s="760" t="str">
        <f t="shared" si="89"/>
        <v/>
      </c>
      <c r="Y213" s="745">
        <f t="shared" si="101"/>
        <v>0.6</v>
      </c>
      <c r="Z213" s="758" t="e">
        <f t="shared" si="102"/>
        <v>#VALUE!</v>
      </c>
      <c r="AA213" s="758" t="e">
        <f t="shared" si="103"/>
        <v>#VALUE!</v>
      </c>
      <c r="AB213" s="758" t="e">
        <f t="shared" si="104"/>
        <v>#VALUE!</v>
      </c>
      <c r="AC213" s="544" t="e">
        <f t="shared" si="90"/>
        <v>#VALUE!</v>
      </c>
      <c r="AD213" s="544">
        <f t="shared" si="91"/>
        <v>0</v>
      </c>
      <c r="AE213" s="759">
        <f>IF(H213&gt;8,tab!C$194,tab!C$197)</f>
        <v>0.5</v>
      </c>
      <c r="AF213" s="544">
        <f t="shared" si="92"/>
        <v>0</v>
      </c>
      <c r="AG213" s="760">
        <f t="shared" si="93"/>
        <v>0</v>
      </c>
      <c r="AH213" s="544"/>
    </row>
    <row r="214" spans="3:34" ht="13.15" customHeight="1" x14ac:dyDescent="0.2">
      <c r="C214" s="31"/>
      <c r="D214" s="117" t="str">
        <f t="shared" si="85"/>
        <v/>
      </c>
      <c r="E214" s="117" t="str">
        <f t="shared" si="85"/>
        <v/>
      </c>
      <c r="F214" s="33" t="str">
        <f t="shared" si="105"/>
        <v/>
      </c>
      <c r="G214" s="118" t="str">
        <f t="shared" si="94"/>
        <v/>
      </c>
      <c r="H214" s="33" t="str">
        <f t="shared" si="95"/>
        <v/>
      </c>
      <c r="I214" s="119" t="str">
        <f t="shared" si="86"/>
        <v/>
      </c>
      <c r="J214" s="120" t="str">
        <f t="shared" si="87"/>
        <v/>
      </c>
      <c r="K214" s="170"/>
      <c r="L214" s="1141">
        <f t="shared" si="88"/>
        <v>0</v>
      </c>
      <c r="M214" s="1141">
        <f t="shared" si="88"/>
        <v>0</v>
      </c>
      <c r="N214" s="804" t="str">
        <f t="shared" si="96"/>
        <v/>
      </c>
      <c r="O214" s="795"/>
      <c r="P214" s="1156" t="str">
        <f t="shared" si="97"/>
        <v/>
      </c>
      <c r="Q214" s="957" t="str">
        <f t="shared" si="98"/>
        <v/>
      </c>
      <c r="R214" s="767" t="str">
        <f t="shared" si="99"/>
        <v/>
      </c>
      <c r="S214" s="966">
        <f t="shared" si="100"/>
        <v>0</v>
      </c>
      <c r="T214" s="116"/>
      <c r="X214" s="760" t="str">
        <f t="shared" si="89"/>
        <v/>
      </c>
      <c r="Y214" s="745">
        <f t="shared" si="101"/>
        <v>0.6</v>
      </c>
      <c r="Z214" s="758" t="e">
        <f t="shared" si="102"/>
        <v>#VALUE!</v>
      </c>
      <c r="AA214" s="758" t="e">
        <f t="shared" si="103"/>
        <v>#VALUE!</v>
      </c>
      <c r="AB214" s="758" t="e">
        <f t="shared" si="104"/>
        <v>#VALUE!</v>
      </c>
      <c r="AC214" s="544" t="e">
        <f t="shared" si="90"/>
        <v>#VALUE!</v>
      </c>
      <c r="AD214" s="544">
        <f t="shared" si="91"/>
        <v>0</v>
      </c>
      <c r="AE214" s="759">
        <f>IF(H214&gt;8,tab!C$194,tab!C$197)</f>
        <v>0.5</v>
      </c>
      <c r="AF214" s="544">
        <f t="shared" si="92"/>
        <v>0</v>
      </c>
      <c r="AG214" s="760">
        <f t="shared" si="93"/>
        <v>0</v>
      </c>
      <c r="AH214" s="544"/>
    </row>
    <row r="215" spans="3:34" ht="13.15" customHeight="1" x14ac:dyDescent="0.2">
      <c r="C215" s="31"/>
      <c r="D215" s="117" t="str">
        <f t="shared" si="85"/>
        <v/>
      </c>
      <c r="E215" s="117" t="str">
        <f t="shared" si="85"/>
        <v/>
      </c>
      <c r="F215" s="33" t="str">
        <f t="shared" si="105"/>
        <v/>
      </c>
      <c r="G215" s="118" t="str">
        <f t="shared" si="94"/>
        <v/>
      </c>
      <c r="H215" s="33" t="str">
        <f t="shared" si="95"/>
        <v/>
      </c>
      <c r="I215" s="119" t="str">
        <f t="shared" si="86"/>
        <v/>
      </c>
      <c r="J215" s="120" t="str">
        <f t="shared" si="87"/>
        <v/>
      </c>
      <c r="K215" s="170"/>
      <c r="L215" s="1141">
        <f t="shared" si="88"/>
        <v>0</v>
      </c>
      <c r="M215" s="1141">
        <f t="shared" si="88"/>
        <v>0</v>
      </c>
      <c r="N215" s="804" t="str">
        <f t="shared" si="96"/>
        <v/>
      </c>
      <c r="O215" s="795"/>
      <c r="P215" s="1156" t="str">
        <f t="shared" si="97"/>
        <v/>
      </c>
      <c r="Q215" s="957" t="str">
        <f t="shared" si="98"/>
        <v/>
      </c>
      <c r="R215" s="767" t="str">
        <f t="shared" si="99"/>
        <v/>
      </c>
      <c r="S215" s="966">
        <f t="shared" si="100"/>
        <v>0</v>
      </c>
      <c r="T215" s="116"/>
      <c r="X215" s="760" t="str">
        <f t="shared" si="89"/>
        <v/>
      </c>
      <c r="Y215" s="745">
        <f t="shared" si="101"/>
        <v>0.6</v>
      </c>
      <c r="Z215" s="758" t="e">
        <f t="shared" si="102"/>
        <v>#VALUE!</v>
      </c>
      <c r="AA215" s="758" t="e">
        <f t="shared" si="103"/>
        <v>#VALUE!</v>
      </c>
      <c r="AB215" s="758" t="e">
        <f t="shared" si="104"/>
        <v>#VALUE!</v>
      </c>
      <c r="AC215" s="544" t="e">
        <f t="shared" si="90"/>
        <v>#VALUE!</v>
      </c>
      <c r="AD215" s="544">
        <f t="shared" si="91"/>
        <v>0</v>
      </c>
      <c r="AE215" s="759">
        <f>IF(H215&gt;8,tab!C$194,tab!C$197)</f>
        <v>0.5</v>
      </c>
      <c r="AF215" s="544">
        <f t="shared" si="92"/>
        <v>0</v>
      </c>
      <c r="AG215" s="760">
        <f t="shared" si="93"/>
        <v>0</v>
      </c>
      <c r="AH215" s="544"/>
    </row>
    <row r="216" spans="3:34" ht="13.15" customHeight="1" x14ac:dyDescent="0.2">
      <c r="C216" s="31"/>
      <c r="D216" s="117" t="str">
        <f t="shared" si="85"/>
        <v/>
      </c>
      <c r="E216" s="117" t="str">
        <f t="shared" si="85"/>
        <v/>
      </c>
      <c r="F216" s="33" t="str">
        <f t="shared" si="105"/>
        <v/>
      </c>
      <c r="G216" s="118" t="str">
        <f t="shared" si="94"/>
        <v/>
      </c>
      <c r="H216" s="33" t="str">
        <f t="shared" si="95"/>
        <v/>
      </c>
      <c r="I216" s="119" t="str">
        <f t="shared" si="86"/>
        <v/>
      </c>
      <c r="J216" s="120" t="str">
        <f t="shared" si="87"/>
        <v/>
      </c>
      <c r="K216" s="170"/>
      <c r="L216" s="1141">
        <f t="shared" si="88"/>
        <v>0</v>
      </c>
      <c r="M216" s="1141">
        <f t="shared" si="88"/>
        <v>0</v>
      </c>
      <c r="N216" s="804" t="str">
        <f t="shared" si="96"/>
        <v/>
      </c>
      <c r="O216" s="795"/>
      <c r="P216" s="1156" t="str">
        <f t="shared" si="97"/>
        <v/>
      </c>
      <c r="Q216" s="957" t="str">
        <f t="shared" si="98"/>
        <v/>
      </c>
      <c r="R216" s="767" t="str">
        <f t="shared" si="99"/>
        <v/>
      </c>
      <c r="S216" s="966">
        <f t="shared" si="100"/>
        <v>0</v>
      </c>
      <c r="T216" s="116"/>
      <c r="X216" s="760" t="str">
        <f t="shared" si="89"/>
        <v/>
      </c>
      <c r="Y216" s="745">
        <f t="shared" si="101"/>
        <v>0.6</v>
      </c>
      <c r="Z216" s="758" t="e">
        <f t="shared" si="102"/>
        <v>#VALUE!</v>
      </c>
      <c r="AA216" s="758" t="e">
        <f t="shared" si="103"/>
        <v>#VALUE!</v>
      </c>
      <c r="AB216" s="758" t="e">
        <f t="shared" si="104"/>
        <v>#VALUE!</v>
      </c>
      <c r="AC216" s="544" t="e">
        <f t="shared" si="90"/>
        <v>#VALUE!</v>
      </c>
      <c r="AD216" s="544">
        <f t="shared" si="91"/>
        <v>0</v>
      </c>
      <c r="AE216" s="759">
        <f>IF(H216&gt;8,tab!C$194,tab!C$197)</f>
        <v>0.5</v>
      </c>
      <c r="AF216" s="544">
        <f t="shared" si="92"/>
        <v>0</v>
      </c>
      <c r="AG216" s="760">
        <f t="shared" si="93"/>
        <v>0</v>
      </c>
      <c r="AH216" s="544"/>
    </row>
    <row r="217" spans="3:34" ht="13.15" customHeight="1" x14ac:dyDescent="0.2">
      <c r="C217" s="31"/>
      <c r="D217" s="117" t="str">
        <f t="shared" si="85"/>
        <v/>
      </c>
      <c r="E217" s="117" t="str">
        <f t="shared" si="85"/>
        <v/>
      </c>
      <c r="F217" s="33" t="str">
        <f t="shared" si="105"/>
        <v/>
      </c>
      <c r="G217" s="118" t="str">
        <f t="shared" si="94"/>
        <v/>
      </c>
      <c r="H217" s="33" t="str">
        <f t="shared" si="95"/>
        <v/>
      </c>
      <c r="I217" s="119" t="str">
        <f t="shared" si="86"/>
        <v/>
      </c>
      <c r="J217" s="120" t="str">
        <f t="shared" si="87"/>
        <v/>
      </c>
      <c r="K217" s="170"/>
      <c r="L217" s="1141">
        <f t="shared" si="88"/>
        <v>0</v>
      </c>
      <c r="M217" s="1141">
        <f t="shared" si="88"/>
        <v>0</v>
      </c>
      <c r="N217" s="804" t="str">
        <f t="shared" si="96"/>
        <v/>
      </c>
      <c r="O217" s="795"/>
      <c r="P217" s="1156" t="str">
        <f t="shared" si="97"/>
        <v/>
      </c>
      <c r="Q217" s="957" t="str">
        <f t="shared" si="98"/>
        <v/>
      </c>
      <c r="R217" s="767" t="str">
        <f t="shared" si="99"/>
        <v/>
      </c>
      <c r="S217" s="966">
        <f t="shared" si="100"/>
        <v>0</v>
      </c>
      <c r="T217" s="116"/>
      <c r="X217" s="760" t="str">
        <f t="shared" si="89"/>
        <v/>
      </c>
      <c r="Y217" s="745">
        <f t="shared" si="101"/>
        <v>0.6</v>
      </c>
      <c r="Z217" s="758" t="e">
        <f t="shared" si="102"/>
        <v>#VALUE!</v>
      </c>
      <c r="AA217" s="758" t="e">
        <f t="shared" si="103"/>
        <v>#VALUE!</v>
      </c>
      <c r="AB217" s="758" t="e">
        <f t="shared" si="104"/>
        <v>#VALUE!</v>
      </c>
      <c r="AC217" s="544" t="e">
        <f t="shared" si="90"/>
        <v>#VALUE!</v>
      </c>
      <c r="AD217" s="544">
        <f t="shared" si="91"/>
        <v>0</v>
      </c>
      <c r="AE217" s="759">
        <f>IF(H217&gt;8,tab!C$194,tab!C$197)</f>
        <v>0.5</v>
      </c>
      <c r="AF217" s="544">
        <f t="shared" si="92"/>
        <v>0</v>
      </c>
      <c r="AG217" s="760">
        <f t="shared" si="93"/>
        <v>0</v>
      </c>
      <c r="AH217" s="544"/>
    </row>
    <row r="218" spans="3:34" ht="13.15" customHeight="1" x14ac:dyDescent="0.2">
      <c r="C218" s="31"/>
      <c r="D218" s="117" t="str">
        <f t="shared" si="85"/>
        <v/>
      </c>
      <c r="E218" s="117" t="str">
        <f t="shared" si="85"/>
        <v/>
      </c>
      <c r="F218" s="33" t="str">
        <f t="shared" si="105"/>
        <v/>
      </c>
      <c r="G218" s="118" t="str">
        <f t="shared" si="94"/>
        <v/>
      </c>
      <c r="H218" s="33" t="str">
        <f t="shared" si="95"/>
        <v/>
      </c>
      <c r="I218" s="119" t="str">
        <f t="shared" si="86"/>
        <v/>
      </c>
      <c r="J218" s="120" t="str">
        <f t="shared" si="87"/>
        <v/>
      </c>
      <c r="K218" s="170"/>
      <c r="L218" s="1141">
        <f t="shared" si="88"/>
        <v>0</v>
      </c>
      <c r="M218" s="1141">
        <f t="shared" si="88"/>
        <v>0</v>
      </c>
      <c r="N218" s="804" t="str">
        <f t="shared" si="96"/>
        <v/>
      </c>
      <c r="O218" s="795"/>
      <c r="P218" s="1156" t="str">
        <f t="shared" si="97"/>
        <v/>
      </c>
      <c r="Q218" s="957" t="str">
        <f t="shared" si="98"/>
        <v/>
      </c>
      <c r="R218" s="767" t="str">
        <f t="shared" si="99"/>
        <v/>
      </c>
      <c r="S218" s="966">
        <f t="shared" si="100"/>
        <v>0</v>
      </c>
      <c r="T218" s="116"/>
      <c r="X218" s="760" t="str">
        <f t="shared" si="89"/>
        <v/>
      </c>
      <c r="Y218" s="745">
        <f t="shared" si="101"/>
        <v>0.6</v>
      </c>
      <c r="Z218" s="758" t="e">
        <f t="shared" si="102"/>
        <v>#VALUE!</v>
      </c>
      <c r="AA218" s="758" t="e">
        <f t="shared" si="103"/>
        <v>#VALUE!</v>
      </c>
      <c r="AB218" s="758" t="e">
        <f t="shared" si="104"/>
        <v>#VALUE!</v>
      </c>
      <c r="AC218" s="544" t="e">
        <f t="shared" si="90"/>
        <v>#VALUE!</v>
      </c>
      <c r="AD218" s="544">
        <f t="shared" si="91"/>
        <v>0</v>
      </c>
      <c r="AE218" s="759">
        <f>IF(H218&gt;8,tab!C$194,tab!C$197)</f>
        <v>0.5</v>
      </c>
      <c r="AF218" s="544">
        <f t="shared" si="92"/>
        <v>0</v>
      </c>
      <c r="AG218" s="760">
        <f t="shared" si="93"/>
        <v>0</v>
      </c>
      <c r="AH218" s="544"/>
    </row>
    <row r="219" spans="3:34" ht="13.15" customHeight="1" x14ac:dyDescent="0.2">
      <c r="C219" s="31"/>
      <c r="D219" s="117" t="str">
        <f t="shared" si="85"/>
        <v/>
      </c>
      <c r="E219" s="117" t="str">
        <f t="shared" si="85"/>
        <v/>
      </c>
      <c r="F219" s="33" t="str">
        <f t="shared" si="105"/>
        <v/>
      </c>
      <c r="G219" s="118" t="str">
        <f t="shared" si="94"/>
        <v/>
      </c>
      <c r="H219" s="33" t="str">
        <f t="shared" si="95"/>
        <v/>
      </c>
      <c r="I219" s="119" t="str">
        <f t="shared" si="86"/>
        <v/>
      </c>
      <c r="J219" s="120" t="str">
        <f t="shared" si="87"/>
        <v/>
      </c>
      <c r="K219" s="170"/>
      <c r="L219" s="1141">
        <f t="shared" si="88"/>
        <v>0</v>
      </c>
      <c r="M219" s="1141">
        <f t="shared" si="88"/>
        <v>0</v>
      </c>
      <c r="N219" s="804" t="str">
        <f t="shared" si="96"/>
        <v/>
      </c>
      <c r="O219" s="795"/>
      <c r="P219" s="1156" t="str">
        <f t="shared" si="97"/>
        <v/>
      </c>
      <c r="Q219" s="957" t="str">
        <f t="shared" si="98"/>
        <v/>
      </c>
      <c r="R219" s="767" t="str">
        <f t="shared" si="99"/>
        <v/>
      </c>
      <c r="S219" s="966">
        <f t="shared" si="100"/>
        <v>0</v>
      </c>
      <c r="T219" s="116"/>
      <c r="X219" s="760" t="str">
        <f t="shared" si="89"/>
        <v/>
      </c>
      <c r="Y219" s="745">
        <f t="shared" si="101"/>
        <v>0.6</v>
      </c>
      <c r="Z219" s="758" t="e">
        <f t="shared" si="102"/>
        <v>#VALUE!</v>
      </c>
      <c r="AA219" s="758" t="e">
        <f t="shared" si="103"/>
        <v>#VALUE!</v>
      </c>
      <c r="AB219" s="758" t="e">
        <f t="shared" si="104"/>
        <v>#VALUE!</v>
      </c>
      <c r="AC219" s="544" t="e">
        <f t="shared" si="90"/>
        <v>#VALUE!</v>
      </c>
      <c r="AD219" s="544">
        <f t="shared" si="91"/>
        <v>0</v>
      </c>
      <c r="AE219" s="759">
        <f>IF(H219&gt;8,tab!C$194,tab!C$197)</f>
        <v>0.5</v>
      </c>
      <c r="AF219" s="544">
        <f t="shared" si="92"/>
        <v>0</v>
      </c>
      <c r="AG219" s="760">
        <f t="shared" si="93"/>
        <v>0</v>
      </c>
      <c r="AH219" s="544"/>
    </row>
    <row r="220" spans="3:34" ht="13.15" customHeight="1" x14ac:dyDescent="0.2">
      <c r="C220" s="31"/>
      <c r="D220" s="117" t="str">
        <f t="shared" si="85"/>
        <v/>
      </c>
      <c r="E220" s="117" t="str">
        <f t="shared" si="85"/>
        <v/>
      </c>
      <c r="F220" s="33" t="str">
        <f t="shared" si="105"/>
        <v/>
      </c>
      <c r="G220" s="118" t="str">
        <f t="shared" si="94"/>
        <v/>
      </c>
      <c r="H220" s="33" t="str">
        <f t="shared" si="95"/>
        <v/>
      </c>
      <c r="I220" s="119" t="str">
        <f t="shared" si="86"/>
        <v/>
      </c>
      <c r="J220" s="120" t="str">
        <f t="shared" si="87"/>
        <v/>
      </c>
      <c r="K220" s="170"/>
      <c r="L220" s="1141">
        <f t="shared" si="88"/>
        <v>0</v>
      </c>
      <c r="M220" s="1141">
        <f t="shared" si="88"/>
        <v>0</v>
      </c>
      <c r="N220" s="804" t="str">
        <f t="shared" si="96"/>
        <v/>
      </c>
      <c r="O220" s="795"/>
      <c r="P220" s="1156" t="str">
        <f t="shared" si="97"/>
        <v/>
      </c>
      <c r="Q220" s="957" t="str">
        <f t="shared" si="98"/>
        <v/>
      </c>
      <c r="R220" s="767" t="str">
        <f t="shared" si="99"/>
        <v/>
      </c>
      <c r="S220" s="966">
        <f t="shared" si="100"/>
        <v>0</v>
      </c>
      <c r="T220" s="116"/>
      <c r="X220" s="760" t="str">
        <f t="shared" si="89"/>
        <v/>
      </c>
      <c r="Y220" s="745">
        <f t="shared" si="101"/>
        <v>0.6</v>
      </c>
      <c r="Z220" s="758" t="e">
        <f t="shared" si="102"/>
        <v>#VALUE!</v>
      </c>
      <c r="AA220" s="758" t="e">
        <f t="shared" si="103"/>
        <v>#VALUE!</v>
      </c>
      <c r="AB220" s="758" t="e">
        <f t="shared" si="104"/>
        <v>#VALUE!</v>
      </c>
      <c r="AC220" s="544" t="e">
        <f t="shared" si="90"/>
        <v>#VALUE!</v>
      </c>
      <c r="AD220" s="544">
        <f t="shared" si="91"/>
        <v>0</v>
      </c>
      <c r="AE220" s="759">
        <f>IF(H220&gt;8,tab!C$194,tab!C$197)</f>
        <v>0.5</v>
      </c>
      <c r="AF220" s="544">
        <f t="shared" si="92"/>
        <v>0</v>
      </c>
      <c r="AG220" s="760">
        <f t="shared" si="93"/>
        <v>0</v>
      </c>
      <c r="AH220" s="544"/>
    </row>
    <row r="221" spans="3:34" ht="13.15" customHeight="1" x14ac:dyDescent="0.2">
      <c r="C221" s="31"/>
      <c r="D221" s="117" t="str">
        <f t="shared" ref="D221:E240" si="106">IF(D159=0,"",D159)</f>
        <v/>
      </c>
      <c r="E221" s="117" t="str">
        <f t="shared" si="106"/>
        <v/>
      </c>
      <c r="F221" s="33" t="str">
        <f t="shared" si="105"/>
        <v/>
      </c>
      <c r="G221" s="118" t="str">
        <f t="shared" si="94"/>
        <v/>
      </c>
      <c r="H221" s="33" t="str">
        <f t="shared" si="95"/>
        <v/>
      </c>
      <c r="I221" s="119" t="str">
        <f t="shared" si="86"/>
        <v/>
      </c>
      <c r="J221" s="120" t="str">
        <f t="shared" ref="J221:J240" si="107">IF(J159="","",J159)</f>
        <v/>
      </c>
      <c r="K221" s="170"/>
      <c r="L221" s="1141">
        <f t="shared" ref="L221:M240" si="108">IF(L159="","",L159)</f>
        <v>0</v>
      </c>
      <c r="M221" s="1141">
        <f t="shared" si="108"/>
        <v>0</v>
      </c>
      <c r="N221" s="804" t="str">
        <f t="shared" si="96"/>
        <v/>
      </c>
      <c r="O221" s="795"/>
      <c r="P221" s="1156" t="str">
        <f t="shared" si="97"/>
        <v/>
      </c>
      <c r="Q221" s="957" t="str">
        <f t="shared" si="98"/>
        <v/>
      </c>
      <c r="R221" s="767" t="str">
        <f t="shared" si="99"/>
        <v/>
      </c>
      <c r="S221" s="966">
        <f t="shared" si="100"/>
        <v>0</v>
      </c>
      <c r="T221" s="116"/>
      <c r="X221" s="760" t="str">
        <f t="shared" si="89"/>
        <v/>
      </c>
      <c r="Y221" s="745">
        <f t="shared" si="101"/>
        <v>0.6</v>
      </c>
      <c r="Z221" s="758" t="e">
        <f t="shared" si="102"/>
        <v>#VALUE!</v>
      </c>
      <c r="AA221" s="758" t="e">
        <f t="shared" si="103"/>
        <v>#VALUE!</v>
      </c>
      <c r="AB221" s="758" t="e">
        <f t="shared" si="104"/>
        <v>#VALUE!</v>
      </c>
      <c r="AC221" s="544" t="e">
        <f t="shared" si="90"/>
        <v>#VALUE!</v>
      </c>
      <c r="AD221" s="544">
        <f t="shared" si="91"/>
        <v>0</v>
      </c>
      <c r="AE221" s="759">
        <f>IF(H221&gt;8,tab!C$194,tab!C$197)</f>
        <v>0.5</v>
      </c>
      <c r="AF221" s="544">
        <f t="shared" si="92"/>
        <v>0</v>
      </c>
      <c r="AG221" s="760">
        <f t="shared" si="93"/>
        <v>0</v>
      </c>
      <c r="AH221" s="544"/>
    </row>
    <row r="222" spans="3:34" ht="13.15" customHeight="1" x14ac:dyDescent="0.2">
      <c r="C222" s="31"/>
      <c r="D222" s="117" t="str">
        <f t="shared" si="106"/>
        <v/>
      </c>
      <c r="E222" s="117" t="str">
        <f t="shared" si="106"/>
        <v/>
      </c>
      <c r="F222" s="33" t="str">
        <f t="shared" si="105"/>
        <v/>
      </c>
      <c r="G222" s="118" t="str">
        <f t="shared" si="94"/>
        <v/>
      </c>
      <c r="H222" s="33" t="str">
        <f t="shared" si="95"/>
        <v/>
      </c>
      <c r="I222" s="119" t="str">
        <f t="shared" si="86"/>
        <v/>
      </c>
      <c r="J222" s="120" t="str">
        <f t="shared" si="107"/>
        <v/>
      </c>
      <c r="K222" s="170"/>
      <c r="L222" s="1141">
        <f t="shared" si="108"/>
        <v>0</v>
      </c>
      <c r="M222" s="1141">
        <f t="shared" si="108"/>
        <v>0</v>
      </c>
      <c r="N222" s="804" t="str">
        <f t="shared" si="96"/>
        <v/>
      </c>
      <c r="O222" s="795"/>
      <c r="P222" s="1156" t="str">
        <f t="shared" si="97"/>
        <v/>
      </c>
      <c r="Q222" s="957" t="str">
        <f t="shared" si="98"/>
        <v/>
      </c>
      <c r="R222" s="767" t="str">
        <f t="shared" si="99"/>
        <v/>
      </c>
      <c r="S222" s="966">
        <f t="shared" si="100"/>
        <v>0</v>
      </c>
      <c r="T222" s="116"/>
      <c r="X222" s="760" t="str">
        <f t="shared" si="89"/>
        <v/>
      </c>
      <c r="Y222" s="745">
        <f t="shared" si="101"/>
        <v>0.6</v>
      </c>
      <c r="Z222" s="758" t="e">
        <f t="shared" si="102"/>
        <v>#VALUE!</v>
      </c>
      <c r="AA222" s="758" t="e">
        <f t="shared" si="103"/>
        <v>#VALUE!</v>
      </c>
      <c r="AB222" s="758" t="e">
        <f t="shared" si="104"/>
        <v>#VALUE!</v>
      </c>
      <c r="AC222" s="544" t="e">
        <f t="shared" si="90"/>
        <v>#VALUE!</v>
      </c>
      <c r="AD222" s="544">
        <f t="shared" si="91"/>
        <v>0</v>
      </c>
      <c r="AE222" s="759">
        <f>IF(H222&gt;8,tab!C$194,tab!C$197)</f>
        <v>0.5</v>
      </c>
      <c r="AF222" s="544">
        <f t="shared" si="92"/>
        <v>0</v>
      </c>
      <c r="AG222" s="760">
        <f t="shared" si="93"/>
        <v>0</v>
      </c>
      <c r="AH222" s="544"/>
    </row>
    <row r="223" spans="3:34" ht="13.15" customHeight="1" x14ac:dyDescent="0.2">
      <c r="C223" s="31"/>
      <c r="D223" s="117" t="str">
        <f t="shared" si="106"/>
        <v/>
      </c>
      <c r="E223" s="117" t="str">
        <f t="shared" si="106"/>
        <v/>
      </c>
      <c r="F223" s="33" t="str">
        <f t="shared" si="105"/>
        <v/>
      </c>
      <c r="G223" s="118" t="str">
        <f t="shared" si="94"/>
        <v/>
      </c>
      <c r="H223" s="33" t="str">
        <f t="shared" si="95"/>
        <v/>
      </c>
      <c r="I223" s="119" t="str">
        <f t="shared" si="86"/>
        <v/>
      </c>
      <c r="J223" s="120" t="str">
        <f t="shared" si="107"/>
        <v/>
      </c>
      <c r="K223" s="170"/>
      <c r="L223" s="1141">
        <f t="shared" si="108"/>
        <v>0</v>
      </c>
      <c r="M223" s="1141">
        <f t="shared" si="108"/>
        <v>0</v>
      </c>
      <c r="N223" s="804" t="str">
        <f t="shared" si="96"/>
        <v/>
      </c>
      <c r="O223" s="795"/>
      <c r="P223" s="1156" t="str">
        <f t="shared" si="97"/>
        <v/>
      </c>
      <c r="Q223" s="957" t="str">
        <f t="shared" si="98"/>
        <v/>
      </c>
      <c r="R223" s="767" t="str">
        <f t="shared" si="99"/>
        <v/>
      </c>
      <c r="S223" s="966">
        <f t="shared" si="100"/>
        <v>0</v>
      </c>
      <c r="T223" s="116"/>
      <c r="X223" s="760" t="str">
        <f t="shared" si="89"/>
        <v/>
      </c>
      <c r="Y223" s="745">
        <f t="shared" si="101"/>
        <v>0.6</v>
      </c>
      <c r="Z223" s="758" t="e">
        <f t="shared" si="102"/>
        <v>#VALUE!</v>
      </c>
      <c r="AA223" s="758" t="e">
        <f t="shared" si="103"/>
        <v>#VALUE!</v>
      </c>
      <c r="AB223" s="758" t="e">
        <f t="shared" si="104"/>
        <v>#VALUE!</v>
      </c>
      <c r="AC223" s="544" t="e">
        <f t="shared" si="90"/>
        <v>#VALUE!</v>
      </c>
      <c r="AD223" s="544">
        <f t="shared" si="91"/>
        <v>0</v>
      </c>
      <c r="AE223" s="759">
        <f>IF(H223&gt;8,tab!C$194,tab!C$197)</f>
        <v>0.5</v>
      </c>
      <c r="AF223" s="544">
        <f t="shared" si="92"/>
        <v>0</v>
      </c>
      <c r="AG223" s="760">
        <f t="shared" si="93"/>
        <v>0</v>
      </c>
      <c r="AH223" s="544"/>
    </row>
    <row r="224" spans="3:34" ht="13.15" customHeight="1" x14ac:dyDescent="0.2">
      <c r="C224" s="31"/>
      <c r="D224" s="117" t="str">
        <f t="shared" si="106"/>
        <v/>
      </c>
      <c r="E224" s="117" t="str">
        <f t="shared" si="106"/>
        <v/>
      </c>
      <c r="F224" s="33" t="str">
        <f t="shared" si="105"/>
        <v/>
      </c>
      <c r="G224" s="118" t="str">
        <f t="shared" si="94"/>
        <v/>
      </c>
      <c r="H224" s="33" t="str">
        <f t="shared" si="95"/>
        <v/>
      </c>
      <c r="I224" s="119" t="str">
        <f t="shared" si="86"/>
        <v/>
      </c>
      <c r="J224" s="120" t="str">
        <f t="shared" si="107"/>
        <v/>
      </c>
      <c r="K224" s="170"/>
      <c r="L224" s="1141">
        <f t="shared" si="108"/>
        <v>0</v>
      </c>
      <c r="M224" s="1141">
        <f t="shared" si="108"/>
        <v>0</v>
      </c>
      <c r="N224" s="804" t="str">
        <f t="shared" si="96"/>
        <v/>
      </c>
      <c r="O224" s="795"/>
      <c r="P224" s="1156" t="str">
        <f t="shared" si="97"/>
        <v/>
      </c>
      <c r="Q224" s="957" t="str">
        <f t="shared" si="98"/>
        <v/>
      </c>
      <c r="R224" s="767" t="str">
        <f t="shared" si="99"/>
        <v/>
      </c>
      <c r="S224" s="966">
        <f t="shared" si="100"/>
        <v>0</v>
      </c>
      <c r="T224" s="116"/>
      <c r="X224" s="760" t="str">
        <f t="shared" si="89"/>
        <v/>
      </c>
      <c r="Y224" s="745">
        <f t="shared" si="101"/>
        <v>0.6</v>
      </c>
      <c r="Z224" s="758" t="e">
        <f t="shared" si="102"/>
        <v>#VALUE!</v>
      </c>
      <c r="AA224" s="758" t="e">
        <f t="shared" si="103"/>
        <v>#VALUE!</v>
      </c>
      <c r="AB224" s="758" t="e">
        <f t="shared" si="104"/>
        <v>#VALUE!</v>
      </c>
      <c r="AC224" s="544" t="e">
        <f t="shared" si="90"/>
        <v>#VALUE!</v>
      </c>
      <c r="AD224" s="544">
        <f t="shared" si="91"/>
        <v>0</v>
      </c>
      <c r="AE224" s="759">
        <f>IF(H224&gt;8,tab!C$194,tab!C$197)</f>
        <v>0.5</v>
      </c>
      <c r="AF224" s="544">
        <f t="shared" si="92"/>
        <v>0</v>
      </c>
      <c r="AG224" s="760">
        <f t="shared" si="93"/>
        <v>0</v>
      </c>
      <c r="AH224" s="544"/>
    </row>
    <row r="225" spans="3:34" ht="13.15" customHeight="1" x14ac:dyDescent="0.2">
      <c r="C225" s="31"/>
      <c r="D225" s="117" t="str">
        <f t="shared" si="106"/>
        <v/>
      </c>
      <c r="E225" s="117" t="str">
        <f t="shared" si="106"/>
        <v/>
      </c>
      <c r="F225" s="33" t="str">
        <f t="shared" si="105"/>
        <v/>
      </c>
      <c r="G225" s="118" t="str">
        <f t="shared" si="94"/>
        <v/>
      </c>
      <c r="H225" s="33" t="str">
        <f t="shared" si="95"/>
        <v/>
      </c>
      <c r="I225" s="119" t="str">
        <f t="shared" si="86"/>
        <v/>
      </c>
      <c r="J225" s="120" t="str">
        <f t="shared" si="107"/>
        <v/>
      </c>
      <c r="K225" s="170"/>
      <c r="L225" s="1141">
        <f t="shared" si="108"/>
        <v>0</v>
      </c>
      <c r="M225" s="1141">
        <f t="shared" si="108"/>
        <v>0</v>
      </c>
      <c r="N225" s="804" t="str">
        <f t="shared" si="96"/>
        <v/>
      </c>
      <c r="O225" s="795"/>
      <c r="P225" s="1156" t="str">
        <f t="shared" si="97"/>
        <v/>
      </c>
      <c r="Q225" s="957" t="str">
        <f t="shared" si="98"/>
        <v/>
      </c>
      <c r="R225" s="767" t="str">
        <f t="shared" si="99"/>
        <v/>
      </c>
      <c r="S225" s="966">
        <f t="shared" si="100"/>
        <v>0</v>
      </c>
      <c r="T225" s="116"/>
      <c r="X225" s="760" t="str">
        <f t="shared" si="89"/>
        <v/>
      </c>
      <c r="Y225" s="745">
        <f t="shared" si="101"/>
        <v>0.6</v>
      </c>
      <c r="Z225" s="758" t="e">
        <f t="shared" si="102"/>
        <v>#VALUE!</v>
      </c>
      <c r="AA225" s="758" t="e">
        <f t="shared" si="103"/>
        <v>#VALUE!</v>
      </c>
      <c r="AB225" s="758" t="e">
        <f t="shared" si="104"/>
        <v>#VALUE!</v>
      </c>
      <c r="AC225" s="544" t="e">
        <f t="shared" si="90"/>
        <v>#VALUE!</v>
      </c>
      <c r="AD225" s="544">
        <f t="shared" si="91"/>
        <v>0</v>
      </c>
      <c r="AE225" s="759">
        <f>IF(H225&gt;8,tab!C$194,tab!C$197)</f>
        <v>0.5</v>
      </c>
      <c r="AF225" s="544">
        <f t="shared" si="92"/>
        <v>0</v>
      </c>
      <c r="AG225" s="760">
        <f t="shared" si="93"/>
        <v>0</v>
      </c>
      <c r="AH225" s="544"/>
    </row>
    <row r="226" spans="3:34" ht="13.15" customHeight="1" x14ac:dyDescent="0.2">
      <c r="C226" s="31"/>
      <c r="D226" s="117" t="str">
        <f t="shared" si="106"/>
        <v/>
      </c>
      <c r="E226" s="117" t="str">
        <f t="shared" si="106"/>
        <v/>
      </c>
      <c r="F226" s="33" t="str">
        <f t="shared" si="105"/>
        <v/>
      </c>
      <c r="G226" s="118" t="str">
        <f t="shared" si="94"/>
        <v/>
      </c>
      <c r="H226" s="33" t="str">
        <f t="shared" si="95"/>
        <v/>
      </c>
      <c r="I226" s="119" t="str">
        <f t="shared" si="86"/>
        <v/>
      </c>
      <c r="J226" s="120" t="str">
        <f t="shared" si="107"/>
        <v/>
      </c>
      <c r="K226" s="170"/>
      <c r="L226" s="1141">
        <f t="shared" si="108"/>
        <v>0</v>
      </c>
      <c r="M226" s="1141">
        <f t="shared" si="108"/>
        <v>0</v>
      </c>
      <c r="N226" s="804" t="str">
        <f t="shared" si="96"/>
        <v/>
      </c>
      <c r="O226" s="795"/>
      <c r="P226" s="1156" t="str">
        <f t="shared" si="97"/>
        <v/>
      </c>
      <c r="Q226" s="957" t="str">
        <f t="shared" si="98"/>
        <v/>
      </c>
      <c r="R226" s="767" t="str">
        <f t="shared" si="99"/>
        <v/>
      </c>
      <c r="S226" s="966">
        <f t="shared" si="100"/>
        <v>0</v>
      </c>
      <c r="T226" s="116"/>
      <c r="X226" s="760" t="str">
        <f t="shared" si="89"/>
        <v/>
      </c>
      <c r="Y226" s="745">
        <f t="shared" si="101"/>
        <v>0.6</v>
      </c>
      <c r="Z226" s="758" t="e">
        <f t="shared" si="102"/>
        <v>#VALUE!</v>
      </c>
      <c r="AA226" s="758" t="e">
        <f t="shared" si="103"/>
        <v>#VALUE!</v>
      </c>
      <c r="AB226" s="758" t="e">
        <f t="shared" si="104"/>
        <v>#VALUE!</v>
      </c>
      <c r="AC226" s="544" t="e">
        <f t="shared" si="90"/>
        <v>#VALUE!</v>
      </c>
      <c r="AD226" s="544">
        <f t="shared" si="91"/>
        <v>0</v>
      </c>
      <c r="AE226" s="759">
        <f>IF(H226&gt;8,tab!C$194,tab!C$197)</f>
        <v>0.5</v>
      </c>
      <c r="AF226" s="544">
        <f t="shared" si="92"/>
        <v>0</v>
      </c>
      <c r="AG226" s="760">
        <f t="shared" si="93"/>
        <v>0</v>
      </c>
      <c r="AH226" s="544"/>
    </row>
    <row r="227" spans="3:34" ht="13.15" customHeight="1" x14ac:dyDescent="0.2">
      <c r="C227" s="31"/>
      <c r="D227" s="117" t="str">
        <f t="shared" si="106"/>
        <v/>
      </c>
      <c r="E227" s="117" t="str">
        <f t="shared" si="106"/>
        <v/>
      </c>
      <c r="F227" s="33" t="str">
        <f t="shared" si="105"/>
        <v/>
      </c>
      <c r="G227" s="118" t="str">
        <f t="shared" si="94"/>
        <v/>
      </c>
      <c r="H227" s="33" t="str">
        <f t="shared" si="95"/>
        <v/>
      </c>
      <c r="I227" s="119" t="str">
        <f t="shared" si="86"/>
        <v/>
      </c>
      <c r="J227" s="120" t="str">
        <f t="shared" si="107"/>
        <v/>
      </c>
      <c r="K227" s="170"/>
      <c r="L227" s="1141">
        <f t="shared" si="108"/>
        <v>0</v>
      </c>
      <c r="M227" s="1141">
        <f t="shared" si="108"/>
        <v>0</v>
      </c>
      <c r="N227" s="804" t="str">
        <f t="shared" si="96"/>
        <v/>
      </c>
      <c r="O227" s="795"/>
      <c r="P227" s="1156" t="str">
        <f t="shared" si="97"/>
        <v/>
      </c>
      <c r="Q227" s="957" t="str">
        <f t="shared" si="98"/>
        <v/>
      </c>
      <c r="R227" s="767" t="str">
        <f t="shared" si="99"/>
        <v/>
      </c>
      <c r="S227" s="966">
        <f t="shared" si="100"/>
        <v>0</v>
      </c>
      <c r="T227" s="116"/>
      <c r="X227" s="760" t="str">
        <f t="shared" si="89"/>
        <v/>
      </c>
      <c r="Y227" s="745">
        <f t="shared" si="101"/>
        <v>0.6</v>
      </c>
      <c r="Z227" s="758" t="e">
        <f t="shared" si="102"/>
        <v>#VALUE!</v>
      </c>
      <c r="AA227" s="758" t="e">
        <f t="shared" si="103"/>
        <v>#VALUE!</v>
      </c>
      <c r="AB227" s="758" t="e">
        <f t="shared" si="104"/>
        <v>#VALUE!</v>
      </c>
      <c r="AC227" s="544" t="e">
        <f t="shared" si="90"/>
        <v>#VALUE!</v>
      </c>
      <c r="AD227" s="544">
        <f t="shared" si="91"/>
        <v>0</v>
      </c>
      <c r="AE227" s="759">
        <f>IF(H227&gt;8,tab!C$194,tab!C$197)</f>
        <v>0.5</v>
      </c>
      <c r="AF227" s="544">
        <f t="shared" si="92"/>
        <v>0</v>
      </c>
      <c r="AG227" s="760">
        <f t="shared" si="93"/>
        <v>0</v>
      </c>
      <c r="AH227" s="544"/>
    </row>
    <row r="228" spans="3:34" ht="13.15" customHeight="1" x14ac:dyDescent="0.2">
      <c r="C228" s="31"/>
      <c r="D228" s="117" t="str">
        <f t="shared" si="106"/>
        <v/>
      </c>
      <c r="E228" s="117" t="str">
        <f t="shared" si="106"/>
        <v/>
      </c>
      <c r="F228" s="33" t="str">
        <f t="shared" si="105"/>
        <v/>
      </c>
      <c r="G228" s="118" t="str">
        <f t="shared" si="94"/>
        <v/>
      </c>
      <c r="H228" s="33" t="str">
        <f t="shared" si="95"/>
        <v/>
      </c>
      <c r="I228" s="119" t="str">
        <f t="shared" si="86"/>
        <v/>
      </c>
      <c r="J228" s="120" t="str">
        <f t="shared" si="107"/>
        <v/>
      </c>
      <c r="K228" s="170"/>
      <c r="L228" s="1141">
        <f t="shared" si="108"/>
        <v>0</v>
      </c>
      <c r="M228" s="1141">
        <f t="shared" si="108"/>
        <v>0</v>
      </c>
      <c r="N228" s="804" t="str">
        <f t="shared" si="96"/>
        <v/>
      </c>
      <c r="O228" s="795"/>
      <c r="P228" s="1156" t="str">
        <f t="shared" si="97"/>
        <v/>
      </c>
      <c r="Q228" s="957" t="str">
        <f t="shared" si="98"/>
        <v/>
      </c>
      <c r="R228" s="767" t="str">
        <f t="shared" si="99"/>
        <v/>
      </c>
      <c r="S228" s="966">
        <f t="shared" si="100"/>
        <v>0</v>
      </c>
      <c r="T228" s="116"/>
      <c r="X228" s="760" t="str">
        <f t="shared" si="89"/>
        <v/>
      </c>
      <c r="Y228" s="745">
        <f t="shared" si="101"/>
        <v>0.6</v>
      </c>
      <c r="Z228" s="758" t="e">
        <f t="shared" si="102"/>
        <v>#VALUE!</v>
      </c>
      <c r="AA228" s="758" t="e">
        <f t="shared" si="103"/>
        <v>#VALUE!</v>
      </c>
      <c r="AB228" s="758" t="e">
        <f t="shared" si="104"/>
        <v>#VALUE!</v>
      </c>
      <c r="AC228" s="544" t="e">
        <f t="shared" si="90"/>
        <v>#VALUE!</v>
      </c>
      <c r="AD228" s="544">
        <f t="shared" si="91"/>
        <v>0</v>
      </c>
      <c r="AE228" s="759">
        <f>IF(H228&gt;8,tab!C$194,tab!C$197)</f>
        <v>0.5</v>
      </c>
      <c r="AF228" s="544">
        <f t="shared" si="92"/>
        <v>0</v>
      </c>
      <c r="AG228" s="760">
        <f t="shared" si="93"/>
        <v>0</v>
      </c>
      <c r="AH228" s="544"/>
    </row>
    <row r="229" spans="3:34" ht="13.15" customHeight="1" x14ac:dyDescent="0.2">
      <c r="C229" s="31"/>
      <c r="D229" s="117" t="str">
        <f t="shared" si="106"/>
        <v/>
      </c>
      <c r="E229" s="117" t="str">
        <f t="shared" si="106"/>
        <v/>
      </c>
      <c r="F229" s="33" t="str">
        <f t="shared" si="105"/>
        <v/>
      </c>
      <c r="G229" s="118" t="str">
        <f t="shared" si="94"/>
        <v/>
      </c>
      <c r="H229" s="33" t="str">
        <f t="shared" si="95"/>
        <v/>
      </c>
      <c r="I229" s="119" t="str">
        <f t="shared" si="86"/>
        <v/>
      </c>
      <c r="J229" s="120" t="str">
        <f t="shared" si="107"/>
        <v/>
      </c>
      <c r="K229" s="170"/>
      <c r="L229" s="1141">
        <f t="shared" si="108"/>
        <v>0</v>
      </c>
      <c r="M229" s="1141">
        <f t="shared" si="108"/>
        <v>0</v>
      </c>
      <c r="N229" s="804" t="str">
        <f t="shared" si="96"/>
        <v/>
      </c>
      <c r="O229" s="795"/>
      <c r="P229" s="1156" t="str">
        <f t="shared" si="97"/>
        <v/>
      </c>
      <c r="Q229" s="957" t="str">
        <f t="shared" si="98"/>
        <v/>
      </c>
      <c r="R229" s="767" t="str">
        <f t="shared" si="99"/>
        <v/>
      </c>
      <c r="S229" s="966">
        <f t="shared" si="100"/>
        <v>0</v>
      </c>
      <c r="T229" s="116"/>
      <c r="X229" s="760" t="str">
        <f t="shared" si="89"/>
        <v/>
      </c>
      <c r="Y229" s="745">
        <f t="shared" si="101"/>
        <v>0.6</v>
      </c>
      <c r="Z229" s="758" t="e">
        <f t="shared" si="102"/>
        <v>#VALUE!</v>
      </c>
      <c r="AA229" s="758" t="e">
        <f t="shared" si="103"/>
        <v>#VALUE!</v>
      </c>
      <c r="AB229" s="758" t="e">
        <f t="shared" si="104"/>
        <v>#VALUE!</v>
      </c>
      <c r="AC229" s="544" t="e">
        <f t="shared" si="90"/>
        <v>#VALUE!</v>
      </c>
      <c r="AD229" s="544">
        <f t="shared" si="91"/>
        <v>0</v>
      </c>
      <c r="AE229" s="759">
        <f>IF(H229&gt;8,tab!C$194,tab!C$197)</f>
        <v>0.5</v>
      </c>
      <c r="AF229" s="544">
        <f t="shared" si="92"/>
        <v>0</v>
      </c>
      <c r="AG229" s="760">
        <f t="shared" si="93"/>
        <v>0</v>
      </c>
      <c r="AH229" s="544"/>
    </row>
    <row r="230" spans="3:34" ht="13.15" customHeight="1" x14ac:dyDescent="0.2">
      <c r="C230" s="31"/>
      <c r="D230" s="117" t="str">
        <f t="shared" si="106"/>
        <v/>
      </c>
      <c r="E230" s="117" t="str">
        <f t="shared" si="106"/>
        <v/>
      </c>
      <c r="F230" s="33" t="str">
        <f t="shared" si="105"/>
        <v/>
      </c>
      <c r="G230" s="118" t="str">
        <f t="shared" si="94"/>
        <v/>
      </c>
      <c r="H230" s="33" t="str">
        <f t="shared" si="95"/>
        <v/>
      </c>
      <c r="I230" s="119" t="str">
        <f t="shared" si="86"/>
        <v/>
      </c>
      <c r="J230" s="120" t="str">
        <f t="shared" si="107"/>
        <v/>
      </c>
      <c r="K230" s="170"/>
      <c r="L230" s="1141">
        <f t="shared" si="108"/>
        <v>0</v>
      </c>
      <c r="M230" s="1141">
        <f t="shared" si="108"/>
        <v>0</v>
      </c>
      <c r="N230" s="804" t="str">
        <f t="shared" si="96"/>
        <v/>
      </c>
      <c r="O230" s="795"/>
      <c r="P230" s="1156" t="str">
        <f t="shared" si="97"/>
        <v/>
      </c>
      <c r="Q230" s="957" t="str">
        <f t="shared" si="98"/>
        <v/>
      </c>
      <c r="R230" s="767" t="str">
        <f t="shared" si="99"/>
        <v/>
      </c>
      <c r="S230" s="966">
        <f t="shared" si="100"/>
        <v>0</v>
      </c>
      <c r="T230" s="116"/>
      <c r="X230" s="760" t="str">
        <f t="shared" si="89"/>
        <v/>
      </c>
      <c r="Y230" s="745">
        <f t="shared" si="101"/>
        <v>0.6</v>
      </c>
      <c r="Z230" s="758" t="e">
        <f t="shared" si="102"/>
        <v>#VALUE!</v>
      </c>
      <c r="AA230" s="758" t="e">
        <f t="shared" si="103"/>
        <v>#VALUE!</v>
      </c>
      <c r="AB230" s="758" t="e">
        <f t="shared" si="104"/>
        <v>#VALUE!</v>
      </c>
      <c r="AC230" s="544" t="e">
        <f t="shared" si="90"/>
        <v>#VALUE!</v>
      </c>
      <c r="AD230" s="544">
        <f t="shared" si="91"/>
        <v>0</v>
      </c>
      <c r="AE230" s="759">
        <f>IF(H230&gt;8,tab!C$194,tab!C$197)</f>
        <v>0.5</v>
      </c>
      <c r="AF230" s="544">
        <f t="shared" si="92"/>
        <v>0</v>
      </c>
      <c r="AG230" s="760">
        <f t="shared" si="93"/>
        <v>0</v>
      </c>
      <c r="AH230" s="544"/>
    </row>
    <row r="231" spans="3:34" ht="13.15" customHeight="1" x14ac:dyDescent="0.2">
      <c r="C231" s="31"/>
      <c r="D231" s="117" t="str">
        <f t="shared" si="106"/>
        <v/>
      </c>
      <c r="E231" s="117" t="str">
        <f t="shared" si="106"/>
        <v/>
      </c>
      <c r="F231" s="33" t="str">
        <f t="shared" si="105"/>
        <v/>
      </c>
      <c r="G231" s="118" t="str">
        <f t="shared" si="94"/>
        <v/>
      </c>
      <c r="H231" s="33" t="str">
        <f t="shared" si="95"/>
        <v/>
      </c>
      <c r="I231" s="119" t="str">
        <f t="shared" si="86"/>
        <v/>
      </c>
      <c r="J231" s="120" t="str">
        <f t="shared" si="107"/>
        <v/>
      </c>
      <c r="K231" s="170"/>
      <c r="L231" s="1141">
        <f t="shared" si="108"/>
        <v>0</v>
      </c>
      <c r="M231" s="1141">
        <f t="shared" si="108"/>
        <v>0</v>
      </c>
      <c r="N231" s="804" t="str">
        <f t="shared" si="96"/>
        <v/>
      </c>
      <c r="O231" s="795"/>
      <c r="P231" s="1156" t="str">
        <f t="shared" si="97"/>
        <v/>
      </c>
      <c r="Q231" s="957" t="str">
        <f t="shared" si="98"/>
        <v/>
      </c>
      <c r="R231" s="767" t="str">
        <f t="shared" si="99"/>
        <v/>
      </c>
      <c r="S231" s="966">
        <f t="shared" si="100"/>
        <v>0</v>
      </c>
      <c r="T231" s="116"/>
      <c r="X231" s="760" t="str">
        <f t="shared" si="89"/>
        <v/>
      </c>
      <c r="Y231" s="745">
        <f t="shared" si="101"/>
        <v>0.6</v>
      </c>
      <c r="Z231" s="758" t="e">
        <f t="shared" si="102"/>
        <v>#VALUE!</v>
      </c>
      <c r="AA231" s="758" t="e">
        <f t="shared" si="103"/>
        <v>#VALUE!</v>
      </c>
      <c r="AB231" s="758" t="e">
        <f t="shared" si="104"/>
        <v>#VALUE!</v>
      </c>
      <c r="AC231" s="544" t="e">
        <f t="shared" si="90"/>
        <v>#VALUE!</v>
      </c>
      <c r="AD231" s="544">
        <f t="shared" si="91"/>
        <v>0</v>
      </c>
      <c r="AE231" s="759">
        <f>IF(H231&gt;8,tab!C$194,tab!C$197)</f>
        <v>0.5</v>
      </c>
      <c r="AF231" s="544">
        <f t="shared" si="92"/>
        <v>0</v>
      </c>
      <c r="AG231" s="760">
        <f t="shared" si="93"/>
        <v>0</v>
      </c>
      <c r="AH231" s="544"/>
    </row>
    <row r="232" spans="3:34" ht="13.15" customHeight="1" x14ac:dyDescent="0.2">
      <c r="C232" s="31"/>
      <c r="D232" s="117" t="str">
        <f t="shared" si="106"/>
        <v/>
      </c>
      <c r="E232" s="117" t="str">
        <f t="shared" si="106"/>
        <v/>
      </c>
      <c r="F232" s="33" t="str">
        <f t="shared" si="105"/>
        <v/>
      </c>
      <c r="G232" s="118" t="str">
        <f t="shared" si="94"/>
        <v/>
      </c>
      <c r="H232" s="33" t="str">
        <f t="shared" si="95"/>
        <v/>
      </c>
      <c r="I232" s="119" t="str">
        <f t="shared" si="86"/>
        <v/>
      </c>
      <c r="J232" s="120" t="str">
        <f t="shared" si="107"/>
        <v/>
      </c>
      <c r="K232" s="170"/>
      <c r="L232" s="1141">
        <f t="shared" si="108"/>
        <v>0</v>
      </c>
      <c r="M232" s="1141">
        <f t="shared" si="108"/>
        <v>0</v>
      </c>
      <c r="N232" s="804" t="str">
        <f t="shared" si="96"/>
        <v/>
      </c>
      <c r="O232" s="795"/>
      <c r="P232" s="1156" t="str">
        <f t="shared" si="97"/>
        <v/>
      </c>
      <c r="Q232" s="957" t="str">
        <f t="shared" si="98"/>
        <v/>
      </c>
      <c r="R232" s="767" t="str">
        <f t="shared" si="99"/>
        <v/>
      </c>
      <c r="S232" s="966">
        <f t="shared" si="100"/>
        <v>0</v>
      </c>
      <c r="T232" s="116"/>
      <c r="X232" s="760" t="str">
        <f t="shared" si="89"/>
        <v/>
      </c>
      <c r="Y232" s="745">
        <f t="shared" si="101"/>
        <v>0.6</v>
      </c>
      <c r="Z232" s="758" t="e">
        <f t="shared" si="102"/>
        <v>#VALUE!</v>
      </c>
      <c r="AA232" s="758" t="e">
        <f t="shared" si="103"/>
        <v>#VALUE!</v>
      </c>
      <c r="AB232" s="758" t="e">
        <f t="shared" si="104"/>
        <v>#VALUE!</v>
      </c>
      <c r="AC232" s="544" t="e">
        <f t="shared" si="90"/>
        <v>#VALUE!</v>
      </c>
      <c r="AD232" s="544">
        <f t="shared" si="91"/>
        <v>0</v>
      </c>
      <c r="AE232" s="759">
        <f>IF(H232&gt;8,tab!C$194,tab!C$197)</f>
        <v>0.5</v>
      </c>
      <c r="AF232" s="544">
        <f t="shared" si="92"/>
        <v>0</v>
      </c>
      <c r="AG232" s="760">
        <f t="shared" si="93"/>
        <v>0</v>
      </c>
      <c r="AH232" s="544"/>
    </row>
    <row r="233" spans="3:34" ht="13.15" customHeight="1" x14ac:dyDescent="0.2">
      <c r="C233" s="31"/>
      <c r="D233" s="117" t="str">
        <f t="shared" si="106"/>
        <v/>
      </c>
      <c r="E233" s="117" t="str">
        <f t="shared" si="106"/>
        <v/>
      </c>
      <c r="F233" s="33" t="str">
        <f t="shared" si="105"/>
        <v/>
      </c>
      <c r="G233" s="118" t="str">
        <f t="shared" si="94"/>
        <v/>
      </c>
      <c r="H233" s="33" t="str">
        <f t="shared" si="95"/>
        <v/>
      </c>
      <c r="I233" s="119" t="str">
        <f t="shared" ref="I233:I250" si="109">IF(E233="","",IF(I171+1&gt;VLOOKUP(H233,Salaris2021,22,FALSE),I171,I171+1))</f>
        <v/>
      </c>
      <c r="J233" s="120" t="str">
        <f t="shared" si="107"/>
        <v/>
      </c>
      <c r="K233" s="170"/>
      <c r="L233" s="1141">
        <f t="shared" si="108"/>
        <v>0</v>
      </c>
      <c r="M233" s="1141">
        <f t="shared" si="108"/>
        <v>0</v>
      </c>
      <c r="N233" s="804" t="str">
        <f t="shared" si="96"/>
        <v/>
      </c>
      <c r="O233" s="795"/>
      <c r="P233" s="1156" t="str">
        <f t="shared" si="97"/>
        <v/>
      </c>
      <c r="Q233" s="957" t="str">
        <f t="shared" si="98"/>
        <v/>
      </c>
      <c r="R233" s="767" t="str">
        <f t="shared" si="99"/>
        <v/>
      </c>
      <c r="S233" s="966">
        <f t="shared" si="100"/>
        <v>0</v>
      </c>
      <c r="T233" s="116"/>
      <c r="X233" s="760" t="str">
        <f t="shared" ref="X233:X250" si="110">IF(H233="","",VLOOKUP(H233,Salaris2021,I233+1,FALSE))</f>
        <v/>
      </c>
      <c r="Y233" s="745">
        <f t="shared" si="101"/>
        <v>0.6</v>
      </c>
      <c r="Z233" s="758" t="e">
        <f t="shared" si="102"/>
        <v>#VALUE!</v>
      </c>
      <c r="AA233" s="758" t="e">
        <f t="shared" si="103"/>
        <v>#VALUE!</v>
      </c>
      <c r="AB233" s="758" t="e">
        <f t="shared" si="104"/>
        <v>#VALUE!</v>
      </c>
      <c r="AC233" s="544" t="e">
        <f t="shared" ref="AC233:AC250" si="111">N233+O233</f>
        <v>#VALUE!</v>
      </c>
      <c r="AD233" s="544">
        <f t="shared" ref="AD233:AD250" si="112">L233+M233</f>
        <v>0</v>
      </c>
      <c r="AE233" s="759">
        <f>IF(H233&gt;8,tab!C$194,tab!C$197)</f>
        <v>0.5</v>
      </c>
      <c r="AF233" s="544">
        <f t="shared" ref="AF233:AF250" si="113">IF(F233&lt;25,0,IF(F233=25,25,IF(F233&lt;40,0,IF(F233=40,40,IF(F233&gt;=40,0)))))</f>
        <v>0</v>
      </c>
      <c r="AG233" s="760">
        <f t="shared" ref="AG233:AG250" si="114">IF(AF233=25,(X233*1.08*(J233)/2),IF(AF233=40,(V233*1.08*(J233)),IF(AF233=0,0)))</f>
        <v>0</v>
      </c>
      <c r="AH233" s="544"/>
    </row>
    <row r="234" spans="3:34" ht="13.15" customHeight="1" x14ac:dyDescent="0.2">
      <c r="C234" s="31"/>
      <c r="D234" s="117" t="str">
        <f t="shared" si="106"/>
        <v/>
      </c>
      <c r="E234" s="117" t="str">
        <f t="shared" si="106"/>
        <v/>
      </c>
      <c r="F234" s="33" t="str">
        <f t="shared" si="105"/>
        <v/>
      </c>
      <c r="G234" s="118" t="str">
        <f t="shared" si="94"/>
        <v/>
      </c>
      <c r="H234" s="33" t="str">
        <f t="shared" si="95"/>
        <v/>
      </c>
      <c r="I234" s="119" t="str">
        <f t="shared" si="109"/>
        <v/>
      </c>
      <c r="J234" s="120" t="str">
        <f t="shared" si="107"/>
        <v/>
      </c>
      <c r="K234" s="170"/>
      <c r="L234" s="1141">
        <f t="shared" si="108"/>
        <v>0</v>
      </c>
      <c r="M234" s="1141">
        <f t="shared" si="108"/>
        <v>0</v>
      </c>
      <c r="N234" s="804" t="str">
        <f t="shared" si="96"/>
        <v/>
      </c>
      <c r="O234" s="795"/>
      <c r="P234" s="1156" t="str">
        <f t="shared" si="97"/>
        <v/>
      </c>
      <c r="Q234" s="957" t="str">
        <f t="shared" si="98"/>
        <v/>
      </c>
      <c r="R234" s="767" t="str">
        <f t="shared" si="99"/>
        <v/>
      </c>
      <c r="S234" s="966">
        <f t="shared" si="100"/>
        <v>0</v>
      </c>
      <c r="T234" s="116"/>
      <c r="X234" s="760" t="str">
        <f t="shared" si="110"/>
        <v/>
      </c>
      <c r="Y234" s="745">
        <f t="shared" si="101"/>
        <v>0.6</v>
      </c>
      <c r="Z234" s="758" t="e">
        <f t="shared" si="102"/>
        <v>#VALUE!</v>
      </c>
      <c r="AA234" s="758" t="e">
        <f t="shared" si="103"/>
        <v>#VALUE!</v>
      </c>
      <c r="AB234" s="758" t="e">
        <f t="shared" si="104"/>
        <v>#VALUE!</v>
      </c>
      <c r="AC234" s="544" t="e">
        <f t="shared" si="111"/>
        <v>#VALUE!</v>
      </c>
      <c r="AD234" s="544">
        <f t="shared" si="112"/>
        <v>0</v>
      </c>
      <c r="AE234" s="759">
        <f>IF(H234&gt;8,tab!C$194,tab!C$197)</f>
        <v>0.5</v>
      </c>
      <c r="AF234" s="544">
        <f t="shared" si="113"/>
        <v>0</v>
      </c>
      <c r="AG234" s="760">
        <f t="shared" si="114"/>
        <v>0</v>
      </c>
      <c r="AH234" s="544"/>
    </row>
    <row r="235" spans="3:34" ht="13.15" customHeight="1" x14ac:dyDescent="0.2">
      <c r="C235" s="31"/>
      <c r="D235" s="117" t="str">
        <f t="shared" si="106"/>
        <v/>
      </c>
      <c r="E235" s="117" t="str">
        <f t="shared" si="106"/>
        <v/>
      </c>
      <c r="F235" s="33" t="str">
        <f t="shared" si="105"/>
        <v/>
      </c>
      <c r="G235" s="118" t="str">
        <f t="shared" si="94"/>
        <v/>
      </c>
      <c r="H235" s="33" t="str">
        <f t="shared" si="95"/>
        <v/>
      </c>
      <c r="I235" s="119" t="str">
        <f t="shared" si="109"/>
        <v/>
      </c>
      <c r="J235" s="120" t="str">
        <f t="shared" si="107"/>
        <v/>
      </c>
      <c r="K235" s="170"/>
      <c r="L235" s="1141">
        <f t="shared" si="108"/>
        <v>0</v>
      </c>
      <c r="M235" s="1141">
        <f t="shared" si="108"/>
        <v>0</v>
      </c>
      <c r="N235" s="804" t="str">
        <f t="shared" si="96"/>
        <v/>
      </c>
      <c r="O235" s="795"/>
      <c r="P235" s="1156" t="str">
        <f t="shared" si="97"/>
        <v/>
      </c>
      <c r="Q235" s="957" t="str">
        <f t="shared" si="98"/>
        <v/>
      </c>
      <c r="R235" s="767" t="str">
        <f t="shared" si="99"/>
        <v/>
      </c>
      <c r="S235" s="966">
        <f t="shared" si="100"/>
        <v>0</v>
      </c>
      <c r="T235" s="116"/>
      <c r="X235" s="760" t="str">
        <f t="shared" si="110"/>
        <v/>
      </c>
      <c r="Y235" s="745">
        <f t="shared" si="101"/>
        <v>0.6</v>
      </c>
      <c r="Z235" s="758" t="e">
        <f t="shared" si="102"/>
        <v>#VALUE!</v>
      </c>
      <c r="AA235" s="758" t="e">
        <f t="shared" si="103"/>
        <v>#VALUE!</v>
      </c>
      <c r="AB235" s="758" t="e">
        <f t="shared" si="104"/>
        <v>#VALUE!</v>
      </c>
      <c r="AC235" s="544" t="e">
        <f t="shared" si="111"/>
        <v>#VALUE!</v>
      </c>
      <c r="AD235" s="544">
        <f t="shared" si="112"/>
        <v>0</v>
      </c>
      <c r="AE235" s="759">
        <f>IF(H235&gt;8,tab!C$194,tab!C$197)</f>
        <v>0.5</v>
      </c>
      <c r="AF235" s="544">
        <f t="shared" si="113"/>
        <v>0</v>
      </c>
      <c r="AG235" s="760">
        <f t="shared" si="114"/>
        <v>0</v>
      </c>
      <c r="AH235" s="544"/>
    </row>
    <row r="236" spans="3:34" ht="13.15" customHeight="1" x14ac:dyDescent="0.2">
      <c r="C236" s="31"/>
      <c r="D236" s="117" t="str">
        <f t="shared" si="106"/>
        <v/>
      </c>
      <c r="E236" s="117" t="str">
        <f t="shared" si="106"/>
        <v/>
      </c>
      <c r="F236" s="33" t="str">
        <f t="shared" si="105"/>
        <v/>
      </c>
      <c r="G236" s="118" t="str">
        <f t="shared" si="94"/>
        <v/>
      </c>
      <c r="H236" s="33" t="str">
        <f t="shared" si="95"/>
        <v/>
      </c>
      <c r="I236" s="119" t="str">
        <f t="shared" si="109"/>
        <v/>
      </c>
      <c r="J236" s="120" t="str">
        <f t="shared" si="107"/>
        <v/>
      </c>
      <c r="K236" s="170"/>
      <c r="L236" s="1141">
        <f t="shared" si="108"/>
        <v>0</v>
      </c>
      <c r="M236" s="1141">
        <f t="shared" si="108"/>
        <v>0</v>
      </c>
      <c r="N236" s="804" t="str">
        <f t="shared" si="96"/>
        <v/>
      </c>
      <c r="O236" s="795"/>
      <c r="P236" s="1156" t="str">
        <f t="shared" si="97"/>
        <v/>
      </c>
      <c r="Q236" s="957" t="str">
        <f t="shared" si="98"/>
        <v/>
      </c>
      <c r="R236" s="767" t="str">
        <f t="shared" si="99"/>
        <v/>
      </c>
      <c r="S236" s="966">
        <f t="shared" si="100"/>
        <v>0</v>
      </c>
      <c r="T236" s="116"/>
      <c r="X236" s="760" t="str">
        <f t="shared" si="110"/>
        <v/>
      </c>
      <c r="Y236" s="745">
        <f t="shared" si="101"/>
        <v>0.6</v>
      </c>
      <c r="Z236" s="758" t="e">
        <f t="shared" si="102"/>
        <v>#VALUE!</v>
      </c>
      <c r="AA236" s="758" t="e">
        <f t="shared" si="103"/>
        <v>#VALUE!</v>
      </c>
      <c r="AB236" s="758" t="e">
        <f t="shared" si="104"/>
        <v>#VALUE!</v>
      </c>
      <c r="AC236" s="544" t="e">
        <f t="shared" si="111"/>
        <v>#VALUE!</v>
      </c>
      <c r="AD236" s="544">
        <f t="shared" si="112"/>
        <v>0</v>
      </c>
      <c r="AE236" s="759">
        <f>IF(H236&gt;8,tab!C$194,tab!C$197)</f>
        <v>0.5</v>
      </c>
      <c r="AF236" s="544">
        <f t="shared" si="113"/>
        <v>0</v>
      </c>
      <c r="AG236" s="760">
        <f t="shared" si="114"/>
        <v>0</v>
      </c>
      <c r="AH236" s="544"/>
    </row>
    <row r="237" spans="3:34" ht="13.15" customHeight="1" x14ac:dyDescent="0.2">
      <c r="C237" s="31"/>
      <c r="D237" s="117" t="str">
        <f t="shared" si="106"/>
        <v/>
      </c>
      <c r="E237" s="117" t="str">
        <f t="shared" si="106"/>
        <v/>
      </c>
      <c r="F237" s="33" t="str">
        <f t="shared" si="105"/>
        <v/>
      </c>
      <c r="G237" s="118" t="str">
        <f t="shared" si="94"/>
        <v/>
      </c>
      <c r="H237" s="33" t="str">
        <f t="shared" si="95"/>
        <v/>
      </c>
      <c r="I237" s="119" t="str">
        <f t="shared" si="109"/>
        <v/>
      </c>
      <c r="J237" s="120" t="str">
        <f t="shared" si="107"/>
        <v/>
      </c>
      <c r="K237" s="170"/>
      <c r="L237" s="1141">
        <f t="shared" si="108"/>
        <v>0</v>
      </c>
      <c r="M237" s="1141">
        <f t="shared" si="108"/>
        <v>0</v>
      </c>
      <c r="N237" s="804" t="str">
        <f t="shared" si="96"/>
        <v/>
      </c>
      <c r="O237" s="795"/>
      <c r="P237" s="1156" t="str">
        <f t="shared" si="97"/>
        <v/>
      </c>
      <c r="Q237" s="957" t="str">
        <f t="shared" si="98"/>
        <v/>
      </c>
      <c r="R237" s="767" t="str">
        <f t="shared" si="99"/>
        <v/>
      </c>
      <c r="S237" s="966">
        <f t="shared" si="100"/>
        <v>0</v>
      </c>
      <c r="T237" s="116"/>
      <c r="X237" s="760" t="str">
        <f t="shared" si="110"/>
        <v/>
      </c>
      <c r="Y237" s="745">
        <f t="shared" si="101"/>
        <v>0.6</v>
      </c>
      <c r="Z237" s="758" t="e">
        <f t="shared" si="102"/>
        <v>#VALUE!</v>
      </c>
      <c r="AA237" s="758" t="e">
        <f t="shared" si="103"/>
        <v>#VALUE!</v>
      </c>
      <c r="AB237" s="758" t="e">
        <f t="shared" si="104"/>
        <v>#VALUE!</v>
      </c>
      <c r="AC237" s="544" t="e">
        <f t="shared" si="111"/>
        <v>#VALUE!</v>
      </c>
      <c r="AD237" s="544">
        <f t="shared" si="112"/>
        <v>0</v>
      </c>
      <c r="AE237" s="759">
        <f>IF(H237&gt;8,tab!C$194,tab!C$197)</f>
        <v>0.5</v>
      </c>
      <c r="AF237" s="544">
        <f t="shared" si="113"/>
        <v>0</v>
      </c>
      <c r="AG237" s="760">
        <f t="shared" si="114"/>
        <v>0</v>
      </c>
      <c r="AH237" s="544"/>
    </row>
    <row r="238" spans="3:34" ht="13.15" customHeight="1" x14ac:dyDescent="0.2">
      <c r="C238" s="31"/>
      <c r="D238" s="117" t="str">
        <f t="shared" si="106"/>
        <v/>
      </c>
      <c r="E238" s="117" t="str">
        <f t="shared" si="106"/>
        <v/>
      </c>
      <c r="F238" s="33" t="str">
        <f t="shared" si="105"/>
        <v/>
      </c>
      <c r="G238" s="118" t="str">
        <f t="shared" si="94"/>
        <v/>
      </c>
      <c r="H238" s="33" t="str">
        <f t="shared" si="95"/>
        <v/>
      </c>
      <c r="I238" s="119" t="str">
        <f t="shared" si="109"/>
        <v/>
      </c>
      <c r="J238" s="120" t="str">
        <f t="shared" si="107"/>
        <v/>
      </c>
      <c r="K238" s="170"/>
      <c r="L238" s="1141">
        <f t="shared" si="108"/>
        <v>0</v>
      </c>
      <c r="M238" s="1141">
        <f t="shared" si="108"/>
        <v>0</v>
      </c>
      <c r="N238" s="804" t="str">
        <f t="shared" si="96"/>
        <v/>
      </c>
      <c r="O238" s="795"/>
      <c r="P238" s="1156" t="str">
        <f t="shared" si="97"/>
        <v/>
      </c>
      <c r="Q238" s="957" t="str">
        <f t="shared" si="98"/>
        <v/>
      </c>
      <c r="R238" s="767" t="str">
        <f t="shared" si="99"/>
        <v/>
      </c>
      <c r="S238" s="966">
        <f t="shared" si="100"/>
        <v>0</v>
      </c>
      <c r="T238" s="116"/>
      <c r="X238" s="760" t="str">
        <f t="shared" si="110"/>
        <v/>
      </c>
      <c r="Y238" s="745">
        <f t="shared" si="101"/>
        <v>0.6</v>
      </c>
      <c r="Z238" s="758" t="e">
        <f t="shared" si="102"/>
        <v>#VALUE!</v>
      </c>
      <c r="AA238" s="758" t="e">
        <f t="shared" si="103"/>
        <v>#VALUE!</v>
      </c>
      <c r="AB238" s="758" t="e">
        <f t="shared" si="104"/>
        <v>#VALUE!</v>
      </c>
      <c r="AC238" s="544" t="e">
        <f t="shared" si="111"/>
        <v>#VALUE!</v>
      </c>
      <c r="AD238" s="544">
        <f t="shared" si="112"/>
        <v>0</v>
      </c>
      <c r="AE238" s="759">
        <f>IF(H238&gt;8,tab!C$194,tab!C$197)</f>
        <v>0.5</v>
      </c>
      <c r="AF238" s="544">
        <f t="shared" si="113"/>
        <v>0</v>
      </c>
      <c r="AG238" s="760">
        <f t="shared" si="114"/>
        <v>0</v>
      </c>
      <c r="AH238" s="544"/>
    </row>
    <row r="239" spans="3:34" ht="13.15" customHeight="1" x14ac:dyDescent="0.2">
      <c r="C239" s="31"/>
      <c r="D239" s="117" t="str">
        <f t="shared" si="106"/>
        <v/>
      </c>
      <c r="E239" s="117" t="str">
        <f t="shared" si="106"/>
        <v/>
      </c>
      <c r="F239" s="33" t="str">
        <f t="shared" si="105"/>
        <v/>
      </c>
      <c r="G239" s="118" t="str">
        <f t="shared" si="94"/>
        <v/>
      </c>
      <c r="H239" s="33" t="str">
        <f t="shared" si="95"/>
        <v/>
      </c>
      <c r="I239" s="119" t="str">
        <f t="shared" si="109"/>
        <v/>
      </c>
      <c r="J239" s="120" t="str">
        <f t="shared" si="107"/>
        <v/>
      </c>
      <c r="K239" s="170"/>
      <c r="L239" s="1141">
        <f t="shared" si="108"/>
        <v>0</v>
      </c>
      <c r="M239" s="1141">
        <f t="shared" si="108"/>
        <v>0</v>
      </c>
      <c r="N239" s="804" t="str">
        <f t="shared" si="96"/>
        <v/>
      </c>
      <c r="O239" s="795"/>
      <c r="P239" s="1156" t="str">
        <f t="shared" si="97"/>
        <v/>
      </c>
      <c r="Q239" s="957" t="str">
        <f t="shared" si="98"/>
        <v/>
      </c>
      <c r="R239" s="767" t="str">
        <f t="shared" si="99"/>
        <v/>
      </c>
      <c r="S239" s="966">
        <f t="shared" si="100"/>
        <v>0</v>
      </c>
      <c r="T239" s="116"/>
      <c r="X239" s="760" t="str">
        <f t="shared" si="110"/>
        <v/>
      </c>
      <c r="Y239" s="745">
        <f t="shared" si="101"/>
        <v>0.6</v>
      </c>
      <c r="Z239" s="758" t="e">
        <f t="shared" si="102"/>
        <v>#VALUE!</v>
      </c>
      <c r="AA239" s="758" t="e">
        <f t="shared" si="103"/>
        <v>#VALUE!</v>
      </c>
      <c r="AB239" s="758" t="e">
        <f t="shared" si="104"/>
        <v>#VALUE!</v>
      </c>
      <c r="AC239" s="544" t="e">
        <f t="shared" si="111"/>
        <v>#VALUE!</v>
      </c>
      <c r="AD239" s="544">
        <f t="shared" si="112"/>
        <v>0</v>
      </c>
      <c r="AE239" s="759">
        <f>IF(H239&gt;8,tab!C$194,tab!C$197)</f>
        <v>0.5</v>
      </c>
      <c r="AF239" s="544">
        <f t="shared" si="113"/>
        <v>0</v>
      </c>
      <c r="AG239" s="760">
        <f t="shared" si="114"/>
        <v>0</v>
      </c>
      <c r="AH239" s="544"/>
    </row>
    <row r="240" spans="3:34" ht="13.15" customHeight="1" x14ac:dyDescent="0.2">
      <c r="C240" s="31"/>
      <c r="D240" s="117" t="str">
        <f t="shared" si="106"/>
        <v/>
      </c>
      <c r="E240" s="117" t="str">
        <f t="shared" si="106"/>
        <v/>
      </c>
      <c r="F240" s="33" t="str">
        <f t="shared" si="105"/>
        <v/>
      </c>
      <c r="G240" s="118" t="str">
        <f t="shared" si="94"/>
        <v/>
      </c>
      <c r="H240" s="33" t="str">
        <f t="shared" si="95"/>
        <v/>
      </c>
      <c r="I240" s="119" t="str">
        <f t="shared" si="109"/>
        <v/>
      </c>
      <c r="J240" s="120" t="str">
        <f t="shared" si="107"/>
        <v/>
      </c>
      <c r="K240" s="170"/>
      <c r="L240" s="1141">
        <f t="shared" si="108"/>
        <v>0</v>
      </c>
      <c r="M240" s="1141">
        <f t="shared" si="108"/>
        <v>0</v>
      </c>
      <c r="N240" s="804" t="str">
        <f t="shared" si="96"/>
        <v/>
      </c>
      <c r="O240" s="795"/>
      <c r="P240" s="1156" t="str">
        <f t="shared" si="97"/>
        <v/>
      </c>
      <c r="Q240" s="957" t="str">
        <f t="shared" si="98"/>
        <v/>
      </c>
      <c r="R240" s="767" t="str">
        <f t="shared" si="99"/>
        <v/>
      </c>
      <c r="S240" s="966">
        <f t="shared" si="100"/>
        <v>0</v>
      </c>
      <c r="T240" s="116"/>
      <c r="X240" s="760" t="str">
        <f t="shared" si="110"/>
        <v/>
      </c>
      <c r="Y240" s="745">
        <f t="shared" si="101"/>
        <v>0.6</v>
      </c>
      <c r="Z240" s="758" t="e">
        <f t="shared" si="102"/>
        <v>#VALUE!</v>
      </c>
      <c r="AA240" s="758" t="e">
        <f t="shared" si="103"/>
        <v>#VALUE!</v>
      </c>
      <c r="AB240" s="758" t="e">
        <f t="shared" si="104"/>
        <v>#VALUE!</v>
      </c>
      <c r="AC240" s="544" t="e">
        <f t="shared" si="111"/>
        <v>#VALUE!</v>
      </c>
      <c r="AD240" s="544">
        <f t="shared" si="112"/>
        <v>0</v>
      </c>
      <c r="AE240" s="759">
        <f>IF(H240&gt;8,tab!C$194,tab!C$197)</f>
        <v>0.5</v>
      </c>
      <c r="AF240" s="544">
        <f t="shared" si="113"/>
        <v>0</v>
      </c>
      <c r="AG240" s="760">
        <f t="shared" si="114"/>
        <v>0</v>
      </c>
      <c r="AH240" s="544"/>
    </row>
    <row r="241" spans="3:34" ht="13.15" customHeight="1" x14ac:dyDescent="0.2">
      <c r="C241" s="31"/>
      <c r="D241" s="117" t="str">
        <f t="shared" ref="D241:E250" si="115">IF(D179=0,"",D179)</f>
        <v/>
      </c>
      <c r="E241" s="117" t="str">
        <f t="shared" si="115"/>
        <v/>
      </c>
      <c r="F241" s="33" t="str">
        <f t="shared" si="105"/>
        <v/>
      </c>
      <c r="G241" s="118" t="str">
        <f t="shared" si="94"/>
        <v/>
      </c>
      <c r="H241" s="33" t="str">
        <f t="shared" si="95"/>
        <v/>
      </c>
      <c r="I241" s="119" t="str">
        <f t="shared" si="109"/>
        <v/>
      </c>
      <c r="J241" s="120" t="str">
        <f t="shared" ref="J241:J250" si="116">IF(J179="","",J179)</f>
        <v/>
      </c>
      <c r="K241" s="170"/>
      <c r="L241" s="1141">
        <f t="shared" ref="L241:M250" si="117">IF(L179="","",L179)</f>
        <v>0</v>
      </c>
      <c r="M241" s="1141">
        <f t="shared" si="117"/>
        <v>0</v>
      </c>
      <c r="N241" s="804" t="str">
        <f t="shared" si="96"/>
        <v/>
      </c>
      <c r="O241" s="795"/>
      <c r="P241" s="1156" t="str">
        <f t="shared" si="97"/>
        <v/>
      </c>
      <c r="Q241" s="957" t="str">
        <f t="shared" si="98"/>
        <v/>
      </c>
      <c r="R241" s="767" t="str">
        <f t="shared" si="99"/>
        <v/>
      </c>
      <c r="S241" s="966">
        <f t="shared" si="100"/>
        <v>0</v>
      </c>
      <c r="T241" s="116"/>
      <c r="X241" s="760" t="str">
        <f t="shared" si="110"/>
        <v/>
      </c>
      <c r="Y241" s="745">
        <f t="shared" si="101"/>
        <v>0.6</v>
      </c>
      <c r="Z241" s="758" t="e">
        <f t="shared" si="102"/>
        <v>#VALUE!</v>
      </c>
      <c r="AA241" s="758" t="e">
        <f t="shared" si="103"/>
        <v>#VALUE!</v>
      </c>
      <c r="AB241" s="758" t="e">
        <f t="shared" si="104"/>
        <v>#VALUE!</v>
      </c>
      <c r="AC241" s="544" t="e">
        <f t="shared" si="111"/>
        <v>#VALUE!</v>
      </c>
      <c r="AD241" s="544">
        <f t="shared" si="112"/>
        <v>0</v>
      </c>
      <c r="AE241" s="759">
        <f>IF(H241&gt;8,tab!C$194,tab!C$197)</f>
        <v>0.5</v>
      </c>
      <c r="AF241" s="544">
        <f t="shared" si="113"/>
        <v>0</v>
      </c>
      <c r="AG241" s="760">
        <f t="shared" si="114"/>
        <v>0</v>
      </c>
      <c r="AH241" s="544"/>
    </row>
    <row r="242" spans="3:34" ht="13.15" customHeight="1" x14ac:dyDescent="0.2">
      <c r="C242" s="31"/>
      <c r="D242" s="117" t="str">
        <f t="shared" si="115"/>
        <v/>
      </c>
      <c r="E242" s="117" t="str">
        <f t="shared" si="115"/>
        <v/>
      </c>
      <c r="F242" s="33" t="str">
        <f t="shared" si="105"/>
        <v/>
      </c>
      <c r="G242" s="118" t="str">
        <f t="shared" si="94"/>
        <v/>
      </c>
      <c r="H242" s="33" t="str">
        <f t="shared" si="95"/>
        <v/>
      </c>
      <c r="I242" s="119" t="str">
        <f t="shared" si="109"/>
        <v/>
      </c>
      <c r="J242" s="120" t="str">
        <f t="shared" si="116"/>
        <v/>
      </c>
      <c r="K242" s="170"/>
      <c r="L242" s="1141">
        <f t="shared" si="117"/>
        <v>0</v>
      </c>
      <c r="M242" s="1141">
        <f t="shared" si="117"/>
        <v>0</v>
      </c>
      <c r="N242" s="804" t="str">
        <f t="shared" si="96"/>
        <v/>
      </c>
      <c r="O242" s="795"/>
      <c r="P242" s="1156" t="str">
        <f t="shared" si="97"/>
        <v/>
      </c>
      <c r="Q242" s="957" t="str">
        <f t="shared" si="98"/>
        <v/>
      </c>
      <c r="R242" s="767" t="str">
        <f t="shared" si="99"/>
        <v/>
      </c>
      <c r="S242" s="966">
        <f t="shared" si="100"/>
        <v>0</v>
      </c>
      <c r="T242" s="116"/>
      <c r="X242" s="760" t="str">
        <f t="shared" si="110"/>
        <v/>
      </c>
      <c r="Y242" s="745">
        <f t="shared" si="101"/>
        <v>0.6</v>
      </c>
      <c r="Z242" s="758" t="e">
        <f t="shared" si="102"/>
        <v>#VALUE!</v>
      </c>
      <c r="AA242" s="758" t="e">
        <f t="shared" si="103"/>
        <v>#VALUE!</v>
      </c>
      <c r="AB242" s="758" t="e">
        <f t="shared" si="104"/>
        <v>#VALUE!</v>
      </c>
      <c r="AC242" s="544" t="e">
        <f t="shared" si="111"/>
        <v>#VALUE!</v>
      </c>
      <c r="AD242" s="544">
        <f t="shared" si="112"/>
        <v>0</v>
      </c>
      <c r="AE242" s="759">
        <f>IF(H242&gt;8,tab!C$194,tab!C$197)</f>
        <v>0.5</v>
      </c>
      <c r="AF242" s="544">
        <f t="shared" si="113"/>
        <v>0</v>
      </c>
      <c r="AG242" s="760">
        <f t="shared" si="114"/>
        <v>0</v>
      </c>
      <c r="AH242" s="544"/>
    </row>
    <row r="243" spans="3:34" ht="13.15" customHeight="1" x14ac:dyDescent="0.2">
      <c r="C243" s="31"/>
      <c r="D243" s="117" t="str">
        <f t="shared" si="115"/>
        <v/>
      </c>
      <c r="E243" s="117" t="str">
        <f t="shared" si="115"/>
        <v/>
      </c>
      <c r="F243" s="33" t="str">
        <f t="shared" si="105"/>
        <v/>
      </c>
      <c r="G243" s="118" t="str">
        <f t="shared" si="94"/>
        <v/>
      </c>
      <c r="H243" s="33" t="str">
        <f t="shared" si="95"/>
        <v/>
      </c>
      <c r="I243" s="119" t="str">
        <f t="shared" si="109"/>
        <v/>
      </c>
      <c r="J243" s="120" t="str">
        <f t="shared" si="116"/>
        <v/>
      </c>
      <c r="K243" s="170"/>
      <c r="L243" s="1141">
        <f t="shared" si="117"/>
        <v>0</v>
      </c>
      <c r="M243" s="1141">
        <f t="shared" si="117"/>
        <v>0</v>
      </c>
      <c r="N243" s="804" t="str">
        <f t="shared" si="96"/>
        <v/>
      </c>
      <c r="O243" s="795"/>
      <c r="P243" s="1156" t="str">
        <f t="shared" si="97"/>
        <v/>
      </c>
      <c r="Q243" s="957" t="str">
        <f t="shared" si="98"/>
        <v/>
      </c>
      <c r="R243" s="767" t="str">
        <f t="shared" si="99"/>
        <v/>
      </c>
      <c r="S243" s="966">
        <f t="shared" si="100"/>
        <v>0</v>
      </c>
      <c r="T243" s="116"/>
      <c r="X243" s="760" t="str">
        <f t="shared" si="110"/>
        <v/>
      </c>
      <c r="Y243" s="745">
        <f t="shared" si="101"/>
        <v>0.6</v>
      </c>
      <c r="Z243" s="758" t="e">
        <f t="shared" si="102"/>
        <v>#VALUE!</v>
      </c>
      <c r="AA243" s="758" t="e">
        <f t="shared" si="103"/>
        <v>#VALUE!</v>
      </c>
      <c r="AB243" s="758" t="e">
        <f t="shared" si="104"/>
        <v>#VALUE!</v>
      </c>
      <c r="AC243" s="544" t="e">
        <f t="shared" si="111"/>
        <v>#VALUE!</v>
      </c>
      <c r="AD243" s="544">
        <f t="shared" si="112"/>
        <v>0</v>
      </c>
      <c r="AE243" s="759">
        <f>IF(H243&gt;8,tab!C$194,tab!C$197)</f>
        <v>0.5</v>
      </c>
      <c r="AF243" s="544">
        <f t="shared" si="113"/>
        <v>0</v>
      </c>
      <c r="AG243" s="760">
        <f t="shared" si="114"/>
        <v>0</v>
      </c>
      <c r="AH243" s="544"/>
    </row>
    <row r="244" spans="3:34" ht="13.15" customHeight="1" x14ac:dyDescent="0.2">
      <c r="C244" s="31"/>
      <c r="D244" s="117" t="str">
        <f t="shared" si="115"/>
        <v/>
      </c>
      <c r="E244" s="117" t="str">
        <f t="shared" si="115"/>
        <v/>
      </c>
      <c r="F244" s="33" t="str">
        <f t="shared" si="105"/>
        <v/>
      </c>
      <c r="G244" s="118" t="str">
        <f t="shared" si="94"/>
        <v/>
      </c>
      <c r="H244" s="33" t="str">
        <f t="shared" si="95"/>
        <v/>
      </c>
      <c r="I244" s="119" t="str">
        <f t="shared" si="109"/>
        <v/>
      </c>
      <c r="J244" s="120" t="str">
        <f t="shared" si="116"/>
        <v/>
      </c>
      <c r="K244" s="170"/>
      <c r="L244" s="1141">
        <f t="shared" si="117"/>
        <v>0</v>
      </c>
      <c r="M244" s="1141">
        <f t="shared" si="117"/>
        <v>0</v>
      </c>
      <c r="N244" s="804" t="str">
        <f t="shared" si="96"/>
        <v/>
      </c>
      <c r="O244" s="795"/>
      <c r="P244" s="1156" t="str">
        <f t="shared" si="97"/>
        <v/>
      </c>
      <c r="Q244" s="957" t="str">
        <f t="shared" si="98"/>
        <v/>
      </c>
      <c r="R244" s="767" t="str">
        <f t="shared" si="99"/>
        <v/>
      </c>
      <c r="S244" s="966">
        <f t="shared" si="100"/>
        <v>0</v>
      </c>
      <c r="T244" s="116"/>
      <c r="X244" s="760" t="str">
        <f t="shared" si="110"/>
        <v/>
      </c>
      <c r="Y244" s="745">
        <f t="shared" si="101"/>
        <v>0.6</v>
      </c>
      <c r="Z244" s="758" t="e">
        <f t="shared" si="102"/>
        <v>#VALUE!</v>
      </c>
      <c r="AA244" s="758" t="e">
        <f t="shared" si="103"/>
        <v>#VALUE!</v>
      </c>
      <c r="AB244" s="758" t="e">
        <f t="shared" si="104"/>
        <v>#VALUE!</v>
      </c>
      <c r="AC244" s="544" t="e">
        <f t="shared" si="111"/>
        <v>#VALUE!</v>
      </c>
      <c r="AD244" s="544">
        <f t="shared" si="112"/>
        <v>0</v>
      </c>
      <c r="AE244" s="759">
        <f>IF(H244&gt;8,tab!C$194,tab!C$197)</f>
        <v>0.5</v>
      </c>
      <c r="AF244" s="544">
        <f t="shared" si="113"/>
        <v>0</v>
      </c>
      <c r="AG244" s="760">
        <f t="shared" si="114"/>
        <v>0</v>
      </c>
      <c r="AH244" s="544"/>
    </row>
    <row r="245" spans="3:34" ht="13.15" customHeight="1" x14ac:dyDescent="0.2">
      <c r="C245" s="31"/>
      <c r="D245" s="117" t="str">
        <f t="shared" si="115"/>
        <v/>
      </c>
      <c r="E245" s="117" t="str">
        <f t="shared" si="115"/>
        <v/>
      </c>
      <c r="F245" s="33" t="str">
        <f t="shared" si="105"/>
        <v/>
      </c>
      <c r="G245" s="118" t="str">
        <f t="shared" si="94"/>
        <v/>
      </c>
      <c r="H245" s="33" t="str">
        <f t="shared" si="95"/>
        <v/>
      </c>
      <c r="I245" s="119" t="str">
        <f t="shared" si="109"/>
        <v/>
      </c>
      <c r="J245" s="120" t="str">
        <f t="shared" si="116"/>
        <v/>
      </c>
      <c r="K245" s="170"/>
      <c r="L245" s="1141">
        <f t="shared" si="117"/>
        <v>0</v>
      </c>
      <c r="M245" s="1141">
        <f t="shared" si="117"/>
        <v>0</v>
      </c>
      <c r="N245" s="804" t="str">
        <f t="shared" si="96"/>
        <v/>
      </c>
      <c r="O245" s="795"/>
      <c r="P245" s="1156" t="str">
        <f t="shared" si="97"/>
        <v/>
      </c>
      <c r="Q245" s="957" t="str">
        <f t="shared" si="98"/>
        <v/>
      </c>
      <c r="R245" s="767" t="str">
        <f t="shared" si="99"/>
        <v/>
      </c>
      <c r="S245" s="966">
        <f t="shared" si="100"/>
        <v>0</v>
      </c>
      <c r="T245" s="116"/>
      <c r="X245" s="760" t="str">
        <f t="shared" si="110"/>
        <v/>
      </c>
      <c r="Y245" s="745">
        <f t="shared" si="101"/>
        <v>0.6</v>
      </c>
      <c r="Z245" s="758" t="e">
        <f t="shared" si="102"/>
        <v>#VALUE!</v>
      </c>
      <c r="AA245" s="758" t="e">
        <f t="shared" si="103"/>
        <v>#VALUE!</v>
      </c>
      <c r="AB245" s="758" t="e">
        <f t="shared" si="104"/>
        <v>#VALUE!</v>
      </c>
      <c r="AC245" s="544" t="e">
        <f t="shared" si="111"/>
        <v>#VALUE!</v>
      </c>
      <c r="AD245" s="544">
        <f t="shared" si="112"/>
        <v>0</v>
      </c>
      <c r="AE245" s="759">
        <f>IF(H245&gt;8,tab!C$194,tab!C$197)</f>
        <v>0.5</v>
      </c>
      <c r="AF245" s="544">
        <f t="shared" si="113"/>
        <v>0</v>
      </c>
      <c r="AG245" s="760">
        <f t="shared" si="114"/>
        <v>0</v>
      </c>
      <c r="AH245" s="544"/>
    </row>
    <row r="246" spans="3:34" ht="13.15" customHeight="1" x14ac:dyDescent="0.2">
      <c r="C246" s="31"/>
      <c r="D246" s="117" t="str">
        <f t="shared" si="115"/>
        <v/>
      </c>
      <c r="E246" s="117" t="str">
        <f t="shared" si="115"/>
        <v/>
      </c>
      <c r="F246" s="33" t="str">
        <f t="shared" si="105"/>
        <v/>
      </c>
      <c r="G246" s="118" t="str">
        <f t="shared" si="94"/>
        <v/>
      </c>
      <c r="H246" s="33" t="str">
        <f t="shared" si="95"/>
        <v/>
      </c>
      <c r="I246" s="119" t="str">
        <f t="shared" si="109"/>
        <v/>
      </c>
      <c r="J246" s="120" t="str">
        <f t="shared" si="116"/>
        <v/>
      </c>
      <c r="K246" s="170"/>
      <c r="L246" s="1141">
        <f t="shared" si="117"/>
        <v>0</v>
      </c>
      <c r="M246" s="1141">
        <f t="shared" si="117"/>
        <v>0</v>
      </c>
      <c r="N246" s="804" t="str">
        <f t="shared" si="96"/>
        <v/>
      </c>
      <c r="O246" s="795"/>
      <c r="P246" s="1156" t="str">
        <f t="shared" si="97"/>
        <v/>
      </c>
      <c r="Q246" s="957" t="str">
        <f t="shared" si="98"/>
        <v/>
      </c>
      <c r="R246" s="767" t="str">
        <f t="shared" si="99"/>
        <v/>
      </c>
      <c r="S246" s="966">
        <f t="shared" si="100"/>
        <v>0</v>
      </c>
      <c r="T246" s="116"/>
      <c r="X246" s="760" t="str">
        <f t="shared" si="110"/>
        <v/>
      </c>
      <c r="Y246" s="745">
        <f t="shared" si="101"/>
        <v>0.6</v>
      </c>
      <c r="Z246" s="758" t="e">
        <f t="shared" si="102"/>
        <v>#VALUE!</v>
      </c>
      <c r="AA246" s="758" t="e">
        <f t="shared" si="103"/>
        <v>#VALUE!</v>
      </c>
      <c r="AB246" s="758" t="e">
        <f t="shared" si="104"/>
        <v>#VALUE!</v>
      </c>
      <c r="AC246" s="544" t="e">
        <f t="shared" si="111"/>
        <v>#VALUE!</v>
      </c>
      <c r="AD246" s="544">
        <f t="shared" si="112"/>
        <v>0</v>
      </c>
      <c r="AE246" s="759">
        <f>IF(H246&gt;8,tab!C$194,tab!C$197)</f>
        <v>0.5</v>
      </c>
      <c r="AF246" s="544">
        <f t="shared" si="113"/>
        <v>0</v>
      </c>
      <c r="AG246" s="760">
        <f t="shared" si="114"/>
        <v>0</v>
      </c>
      <c r="AH246" s="544"/>
    </row>
    <row r="247" spans="3:34" ht="13.15" customHeight="1" x14ac:dyDescent="0.2">
      <c r="C247" s="31"/>
      <c r="D247" s="117" t="str">
        <f t="shared" si="115"/>
        <v/>
      </c>
      <c r="E247" s="117" t="str">
        <f t="shared" si="115"/>
        <v/>
      </c>
      <c r="F247" s="33" t="str">
        <f t="shared" si="105"/>
        <v/>
      </c>
      <c r="G247" s="118" t="str">
        <f t="shared" si="94"/>
        <v/>
      </c>
      <c r="H247" s="33" t="str">
        <f t="shared" si="95"/>
        <v/>
      </c>
      <c r="I247" s="119" t="str">
        <f t="shared" si="109"/>
        <v/>
      </c>
      <c r="J247" s="120" t="str">
        <f t="shared" si="116"/>
        <v/>
      </c>
      <c r="K247" s="170"/>
      <c r="L247" s="1141">
        <f t="shared" si="117"/>
        <v>0</v>
      </c>
      <c r="M247" s="1141">
        <f t="shared" si="117"/>
        <v>0</v>
      </c>
      <c r="N247" s="804" t="str">
        <f t="shared" si="96"/>
        <v/>
      </c>
      <c r="O247" s="795"/>
      <c r="P247" s="1156" t="str">
        <f t="shared" si="97"/>
        <v/>
      </c>
      <c r="Q247" s="957" t="str">
        <f t="shared" si="98"/>
        <v/>
      </c>
      <c r="R247" s="767" t="str">
        <f t="shared" si="99"/>
        <v/>
      </c>
      <c r="S247" s="966">
        <f t="shared" si="100"/>
        <v>0</v>
      </c>
      <c r="T247" s="116"/>
      <c r="X247" s="760" t="str">
        <f t="shared" si="110"/>
        <v/>
      </c>
      <c r="Y247" s="745">
        <f t="shared" si="101"/>
        <v>0.6</v>
      </c>
      <c r="Z247" s="758" t="e">
        <f t="shared" si="102"/>
        <v>#VALUE!</v>
      </c>
      <c r="AA247" s="758" t="e">
        <f t="shared" si="103"/>
        <v>#VALUE!</v>
      </c>
      <c r="AB247" s="758" t="e">
        <f t="shared" si="104"/>
        <v>#VALUE!</v>
      </c>
      <c r="AC247" s="544" t="e">
        <f t="shared" si="111"/>
        <v>#VALUE!</v>
      </c>
      <c r="AD247" s="544">
        <f t="shared" si="112"/>
        <v>0</v>
      </c>
      <c r="AE247" s="759">
        <f>IF(H247&gt;8,tab!C$194,tab!C$197)</f>
        <v>0.5</v>
      </c>
      <c r="AF247" s="544">
        <f t="shared" si="113"/>
        <v>0</v>
      </c>
      <c r="AG247" s="760">
        <f t="shared" si="114"/>
        <v>0</v>
      </c>
      <c r="AH247" s="544"/>
    </row>
    <row r="248" spans="3:34" ht="13.15" customHeight="1" x14ac:dyDescent="0.2">
      <c r="C248" s="31"/>
      <c r="D248" s="117" t="str">
        <f t="shared" si="115"/>
        <v/>
      </c>
      <c r="E248" s="117" t="str">
        <f t="shared" si="115"/>
        <v/>
      </c>
      <c r="F248" s="33" t="str">
        <f t="shared" si="105"/>
        <v/>
      </c>
      <c r="G248" s="118" t="str">
        <f t="shared" si="94"/>
        <v/>
      </c>
      <c r="H248" s="33" t="str">
        <f t="shared" si="95"/>
        <v/>
      </c>
      <c r="I248" s="119" t="str">
        <f t="shared" si="109"/>
        <v/>
      </c>
      <c r="J248" s="120" t="str">
        <f t="shared" si="116"/>
        <v/>
      </c>
      <c r="K248" s="170"/>
      <c r="L248" s="1141">
        <f t="shared" si="117"/>
        <v>0</v>
      </c>
      <c r="M248" s="1141">
        <f t="shared" si="117"/>
        <v>0</v>
      </c>
      <c r="N248" s="804" t="str">
        <f t="shared" si="96"/>
        <v/>
      </c>
      <c r="O248" s="795"/>
      <c r="P248" s="1156" t="str">
        <f t="shared" si="97"/>
        <v/>
      </c>
      <c r="Q248" s="957" t="str">
        <f t="shared" si="98"/>
        <v/>
      </c>
      <c r="R248" s="767" t="str">
        <f t="shared" si="99"/>
        <v/>
      </c>
      <c r="S248" s="966">
        <f t="shared" si="100"/>
        <v>0</v>
      </c>
      <c r="T248" s="116"/>
      <c r="X248" s="760" t="str">
        <f t="shared" si="110"/>
        <v/>
      </c>
      <c r="Y248" s="745">
        <f t="shared" si="101"/>
        <v>0.6</v>
      </c>
      <c r="Z248" s="758" t="e">
        <f t="shared" si="102"/>
        <v>#VALUE!</v>
      </c>
      <c r="AA248" s="758" t="e">
        <f t="shared" si="103"/>
        <v>#VALUE!</v>
      </c>
      <c r="AB248" s="758" t="e">
        <f t="shared" si="104"/>
        <v>#VALUE!</v>
      </c>
      <c r="AC248" s="544" t="e">
        <f t="shared" si="111"/>
        <v>#VALUE!</v>
      </c>
      <c r="AD248" s="544">
        <f t="shared" si="112"/>
        <v>0</v>
      </c>
      <c r="AE248" s="759">
        <f>IF(H248&gt;8,tab!C$194,tab!C$197)</f>
        <v>0.5</v>
      </c>
      <c r="AF248" s="544">
        <f t="shared" si="113"/>
        <v>0</v>
      </c>
      <c r="AG248" s="760">
        <f t="shared" si="114"/>
        <v>0</v>
      </c>
      <c r="AH248" s="544"/>
    </row>
    <row r="249" spans="3:34" ht="13.15" customHeight="1" x14ac:dyDescent="0.2">
      <c r="C249" s="31"/>
      <c r="D249" s="117" t="str">
        <f t="shared" si="115"/>
        <v/>
      </c>
      <c r="E249" s="117" t="str">
        <f t="shared" si="115"/>
        <v/>
      </c>
      <c r="F249" s="33" t="str">
        <f t="shared" si="105"/>
        <v/>
      </c>
      <c r="G249" s="118" t="str">
        <f t="shared" si="94"/>
        <v/>
      </c>
      <c r="H249" s="33" t="str">
        <f t="shared" si="95"/>
        <v/>
      </c>
      <c r="I249" s="119" t="str">
        <f t="shared" si="109"/>
        <v/>
      </c>
      <c r="J249" s="120" t="str">
        <f t="shared" si="116"/>
        <v/>
      </c>
      <c r="K249" s="170"/>
      <c r="L249" s="1141">
        <f t="shared" si="117"/>
        <v>0</v>
      </c>
      <c r="M249" s="1141">
        <f t="shared" si="117"/>
        <v>0</v>
      </c>
      <c r="N249" s="804" t="str">
        <f t="shared" si="96"/>
        <v/>
      </c>
      <c r="O249" s="795"/>
      <c r="P249" s="1156" t="str">
        <f t="shared" si="97"/>
        <v/>
      </c>
      <c r="Q249" s="957" t="str">
        <f t="shared" si="98"/>
        <v/>
      </c>
      <c r="R249" s="767" t="str">
        <f t="shared" si="99"/>
        <v/>
      </c>
      <c r="S249" s="966">
        <f t="shared" si="100"/>
        <v>0</v>
      </c>
      <c r="T249" s="116"/>
      <c r="X249" s="760" t="str">
        <f t="shared" si="110"/>
        <v/>
      </c>
      <c r="Y249" s="745">
        <f t="shared" si="101"/>
        <v>0.6</v>
      </c>
      <c r="Z249" s="758" t="e">
        <f t="shared" si="102"/>
        <v>#VALUE!</v>
      </c>
      <c r="AA249" s="758" t="e">
        <f t="shared" si="103"/>
        <v>#VALUE!</v>
      </c>
      <c r="AB249" s="758" t="e">
        <f t="shared" si="104"/>
        <v>#VALUE!</v>
      </c>
      <c r="AC249" s="544" t="e">
        <f t="shared" si="111"/>
        <v>#VALUE!</v>
      </c>
      <c r="AD249" s="544">
        <f t="shared" si="112"/>
        <v>0</v>
      </c>
      <c r="AE249" s="759">
        <f>IF(H249&gt;8,tab!C$194,tab!C$197)</f>
        <v>0.5</v>
      </c>
      <c r="AF249" s="544">
        <f t="shared" si="113"/>
        <v>0</v>
      </c>
      <c r="AG249" s="760">
        <f t="shared" si="114"/>
        <v>0</v>
      </c>
      <c r="AH249" s="544"/>
    </row>
    <row r="250" spans="3:34" ht="13.15" customHeight="1" x14ac:dyDescent="0.2">
      <c r="C250" s="31"/>
      <c r="D250" s="117" t="str">
        <f t="shared" si="115"/>
        <v/>
      </c>
      <c r="E250" s="117" t="str">
        <f t="shared" si="115"/>
        <v/>
      </c>
      <c r="F250" s="33" t="str">
        <f t="shared" si="105"/>
        <v/>
      </c>
      <c r="G250" s="118" t="str">
        <f t="shared" si="94"/>
        <v/>
      </c>
      <c r="H250" s="33" t="str">
        <f t="shared" si="95"/>
        <v/>
      </c>
      <c r="I250" s="119" t="str">
        <f t="shared" si="109"/>
        <v/>
      </c>
      <c r="J250" s="120" t="str">
        <f t="shared" si="116"/>
        <v/>
      </c>
      <c r="K250" s="170"/>
      <c r="L250" s="1141">
        <f t="shared" si="117"/>
        <v>0</v>
      </c>
      <c r="M250" s="1141">
        <f t="shared" si="117"/>
        <v>0</v>
      </c>
      <c r="N250" s="804" t="str">
        <f t="shared" si="96"/>
        <v/>
      </c>
      <c r="O250" s="795"/>
      <c r="P250" s="1156" t="str">
        <f t="shared" si="97"/>
        <v/>
      </c>
      <c r="Q250" s="957" t="str">
        <f t="shared" si="98"/>
        <v/>
      </c>
      <c r="R250" s="767" t="str">
        <f t="shared" si="99"/>
        <v/>
      </c>
      <c r="S250" s="966">
        <f t="shared" si="100"/>
        <v>0</v>
      </c>
      <c r="T250" s="116"/>
      <c r="X250" s="760" t="str">
        <f t="shared" si="110"/>
        <v/>
      </c>
      <c r="Y250" s="745">
        <f t="shared" si="101"/>
        <v>0.6</v>
      </c>
      <c r="Z250" s="758" t="e">
        <f t="shared" si="102"/>
        <v>#VALUE!</v>
      </c>
      <c r="AA250" s="758" t="e">
        <f t="shared" si="103"/>
        <v>#VALUE!</v>
      </c>
      <c r="AB250" s="758" t="e">
        <f t="shared" si="104"/>
        <v>#VALUE!</v>
      </c>
      <c r="AC250" s="544" t="e">
        <f t="shared" si="111"/>
        <v>#VALUE!</v>
      </c>
      <c r="AD250" s="544">
        <f t="shared" si="112"/>
        <v>0</v>
      </c>
      <c r="AE250" s="759">
        <f>IF(H250&gt;8,tab!C$194,tab!C$197)</f>
        <v>0.5</v>
      </c>
      <c r="AF250" s="544">
        <f t="shared" si="113"/>
        <v>0</v>
      </c>
      <c r="AG250" s="760">
        <f t="shared" si="114"/>
        <v>0</v>
      </c>
      <c r="AH250" s="544"/>
    </row>
    <row r="251" spans="3:34" ht="13.15" customHeight="1" x14ac:dyDescent="0.2">
      <c r="C251" s="31"/>
      <c r="D251" s="28"/>
      <c r="E251" s="28"/>
      <c r="F251" s="28"/>
      <c r="G251" s="28"/>
      <c r="H251" s="30"/>
      <c r="I251" s="158"/>
      <c r="J251" s="768">
        <f>SUM(J201:J250)</f>
        <v>1</v>
      </c>
      <c r="K251" s="121"/>
      <c r="L251" s="802">
        <f>SUM(L201:L250)</f>
        <v>0</v>
      </c>
      <c r="M251" s="802">
        <f>SUM(M201:M250)</f>
        <v>0</v>
      </c>
      <c r="N251" s="497"/>
      <c r="O251" s="802">
        <f>SUM(O201:O250)</f>
        <v>0</v>
      </c>
      <c r="P251" s="803">
        <f>SUM(P201:P250)</f>
        <v>40</v>
      </c>
      <c r="Q251" s="959">
        <f>SUM(Q201:Q250)</f>
        <v>58946.82386980109</v>
      </c>
      <c r="R251" s="959">
        <f>SUM(R201:R250)</f>
        <v>1456.3761301989152</v>
      </c>
      <c r="S251" s="959">
        <f>SUM(S201:S250)</f>
        <v>60403.200000000004</v>
      </c>
      <c r="T251" s="75"/>
      <c r="X251" s="544"/>
      <c r="Y251" s="544"/>
      <c r="AG251" s="760">
        <f>SUM(AG201:AG250)</f>
        <v>0</v>
      </c>
      <c r="AH251" s="544"/>
    </row>
    <row r="252" spans="3:34" ht="13.15" customHeight="1" x14ac:dyDescent="0.2">
      <c r="C252" s="36"/>
      <c r="D252" s="127"/>
      <c r="E252" s="127"/>
      <c r="F252" s="127"/>
      <c r="G252" s="127"/>
      <c r="H252" s="129"/>
      <c r="I252" s="130"/>
      <c r="J252" s="131"/>
      <c r="K252" s="130"/>
      <c r="L252" s="130"/>
      <c r="M252" s="133"/>
      <c r="N252" s="132"/>
      <c r="O252" s="132"/>
      <c r="P252" s="135"/>
      <c r="Q252" s="135"/>
      <c r="R252" s="134"/>
      <c r="S252" s="967"/>
      <c r="T252" s="75"/>
      <c r="X252" s="544"/>
      <c r="Y252" s="544"/>
      <c r="AG252" s="544"/>
      <c r="AH252" s="544"/>
    </row>
    <row r="253" spans="3:34" ht="13.15" customHeight="1" x14ac:dyDescent="0.2"/>
    <row r="254" spans="3:34" ht="13.15" customHeight="1" x14ac:dyDescent="0.2"/>
    <row r="255" spans="3:34" ht="13.15" customHeight="1" x14ac:dyDescent="0.2">
      <c r="C255" s="34" t="s">
        <v>48</v>
      </c>
      <c r="E255" s="150" t="str">
        <f>tab!H2</f>
        <v>2023/24</v>
      </c>
      <c r="G255" s="174"/>
      <c r="H255" s="8"/>
      <c r="J255" s="123"/>
      <c r="L255" s="147"/>
      <c r="M255" s="147"/>
      <c r="N255" s="116"/>
      <c r="O255" s="116"/>
      <c r="P255" s="124"/>
      <c r="Q255" s="149"/>
      <c r="R255" s="148"/>
      <c r="AG255" s="544"/>
      <c r="AH255" s="544"/>
    </row>
    <row r="256" spans="3:34" ht="13.15" customHeight="1" x14ac:dyDescent="0.2">
      <c r="C256" s="34" t="s">
        <v>125</v>
      </c>
      <c r="E256" s="150">
        <f>tab!I3</f>
        <v>45200</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59"/>
      <c r="Q258" s="25"/>
      <c r="R258" s="106"/>
      <c r="S258" s="968"/>
      <c r="T258" s="77"/>
    </row>
    <row r="259" spans="3:34" ht="13.15" customHeight="1" x14ac:dyDescent="0.2">
      <c r="C259" s="597"/>
      <c r="D259" s="1340" t="s">
        <v>126</v>
      </c>
      <c r="E259" s="1341"/>
      <c r="F259" s="1341"/>
      <c r="G259" s="1341"/>
      <c r="H259" s="1342"/>
      <c r="I259" s="1342"/>
      <c r="J259" s="1342"/>
      <c r="K259" s="685"/>
      <c r="L259" s="686" t="s">
        <v>440</v>
      </c>
      <c r="M259" s="687"/>
      <c r="N259" s="688"/>
      <c r="O259" s="688"/>
      <c r="P259" s="1155"/>
      <c r="Q259" s="579" t="s">
        <v>450</v>
      </c>
      <c r="R259" s="688"/>
      <c r="S259" s="964"/>
      <c r="T259" s="598"/>
    </row>
    <row r="260" spans="3:34" ht="13.15" customHeight="1" x14ac:dyDescent="0.2">
      <c r="C260" s="282"/>
      <c r="D260" s="696" t="s">
        <v>127</v>
      </c>
      <c r="E260" s="696" t="s">
        <v>88</v>
      </c>
      <c r="F260" s="697" t="s">
        <v>128</v>
      </c>
      <c r="G260" s="698" t="s">
        <v>129</v>
      </c>
      <c r="H260" s="697" t="s">
        <v>130</v>
      </c>
      <c r="I260" s="697" t="s">
        <v>131</v>
      </c>
      <c r="J260" s="699" t="s">
        <v>132</v>
      </c>
      <c r="K260" s="696"/>
      <c r="L260" s="700" t="s">
        <v>441</v>
      </c>
      <c r="M260" s="700" t="s">
        <v>444</v>
      </c>
      <c r="N260" s="700" t="s">
        <v>446</v>
      </c>
      <c r="O260" s="700" t="s">
        <v>443</v>
      </c>
      <c r="P260" s="701" t="s">
        <v>449</v>
      </c>
      <c r="Q260" s="700" t="s">
        <v>133</v>
      </c>
      <c r="R260" s="702" t="s">
        <v>453</v>
      </c>
      <c r="S260" s="703" t="s">
        <v>133</v>
      </c>
      <c r="T260" s="600"/>
      <c r="X260" s="705" t="s">
        <v>139</v>
      </c>
      <c r="Y260" s="706" t="s">
        <v>454</v>
      </c>
      <c r="Z260" s="707" t="s">
        <v>455</v>
      </c>
      <c r="AA260" s="707" t="s">
        <v>455</v>
      </c>
      <c r="AB260" s="707" t="s">
        <v>456</v>
      </c>
      <c r="AC260" s="707" t="s">
        <v>457</v>
      </c>
      <c r="AD260" s="707" t="s">
        <v>458</v>
      </c>
      <c r="AE260" s="707" t="s">
        <v>459</v>
      </c>
      <c r="AF260" s="707" t="s">
        <v>134</v>
      </c>
      <c r="AG260" s="703" t="s">
        <v>135</v>
      </c>
    </row>
    <row r="261" spans="3:34" ht="13.15" customHeight="1" x14ac:dyDescent="0.2">
      <c r="C261" s="31"/>
      <c r="D261" s="709"/>
      <c r="E261" s="696"/>
      <c r="F261" s="697" t="s">
        <v>136</v>
      </c>
      <c r="G261" s="698" t="s">
        <v>137</v>
      </c>
      <c r="H261" s="697"/>
      <c r="I261" s="697"/>
      <c r="J261" s="699" t="s">
        <v>467</v>
      </c>
      <c r="K261" s="696"/>
      <c r="L261" s="700" t="s">
        <v>442</v>
      </c>
      <c r="M261" s="700" t="s">
        <v>445</v>
      </c>
      <c r="N261" s="700" t="s">
        <v>447</v>
      </c>
      <c r="O261" s="700" t="s">
        <v>448</v>
      </c>
      <c r="P261" s="701" t="s">
        <v>141</v>
      </c>
      <c r="Q261" s="707" t="s">
        <v>451</v>
      </c>
      <c r="R261" s="702" t="s">
        <v>452</v>
      </c>
      <c r="S261" s="710" t="s">
        <v>141</v>
      </c>
      <c r="T261" s="601"/>
      <c r="X261" s="707" t="s">
        <v>460</v>
      </c>
      <c r="Y261" s="711">
        <f>tab!C$193</f>
        <v>0.6</v>
      </c>
      <c r="Z261" s="707" t="s">
        <v>461</v>
      </c>
      <c r="AA261" s="707" t="s">
        <v>462</v>
      </c>
      <c r="AB261" s="707" t="s">
        <v>463</v>
      </c>
      <c r="AC261" s="707" t="s">
        <v>464</v>
      </c>
      <c r="AD261" s="707" t="s">
        <v>464</v>
      </c>
      <c r="AE261" s="707" t="s">
        <v>465</v>
      </c>
      <c r="AF261" s="707"/>
      <c r="AG261" s="707" t="s">
        <v>140</v>
      </c>
    </row>
    <row r="262" spans="3:34" ht="13.15" customHeight="1" x14ac:dyDescent="0.2">
      <c r="C262" s="31"/>
      <c r="D262" s="1"/>
      <c r="E262" s="1"/>
      <c r="F262" s="1"/>
      <c r="G262" s="109"/>
      <c r="H262" s="110"/>
      <c r="I262" s="110"/>
      <c r="J262" s="111"/>
      <c r="K262" s="1"/>
      <c r="L262" s="112"/>
      <c r="M262" s="113"/>
      <c r="N262" s="113"/>
      <c r="O262" s="113"/>
      <c r="P262" s="606"/>
      <c r="Q262" s="113"/>
      <c r="R262" s="114"/>
      <c r="S262" s="965"/>
      <c r="T262" s="165"/>
      <c r="X262" s="739"/>
      <c r="Y262" s="740"/>
      <c r="AG262" s="544"/>
    </row>
    <row r="263" spans="3:34" ht="13.15" customHeight="1" x14ac:dyDescent="0.2">
      <c r="C263" s="31"/>
      <c r="D263" s="117" t="str">
        <f t="shared" ref="D263:E282" si="118">IF(D201=0,"",D201)</f>
        <v/>
      </c>
      <c r="E263" s="117" t="str">
        <f t="shared" si="118"/>
        <v>nn</v>
      </c>
      <c r="F263" s="33">
        <f>IF(F201=0,"",F201+1)</f>
        <v>29</v>
      </c>
      <c r="G263" s="118">
        <f>IF(G201="","",G201)</f>
        <v>28341</v>
      </c>
      <c r="H263" s="33">
        <f>IF(H201=0,"",H201)</f>
        <v>8</v>
      </c>
      <c r="I263" s="119">
        <f t="shared" ref="I263:I294" si="119">IF(E263="","",IF(I201+1&gt;VLOOKUP(H263,Salaris2021,22,FALSE),I201,I201+1))</f>
        <v>11</v>
      </c>
      <c r="J263" s="120">
        <f t="shared" ref="J263:J282" si="120">IF(J201="","",J201)</f>
        <v>1</v>
      </c>
      <c r="K263" s="170"/>
      <c r="L263" s="1141">
        <f t="shared" ref="L263:M282" si="121">IF(L201="","",L201)</f>
        <v>0</v>
      </c>
      <c r="M263" s="1141">
        <f t="shared" si="121"/>
        <v>0</v>
      </c>
      <c r="N263" s="804">
        <f>IF(J263="","",IF(J263*40&gt;40,40,J263*40))</f>
        <v>40</v>
      </c>
      <c r="O263" s="795"/>
      <c r="P263" s="1156">
        <f>IF(J263="","",SUM(L263:O263))</f>
        <v>40</v>
      </c>
      <c r="Q263" s="957">
        <f>IF(J263="","",(1659*J263-P263)*AA263)</f>
        <v>60183.470524412303</v>
      </c>
      <c r="R263" s="767">
        <f>IF(J263="","",(P263*AB263)+Z263*(AC263+AD263*(1-AE263)))</f>
        <v>1486.9294755877036</v>
      </c>
      <c r="S263" s="966">
        <f>SUM(Q263:R263)</f>
        <v>61670.400000000009</v>
      </c>
      <c r="T263" s="116"/>
      <c r="X263" s="760">
        <f t="shared" ref="X263:X294" si="122">IF(H263="","",VLOOKUP(H263,Salaris2021,I263+1,FALSE))</f>
        <v>3212</v>
      </c>
      <c r="Y263" s="745">
        <f>$Y$13</f>
        <v>0.6</v>
      </c>
      <c r="Z263" s="758">
        <f>X263*12/1659</f>
        <v>23.233273056057865</v>
      </c>
      <c r="AA263" s="758">
        <f>X263*12*(1+Y263)/1659</f>
        <v>37.173236889692589</v>
      </c>
      <c r="AB263" s="758">
        <f>AA263-Z263</f>
        <v>13.939963833634724</v>
      </c>
      <c r="AC263" s="544">
        <f t="shared" ref="AC263:AC294" si="123">N263+O263</f>
        <v>40</v>
      </c>
      <c r="AD263" s="544">
        <f t="shared" ref="AD263:AD294" si="124">L263+M263</f>
        <v>0</v>
      </c>
      <c r="AE263" s="759">
        <f>IF(H263&gt;8,tab!C$194,tab!C$197)</f>
        <v>0.4</v>
      </c>
      <c r="AF263" s="544">
        <f t="shared" ref="AF263:AF294" si="125">IF(F263&lt;25,0,IF(F263=25,25,IF(F263&lt;40,0,IF(F263=40,40,IF(F263&gt;=40,0)))))</f>
        <v>0</v>
      </c>
      <c r="AG263" s="760">
        <f t="shared" ref="AG263:AG294" si="126">IF(AF263=25,(X263*1.08*(J263)/2),IF(AF263=40,(V263*1.08*(J263)),IF(AF263=0,0)))</f>
        <v>0</v>
      </c>
    </row>
    <row r="264" spans="3:34" ht="13.15" customHeight="1" x14ac:dyDescent="0.2">
      <c r="C264" s="31"/>
      <c r="D264" s="117" t="str">
        <f t="shared" si="118"/>
        <v/>
      </c>
      <c r="E264" s="117" t="str">
        <f t="shared" si="118"/>
        <v/>
      </c>
      <c r="F264" s="33" t="str">
        <f>IF(F202="","",F202+1)</f>
        <v/>
      </c>
      <c r="G264" s="118" t="str">
        <f t="shared" ref="G264:G312" si="127">IF(G202="","",G202)</f>
        <v/>
      </c>
      <c r="H264" s="33" t="str">
        <f t="shared" ref="H264:H312" si="128">IF(H202=0,"",H202)</f>
        <v/>
      </c>
      <c r="I264" s="119" t="str">
        <f t="shared" si="119"/>
        <v/>
      </c>
      <c r="J264" s="120" t="str">
        <f t="shared" si="120"/>
        <v/>
      </c>
      <c r="K264" s="170"/>
      <c r="L264" s="1141">
        <f t="shared" si="121"/>
        <v>0</v>
      </c>
      <c r="M264" s="1141">
        <f t="shared" si="121"/>
        <v>0</v>
      </c>
      <c r="N264" s="804" t="str">
        <f t="shared" ref="N264:N312" si="129">IF(J264="","",IF(J264*40&gt;40,40,J264*40))</f>
        <v/>
      </c>
      <c r="O264" s="795"/>
      <c r="P264" s="1156" t="str">
        <f t="shared" ref="P264:P312" si="130">IF(J264="","",SUM(L264:O264))</f>
        <v/>
      </c>
      <c r="Q264" s="957" t="str">
        <f t="shared" ref="Q264:Q312" si="131">IF(J264="","",(1659*J264-P264)*AA264)</f>
        <v/>
      </c>
      <c r="R264" s="767" t="str">
        <f t="shared" ref="R264:R312" si="132">IF(J264="","",(P264*AB264)+Z264*(AC264+AD264*(1-AE264)))</f>
        <v/>
      </c>
      <c r="S264" s="966">
        <f t="shared" ref="S264:S312" si="133">SUM(Q264:R264)</f>
        <v>0</v>
      </c>
      <c r="T264" s="116"/>
      <c r="X264" s="760" t="str">
        <f t="shared" si="122"/>
        <v/>
      </c>
      <c r="Y264" s="745">
        <f t="shared" ref="Y264:Y312" si="134">$Y$13</f>
        <v>0.6</v>
      </c>
      <c r="Z264" s="758" t="e">
        <f t="shared" ref="Z264:Z312" si="135">X264*12/1659</f>
        <v>#VALUE!</v>
      </c>
      <c r="AA264" s="758" t="e">
        <f t="shared" ref="AA264:AA312" si="136">X264*12*(1+Y264)/1659</f>
        <v>#VALUE!</v>
      </c>
      <c r="AB264" s="758" t="e">
        <f t="shared" ref="AB264:AB312" si="137">AA264-Z264</f>
        <v>#VALUE!</v>
      </c>
      <c r="AC264" s="544" t="e">
        <f t="shared" si="123"/>
        <v>#VALUE!</v>
      </c>
      <c r="AD264" s="544">
        <f t="shared" si="124"/>
        <v>0</v>
      </c>
      <c r="AE264" s="759">
        <f>IF(H264&gt;8,tab!C$194,tab!C$197)</f>
        <v>0.5</v>
      </c>
      <c r="AF264" s="544">
        <f t="shared" si="125"/>
        <v>0</v>
      </c>
      <c r="AG264" s="760">
        <f t="shared" si="126"/>
        <v>0</v>
      </c>
    </row>
    <row r="265" spans="3:34" ht="13.15" customHeight="1" x14ac:dyDescent="0.2">
      <c r="C265" s="31"/>
      <c r="D265" s="117" t="str">
        <f t="shared" si="118"/>
        <v/>
      </c>
      <c r="E265" s="117" t="str">
        <f t="shared" si="118"/>
        <v/>
      </c>
      <c r="F265" s="33" t="str">
        <f t="shared" ref="F265:F312" si="138">IF(F203="","",F203+1)</f>
        <v/>
      </c>
      <c r="G265" s="118" t="str">
        <f t="shared" si="127"/>
        <v/>
      </c>
      <c r="H265" s="33" t="str">
        <f t="shared" si="128"/>
        <v/>
      </c>
      <c r="I265" s="119" t="str">
        <f t="shared" si="119"/>
        <v/>
      </c>
      <c r="J265" s="120" t="str">
        <f t="shared" si="120"/>
        <v/>
      </c>
      <c r="K265" s="170"/>
      <c r="L265" s="1141">
        <f t="shared" si="121"/>
        <v>0</v>
      </c>
      <c r="M265" s="1141">
        <f t="shared" si="121"/>
        <v>0</v>
      </c>
      <c r="N265" s="804" t="str">
        <f t="shared" si="129"/>
        <v/>
      </c>
      <c r="O265" s="795"/>
      <c r="P265" s="1156" t="str">
        <f t="shared" si="130"/>
        <v/>
      </c>
      <c r="Q265" s="957" t="str">
        <f t="shared" si="131"/>
        <v/>
      </c>
      <c r="R265" s="767" t="str">
        <f t="shared" si="132"/>
        <v/>
      </c>
      <c r="S265" s="966">
        <f t="shared" si="133"/>
        <v>0</v>
      </c>
      <c r="T265" s="116"/>
      <c r="X265" s="760" t="str">
        <f t="shared" si="122"/>
        <v/>
      </c>
      <c r="Y265" s="745">
        <f t="shared" si="134"/>
        <v>0.6</v>
      </c>
      <c r="Z265" s="758" t="e">
        <f t="shared" si="135"/>
        <v>#VALUE!</v>
      </c>
      <c r="AA265" s="758" t="e">
        <f t="shared" si="136"/>
        <v>#VALUE!</v>
      </c>
      <c r="AB265" s="758" t="e">
        <f t="shared" si="137"/>
        <v>#VALUE!</v>
      </c>
      <c r="AC265" s="544" t="e">
        <f t="shared" si="123"/>
        <v>#VALUE!</v>
      </c>
      <c r="AD265" s="544">
        <f t="shared" si="124"/>
        <v>0</v>
      </c>
      <c r="AE265" s="759">
        <f>IF(H265&gt;8,tab!C$194,tab!C$197)</f>
        <v>0.5</v>
      </c>
      <c r="AF265" s="544">
        <f t="shared" si="125"/>
        <v>0</v>
      </c>
      <c r="AG265" s="760">
        <f t="shared" si="126"/>
        <v>0</v>
      </c>
    </row>
    <row r="266" spans="3:34" ht="13.15" customHeight="1" x14ac:dyDescent="0.2">
      <c r="C266" s="31"/>
      <c r="D266" s="117" t="str">
        <f t="shared" si="118"/>
        <v/>
      </c>
      <c r="E266" s="117" t="str">
        <f t="shared" si="118"/>
        <v/>
      </c>
      <c r="F266" s="33" t="str">
        <f t="shared" si="138"/>
        <v/>
      </c>
      <c r="G266" s="118" t="str">
        <f t="shared" si="127"/>
        <v/>
      </c>
      <c r="H266" s="33" t="str">
        <f t="shared" si="128"/>
        <v/>
      </c>
      <c r="I266" s="119" t="str">
        <f t="shared" si="119"/>
        <v/>
      </c>
      <c r="J266" s="120" t="str">
        <f t="shared" si="120"/>
        <v/>
      </c>
      <c r="K266" s="170"/>
      <c r="L266" s="1141">
        <f t="shared" si="121"/>
        <v>0</v>
      </c>
      <c r="M266" s="1141">
        <f t="shared" si="121"/>
        <v>0</v>
      </c>
      <c r="N266" s="804" t="str">
        <f t="shared" si="129"/>
        <v/>
      </c>
      <c r="O266" s="795"/>
      <c r="P266" s="1156" t="str">
        <f t="shared" si="130"/>
        <v/>
      </c>
      <c r="Q266" s="957" t="str">
        <f t="shared" si="131"/>
        <v/>
      </c>
      <c r="R266" s="767" t="str">
        <f t="shared" si="132"/>
        <v/>
      </c>
      <c r="S266" s="966">
        <f t="shared" si="133"/>
        <v>0</v>
      </c>
      <c r="T266" s="116"/>
      <c r="X266" s="760" t="str">
        <f t="shared" si="122"/>
        <v/>
      </c>
      <c r="Y266" s="745">
        <f t="shared" si="134"/>
        <v>0.6</v>
      </c>
      <c r="Z266" s="758" t="e">
        <f t="shared" si="135"/>
        <v>#VALUE!</v>
      </c>
      <c r="AA266" s="758" t="e">
        <f t="shared" si="136"/>
        <v>#VALUE!</v>
      </c>
      <c r="AB266" s="758" t="e">
        <f t="shared" si="137"/>
        <v>#VALUE!</v>
      </c>
      <c r="AC266" s="544" t="e">
        <f t="shared" si="123"/>
        <v>#VALUE!</v>
      </c>
      <c r="AD266" s="544">
        <f t="shared" si="124"/>
        <v>0</v>
      </c>
      <c r="AE266" s="759">
        <f>IF(H266&gt;8,tab!C$194,tab!C$197)</f>
        <v>0.5</v>
      </c>
      <c r="AF266" s="544">
        <f t="shared" si="125"/>
        <v>0</v>
      </c>
      <c r="AG266" s="760">
        <f t="shared" si="126"/>
        <v>0</v>
      </c>
    </row>
    <row r="267" spans="3:34" ht="13.15" customHeight="1" x14ac:dyDescent="0.2">
      <c r="C267" s="31"/>
      <c r="D267" s="117" t="str">
        <f t="shared" si="118"/>
        <v/>
      </c>
      <c r="E267" s="117" t="str">
        <f t="shared" si="118"/>
        <v/>
      </c>
      <c r="F267" s="33" t="str">
        <f t="shared" si="138"/>
        <v/>
      </c>
      <c r="G267" s="118" t="str">
        <f t="shared" si="127"/>
        <v/>
      </c>
      <c r="H267" s="33" t="str">
        <f t="shared" si="128"/>
        <v/>
      </c>
      <c r="I267" s="119" t="str">
        <f t="shared" si="119"/>
        <v/>
      </c>
      <c r="J267" s="120" t="str">
        <f t="shared" si="120"/>
        <v/>
      </c>
      <c r="K267" s="170"/>
      <c r="L267" s="1141">
        <f t="shared" si="121"/>
        <v>0</v>
      </c>
      <c r="M267" s="1141">
        <f t="shared" si="121"/>
        <v>0</v>
      </c>
      <c r="N267" s="804" t="str">
        <f t="shared" si="129"/>
        <v/>
      </c>
      <c r="O267" s="795"/>
      <c r="P267" s="1156" t="str">
        <f t="shared" si="130"/>
        <v/>
      </c>
      <c r="Q267" s="957" t="str">
        <f t="shared" si="131"/>
        <v/>
      </c>
      <c r="R267" s="767" t="str">
        <f t="shared" si="132"/>
        <v/>
      </c>
      <c r="S267" s="966">
        <f t="shared" si="133"/>
        <v>0</v>
      </c>
      <c r="T267" s="116"/>
      <c r="X267" s="760" t="str">
        <f t="shared" si="122"/>
        <v/>
      </c>
      <c r="Y267" s="745">
        <f t="shared" si="134"/>
        <v>0.6</v>
      </c>
      <c r="Z267" s="758" t="e">
        <f t="shared" si="135"/>
        <v>#VALUE!</v>
      </c>
      <c r="AA267" s="758" t="e">
        <f t="shared" si="136"/>
        <v>#VALUE!</v>
      </c>
      <c r="AB267" s="758" t="e">
        <f t="shared" si="137"/>
        <v>#VALUE!</v>
      </c>
      <c r="AC267" s="544" t="e">
        <f t="shared" si="123"/>
        <v>#VALUE!</v>
      </c>
      <c r="AD267" s="544">
        <f t="shared" si="124"/>
        <v>0</v>
      </c>
      <c r="AE267" s="759">
        <f>IF(H267&gt;8,tab!C$194,tab!C$197)</f>
        <v>0.5</v>
      </c>
      <c r="AF267" s="544">
        <f t="shared" si="125"/>
        <v>0</v>
      </c>
      <c r="AG267" s="760">
        <f t="shared" si="126"/>
        <v>0</v>
      </c>
    </row>
    <row r="268" spans="3:34" ht="13.15" customHeight="1" x14ac:dyDescent="0.2">
      <c r="C268" s="31"/>
      <c r="D268" s="117" t="str">
        <f t="shared" si="118"/>
        <v/>
      </c>
      <c r="E268" s="117" t="str">
        <f t="shared" si="118"/>
        <v/>
      </c>
      <c r="F268" s="33" t="str">
        <f t="shared" si="138"/>
        <v/>
      </c>
      <c r="G268" s="118" t="str">
        <f t="shared" si="127"/>
        <v/>
      </c>
      <c r="H268" s="33" t="str">
        <f t="shared" si="128"/>
        <v/>
      </c>
      <c r="I268" s="119" t="str">
        <f t="shared" si="119"/>
        <v/>
      </c>
      <c r="J268" s="120" t="str">
        <f t="shared" si="120"/>
        <v/>
      </c>
      <c r="K268" s="170"/>
      <c r="L268" s="1141">
        <f t="shared" si="121"/>
        <v>0</v>
      </c>
      <c r="M268" s="1141">
        <f t="shared" si="121"/>
        <v>0</v>
      </c>
      <c r="N268" s="804" t="str">
        <f t="shared" si="129"/>
        <v/>
      </c>
      <c r="O268" s="795"/>
      <c r="P268" s="1156" t="str">
        <f t="shared" si="130"/>
        <v/>
      </c>
      <c r="Q268" s="957" t="str">
        <f t="shared" si="131"/>
        <v/>
      </c>
      <c r="R268" s="767" t="str">
        <f t="shared" si="132"/>
        <v/>
      </c>
      <c r="S268" s="966">
        <f t="shared" si="133"/>
        <v>0</v>
      </c>
      <c r="T268" s="116"/>
      <c r="X268" s="760" t="str">
        <f t="shared" si="122"/>
        <v/>
      </c>
      <c r="Y268" s="745">
        <f t="shared" si="134"/>
        <v>0.6</v>
      </c>
      <c r="Z268" s="758" t="e">
        <f t="shared" si="135"/>
        <v>#VALUE!</v>
      </c>
      <c r="AA268" s="758" t="e">
        <f t="shared" si="136"/>
        <v>#VALUE!</v>
      </c>
      <c r="AB268" s="758" t="e">
        <f t="shared" si="137"/>
        <v>#VALUE!</v>
      </c>
      <c r="AC268" s="544" t="e">
        <f t="shared" si="123"/>
        <v>#VALUE!</v>
      </c>
      <c r="AD268" s="544">
        <f t="shared" si="124"/>
        <v>0</v>
      </c>
      <c r="AE268" s="759">
        <f>IF(H268&gt;8,tab!C$194,tab!C$197)</f>
        <v>0.5</v>
      </c>
      <c r="AF268" s="544">
        <f t="shared" si="125"/>
        <v>0</v>
      </c>
      <c r="AG268" s="760">
        <f t="shared" si="126"/>
        <v>0</v>
      </c>
    </row>
    <row r="269" spans="3:34" ht="13.15" customHeight="1" x14ac:dyDescent="0.2">
      <c r="C269" s="31"/>
      <c r="D269" s="117" t="str">
        <f t="shared" si="118"/>
        <v/>
      </c>
      <c r="E269" s="117" t="str">
        <f t="shared" si="118"/>
        <v/>
      </c>
      <c r="F269" s="33" t="str">
        <f t="shared" si="138"/>
        <v/>
      </c>
      <c r="G269" s="118" t="str">
        <f t="shared" si="127"/>
        <v/>
      </c>
      <c r="H269" s="33" t="str">
        <f t="shared" si="128"/>
        <v/>
      </c>
      <c r="I269" s="119" t="str">
        <f t="shared" si="119"/>
        <v/>
      </c>
      <c r="J269" s="120" t="str">
        <f t="shared" si="120"/>
        <v/>
      </c>
      <c r="K269" s="170"/>
      <c r="L269" s="1141">
        <f t="shared" si="121"/>
        <v>0</v>
      </c>
      <c r="M269" s="1141">
        <f t="shared" si="121"/>
        <v>0</v>
      </c>
      <c r="N269" s="804" t="str">
        <f t="shared" si="129"/>
        <v/>
      </c>
      <c r="O269" s="795"/>
      <c r="P269" s="1156" t="str">
        <f t="shared" si="130"/>
        <v/>
      </c>
      <c r="Q269" s="957" t="str">
        <f t="shared" si="131"/>
        <v/>
      </c>
      <c r="R269" s="767" t="str">
        <f t="shared" si="132"/>
        <v/>
      </c>
      <c r="S269" s="966">
        <f t="shared" si="133"/>
        <v>0</v>
      </c>
      <c r="T269" s="116"/>
      <c r="X269" s="760" t="str">
        <f t="shared" si="122"/>
        <v/>
      </c>
      <c r="Y269" s="745">
        <f t="shared" si="134"/>
        <v>0.6</v>
      </c>
      <c r="Z269" s="758" t="e">
        <f t="shared" si="135"/>
        <v>#VALUE!</v>
      </c>
      <c r="AA269" s="758" t="e">
        <f t="shared" si="136"/>
        <v>#VALUE!</v>
      </c>
      <c r="AB269" s="758" t="e">
        <f t="shared" si="137"/>
        <v>#VALUE!</v>
      </c>
      <c r="AC269" s="544" t="e">
        <f t="shared" si="123"/>
        <v>#VALUE!</v>
      </c>
      <c r="AD269" s="544">
        <f t="shared" si="124"/>
        <v>0</v>
      </c>
      <c r="AE269" s="759">
        <f>IF(H269&gt;8,tab!C$194,tab!C$197)</f>
        <v>0.5</v>
      </c>
      <c r="AF269" s="544">
        <f t="shared" si="125"/>
        <v>0</v>
      </c>
      <c r="AG269" s="760">
        <f t="shared" si="126"/>
        <v>0</v>
      </c>
    </row>
    <row r="270" spans="3:34" ht="13.15" customHeight="1" x14ac:dyDescent="0.2">
      <c r="C270" s="31"/>
      <c r="D270" s="117" t="str">
        <f t="shared" si="118"/>
        <v/>
      </c>
      <c r="E270" s="117" t="str">
        <f t="shared" si="118"/>
        <v/>
      </c>
      <c r="F270" s="33" t="str">
        <f t="shared" si="138"/>
        <v/>
      </c>
      <c r="G270" s="118" t="str">
        <f t="shared" si="127"/>
        <v/>
      </c>
      <c r="H270" s="33" t="str">
        <f t="shared" si="128"/>
        <v/>
      </c>
      <c r="I270" s="119" t="str">
        <f t="shared" si="119"/>
        <v/>
      </c>
      <c r="J270" s="120" t="str">
        <f t="shared" si="120"/>
        <v/>
      </c>
      <c r="K270" s="170"/>
      <c r="L270" s="1141">
        <f t="shared" si="121"/>
        <v>0</v>
      </c>
      <c r="M270" s="1141">
        <f t="shared" si="121"/>
        <v>0</v>
      </c>
      <c r="N270" s="804" t="str">
        <f t="shared" si="129"/>
        <v/>
      </c>
      <c r="O270" s="795"/>
      <c r="P270" s="1156" t="str">
        <f t="shared" si="130"/>
        <v/>
      </c>
      <c r="Q270" s="957" t="str">
        <f t="shared" si="131"/>
        <v/>
      </c>
      <c r="R270" s="767" t="str">
        <f t="shared" si="132"/>
        <v/>
      </c>
      <c r="S270" s="966">
        <f t="shared" si="133"/>
        <v>0</v>
      </c>
      <c r="T270" s="116"/>
      <c r="X270" s="760" t="str">
        <f t="shared" si="122"/>
        <v/>
      </c>
      <c r="Y270" s="745">
        <f t="shared" si="134"/>
        <v>0.6</v>
      </c>
      <c r="Z270" s="758" t="e">
        <f t="shared" si="135"/>
        <v>#VALUE!</v>
      </c>
      <c r="AA270" s="758" t="e">
        <f t="shared" si="136"/>
        <v>#VALUE!</v>
      </c>
      <c r="AB270" s="758" t="e">
        <f t="shared" si="137"/>
        <v>#VALUE!</v>
      </c>
      <c r="AC270" s="544" t="e">
        <f t="shared" si="123"/>
        <v>#VALUE!</v>
      </c>
      <c r="AD270" s="544">
        <f t="shared" si="124"/>
        <v>0</v>
      </c>
      <c r="AE270" s="759">
        <f>IF(H270&gt;8,tab!C$194,tab!C$197)</f>
        <v>0.5</v>
      </c>
      <c r="AF270" s="544">
        <f t="shared" si="125"/>
        <v>0</v>
      </c>
      <c r="AG270" s="760">
        <f t="shared" si="126"/>
        <v>0</v>
      </c>
    </row>
    <row r="271" spans="3:34" ht="13.15" customHeight="1" x14ac:dyDescent="0.2">
      <c r="C271" s="31"/>
      <c r="D271" s="117" t="str">
        <f t="shared" si="118"/>
        <v/>
      </c>
      <c r="E271" s="117" t="str">
        <f t="shared" si="118"/>
        <v/>
      </c>
      <c r="F271" s="33" t="str">
        <f t="shared" si="138"/>
        <v/>
      </c>
      <c r="G271" s="118" t="str">
        <f t="shared" si="127"/>
        <v/>
      </c>
      <c r="H271" s="33" t="str">
        <f t="shared" si="128"/>
        <v/>
      </c>
      <c r="I271" s="119" t="str">
        <f t="shared" si="119"/>
        <v/>
      </c>
      <c r="J271" s="120" t="str">
        <f t="shared" si="120"/>
        <v/>
      </c>
      <c r="K271" s="170"/>
      <c r="L271" s="1141">
        <f t="shared" si="121"/>
        <v>0</v>
      </c>
      <c r="M271" s="1141">
        <f t="shared" si="121"/>
        <v>0</v>
      </c>
      <c r="N271" s="804" t="str">
        <f t="shared" si="129"/>
        <v/>
      </c>
      <c r="O271" s="795"/>
      <c r="P271" s="1156" t="str">
        <f t="shared" si="130"/>
        <v/>
      </c>
      <c r="Q271" s="957" t="str">
        <f t="shared" si="131"/>
        <v/>
      </c>
      <c r="R271" s="767" t="str">
        <f t="shared" si="132"/>
        <v/>
      </c>
      <c r="S271" s="966">
        <f t="shared" si="133"/>
        <v>0</v>
      </c>
      <c r="T271" s="116"/>
      <c r="X271" s="760" t="str">
        <f t="shared" si="122"/>
        <v/>
      </c>
      <c r="Y271" s="745">
        <f t="shared" si="134"/>
        <v>0.6</v>
      </c>
      <c r="Z271" s="758" t="e">
        <f t="shared" si="135"/>
        <v>#VALUE!</v>
      </c>
      <c r="AA271" s="758" t="e">
        <f t="shared" si="136"/>
        <v>#VALUE!</v>
      </c>
      <c r="AB271" s="758" t="e">
        <f t="shared" si="137"/>
        <v>#VALUE!</v>
      </c>
      <c r="AC271" s="544" t="e">
        <f t="shared" si="123"/>
        <v>#VALUE!</v>
      </c>
      <c r="AD271" s="544">
        <f t="shared" si="124"/>
        <v>0</v>
      </c>
      <c r="AE271" s="759">
        <f>IF(H271&gt;8,tab!C$194,tab!C$197)</f>
        <v>0.5</v>
      </c>
      <c r="AF271" s="544">
        <f t="shared" si="125"/>
        <v>0</v>
      </c>
      <c r="AG271" s="760">
        <f t="shared" si="126"/>
        <v>0</v>
      </c>
    </row>
    <row r="272" spans="3:34" ht="13.15" customHeight="1" x14ac:dyDescent="0.2">
      <c r="C272" s="31"/>
      <c r="D272" s="117" t="str">
        <f t="shared" si="118"/>
        <v/>
      </c>
      <c r="E272" s="117" t="str">
        <f t="shared" si="118"/>
        <v/>
      </c>
      <c r="F272" s="33" t="str">
        <f t="shared" si="138"/>
        <v/>
      </c>
      <c r="G272" s="118" t="str">
        <f t="shared" si="127"/>
        <v/>
      </c>
      <c r="H272" s="33" t="str">
        <f t="shared" si="128"/>
        <v/>
      </c>
      <c r="I272" s="119" t="str">
        <f t="shared" si="119"/>
        <v/>
      </c>
      <c r="J272" s="120" t="str">
        <f t="shared" si="120"/>
        <v/>
      </c>
      <c r="K272" s="170"/>
      <c r="L272" s="1141">
        <f t="shared" si="121"/>
        <v>0</v>
      </c>
      <c r="M272" s="1141">
        <f t="shared" si="121"/>
        <v>0</v>
      </c>
      <c r="N272" s="804" t="str">
        <f t="shared" si="129"/>
        <v/>
      </c>
      <c r="O272" s="795"/>
      <c r="P272" s="1156" t="str">
        <f t="shared" si="130"/>
        <v/>
      </c>
      <c r="Q272" s="957" t="str">
        <f t="shared" si="131"/>
        <v/>
      </c>
      <c r="R272" s="767" t="str">
        <f t="shared" si="132"/>
        <v/>
      </c>
      <c r="S272" s="966">
        <f t="shared" si="133"/>
        <v>0</v>
      </c>
      <c r="T272" s="116"/>
      <c r="X272" s="760" t="str">
        <f t="shared" si="122"/>
        <v/>
      </c>
      <c r="Y272" s="745">
        <f t="shared" si="134"/>
        <v>0.6</v>
      </c>
      <c r="Z272" s="758" t="e">
        <f t="shared" si="135"/>
        <v>#VALUE!</v>
      </c>
      <c r="AA272" s="758" t="e">
        <f t="shared" si="136"/>
        <v>#VALUE!</v>
      </c>
      <c r="AB272" s="758" t="e">
        <f t="shared" si="137"/>
        <v>#VALUE!</v>
      </c>
      <c r="AC272" s="544" t="e">
        <f t="shared" si="123"/>
        <v>#VALUE!</v>
      </c>
      <c r="AD272" s="544">
        <f t="shared" si="124"/>
        <v>0</v>
      </c>
      <c r="AE272" s="759">
        <f>IF(H272&gt;8,tab!C$194,tab!C$197)</f>
        <v>0.5</v>
      </c>
      <c r="AF272" s="544">
        <f t="shared" si="125"/>
        <v>0</v>
      </c>
      <c r="AG272" s="760">
        <f t="shared" si="126"/>
        <v>0</v>
      </c>
      <c r="AH272" s="544"/>
    </row>
    <row r="273" spans="3:34" ht="13.15" customHeight="1" x14ac:dyDescent="0.2">
      <c r="C273" s="31"/>
      <c r="D273" s="117" t="str">
        <f t="shared" si="118"/>
        <v/>
      </c>
      <c r="E273" s="117" t="str">
        <f t="shared" si="118"/>
        <v/>
      </c>
      <c r="F273" s="33" t="str">
        <f t="shared" si="138"/>
        <v/>
      </c>
      <c r="G273" s="118" t="str">
        <f t="shared" si="127"/>
        <v/>
      </c>
      <c r="H273" s="33" t="str">
        <f t="shared" si="128"/>
        <v/>
      </c>
      <c r="I273" s="119" t="str">
        <f t="shared" si="119"/>
        <v/>
      </c>
      <c r="J273" s="120" t="str">
        <f t="shared" si="120"/>
        <v/>
      </c>
      <c r="K273" s="170"/>
      <c r="L273" s="1141">
        <f t="shared" si="121"/>
        <v>0</v>
      </c>
      <c r="M273" s="1141">
        <f t="shared" si="121"/>
        <v>0</v>
      </c>
      <c r="N273" s="804" t="str">
        <f t="shared" si="129"/>
        <v/>
      </c>
      <c r="O273" s="795"/>
      <c r="P273" s="1156" t="str">
        <f t="shared" si="130"/>
        <v/>
      </c>
      <c r="Q273" s="957" t="str">
        <f t="shared" si="131"/>
        <v/>
      </c>
      <c r="R273" s="767" t="str">
        <f t="shared" si="132"/>
        <v/>
      </c>
      <c r="S273" s="966">
        <f t="shared" si="133"/>
        <v>0</v>
      </c>
      <c r="T273" s="116"/>
      <c r="X273" s="760" t="str">
        <f t="shared" si="122"/>
        <v/>
      </c>
      <c r="Y273" s="745">
        <f t="shared" si="134"/>
        <v>0.6</v>
      </c>
      <c r="Z273" s="758" t="e">
        <f t="shared" si="135"/>
        <v>#VALUE!</v>
      </c>
      <c r="AA273" s="758" t="e">
        <f t="shared" si="136"/>
        <v>#VALUE!</v>
      </c>
      <c r="AB273" s="758" t="e">
        <f t="shared" si="137"/>
        <v>#VALUE!</v>
      </c>
      <c r="AC273" s="544" t="e">
        <f t="shared" si="123"/>
        <v>#VALUE!</v>
      </c>
      <c r="AD273" s="544">
        <f t="shared" si="124"/>
        <v>0</v>
      </c>
      <c r="AE273" s="759">
        <f>IF(H273&gt;8,tab!C$194,tab!C$197)</f>
        <v>0.5</v>
      </c>
      <c r="AF273" s="544">
        <f t="shared" si="125"/>
        <v>0</v>
      </c>
      <c r="AG273" s="760">
        <f t="shared" si="126"/>
        <v>0</v>
      </c>
      <c r="AH273" s="544"/>
    </row>
    <row r="274" spans="3:34" ht="13.15" customHeight="1" x14ac:dyDescent="0.2">
      <c r="C274" s="31"/>
      <c r="D274" s="117" t="str">
        <f t="shared" si="118"/>
        <v/>
      </c>
      <c r="E274" s="117" t="str">
        <f t="shared" si="118"/>
        <v/>
      </c>
      <c r="F274" s="33" t="str">
        <f t="shared" si="138"/>
        <v/>
      </c>
      <c r="G274" s="118" t="str">
        <f t="shared" si="127"/>
        <v/>
      </c>
      <c r="H274" s="33" t="str">
        <f t="shared" si="128"/>
        <v/>
      </c>
      <c r="I274" s="119" t="str">
        <f t="shared" si="119"/>
        <v/>
      </c>
      <c r="J274" s="120" t="str">
        <f t="shared" si="120"/>
        <v/>
      </c>
      <c r="K274" s="170"/>
      <c r="L274" s="1141">
        <f t="shared" si="121"/>
        <v>0</v>
      </c>
      <c r="M274" s="1141">
        <f t="shared" si="121"/>
        <v>0</v>
      </c>
      <c r="N274" s="804" t="str">
        <f t="shared" si="129"/>
        <v/>
      </c>
      <c r="O274" s="795"/>
      <c r="P274" s="1156" t="str">
        <f t="shared" si="130"/>
        <v/>
      </c>
      <c r="Q274" s="957" t="str">
        <f t="shared" si="131"/>
        <v/>
      </c>
      <c r="R274" s="767" t="str">
        <f t="shared" si="132"/>
        <v/>
      </c>
      <c r="S274" s="966">
        <f t="shared" si="133"/>
        <v>0</v>
      </c>
      <c r="T274" s="116"/>
      <c r="X274" s="760" t="str">
        <f t="shared" si="122"/>
        <v/>
      </c>
      <c r="Y274" s="745">
        <f t="shared" si="134"/>
        <v>0.6</v>
      </c>
      <c r="Z274" s="758" t="e">
        <f t="shared" si="135"/>
        <v>#VALUE!</v>
      </c>
      <c r="AA274" s="758" t="e">
        <f t="shared" si="136"/>
        <v>#VALUE!</v>
      </c>
      <c r="AB274" s="758" t="e">
        <f t="shared" si="137"/>
        <v>#VALUE!</v>
      </c>
      <c r="AC274" s="544" t="e">
        <f t="shared" si="123"/>
        <v>#VALUE!</v>
      </c>
      <c r="AD274" s="544">
        <f t="shared" si="124"/>
        <v>0</v>
      </c>
      <c r="AE274" s="759">
        <f>IF(H274&gt;8,tab!C$194,tab!C$197)</f>
        <v>0.5</v>
      </c>
      <c r="AF274" s="544">
        <f t="shared" si="125"/>
        <v>0</v>
      </c>
      <c r="AG274" s="760">
        <f t="shared" si="126"/>
        <v>0</v>
      </c>
      <c r="AH274" s="544"/>
    </row>
    <row r="275" spans="3:34" ht="13.15" customHeight="1" x14ac:dyDescent="0.2">
      <c r="C275" s="31"/>
      <c r="D275" s="117" t="str">
        <f t="shared" si="118"/>
        <v/>
      </c>
      <c r="E275" s="117" t="str">
        <f t="shared" si="118"/>
        <v/>
      </c>
      <c r="F275" s="33" t="str">
        <f t="shared" si="138"/>
        <v/>
      </c>
      <c r="G275" s="118" t="str">
        <f t="shared" si="127"/>
        <v/>
      </c>
      <c r="H275" s="33" t="str">
        <f t="shared" si="128"/>
        <v/>
      </c>
      <c r="I275" s="119" t="str">
        <f t="shared" si="119"/>
        <v/>
      </c>
      <c r="J275" s="120" t="str">
        <f t="shared" si="120"/>
        <v/>
      </c>
      <c r="K275" s="170"/>
      <c r="L275" s="1141">
        <f t="shared" si="121"/>
        <v>0</v>
      </c>
      <c r="M275" s="1141">
        <f t="shared" si="121"/>
        <v>0</v>
      </c>
      <c r="N275" s="804" t="str">
        <f t="shared" si="129"/>
        <v/>
      </c>
      <c r="O275" s="795"/>
      <c r="P275" s="1156" t="str">
        <f t="shared" si="130"/>
        <v/>
      </c>
      <c r="Q275" s="957" t="str">
        <f t="shared" si="131"/>
        <v/>
      </c>
      <c r="R275" s="767" t="str">
        <f t="shared" si="132"/>
        <v/>
      </c>
      <c r="S275" s="966">
        <f t="shared" si="133"/>
        <v>0</v>
      </c>
      <c r="T275" s="116"/>
      <c r="X275" s="760" t="str">
        <f t="shared" si="122"/>
        <v/>
      </c>
      <c r="Y275" s="745">
        <f t="shared" si="134"/>
        <v>0.6</v>
      </c>
      <c r="Z275" s="758" t="e">
        <f t="shared" si="135"/>
        <v>#VALUE!</v>
      </c>
      <c r="AA275" s="758" t="e">
        <f t="shared" si="136"/>
        <v>#VALUE!</v>
      </c>
      <c r="AB275" s="758" t="e">
        <f t="shared" si="137"/>
        <v>#VALUE!</v>
      </c>
      <c r="AC275" s="544" t="e">
        <f t="shared" si="123"/>
        <v>#VALUE!</v>
      </c>
      <c r="AD275" s="544">
        <f t="shared" si="124"/>
        <v>0</v>
      </c>
      <c r="AE275" s="759">
        <f>IF(H275&gt;8,tab!C$194,tab!C$197)</f>
        <v>0.5</v>
      </c>
      <c r="AF275" s="544">
        <f t="shared" si="125"/>
        <v>0</v>
      </c>
      <c r="AG275" s="760">
        <f t="shared" si="126"/>
        <v>0</v>
      </c>
      <c r="AH275" s="544"/>
    </row>
    <row r="276" spans="3:34" ht="13.15" customHeight="1" x14ac:dyDescent="0.2">
      <c r="C276" s="31"/>
      <c r="D276" s="117" t="str">
        <f t="shared" si="118"/>
        <v/>
      </c>
      <c r="E276" s="117" t="str">
        <f t="shared" si="118"/>
        <v/>
      </c>
      <c r="F276" s="33" t="str">
        <f t="shared" si="138"/>
        <v/>
      </c>
      <c r="G276" s="118" t="str">
        <f t="shared" si="127"/>
        <v/>
      </c>
      <c r="H276" s="33" t="str">
        <f t="shared" si="128"/>
        <v/>
      </c>
      <c r="I276" s="119" t="str">
        <f t="shared" si="119"/>
        <v/>
      </c>
      <c r="J276" s="120" t="str">
        <f t="shared" si="120"/>
        <v/>
      </c>
      <c r="K276" s="170"/>
      <c r="L276" s="1141">
        <f t="shared" si="121"/>
        <v>0</v>
      </c>
      <c r="M276" s="1141">
        <f t="shared" si="121"/>
        <v>0</v>
      </c>
      <c r="N276" s="804" t="str">
        <f t="shared" si="129"/>
        <v/>
      </c>
      <c r="O276" s="795"/>
      <c r="P276" s="1156" t="str">
        <f t="shared" si="130"/>
        <v/>
      </c>
      <c r="Q276" s="957" t="str">
        <f t="shared" si="131"/>
        <v/>
      </c>
      <c r="R276" s="767" t="str">
        <f t="shared" si="132"/>
        <v/>
      </c>
      <c r="S276" s="966">
        <f t="shared" si="133"/>
        <v>0</v>
      </c>
      <c r="T276" s="116"/>
      <c r="X276" s="760" t="str">
        <f t="shared" si="122"/>
        <v/>
      </c>
      <c r="Y276" s="745">
        <f t="shared" si="134"/>
        <v>0.6</v>
      </c>
      <c r="Z276" s="758" t="e">
        <f t="shared" si="135"/>
        <v>#VALUE!</v>
      </c>
      <c r="AA276" s="758" t="e">
        <f t="shared" si="136"/>
        <v>#VALUE!</v>
      </c>
      <c r="AB276" s="758" t="e">
        <f t="shared" si="137"/>
        <v>#VALUE!</v>
      </c>
      <c r="AC276" s="544" t="e">
        <f t="shared" si="123"/>
        <v>#VALUE!</v>
      </c>
      <c r="AD276" s="544">
        <f t="shared" si="124"/>
        <v>0</v>
      </c>
      <c r="AE276" s="759">
        <f>IF(H276&gt;8,tab!C$194,tab!C$197)</f>
        <v>0.5</v>
      </c>
      <c r="AF276" s="544">
        <f t="shared" si="125"/>
        <v>0</v>
      </c>
      <c r="AG276" s="760">
        <f t="shared" si="126"/>
        <v>0</v>
      </c>
      <c r="AH276" s="544"/>
    </row>
    <row r="277" spans="3:34" ht="13.15" customHeight="1" x14ac:dyDescent="0.2">
      <c r="C277" s="31"/>
      <c r="D277" s="117" t="str">
        <f t="shared" si="118"/>
        <v/>
      </c>
      <c r="E277" s="117" t="str">
        <f t="shared" si="118"/>
        <v/>
      </c>
      <c r="F277" s="33" t="str">
        <f t="shared" si="138"/>
        <v/>
      </c>
      <c r="G277" s="118" t="str">
        <f t="shared" si="127"/>
        <v/>
      </c>
      <c r="H277" s="33" t="str">
        <f t="shared" si="128"/>
        <v/>
      </c>
      <c r="I277" s="119" t="str">
        <f t="shared" si="119"/>
        <v/>
      </c>
      <c r="J277" s="120" t="str">
        <f t="shared" si="120"/>
        <v/>
      </c>
      <c r="K277" s="170"/>
      <c r="L277" s="1141">
        <f t="shared" si="121"/>
        <v>0</v>
      </c>
      <c r="M277" s="1141">
        <f t="shared" si="121"/>
        <v>0</v>
      </c>
      <c r="N277" s="804" t="str">
        <f t="shared" si="129"/>
        <v/>
      </c>
      <c r="O277" s="795"/>
      <c r="P277" s="1156" t="str">
        <f t="shared" si="130"/>
        <v/>
      </c>
      <c r="Q277" s="957" t="str">
        <f t="shared" si="131"/>
        <v/>
      </c>
      <c r="R277" s="767" t="str">
        <f t="shared" si="132"/>
        <v/>
      </c>
      <c r="S277" s="966">
        <f t="shared" si="133"/>
        <v>0</v>
      </c>
      <c r="T277" s="116"/>
      <c r="X277" s="760" t="str">
        <f t="shared" si="122"/>
        <v/>
      </c>
      <c r="Y277" s="745">
        <f t="shared" si="134"/>
        <v>0.6</v>
      </c>
      <c r="Z277" s="758" t="e">
        <f t="shared" si="135"/>
        <v>#VALUE!</v>
      </c>
      <c r="AA277" s="758" t="e">
        <f t="shared" si="136"/>
        <v>#VALUE!</v>
      </c>
      <c r="AB277" s="758" t="e">
        <f t="shared" si="137"/>
        <v>#VALUE!</v>
      </c>
      <c r="AC277" s="544" t="e">
        <f t="shared" si="123"/>
        <v>#VALUE!</v>
      </c>
      <c r="AD277" s="544">
        <f t="shared" si="124"/>
        <v>0</v>
      </c>
      <c r="AE277" s="759">
        <f>IF(H277&gt;8,tab!C$194,tab!C$197)</f>
        <v>0.5</v>
      </c>
      <c r="AF277" s="544">
        <f t="shared" si="125"/>
        <v>0</v>
      </c>
      <c r="AG277" s="760">
        <f t="shared" si="126"/>
        <v>0</v>
      </c>
      <c r="AH277" s="544"/>
    </row>
    <row r="278" spans="3:34" ht="13.15" customHeight="1" x14ac:dyDescent="0.2">
      <c r="C278" s="31"/>
      <c r="D278" s="117" t="str">
        <f t="shared" si="118"/>
        <v/>
      </c>
      <c r="E278" s="117" t="str">
        <f t="shared" si="118"/>
        <v/>
      </c>
      <c r="F278" s="33" t="str">
        <f t="shared" si="138"/>
        <v/>
      </c>
      <c r="G278" s="118" t="str">
        <f t="shared" si="127"/>
        <v/>
      </c>
      <c r="H278" s="33" t="str">
        <f t="shared" si="128"/>
        <v/>
      </c>
      <c r="I278" s="119" t="str">
        <f t="shared" si="119"/>
        <v/>
      </c>
      <c r="J278" s="120" t="str">
        <f t="shared" si="120"/>
        <v/>
      </c>
      <c r="K278" s="170"/>
      <c r="L278" s="1141">
        <f t="shared" si="121"/>
        <v>0</v>
      </c>
      <c r="M278" s="1141">
        <f t="shared" si="121"/>
        <v>0</v>
      </c>
      <c r="N278" s="804" t="str">
        <f t="shared" si="129"/>
        <v/>
      </c>
      <c r="O278" s="795"/>
      <c r="P278" s="1156" t="str">
        <f t="shared" si="130"/>
        <v/>
      </c>
      <c r="Q278" s="957" t="str">
        <f t="shared" si="131"/>
        <v/>
      </c>
      <c r="R278" s="767" t="str">
        <f t="shared" si="132"/>
        <v/>
      </c>
      <c r="S278" s="966">
        <f t="shared" si="133"/>
        <v>0</v>
      </c>
      <c r="T278" s="116"/>
      <c r="X278" s="760" t="str">
        <f t="shared" si="122"/>
        <v/>
      </c>
      <c r="Y278" s="745">
        <f t="shared" si="134"/>
        <v>0.6</v>
      </c>
      <c r="Z278" s="758" t="e">
        <f t="shared" si="135"/>
        <v>#VALUE!</v>
      </c>
      <c r="AA278" s="758" t="e">
        <f t="shared" si="136"/>
        <v>#VALUE!</v>
      </c>
      <c r="AB278" s="758" t="e">
        <f t="shared" si="137"/>
        <v>#VALUE!</v>
      </c>
      <c r="AC278" s="544" t="e">
        <f t="shared" si="123"/>
        <v>#VALUE!</v>
      </c>
      <c r="AD278" s="544">
        <f t="shared" si="124"/>
        <v>0</v>
      </c>
      <c r="AE278" s="759">
        <f>IF(H278&gt;8,tab!C$194,tab!C$197)</f>
        <v>0.5</v>
      </c>
      <c r="AF278" s="544">
        <f t="shared" si="125"/>
        <v>0</v>
      </c>
      <c r="AG278" s="760">
        <f t="shared" si="126"/>
        <v>0</v>
      </c>
      <c r="AH278" s="544"/>
    </row>
    <row r="279" spans="3:34" ht="13.15" customHeight="1" x14ac:dyDescent="0.2">
      <c r="C279" s="31"/>
      <c r="D279" s="117" t="str">
        <f t="shared" si="118"/>
        <v/>
      </c>
      <c r="E279" s="117" t="str">
        <f t="shared" si="118"/>
        <v/>
      </c>
      <c r="F279" s="33" t="str">
        <f t="shared" si="138"/>
        <v/>
      </c>
      <c r="G279" s="118" t="str">
        <f t="shared" si="127"/>
        <v/>
      </c>
      <c r="H279" s="33" t="str">
        <f t="shared" si="128"/>
        <v/>
      </c>
      <c r="I279" s="119" t="str">
        <f t="shared" si="119"/>
        <v/>
      </c>
      <c r="J279" s="120" t="str">
        <f t="shared" si="120"/>
        <v/>
      </c>
      <c r="K279" s="170"/>
      <c r="L279" s="1141">
        <f t="shared" si="121"/>
        <v>0</v>
      </c>
      <c r="M279" s="1141">
        <f t="shared" si="121"/>
        <v>0</v>
      </c>
      <c r="N279" s="804" t="str">
        <f t="shared" si="129"/>
        <v/>
      </c>
      <c r="O279" s="795"/>
      <c r="P279" s="1156" t="str">
        <f t="shared" si="130"/>
        <v/>
      </c>
      <c r="Q279" s="957" t="str">
        <f t="shared" si="131"/>
        <v/>
      </c>
      <c r="R279" s="767" t="str">
        <f t="shared" si="132"/>
        <v/>
      </c>
      <c r="S279" s="966">
        <f t="shared" si="133"/>
        <v>0</v>
      </c>
      <c r="T279" s="116"/>
      <c r="X279" s="760" t="str">
        <f t="shared" si="122"/>
        <v/>
      </c>
      <c r="Y279" s="745">
        <f t="shared" si="134"/>
        <v>0.6</v>
      </c>
      <c r="Z279" s="758" t="e">
        <f t="shared" si="135"/>
        <v>#VALUE!</v>
      </c>
      <c r="AA279" s="758" t="e">
        <f t="shared" si="136"/>
        <v>#VALUE!</v>
      </c>
      <c r="AB279" s="758" t="e">
        <f t="shared" si="137"/>
        <v>#VALUE!</v>
      </c>
      <c r="AC279" s="544" t="e">
        <f t="shared" si="123"/>
        <v>#VALUE!</v>
      </c>
      <c r="AD279" s="544">
        <f t="shared" si="124"/>
        <v>0</v>
      </c>
      <c r="AE279" s="759">
        <f>IF(H279&gt;8,tab!C$194,tab!C$197)</f>
        <v>0.5</v>
      </c>
      <c r="AF279" s="544">
        <f t="shared" si="125"/>
        <v>0</v>
      </c>
      <c r="AG279" s="760">
        <f t="shared" si="126"/>
        <v>0</v>
      </c>
      <c r="AH279" s="544"/>
    </row>
    <row r="280" spans="3:34" ht="13.15" customHeight="1" x14ac:dyDescent="0.2">
      <c r="C280" s="31"/>
      <c r="D280" s="117" t="str">
        <f t="shared" si="118"/>
        <v/>
      </c>
      <c r="E280" s="117" t="str">
        <f t="shared" si="118"/>
        <v/>
      </c>
      <c r="F280" s="33" t="str">
        <f t="shared" si="138"/>
        <v/>
      </c>
      <c r="G280" s="118" t="str">
        <f t="shared" si="127"/>
        <v/>
      </c>
      <c r="H280" s="33" t="str">
        <f t="shared" si="128"/>
        <v/>
      </c>
      <c r="I280" s="119" t="str">
        <f t="shared" si="119"/>
        <v/>
      </c>
      <c r="J280" s="120" t="str">
        <f t="shared" si="120"/>
        <v/>
      </c>
      <c r="K280" s="170"/>
      <c r="L280" s="1141">
        <f t="shared" si="121"/>
        <v>0</v>
      </c>
      <c r="M280" s="1141">
        <f t="shared" si="121"/>
        <v>0</v>
      </c>
      <c r="N280" s="804" t="str">
        <f t="shared" si="129"/>
        <v/>
      </c>
      <c r="O280" s="795"/>
      <c r="P280" s="1156" t="str">
        <f t="shared" si="130"/>
        <v/>
      </c>
      <c r="Q280" s="957" t="str">
        <f t="shared" si="131"/>
        <v/>
      </c>
      <c r="R280" s="767" t="str">
        <f t="shared" si="132"/>
        <v/>
      </c>
      <c r="S280" s="966">
        <f t="shared" si="133"/>
        <v>0</v>
      </c>
      <c r="T280" s="116"/>
      <c r="X280" s="760" t="str">
        <f t="shared" si="122"/>
        <v/>
      </c>
      <c r="Y280" s="745">
        <f t="shared" si="134"/>
        <v>0.6</v>
      </c>
      <c r="Z280" s="758" t="e">
        <f t="shared" si="135"/>
        <v>#VALUE!</v>
      </c>
      <c r="AA280" s="758" t="e">
        <f t="shared" si="136"/>
        <v>#VALUE!</v>
      </c>
      <c r="AB280" s="758" t="e">
        <f t="shared" si="137"/>
        <v>#VALUE!</v>
      </c>
      <c r="AC280" s="544" t="e">
        <f t="shared" si="123"/>
        <v>#VALUE!</v>
      </c>
      <c r="AD280" s="544">
        <f t="shared" si="124"/>
        <v>0</v>
      </c>
      <c r="AE280" s="759">
        <f>IF(H280&gt;8,tab!C$194,tab!C$197)</f>
        <v>0.5</v>
      </c>
      <c r="AF280" s="544">
        <f t="shared" si="125"/>
        <v>0</v>
      </c>
      <c r="AG280" s="760">
        <f t="shared" si="126"/>
        <v>0</v>
      </c>
      <c r="AH280" s="544"/>
    </row>
    <row r="281" spans="3:34" ht="13.15" customHeight="1" x14ac:dyDescent="0.2">
      <c r="C281" s="31"/>
      <c r="D281" s="117" t="str">
        <f t="shared" si="118"/>
        <v/>
      </c>
      <c r="E281" s="117" t="str">
        <f t="shared" si="118"/>
        <v/>
      </c>
      <c r="F281" s="33" t="str">
        <f t="shared" si="138"/>
        <v/>
      </c>
      <c r="G281" s="118" t="str">
        <f t="shared" si="127"/>
        <v/>
      </c>
      <c r="H281" s="33" t="str">
        <f t="shared" si="128"/>
        <v/>
      </c>
      <c r="I281" s="119" t="str">
        <f t="shared" si="119"/>
        <v/>
      </c>
      <c r="J281" s="120" t="str">
        <f t="shared" si="120"/>
        <v/>
      </c>
      <c r="K281" s="170"/>
      <c r="L281" s="1141">
        <f t="shared" si="121"/>
        <v>0</v>
      </c>
      <c r="M281" s="1141">
        <f t="shared" si="121"/>
        <v>0</v>
      </c>
      <c r="N281" s="804" t="str">
        <f t="shared" si="129"/>
        <v/>
      </c>
      <c r="O281" s="795"/>
      <c r="P281" s="1156" t="str">
        <f t="shared" si="130"/>
        <v/>
      </c>
      <c r="Q281" s="957" t="str">
        <f t="shared" si="131"/>
        <v/>
      </c>
      <c r="R281" s="767" t="str">
        <f t="shared" si="132"/>
        <v/>
      </c>
      <c r="S281" s="966">
        <f t="shared" si="133"/>
        <v>0</v>
      </c>
      <c r="T281" s="116"/>
      <c r="X281" s="760" t="str">
        <f t="shared" si="122"/>
        <v/>
      </c>
      <c r="Y281" s="745">
        <f t="shared" si="134"/>
        <v>0.6</v>
      </c>
      <c r="Z281" s="758" t="e">
        <f t="shared" si="135"/>
        <v>#VALUE!</v>
      </c>
      <c r="AA281" s="758" t="e">
        <f t="shared" si="136"/>
        <v>#VALUE!</v>
      </c>
      <c r="AB281" s="758" t="e">
        <f t="shared" si="137"/>
        <v>#VALUE!</v>
      </c>
      <c r="AC281" s="544" t="e">
        <f t="shared" si="123"/>
        <v>#VALUE!</v>
      </c>
      <c r="AD281" s="544">
        <f t="shared" si="124"/>
        <v>0</v>
      </c>
      <c r="AE281" s="759">
        <f>IF(H281&gt;8,tab!C$194,tab!C$197)</f>
        <v>0.5</v>
      </c>
      <c r="AF281" s="544">
        <f t="shared" si="125"/>
        <v>0</v>
      </c>
      <c r="AG281" s="760">
        <f t="shared" si="126"/>
        <v>0</v>
      </c>
      <c r="AH281" s="544"/>
    </row>
    <row r="282" spans="3:34" ht="13.15" customHeight="1" x14ac:dyDescent="0.2">
      <c r="C282" s="31"/>
      <c r="D282" s="117" t="str">
        <f t="shared" si="118"/>
        <v/>
      </c>
      <c r="E282" s="117" t="str">
        <f t="shared" si="118"/>
        <v/>
      </c>
      <c r="F282" s="33" t="str">
        <f t="shared" si="138"/>
        <v/>
      </c>
      <c r="G282" s="118" t="str">
        <f t="shared" si="127"/>
        <v/>
      </c>
      <c r="H282" s="33" t="str">
        <f t="shared" si="128"/>
        <v/>
      </c>
      <c r="I282" s="119" t="str">
        <f t="shared" si="119"/>
        <v/>
      </c>
      <c r="J282" s="120" t="str">
        <f t="shared" si="120"/>
        <v/>
      </c>
      <c r="K282" s="170"/>
      <c r="L282" s="1141">
        <f t="shared" si="121"/>
        <v>0</v>
      </c>
      <c r="M282" s="1141">
        <f t="shared" si="121"/>
        <v>0</v>
      </c>
      <c r="N282" s="804" t="str">
        <f t="shared" si="129"/>
        <v/>
      </c>
      <c r="O282" s="795"/>
      <c r="P282" s="1156" t="str">
        <f t="shared" si="130"/>
        <v/>
      </c>
      <c r="Q282" s="957" t="str">
        <f t="shared" si="131"/>
        <v/>
      </c>
      <c r="R282" s="767" t="str">
        <f t="shared" si="132"/>
        <v/>
      </c>
      <c r="S282" s="966">
        <f t="shared" si="133"/>
        <v>0</v>
      </c>
      <c r="T282" s="116"/>
      <c r="X282" s="760" t="str">
        <f t="shared" si="122"/>
        <v/>
      </c>
      <c r="Y282" s="745">
        <f t="shared" si="134"/>
        <v>0.6</v>
      </c>
      <c r="Z282" s="758" t="e">
        <f t="shared" si="135"/>
        <v>#VALUE!</v>
      </c>
      <c r="AA282" s="758" t="e">
        <f t="shared" si="136"/>
        <v>#VALUE!</v>
      </c>
      <c r="AB282" s="758" t="e">
        <f t="shared" si="137"/>
        <v>#VALUE!</v>
      </c>
      <c r="AC282" s="544" t="e">
        <f t="shared" si="123"/>
        <v>#VALUE!</v>
      </c>
      <c r="AD282" s="544">
        <f t="shared" si="124"/>
        <v>0</v>
      </c>
      <c r="AE282" s="759">
        <f>IF(H282&gt;8,tab!C$194,tab!C$197)</f>
        <v>0.5</v>
      </c>
      <c r="AF282" s="544">
        <f t="shared" si="125"/>
        <v>0</v>
      </c>
      <c r="AG282" s="760">
        <f t="shared" si="126"/>
        <v>0</v>
      </c>
      <c r="AH282" s="544"/>
    </row>
    <row r="283" spans="3:34" ht="13.15" customHeight="1" x14ac:dyDescent="0.2">
      <c r="C283" s="31"/>
      <c r="D283" s="117" t="str">
        <f t="shared" ref="D283:E302" si="139">IF(D221=0,"",D221)</f>
        <v/>
      </c>
      <c r="E283" s="117" t="str">
        <f t="shared" si="139"/>
        <v/>
      </c>
      <c r="F283" s="33" t="str">
        <f t="shared" si="138"/>
        <v/>
      </c>
      <c r="G283" s="118" t="str">
        <f t="shared" si="127"/>
        <v/>
      </c>
      <c r="H283" s="33" t="str">
        <f t="shared" si="128"/>
        <v/>
      </c>
      <c r="I283" s="119" t="str">
        <f t="shared" si="119"/>
        <v/>
      </c>
      <c r="J283" s="120" t="str">
        <f t="shared" ref="J283:J302" si="140">IF(J221="","",J221)</f>
        <v/>
      </c>
      <c r="K283" s="170"/>
      <c r="L283" s="1141">
        <f t="shared" ref="L283:M302" si="141">IF(L221="","",L221)</f>
        <v>0</v>
      </c>
      <c r="M283" s="1141">
        <f t="shared" si="141"/>
        <v>0</v>
      </c>
      <c r="N283" s="804" t="str">
        <f t="shared" si="129"/>
        <v/>
      </c>
      <c r="O283" s="795"/>
      <c r="P283" s="1156" t="str">
        <f t="shared" si="130"/>
        <v/>
      </c>
      <c r="Q283" s="957" t="str">
        <f t="shared" si="131"/>
        <v/>
      </c>
      <c r="R283" s="767" t="str">
        <f t="shared" si="132"/>
        <v/>
      </c>
      <c r="S283" s="966">
        <f t="shared" si="133"/>
        <v>0</v>
      </c>
      <c r="T283" s="116"/>
      <c r="X283" s="760" t="str">
        <f t="shared" si="122"/>
        <v/>
      </c>
      <c r="Y283" s="745">
        <f t="shared" si="134"/>
        <v>0.6</v>
      </c>
      <c r="Z283" s="758" t="e">
        <f t="shared" si="135"/>
        <v>#VALUE!</v>
      </c>
      <c r="AA283" s="758" t="e">
        <f t="shared" si="136"/>
        <v>#VALUE!</v>
      </c>
      <c r="AB283" s="758" t="e">
        <f t="shared" si="137"/>
        <v>#VALUE!</v>
      </c>
      <c r="AC283" s="544" t="e">
        <f t="shared" si="123"/>
        <v>#VALUE!</v>
      </c>
      <c r="AD283" s="544">
        <f t="shared" si="124"/>
        <v>0</v>
      </c>
      <c r="AE283" s="759">
        <f>IF(H283&gt;8,tab!C$194,tab!C$197)</f>
        <v>0.5</v>
      </c>
      <c r="AF283" s="544">
        <f t="shared" si="125"/>
        <v>0</v>
      </c>
      <c r="AG283" s="760">
        <f t="shared" si="126"/>
        <v>0</v>
      </c>
      <c r="AH283" s="544"/>
    </row>
    <row r="284" spans="3:34" ht="13.15" customHeight="1" x14ac:dyDescent="0.2">
      <c r="C284" s="31"/>
      <c r="D284" s="117" t="str">
        <f t="shared" si="139"/>
        <v/>
      </c>
      <c r="E284" s="117" t="str">
        <f t="shared" si="139"/>
        <v/>
      </c>
      <c r="F284" s="33" t="str">
        <f t="shared" si="138"/>
        <v/>
      </c>
      <c r="G284" s="118" t="str">
        <f t="shared" si="127"/>
        <v/>
      </c>
      <c r="H284" s="33" t="str">
        <f t="shared" si="128"/>
        <v/>
      </c>
      <c r="I284" s="119" t="str">
        <f t="shared" si="119"/>
        <v/>
      </c>
      <c r="J284" s="120" t="str">
        <f t="shared" si="140"/>
        <v/>
      </c>
      <c r="K284" s="170"/>
      <c r="L284" s="1141">
        <f t="shared" si="141"/>
        <v>0</v>
      </c>
      <c r="M284" s="1141">
        <f t="shared" si="141"/>
        <v>0</v>
      </c>
      <c r="N284" s="804" t="str">
        <f t="shared" si="129"/>
        <v/>
      </c>
      <c r="O284" s="795"/>
      <c r="P284" s="1156" t="str">
        <f t="shared" si="130"/>
        <v/>
      </c>
      <c r="Q284" s="957" t="str">
        <f t="shared" si="131"/>
        <v/>
      </c>
      <c r="R284" s="767" t="str">
        <f t="shared" si="132"/>
        <v/>
      </c>
      <c r="S284" s="966">
        <f t="shared" si="133"/>
        <v>0</v>
      </c>
      <c r="T284" s="116"/>
      <c r="X284" s="760" t="str">
        <f t="shared" si="122"/>
        <v/>
      </c>
      <c r="Y284" s="745">
        <f t="shared" si="134"/>
        <v>0.6</v>
      </c>
      <c r="Z284" s="758" t="e">
        <f t="shared" si="135"/>
        <v>#VALUE!</v>
      </c>
      <c r="AA284" s="758" t="e">
        <f t="shared" si="136"/>
        <v>#VALUE!</v>
      </c>
      <c r="AB284" s="758" t="e">
        <f t="shared" si="137"/>
        <v>#VALUE!</v>
      </c>
      <c r="AC284" s="544" t="e">
        <f t="shared" si="123"/>
        <v>#VALUE!</v>
      </c>
      <c r="AD284" s="544">
        <f t="shared" si="124"/>
        <v>0</v>
      </c>
      <c r="AE284" s="759">
        <f>IF(H284&gt;8,tab!C$194,tab!C$197)</f>
        <v>0.5</v>
      </c>
      <c r="AF284" s="544">
        <f t="shared" si="125"/>
        <v>0</v>
      </c>
      <c r="AG284" s="760">
        <f t="shared" si="126"/>
        <v>0</v>
      </c>
      <c r="AH284" s="544"/>
    </row>
    <row r="285" spans="3:34" ht="13.15" customHeight="1" x14ac:dyDescent="0.2">
      <c r="C285" s="31"/>
      <c r="D285" s="117" t="str">
        <f t="shared" si="139"/>
        <v/>
      </c>
      <c r="E285" s="117" t="str">
        <f t="shared" si="139"/>
        <v/>
      </c>
      <c r="F285" s="33" t="str">
        <f t="shared" si="138"/>
        <v/>
      </c>
      <c r="G285" s="118" t="str">
        <f t="shared" si="127"/>
        <v/>
      </c>
      <c r="H285" s="33" t="str">
        <f t="shared" si="128"/>
        <v/>
      </c>
      <c r="I285" s="119" t="str">
        <f t="shared" si="119"/>
        <v/>
      </c>
      <c r="J285" s="120" t="str">
        <f t="shared" si="140"/>
        <v/>
      </c>
      <c r="K285" s="170"/>
      <c r="L285" s="1141">
        <f t="shared" si="141"/>
        <v>0</v>
      </c>
      <c r="M285" s="1141">
        <f t="shared" si="141"/>
        <v>0</v>
      </c>
      <c r="N285" s="804" t="str">
        <f t="shared" si="129"/>
        <v/>
      </c>
      <c r="O285" s="795"/>
      <c r="P285" s="1156" t="str">
        <f t="shared" si="130"/>
        <v/>
      </c>
      <c r="Q285" s="957" t="str">
        <f t="shared" si="131"/>
        <v/>
      </c>
      <c r="R285" s="767" t="str">
        <f t="shared" si="132"/>
        <v/>
      </c>
      <c r="S285" s="966">
        <f t="shared" si="133"/>
        <v>0</v>
      </c>
      <c r="T285" s="116"/>
      <c r="X285" s="760" t="str">
        <f t="shared" si="122"/>
        <v/>
      </c>
      <c r="Y285" s="745">
        <f t="shared" si="134"/>
        <v>0.6</v>
      </c>
      <c r="Z285" s="758" t="e">
        <f t="shared" si="135"/>
        <v>#VALUE!</v>
      </c>
      <c r="AA285" s="758" t="e">
        <f t="shared" si="136"/>
        <v>#VALUE!</v>
      </c>
      <c r="AB285" s="758" t="e">
        <f t="shared" si="137"/>
        <v>#VALUE!</v>
      </c>
      <c r="AC285" s="544" t="e">
        <f t="shared" si="123"/>
        <v>#VALUE!</v>
      </c>
      <c r="AD285" s="544">
        <f t="shared" si="124"/>
        <v>0</v>
      </c>
      <c r="AE285" s="759">
        <f>IF(H285&gt;8,tab!C$194,tab!C$197)</f>
        <v>0.5</v>
      </c>
      <c r="AF285" s="544">
        <f t="shared" si="125"/>
        <v>0</v>
      </c>
      <c r="AG285" s="760">
        <f t="shared" si="126"/>
        <v>0</v>
      </c>
      <c r="AH285" s="544"/>
    </row>
    <row r="286" spans="3:34" ht="13.15" customHeight="1" x14ac:dyDescent="0.2">
      <c r="C286" s="31"/>
      <c r="D286" s="117" t="str">
        <f t="shared" si="139"/>
        <v/>
      </c>
      <c r="E286" s="117" t="str">
        <f t="shared" si="139"/>
        <v/>
      </c>
      <c r="F286" s="33" t="str">
        <f t="shared" si="138"/>
        <v/>
      </c>
      <c r="G286" s="118" t="str">
        <f t="shared" si="127"/>
        <v/>
      </c>
      <c r="H286" s="33" t="str">
        <f t="shared" si="128"/>
        <v/>
      </c>
      <c r="I286" s="119" t="str">
        <f t="shared" si="119"/>
        <v/>
      </c>
      <c r="J286" s="120" t="str">
        <f t="shared" si="140"/>
        <v/>
      </c>
      <c r="K286" s="170"/>
      <c r="L286" s="1141">
        <f t="shared" si="141"/>
        <v>0</v>
      </c>
      <c r="M286" s="1141">
        <f t="shared" si="141"/>
        <v>0</v>
      </c>
      <c r="N286" s="804" t="str">
        <f t="shared" si="129"/>
        <v/>
      </c>
      <c r="O286" s="795"/>
      <c r="P286" s="1156" t="str">
        <f t="shared" si="130"/>
        <v/>
      </c>
      <c r="Q286" s="957" t="str">
        <f t="shared" si="131"/>
        <v/>
      </c>
      <c r="R286" s="767" t="str">
        <f t="shared" si="132"/>
        <v/>
      </c>
      <c r="S286" s="966">
        <f t="shared" si="133"/>
        <v>0</v>
      </c>
      <c r="T286" s="116"/>
      <c r="X286" s="760" t="str">
        <f t="shared" si="122"/>
        <v/>
      </c>
      <c r="Y286" s="745">
        <f t="shared" si="134"/>
        <v>0.6</v>
      </c>
      <c r="Z286" s="758" t="e">
        <f t="shared" si="135"/>
        <v>#VALUE!</v>
      </c>
      <c r="AA286" s="758" t="e">
        <f t="shared" si="136"/>
        <v>#VALUE!</v>
      </c>
      <c r="AB286" s="758" t="e">
        <f t="shared" si="137"/>
        <v>#VALUE!</v>
      </c>
      <c r="AC286" s="544" t="e">
        <f t="shared" si="123"/>
        <v>#VALUE!</v>
      </c>
      <c r="AD286" s="544">
        <f t="shared" si="124"/>
        <v>0</v>
      </c>
      <c r="AE286" s="759">
        <f>IF(H286&gt;8,tab!C$194,tab!C$197)</f>
        <v>0.5</v>
      </c>
      <c r="AF286" s="544">
        <f t="shared" si="125"/>
        <v>0</v>
      </c>
      <c r="AG286" s="760">
        <f t="shared" si="126"/>
        <v>0</v>
      </c>
      <c r="AH286" s="544"/>
    </row>
    <row r="287" spans="3:34" ht="13.15" customHeight="1" x14ac:dyDescent="0.2">
      <c r="C287" s="31"/>
      <c r="D287" s="117" t="str">
        <f t="shared" si="139"/>
        <v/>
      </c>
      <c r="E287" s="117" t="str">
        <f t="shared" si="139"/>
        <v/>
      </c>
      <c r="F287" s="33" t="str">
        <f t="shared" si="138"/>
        <v/>
      </c>
      <c r="G287" s="118" t="str">
        <f t="shared" si="127"/>
        <v/>
      </c>
      <c r="H287" s="33" t="str">
        <f t="shared" si="128"/>
        <v/>
      </c>
      <c r="I287" s="119" t="str">
        <f t="shared" si="119"/>
        <v/>
      </c>
      <c r="J287" s="120" t="str">
        <f t="shared" si="140"/>
        <v/>
      </c>
      <c r="K287" s="170"/>
      <c r="L287" s="1141">
        <f t="shared" si="141"/>
        <v>0</v>
      </c>
      <c r="M287" s="1141">
        <f t="shared" si="141"/>
        <v>0</v>
      </c>
      <c r="N287" s="804" t="str">
        <f t="shared" si="129"/>
        <v/>
      </c>
      <c r="O287" s="795"/>
      <c r="P287" s="1156" t="str">
        <f t="shared" si="130"/>
        <v/>
      </c>
      <c r="Q287" s="957" t="str">
        <f t="shared" si="131"/>
        <v/>
      </c>
      <c r="R287" s="767" t="str">
        <f t="shared" si="132"/>
        <v/>
      </c>
      <c r="S287" s="966">
        <f t="shared" si="133"/>
        <v>0</v>
      </c>
      <c r="T287" s="116"/>
      <c r="X287" s="760" t="str">
        <f t="shared" si="122"/>
        <v/>
      </c>
      <c r="Y287" s="745">
        <f t="shared" si="134"/>
        <v>0.6</v>
      </c>
      <c r="Z287" s="758" t="e">
        <f t="shared" si="135"/>
        <v>#VALUE!</v>
      </c>
      <c r="AA287" s="758" t="e">
        <f t="shared" si="136"/>
        <v>#VALUE!</v>
      </c>
      <c r="AB287" s="758" t="e">
        <f t="shared" si="137"/>
        <v>#VALUE!</v>
      </c>
      <c r="AC287" s="544" t="e">
        <f t="shared" si="123"/>
        <v>#VALUE!</v>
      </c>
      <c r="AD287" s="544">
        <f t="shared" si="124"/>
        <v>0</v>
      </c>
      <c r="AE287" s="759">
        <f>IF(H287&gt;8,tab!C$194,tab!C$197)</f>
        <v>0.5</v>
      </c>
      <c r="AF287" s="544">
        <f t="shared" si="125"/>
        <v>0</v>
      </c>
      <c r="AG287" s="760">
        <f t="shared" si="126"/>
        <v>0</v>
      </c>
      <c r="AH287" s="544"/>
    </row>
    <row r="288" spans="3:34" ht="13.15" customHeight="1" x14ac:dyDescent="0.2">
      <c r="C288" s="31"/>
      <c r="D288" s="117" t="str">
        <f t="shared" si="139"/>
        <v/>
      </c>
      <c r="E288" s="117" t="str">
        <f t="shared" si="139"/>
        <v/>
      </c>
      <c r="F288" s="33" t="str">
        <f t="shared" si="138"/>
        <v/>
      </c>
      <c r="G288" s="118" t="str">
        <f t="shared" si="127"/>
        <v/>
      </c>
      <c r="H288" s="33" t="str">
        <f t="shared" si="128"/>
        <v/>
      </c>
      <c r="I288" s="119" t="str">
        <f t="shared" si="119"/>
        <v/>
      </c>
      <c r="J288" s="120" t="str">
        <f t="shared" si="140"/>
        <v/>
      </c>
      <c r="K288" s="170"/>
      <c r="L288" s="1141">
        <f t="shared" si="141"/>
        <v>0</v>
      </c>
      <c r="M288" s="1141">
        <f t="shared" si="141"/>
        <v>0</v>
      </c>
      <c r="N288" s="804" t="str">
        <f t="shared" si="129"/>
        <v/>
      </c>
      <c r="O288" s="795"/>
      <c r="P288" s="1156" t="str">
        <f t="shared" si="130"/>
        <v/>
      </c>
      <c r="Q288" s="957" t="str">
        <f t="shared" si="131"/>
        <v/>
      </c>
      <c r="R288" s="767" t="str">
        <f t="shared" si="132"/>
        <v/>
      </c>
      <c r="S288" s="966">
        <f t="shared" si="133"/>
        <v>0</v>
      </c>
      <c r="T288" s="116"/>
      <c r="X288" s="760" t="str">
        <f t="shared" si="122"/>
        <v/>
      </c>
      <c r="Y288" s="745">
        <f t="shared" si="134"/>
        <v>0.6</v>
      </c>
      <c r="Z288" s="758" t="e">
        <f t="shared" si="135"/>
        <v>#VALUE!</v>
      </c>
      <c r="AA288" s="758" t="e">
        <f t="shared" si="136"/>
        <v>#VALUE!</v>
      </c>
      <c r="AB288" s="758" t="e">
        <f t="shared" si="137"/>
        <v>#VALUE!</v>
      </c>
      <c r="AC288" s="544" t="e">
        <f t="shared" si="123"/>
        <v>#VALUE!</v>
      </c>
      <c r="AD288" s="544">
        <f t="shared" si="124"/>
        <v>0</v>
      </c>
      <c r="AE288" s="759">
        <f>IF(H288&gt;8,tab!C$194,tab!C$197)</f>
        <v>0.5</v>
      </c>
      <c r="AF288" s="544">
        <f t="shared" si="125"/>
        <v>0</v>
      </c>
      <c r="AG288" s="760">
        <f t="shared" si="126"/>
        <v>0</v>
      </c>
      <c r="AH288" s="544"/>
    </row>
    <row r="289" spans="3:34" ht="13.15" customHeight="1" x14ac:dyDescent="0.2">
      <c r="C289" s="31"/>
      <c r="D289" s="117" t="str">
        <f t="shared" si="139"/>
        <v/>
      </c>
      <c r="E289" s="117" t="str">
        <f t="shared" si="139"/>
        <v/>
      </c>
      <c r="F289" s="33" t="str">
        <f t="shared" si="138"/>
        <v/>
      </c>
      <c r="G289" s="118" t="str">
        <f t="shared" si="127"/>
        <v/>
      </c>
      <c r="H289" s="33" t="str">
        <f t="shared" si="128"/>
        <v/>
      </c>
      <c r="I289" s="119" t="str">
        <f t="shared" si="119"/>
        <v/>
      </c>
      <c r="J289" s="120" t="str">
        <f t="shared" si="140"/>
        <v/>
      </c>
      <c r="K289" s="170"/>
      <c r="L289" s="1141">
        <f t="shared" si="141"/>
        <v>0</v>
      </c>
      <c r="M289" s="1141">
        <f t="shared" si="141"/>
        <v>0</v>
      </c>
      <c r="N289" s="804" t="str">
        <f t="shared" si="129"/>
        <v/>
      </c>
      <c r="O289" s="795"/>
      <c r="P289" s="1156" t="str">
        <f t="shared" si="130"/>
        <v/>
      </c>
      <c r="Q289" s="957" t="str">
        <f t="shared" si="131"/>
        <v/>
      </c>
      <c r="R289" s="767" t="str">
        <f t="shared" si="132"/>
        <v/>
      </c>
      <c r="S289" s="966">
        <f t="shared" si="133"/>
        <v>0</v>
      </c>
      <c r="T289" s="116"/>
      <c r="X289" s="760" t="str">
        <f t="shared" si="122"/>
        <v/>
      </c>
      <c r="Y289" s="745">
        <f t="shared" si="134"/>
        <v>0.6</v>
      </c>
      <c r="Z289" s="758" t="e">
        <f t="shared" si="135"/>
        <v>#VALUE!</v>
      </c>
      <c r="AA289" s="758" t="e">
        <f t="shared" si="136"/>
        <v>#VALUE!</v>
      </c>
      <c r="AB289" s="758" t="e">
        <f t="shared" si="137"/>
        <v>#VALUE!</v>
      </c>
      <c r="AC289" s="544" t="e">
        <f t="shared" si="123"/>
        <v>#VALUE!</v>
      </c>
      <c r="AD289" s="544">
        <f t="shared" si="124"/>
        <v>0</v>
      </c>
      <c r="AE289" s="759">
        <f>IF(H289&gt;8,tab!C$194,tab!C$197)</f>
        <v>0.5</v>
      </c>
      <c r="AF289" s="544">
        <f t="shared" si="125"/>
        <v>0</v>
      </c>
      <c r="AG289" s="760">
        <f t="shared" si="126"/>
        <v>0</v>
      </c>
      <c r="AH289" s="544"/>
    </row>
    <row r="290" spans="3:34" ht="13.15" customHeight="1" x14ac:dyDescent="0.2">
      <c r="C290" s="31"/>
      <c r="D290" s="117" t="str">
        <f t="shared" si="139"/>
        <v/>
      </c>
      <c r="E290" s="117" t="str">
        <f t="shared" si="139"/>
        <v/>
      </c>
      <c r="F290" s="33" t="str">
        <f t="shared" si="138"/>
        <v/>
      </c>
      <c r="G290" s="118" t="str">
        <f t="shared" si="127"/>
        <v/>
      </c>
      <c r="H290" s="33" t="str">
        <f t="shared" si="128"/>
        <v/>
      </c>
      <c r="I290" s="119" t="str">
        <f t="shared" si="119"/>
        <v/>
      </c>
      <c r="J290" s="120" t="str">
        <f t="shared" si="140"/>
        <v/>
      </c>
      <c r="K290" s="170"/>
      <c r="L290" s="1141">
        <f t="shared" si="141"/>
        <v>0</v>
      </c>
      <c r="M290" s="1141">
        <f t="shared" si="141"/>
        <v>0</v>
      </c>
      <c r="N290" s="804" t="str">
        <f t="shared" si="129"/>
        <v/>
      </c>
      <c r="O290" s="795"/>
      <c r="P290" s="1156" t="str">
        <f t="shared" si="130"/>
        <v/>
      </c>
      <c r="Q290" s="957" t="str">
        <f t="shared" si="131"/>
        <v/>
      </c>
      <c r="R290" s="767" t="str">
        <f t="shared" si="132"/>
        <v/>
      </c>
      <c r="S290" s="966">
        <f t="shared" si="133"/>
        <v>0</v>
      </c>
      <c r="T290" s="116"/>
      <c r="X290" s="760" t="str">
        <f t="shared" si="122"/>
        <v/>
      </c>
      <c r="Y290" s="745">
        <f t="shared" si="134"/>
        <v>0.6</v>
      </c>
      <c r="Z290" s="758" t="e">
        <f t="shared" si="135"/>
        <v>#VALUE!</v>
      </c>
      <c r="AA290" s="758" t="e">
        <f t="shared" si="136"/>
        <v>#VALUE!</v>
      </c>
      <c r="AB290" s="758" t="e">
        <f t="shared" si="137"/>
        <v>#VALUE!</v>
      </c>
      <c r="AC290" s="544" t="e">
        <f t="shared" si="123"/>
        <v>#VALUE!</v>
      </c>
      <c r="AD290" s="544">
        <f t="shared" si="124"/>
        <v>0</v>
      </c>
      <c r="AE290" s="759">
        <f>IF(H290&gt;8,tab!C$194,tab!C$197)</f>
        <v>0.5</v>
      </c>
      <c r="AF290" s="544">
        <f t="shared" si="125"/>
        <v>0</v>
      </c>
      <c r="AG290" s="760">
        <f t="shared" si="126"/>
        <v>0</v>
      </c>
      <c r="AH290" s="544"/>
    </row>
    <row r="291" spans="3:34" ht="13.15" customHeight="1" x14ac:dyDescent="0.2">
      <c r="C291" s="31"/>
      <c r="D291" s="117" t="str">
        <f t="shared" si="139"/>
        <v/>
      </c>
      <c r="E291" s="117" t="str">
        <f t="shared" si="139"/>
        <v/>
      </c>
      <c r="F291" s="33" t="str">
        <f t="shared" si="138"/>
        <v/>
      </c>
      <c r="G291" s="118" t="str">
        <f t="shared" si="127"/>
        <v/>
      </c>
      <c r="H291" s="33" t="str">
        <f t="shared" si="128"/>
        <v/>
      </c>
      <c r="I291" s="119" t="str">
        <f t="shared" si="119"/>
        <v/>
      </c>
      <c r="J291" s="120" t="str">
        <f t="shared" si="140"/>
        <v/>
      </c>
      <c r="K291" s="170"/>
      <c r="L291" s="1141">
        <f t="shared" si="141"/>
        <v>0</v>
      </c>
      <c r="M291" s="1141">
        <f t="shared" si="141"/>
        <v>0</v>
      </c>
      <c r="N291" s="804" t="str">
        <f t="shared" si="129"/>
        <v/>
      </c>
      <c r="O291" s="795"/>
      <c r="P291" s="1156" t="str">
        <f t="shared" si="130"/>
        <v/>
      </c>
      <c r="Q291" s="957" t="str">
        <f t="shared" si="131"/>
        <v/>
      </c>
      <c r="R291" s="767" t="str">
        <f t="shared" si="132"/>
        <v/>
      </c>
      <c r="S291" s="966">
        <f t="shared" si="133"/>
        <v>0</v>
      </c>
      <c r="T291" s="116"/>
      <c r="X291" s="760" t="str">
        <f t="shared" si="122"/>
        <v/>
      </c>
      <c r="Y291" s="745">
        <f t="shared" si="134"/>
        <v>0.6</v>
      </c>
      <c r="Z291" s="758" t="e">
        <f t="shared" si="135"/>
        <v>#VALUE!</v>
      </c>
      <c r="AA291" s="758" t="e">
        <f t="shared" si="136"/>
        <v>#VALUE!</v>
      </c>
      <c r="AB291" s="758" t="e">
        <f t="shared" si="137"/>
        <v>#VALUE!</v>
      </c>
      <c r="AC291" s="544" t="e">
        <f t="shared" si="123"/>
        <v>#VALUE!</v>
      </c>
      <c r="AD291" s="544">
        <f t="shared" si="124"/>
        <v>0</v>
      </c>
      <c r="AE291" s="759">
        <f>IF(H291&gt;8,tab!C$194,tab!C$197)</f>
        <v>0.5</v>
      </c>
      <c r="AF291" s="544">
        <f t="shared" si="125"/>
        <v>0</v>
      </c>
      <c r="AG291" s="760">
        <f t="shared" si="126"/>
        <v>0</v>
      </c>
      <c r="AH291" s="544"/>
    </row>
    <row r="292" spans="3:34" ht="13.15" customHeight="1" x14ac:dyDescent="0.2">
      <c r="C292" s="31"/>
      <c r="D292" s="117" t="str">
        <f t="shared" si="139"/>
        <v/>
      </c>
      <c r="E292" s="117" t="str">
        <f t="shared" si="139"/>
        <v/>
      </c>
      <c r="F292" s="33" t="str">
        <f t="shared" si="138"/>
        <v/>
      </c>
      <c r="G292" s="118" t="str">
        <f t="shared" si="127"/>
        <v/>
      </c>
      <c r="H292" s="33" t="str">
        <f t="shared" si="128"/>
        <v/>
      </c>
      <c r="I292" s="119" t="str">
        <f t="shared" si="119"/>
        <v/>
      </c>
      <c r="J292" s="120" t="str">
        <f t="shared" si="140"/>
        <v/>
      </c>
      <c r="K292" s="170"/>
      <c r="L292" s="1141">
        <f t="shared" si="141"/>
        <v>0</v>
      </c>
      <c r="M292" s="1141">
        <f t="shared" si="141"/>
        <v>0</v>
      </c>
      <c r="N292" s="804" t="str">
        <f t="shared" si="129"/>
        <v/>
      </c>
      <c r="O292" s="795"/>
      <c r="P292" s="1156" t="str">
        <f t="shared" si="130"/>
        <v/>
      </c>
      <c r="Q292" s="957" t="str">
        <f t="shared" si="131"/>
        <v/>
      </c>
      <c r="R292" s="767" t="str">
        <f t="shared" si="132"/>
        <v/>
      </c>
      <c r="S292" s="966">
        <f t="shared" si="133"/>
        <v>0</v>
      </c>
      <c r="T292" s="116"/>
      <c r="X292" s="760" t="str">
        <f t="shared" si="122"/>
        <v/>
      </c>
      <c r="Y292" s="745">
        <f t="shared" si="134"/>
        <v>0.6</v>
      </c>
      <c r="Z292" s="758" t="e">
        <f t="shared" si="135"/>
        <v>#VALUE!</v>
      </c>
      <c r="AA292" s="758" t="e">
        <f t="shared" si="136"/>
        <v>#VALUE!</v>
      </c>
      <c r="AB292" s="758" t="e">
        <f t="shared" si="137"/>
        <v>#VALUE!</v>
      </c>
      <c r="AC292" s="544" t="e">
        <f t="shared" si="123"/>
        <v>#VALUE!</v>
      </c>
      <c r="AD292" s="544">
        <f t="shared" si="124"/>
        <v>0</v>
      </c>
      <c r="AE292" s="759">
        <f>IF(H292&gt;8,tab!C$194,tab!C$197)</f>
        <v>0.5</v>
      </c>
      <c r="AF292" s="544">
        <f t="shared" si="125"/>
        <v>0</v>
      </c>
      <c r="AG292" s="760">
        <f t="shared" si="126"/>
        <v>0</v>
      </c>
      <c r="AH292" s="544"/>
    </row>
    <row r="293" spans="3:34" ht="13.15" customHeight="1" x14ac:dyDescent="0.2">
      <c r="C293" s="31"/>
      <c r="D293" s="117" t="str">
        <f t="shared" si="139"/>
        <v/>
      </c>
      <c r="E293" s="117" t="str">
        <f t="shared" si="139"/>
        <v/>
      </c>
      <c r="F293" s="33" t="str">
        <f t="shared" si="138"/>
        <v/>
      </c>
      <c r="G293" s="118" t="str">
        <f t="shared" si="127"/>
        <v/>
      </c>
      <c r="H293" s="33" t="str">
        <f t="shared" si="128"/>
        <v/>
      </c>
      <c r="I293" s="119" t="str">
        <f t="shared" si="119"/>
        <v/>
      </c>
      <c r="J293" s="120" t="str">
        <f t="shared" si="140"/>
        <v/>
      </c>
      <c r="K293" s="170"/>
      <c r="L293" s="1141">
        <f t="shared" si="141"/>
        <v>0</v>
      </c>
      <c r="M293" s="1141">
        <f t="shared" si="141"/>
        <v>0</v>
      </c>
      <c r="N293" s="804" t="str">
        <f t="shared" si="129"/>
        <v/>
      </c>
      <c r="O293" s="795"/>
      <c r="P293" s="1156" t="str">
        <f t="shared" si="130"/>
        <v/>
      </c>
      <c r="Q293" s="957" t="str">
        <f t="shared" si="131"/>
        <v/>
      </c>
      <c r="R293" s="767" t="str">
        <f t="shared" si="132"/>
        <v/>
      </c>
      <c r="S293" s="966">
        <f t="shared" si="133"/>
        <v>0</v>
      </c>
      <c r="T293" s="116"/>
      <c r="X293" s="760" t="str">
        <f t="shared" si="122"/>
        <v/>
      </c>
      <c r="Y293" s="745">
        <f t="shared" si="134"/>
        <v>0.6</v>
      </c>
      <c r="Z293" s="758" t="e">
        <f t="shared" si="135"/>
        <v>#VALUE!</v>
      </c>
      <c r="AA293" s="758" t="e">
        <f t="shared" si="136"/>
        <v>#VALUE!</v>
      </c>
      <c r="AB293" s="758" t="e">
        <f t="shared" si="137"/>
        <v>#VALUE!</v>
      </c>
      <c r="AC293" s="544" t="e">
        <f t="shared" si="123"/>
        <v>#VALUE!</v>
      </c>
      <c r="AD293" s="544">
        <f t="shared" si="124"/>
        <v>0</v>
      </c>
      <c r="AE293" s="759">
        <f>IF(H293&gt;8,tab!C$194,tab!C$197)</f>
        <v>0.5</v>
      </c>
      <c r="AF293" s="544">
        <f t="shared" si="125"/>
        <v>0</v>
      </c>
      <c r="AG293" s="760">
        <f t="shared" si="126"/>
        <v>0</v>
      </c>
      <c r="AH293" s="544"/>
    </row>
    <row r="294" spans="3:34" ht="13.15" customHeight="1" x14ac:dyDescent="0.2">
      <c r="C294" s="31"/>
      <c r="D294" s="117" t="str">
        <f t="shared" si="139"/>
        <v/>
      </c>
      <c r="E294" s="117" t="str">
        <f t="shared" si="139"/>
        <v/>
      </c>
      <c r="F294" s="33" t="str">
        <f t="shared" si="138"/>
        <v/>
      </c>
      <c r="G294" s="118" t="str">
        <f t="shared" si="127"/>
        <v/>
      </c>
      <c r="H294" s="33" t="str">
        <f t="shared" si="128"/>
        <v/>
      </c>
      <c r="I294" s="119" t="str">
        <f t="shared" si="119"/>
        <v/>
      </c>
      <c r="J294" s="120" t="str">
        <f t="shared" si="140"/>
        <v/>
      </c>
      <c r="K294" s="170"/>
      <c r="L294" s="1141">
        <f t="shared" si="141"/>
        <v>0</v>
      </c>
      <c r="M294" s="1141">
        <f t="shared" si="141"/>
        <v>0</v>
      </c>
      <c r="N294" s="804" t="str">
        <f t="shared" si="129"/>
        <v/>
      </c>
      <c r="O294" s="795"/>
      <c r="P294" s="1156" t="str">
        <f t="shared" si="130"/>
        <v/>
      </c>
      <c r="Q294" s="957" t="str">
        <f t="shared" si="131"/>
        <v/>
      </c>
      <c r="R294" s="767" t="str">
        <f t="shared" si="132"/>
        <v/>
      </c>
      <c r="S294" s="966">
        <f t="shared" si="133"/>
        <v>0</v>
      </c>
      <c r="T294" s="116"/>
      <c r="X294" s="760" t="str">
        <f t="shared" si="122"/>
        <v/>
      </c>
      <c r="Y294" s="745">
        <f t="shared" si="134"/>
        <v>0.6</v>
      </c>
      <c r="Z294" s="758" t="e">
        <f t="shared" si="135"/>
        <v>#VALUE!</v>
      </c>
      <c r="AA294" s="758" t="e">
        <f t="shared" si="136"/>
        <v>#VALUE!</v>
      </c>
      <c r="AB294" s="758" t="e">
        <f t="shared" si="137"/>
        <v>#VALUE!</v>
      </c>
      <c r="AC294" s="544" t="e">
        <f t="shared" si="123"/>
        <v>#VALUE!</v>
      </c>
      <c r="AD294" s="544">
        <f t="shared" si="124"/>
        <v>0</v>
      </c>
      <c r="AE294" s="759">
        <f>IF(H294&gt;8,tab!C$194,tab!C$197)</f>
        <v>0.5</v>
      </c>
      <c r="AF294" s="544">
        <f t="shared" si="125"/>
        <v>0</v>
      </c>
      <c r="AG294" s="760">
        <f t="shared" si="126"/>
        <v>0</v>
      </c>
      <c r="AH294" s="544"/>
    </row>
    <row r="295" spans="3:34" ht="13.15" customHeight="1" x14ac:dyDescent="0.2">
      <c r="C295" s="31"/>
      <c r="D295" s="117" t="str">
        <f t="shared" si="139"/>
        <v/>
      </c>
      <c r="E295" s="117" t="str">
        <f t="shared" si="139"/>
        <v/>
      </c>
      <c r="F295" s="33" t="str">
        <f t="shared" si="138"/>
        <v/>
      </c>
      <c r="G295" s="118" t="str">
        <f t="shared" si="127"/>
        <v/>
      </c>
      <c r="H295" s="33" t="str">
        <f t="shared" si="128"/>
        <v/>
      </c>
      <c r="I295" s="119" t="str">
        <f t="shared" ref="I295:I312" si="142">IF(E295="","",IF(I233+1&gt;VLOOKUP(H295,Salaris2021,22,FALSE),I233,I233+1))</f>
        <v/>
      </c>
      <c r="J295" s="120" t="str">
        <f t="shared" si="140"/>
        <v/>
      </c>
      <c r="K295" s="170"/>
      <c r="L295" s="1141">
        <f t="shared" si="141"/>
        <v>0</v>
      </c>
      <c r="M295" s="1141">
        <f t="shared" si="141"/>
        <v>0</v>
      </c>
      <c r="N295" s="804" t="str">
        <f t="shared" si="129"/>
        <v/>
      </c>
      <c r="O295" s="795"/>
      <c r="P295" s="1156" t="str">
        <f t="shared" si="130"/>
        <v/>
      </c>
      <c r="Q295" s="957" t="str">
        <f t="shared" si="131"/>
        <v/>
      </c>
      <c r="R295" s="767" t="str">
        <f t="shared" si="132"/>
        <v/>
      </c>
      <c r="S295" s="966">
        <f t="shared" si="133"/>
        <v>0</v>
      </c>
      <c r="T295" s="116"/>
      <c r="X295" s="760" t="str">
        <f t="shared" ref="X295:X312" si="143">IF(H295="","",VLOOKUP(H295,Salaris2021,I295+1,FALSE))</f>
        <v/>
      </c>
      <c r="Y295" s="745">
        <f t="shared" si="134"/>
        <v>0.6</v>
      </c>
      <c r="Z295" s="758" t="e">
        <f t="shared" si="135"/>
        <v>#VALUE!</v>
      </c>
      <c r="AA295" s="758" t="e">
        <f t="shared" si="136"/>
        <v>#VALUE!</v>
      </c>
      <c r="AB295" s="758" t="e">
        <f t="shared" si="137"/>
        <v>#VALUE!</v>
      </c>
      <c r="AC295" s="544" t="e">
        <f t="shared" ref="AC295:AC312" si="144">N295+O295</f>
        <v>#VALUE!</v>
      </c>
      <c r="AD295" s="544">
        <f t="shared" ref="AD295:AD312" si="145">L295+M295</f>
        <v>0</v>
      </c>
      <c r="AE295" s="759">
        <f>IF(H295&gt;8,tab!C$194,tab!C$197)</f>
        <v>0.5</v>
      </c>
      <c r="AF295" s="544">
        <f t="shared" ref="AF295:AF312" si="146">IF(F295&lt;25,0,IF(F295=25,25,IF(F295&lt;40,0,IF(F295=40,40,IF(F295&gt;=40,0)))))</f>
        <v>0</v>
      </c>
      <c r="AG295" s="760">
        <f t="shared" ref="AG295:AG312" si="147">IF(AF295=25,(X295*1.08*(J295)/2),IF(AF295=40,(V295*1.08*(J295)),IF(AF295=0,0)))</f>
        <v>0</v>
      </c>
      <c r="AH295" s="544"/>
    </row>
    <row r="296" spans="3:34" ht="13.15" customHeight="1" x14ac:dyDescent="0.2">
      <c r="C296" s="31"/>
      <c r="D296" s="117" t="str">
        <f t="shared" si="139"/>
        <v/>
      </c>
      <c r="E296" s="117" t="str">
        <f t="shared" si="139"/>
        <v/>
      </c>
      <c r="F296" s="33" t="str">
        <f t="shared" si="138"/>
        <v/>
      </c>
      <c r="G296" s="118" t="str">
        <f t="shared" si="127"/>
        <v/>
      </c>
      <c r="H296" s="33" t="str">
        <f t="shared" si="128"/>
        <v/>
      </c>
      <c r="I296" s="119" t="str">
        <f t="shared" si="142"/>
        <v/>
      </c>
      <c r="J296" s="120" t="str">
        <f t="shared" si="140"/>
        <v/>
      </c>
      <c r="K296" s="170"/>
      <c r="L296" s="1141">
        <f t="shared" si="141"/>
        <v>0</v>
      </c>
      <c r="M296" s="1141">
        <f t="shared" si="141"/>
        <v>0</v>
      </c>
      <c r="N296" s="804" t="str">
        <f t="shared" si="129"/>
        <v/>
      </c>
      <c r="O296" s="795"/>
      <c r="P296" s="1156" t="str">
        <f t="shared" si="130"/>
        <v/>
      </c>
      <c r="Q296" s="957" t="str">
        <f t="shared" si="131"/>
        <v/>
      </c>
      <c r="R296" s="767" t="str">
        <f t="shared" si="132"/>
        <v/>
      </c>
      <c r="S296" s="966">
        <f t="shared" si="133"/>
        <v>0</v>
      </c>
      <c r="T296" s="116"/>
      <c r="X296" s="760" t="str">
        <f t="shared" si="143"/>
        <v/>
      </c>
      <c r="Y296" s="745">
        <f t="shared" si="134"/>
        <v>0.6</v>
      </c>
      <c r="Z296" s="758" t="e">
        <f t="shared" si="135"/>
        <v>#VALUE!</v>
      </c>
      <c r="AA296" s="758" t="e">
        <f t="shared" si="136"/>
        <v>#VALUE!</v>
      </c>
      <c r="AB296" s="758" t="e">
        <f t="shared" si="137"/>
        <v>#VALUE!</v>
      </c>
      <c r="AC296" s="544" t="e">
        <f t="shared" si="144"/>
        <v>#VALUE!</v>
      </c>
      <c r="AD296" s="544">
        <f t="shared" si="145"/>
        <v>0</v>
      </c>
      <c r="AE296" s="759">
        <f>IF(H296&gt;8,tab!C$194,tab!C$197)</f>
        <v>0.5</v>
      </c>
      <c r="AF296" s="544">
        <f t="shared" si="146"/>
        <v>0</v>
      </c>
      <c r="AG296" s="760">
        <f t="shared" si="147"/>
        <v>0</v>
      </c>
      <c r="AH296" s="544"/>
    </row>
    <row r="297" spans="3:34" ht="13.15" customHeight="1" x14ac:dyDescent="0.2">
      <c r="C297" s="31"/>
      <c r="D297" s="117" t="str">
        <f t="shared" si="139"/>
        <v/>
      </c>
      <c r="E297" s="117" t="str">
        <f t="shared" si="139"/>
        <v/>
      </c>
      <c r="F297" s="33" t="str">
        <f t="shared" si="138"/>
        <v/>
      </c>
      <c r="G297" s="118" t="str">
        <f t="shared" si="127"/>
        <v/>
      </c>
      <c r="H297" s="33" t="str">
        <f t="shared" si="128"/>
        <v/>
      </c>
      <c r="I297" s="119" t="str">
        <f t="shared" si="142"/>
        <v/>
      </c>
      <c r="J297" s="120" t="str">
        <f t="shared" si="140"/>
        <v/>
      </c>
      <c r="K297" s="170"/>
      <c r="L297" s="1141">
        <f t="shared" si="141"/>
        <v>0</v>
      </c>
      <c r="M297" s="1141">
        <f t="shared" si="141"/>
        <v>0</v>
      </c>
      <c r="N297" s="804" t="str">
        <f t="shared" si="129"/>
        <v/>
      </c>
      <c r="O297" s="795"/>
      <c r="P297" s="1156" t="str">
        <f t="shared" si="130"/>
        <v/>
      </c>
      <c r="Q297" s="957" t="str">
        <f t="shared" si="131"/>
        <v/>
      </c>
      <c r="R297" s="767" t="str">
        <f t="shared" si="132"/>
        <v/>
      </c>
      <c r="S297" s="966">
        <f t="shared" si="133"/>
        <v>0</v>
      </c>
      <c r="T297" s="116"/>
      <c r="X297" s="760" t="str">
        <f t="shared" si="143"/>
        <v/>
      </c>
      <c r="Y297" s="745">
        <f t="shared" si="134"/>
        <v>0.6</v>
      </c>
      <c r="Z297" s="758" t="e">
        <f t="shared" si="135"/>
        <v>#VALUE!</v>
      </c>
      <c r="AA297" s="758" t="e">
        <f t="shared" si="136"/>
        <v>#VALUE!</v>
      </c>
      <c r="AB297" s="758" t="e">
        <f t="shared" si="137"/>
        <v>#VALUE!</v>
      </c>
      <c r="AC297" s="544" t="e">
        <f t="shared" si="144"/>
        <v>#VALUE!</v>
      </c>
      <c r="AD297" s="544">
        <f t="shared" si="145"/>
        <v>0</v>
      </c>
      <c r="AE297" s="759">
        <f>IF(H297&gt;8,tab!C$194,tab!C$197)</f>
        <v>0.5</v>
      </c>
      <c r="AF297" s="544">
        <f t="shared" si="146"/>
        <v>0</v>
      </c>
      <c r="AG297" s="760">
        <f t="shared" si="147"/>
        <v>0</v>
      </c>
      <c r="AH297" s="544"/>
    </row>
    <row r="298" spans="3:34" ht="13.15" customHeight="1" x14ac:dyDescent="0.2">
      <c r="C298" s="31"/>
      <c r="D298" s="117" t="str">
        <f t="shared" si="139"/>
        <v/>
      </c>
      <c r="E298" s="117" t="str">
        <f t="shared" si="139"/>
        <v/>
      </c>
      <c r="F298" s="33" t="str">
        <f t="shared" si="138"/>
        <v/>
      </c>
      <c r="G298" s="118" t="str">
        <f t="shared" si="127"/>
        <v/>
      </c>
      <c r="H298" s="33" t="str">
        <f t="shared" si="128"/>
        <v/>
      </c>
      <c r="I298" s="119" t="str">
        <f t="shared" si="142"/>
        <v/>
      </c>
      <c r="J298" s="120" t="str">
        <f t="shared" si="140"/>
        <v/>
      </c>
      <c r="K298" s="170"/>
      <c r="L298" s="1141">
        <f t="shared" si="141"/>
        <v>0</v>
      </c>
      <c r="M298" s="1141">
        <f t="shared" si="141"/>
        <v>0</v>
      </c>
      <c r="N298" s="804" t="str">
        <f t="shared" si="129"/>
        <v/>
      </c>
      <c r="O298" s="795"/>
      <c r="P298" s="1156" t="str">
        <f t="shared" si="130"/>
        <v/>
      </c>
      <c r="Q298" s="957" t="str">
        <f t="shared" si="131"/>
        <v/>
      </c>
      <c r="R298" s="767" t="str">
        <f t="shared" si="132"/>
        <v/>
      </c>
      <c r="S298" s="966">
        <f t="shared" si="133"/>
        <v>0</v>
      </c>
      <c r="T298" s="116"/>
      <c r="X298" s="760" t="str">
        <f t="shared" si="143"/>
        <v/>
      </c>
      <c r="Y298" s="745">
        <f t="shared" si="134"/>
        <v>0.6</v>
      </c>
      <c r="Z298" s="758" t="e">
        <f t="shared" si="135"/>
        <v>#VALUE!</v>
      </c>
      <c r="AA298" s="758" t="e">
        <f t="shared" si="136"/>
        <v>#VALUE!</v>
      </c>
      <c r="AB298" s="758" t="e">
        <f t="shared" si="137"/>
        <v>#VALUE!</v>
      </c>
      <c r="AC298" s="544" t="e">
        <f t="shared" si="144"/>
        <v>#VALUE!</v>
      </c>
      <c r="AD298" s="544">
        <f t="shared" si="145"/>
        <v>0</v>
      </c>
      <c r="AE298" s="759">
        <f>IF(H298&gt;8,tab!C$194,tab!C$197)</f>
        <v>0.5</v>
      </c>
      <c r="AF298" s="544">
        <f t="shared" si="146"/>
        <v>0</v>
      </c>
      <c r="AG298" s="760">
        <f t="shared" si="147"/>
        <v>0</v>
      </c>
      <c r="AH298" s="544"/>
    </row>
    <row r="299" spans="3:34" ht="13.15" customHeight="1" x14ac:dyDescent="0.2">
      <c r="C299" s="31"/>
      <c r="D299" s="117" t="str">
        <f t="shared" si="139"/>
        <v/>
      </c>
      <c r="E299" s="117" t="str">
        <f t="shared" si="139"/>
        <v/>
      </c>
      <c r="F299" s="33" t="str">
        <f t="shared" si="138"/>
        <v/>
      </c>
      <c r="G299" s="118" t="str">
        <f t="shared" si="127"/>
        <v/>
      </c>
      <c r="H299" s="33" t="str">
        <f t="shared" si="128"/>
        <v/>
      </c>
      <c r="I299" s="119" t="str">
        <f t="shared" si="142"/>
        <v/>
      </c>
      <c r="J299" s="120" t="str">
        <f t="shared" si="140"/>
        <v/>
      </c>
      <c r="K299" s="170"/>
      <c r="L299" s="1141">
        <f t="shared" si="141"/>
        <v>0</v>
      </c>
      <c r="M299" s="1141">
        <f t="shared" si="141"/>
        <v>0</v>
      </c>
      <c r="N299" s="804" t="str">
        <f t="shared" si="129"/>
        <v/>
      </c>
      <c r="O299" s="795"/>
      <c r="P299" s="1156" t="str">
        <f t="shared" si="130"/>
        <v/>
      </c>
      <c r="Q299" s="957" t="str">
        <f t="shared" si="131"/>
        <v/>
      </c>
      <c r="R299" s="767" t="str">
        <f t="shared" si="132"/>
        <v/>
      </c>
      <c r="S299" s="966">
        <f t="shared" si="133"/>
        <v>0</v>
      </c>
      <c r="T299" s="116"/>
      <c r="X299" s="760" t="str">
        <f t="shared" si="143"/>
        <v/>
      </c>
      <c r="Y299" s="745">
        <f t="shared" si="134"/>
        <v>0.6</v>
      </c>
      <c r="Z299" s="758" t="e">
        <f t="shared" si="135"/>
        <v>#VALUE!</v>
      </c>
      <c r="AA299" s="758" t="e">
        <f t="shared" si="136"/>
        <v>#VALUE!</v>
      </c>
      <c r="AB299" s="758" t="e">
        <f t="shared" si="137"/>
        <v>#VALUE!</v>
      </c>
      <c r="AC299" s="544" t="e">
        <f t="shared" si="144"/>
        <v>#VALUE!</v>
      </c>
      <c r="AD299" s="544">
        <f t="shared" si="145"/>
        <v>0</v>
      </c>
      <c r="AE299" s="759">
        <f>IF(H299&gt;8,tab!C$194,tab!C$197)</f>
        <v>0.5</v>
      </c>
      <c r="AF299" s="544">
        <f t="shared" si="146"/>
        <v>0</v>
      </c>
      <c r="AG299" s="760">
        <f t="shared" si="147"/>
        <v>0</v>
      </c>
      <c r="AH299" s="544"/>
    </row>
    <row r="300" spans="3:34" ht="13.15" customHeight="1" x14ac:dyDescent="0.2">
      <c r="C300" s="31"/>
      <c r="D300" s="117" t="str">
        <f t="shared" si="139"/>
        <v/>
      </c>
      <c r="E300" s="117" t="str">
        <f t="shared" si="139"/>
        <v/>
      </c>
      <c r="F300" s="33" t="str">
        <f t="shared" si="138"/>
        <v/>
      </c>
      <c r="G300" s="118" t="str">
        <f t="shared" si="127"/>
        <v/>
      </c>
      <c r="H300" s="33" t="str">
        <f t="shared" si="128"/>
        <v/>
      </c>
      <c r="I300" s="119" t="str">
        <f t="shared" si="142"/>
        <v/>
      </c>
      <c r="J300" s="120" t="str">
        <f t="shared" si="140"/>
        <v/>
      </c>
      <c r="K300" s="170"/>
      <c r="L300" s="1141">
        <f t="shared" si="141"/>
        <v>0</v>
      </c>
      <c r="M300" s="1141">
        <f t="shared" si="141"/>
        <v>0</v>
      </c>
      <c r="N300" s="804" t="str">
        <f t="shared" si="129"/>
        <v/>
      </c>
      <c r="O300" s="795"/>
      <c r="P300" s="1156" t="str">
        <f t="shared" si="130"/>
        <v/>
      </c>
      <c r="Q300" s="957" t="str">
        <f t="shared" si="131"/>
        <v/>
      </c>
      <c r="R300" s="767" t="str">
        <f t="shared" si="132"/>
        <v/>
      </c>
      <c r="S300" s="966">
        <f t="shared" si="133"/>
        <v>0</v>
      </c>
      <c r="T300" s="116"/>
      <c r="X300" s="760" t="str">
        <f t="shared" si="143"/>
        <v/>
      </c>
      <c r="Y300" s="745">
        <f t="shared" si="134"/>
        <v>0.6</v>
      </c>
      <c r="Z300" s="758" t="e">
        <f t="shared" si="135"/>
        <v>#VALUE!</v>
      </c>
      <c r="AA300" s="758" t="e">
        <f t="shared" si="136"/>
        <v>#VALUE!</v>
      </c>
      <c r="AB300" s="758" t="e">
        <f t="shared" si="137"/>
        <v>#VALUE!</v>
      </c>
      <c r="AC300" s="544" t="e">
        <f t="shared" si="144"/>
        <v>#VALUE!</v>
      </c>
      <c r="AD300" s="544">
        <f t="shared" si="145"/>
        <v>0</v>
      </c>
      <c r="AE300" s="759">
        <f>IF(H300&gt;8,tab!C$194,tab!C$197)</f>
        <v>0.5</v>
      </c>
      <c r="AF300" s="544">
        <f t="shared" si="146"/>
        <v>0</v>
      </c>
      <c r="AG300" s="760">
        <f t="shared" si="147"/>
        <v>0</v>
      </c>
      <c r="AH300" s="544"/>
    </row>
    <row r="301" spans="3:34" ht="13.15" customHeight="1" x14ac:dyDescent="0.2">
      <c r="C301" s="31"/>
      <c r="D301" s="117" t="str">
        <f t="shared" si="139"/>
        <v/>
      </c>
      <c r="E301" s="117" t="str">
        <f t="shared" si="139"/>
        <v/>
      </c>
      <c r="F301" s="33" t="str">
        <f t="shared" si="138"/>
        <v/>
      </c>
      <c r="G301" s="118" t="str">
        <f t="shared" si="127"/>
        <v/>
      </c>
      <c r="H301" s="33" t="str">
        <f t="shared" si="128"/>
        <v/>
      </c>
      <c r="I301" s="119" t="str">
        <f t="shared" si="142"/>
        <v/>
      </c>
      <c r="J301" s="120" t="str">
        <f t="shared" si="140"/>
        <v/>
      </c>
      <c r="K301" s="170"/>
      <c r="L301" s="1141">
        <f t="shared" si="141"/>
        <v>0</v>
      </c>
      <c r="M301" s="1141">
        <f t="shared" si="141"/>
        <v>0</v>
      </c>
      <c r="N301" s="804" t="str">
        <f t="shared" si="129"/>
        <v/>
      </c>
      <c r="O301" s="795"/>
      <c r="P301" s="1156" t="str">
        <f t="shared" si="130"/>
        <v/>
      </c>
      <c r="Q301" s="957" t="str">
        <f t="shared" si="131"/>
        <v/>
      </c>
      <c r="R301" s="767" t="str">
        <f t="shared" si="132"/>
        <v/>
      </c>
      <c r="S301" s="966">
        <f t="shared" si="133"/>
        <v>0</v>
      </c>
      <c r="T301" s="116"/>
      <c r="X301" s="760" t="str">
        <f t="shared" si="143"/>
        <v/>
      </c>
      <c r="Y301" s="745">
        <f t="shared" si="134"/>
        <v>0.6</v>
      </c>
      <c r="Z301" s="758" t="e">
        <f t="shared" si="135"/>
        <v>#VALUE!</v>
      </c>
      <c r="AA301" s="758" t="e">
        <f t="shared" si="136"/>
        <v>#VALUE!</v>
      </c>
      <c r="AB301" s="758" t="e">
        <f t="shared" si="137"/>
        <v>#VALUE!</v>
      </c>
      <c r="AC301" s="544" t="e">
        <f t="shared" si="144"/>
        <v>#VALUE!</v>
      </c>
      <c r="AD301" s="544">
        <f t="shared" si="145"/>
        <v>0</v>
      </c>
      <c r="AE301" s="759">
        <f>IF(H301&gt;8,tab!C$194,tab!C$197)</f>
        <v>0.5</v>
      </c>
      <c r="AF301" s="544">
        <f t="shared" si="146"/>
        <v>0</v>
      </c>
      <c r="AG301" s="760">
        <f t="shared" si="147"/>
        <v>0</v>
      </c>
      <c r="AH301" s="544"/>
    </row>
    <row r="302" spans="3:34" ht="13.15" customHeight="1" x14ac:dyDescent="0.2">
      <c r="C302" s="31"/>
      <c r="D302" s="117" t="str">
        <f t="shared" si="139"/>
        <v/>
      </c>
      <c r="E302" s="117" t="str">
        <f t="shared" si="139"/>
        <v/>
      </c>
      <c r="F302" s="33" t="str">
        <f t="shared" si="138"/>
        <v/>
      </c>
      <c r="G302" s="118" t="str">
        <f t="shared" si="127"/>
        <v/>
      </c>
      <c r="H302" s="33" t="str">
        <f t="shared" si="128"/>
        <v/>
      </c>
      <c r="I302" s="119" t="str">
        <f t="shared" si="142"/>
        <v/>
      </c>
      <c r="J302" s="120" t="str">
        <f t="shared" si="140"/>
        <v/>
      </c>
      <c r="K302" s="170"/>
      <c r="L302" s="1141">
        <f t="shared" si="141"/>
        <v>0</v>
      </c>
      <c r="M302" s="1141">
        <f t="shared" si="141"/>
        <v>0</v>
      </c>
      <c r="N302" s="804" t="str">
        <f t="shared" si="129"/>
        <v/>
      </c>
      <c r="O302" s="795"/>
      <c r="P302" s="1156" t="str">
        <f t="shared" si="130"/>
        <v/>
      </c>
      <c r="Q302" s="957" t="str">
        <f t="shared" si="131"/>
        <v/>
      </c>
      <c r="R302" s="767" t="str">
        <f t="shared" si="132"/>
        <v/>
      </c>
      <c r="S302" s="966">
        <f t="shared" si="133"/>
        <v>0</v>
      </c>
      <c r="T302" s="116"/>
      <c r="X302" s="760" t="str">
        <f t="shared" si="143"/>
        <v/>
      </c>
      <c r="Y302" s="745">
        <f t="shared" si="134"/>
        <v>0.6</v>
      </c>
      <c r="Z302" s="758" t="e">
        <f t="shared" si="135"/>
        <v>#VALUE!</v>
      </c>
      <c r="AA302" s="758" t="e">
        <f t="shared" si="136"/>
        <v>#VALUE!</v>
      </c>
      <c r="AB302" s="758" t="e">
        <f t="shared" si="137"/>
        <v>#VALUE!</v>
      </c>
      <c r="AC302" s="544" t="e">
        <f t="shared" si="144"/>
        <v>#VALUE!</v>
      </c>
      <c r="AD302" s="544">
        <f t="shared" si="145"/>
        <v>0</v>
      </c>
      <c r="AE302" s="759">
        <f>IF(H302&gt;8,tab!C$194,tab!C$197)</f>
        <v>0.5</v>
      </c>
      <c r="AF302" s="544">
        <f t="shared" si="146"/>
        <v>0</v>
      </c>
      <c r="AG302" s="760">
        <f t="shared" si="147"/>
        <v>0</v>
      </c>
      <c r="AH302" s="544"/>
    </row>
    <row r="303" spans="3:34" ht="13.15" customHeight="1" x14ac:dyDescent="0.2">
      <c r="C303" s="31"/>
      <c r="D303" s="117" t="str">
        <f t="shared" ref="D303:E312" si="148">IF(D241=0,"",D241)</f>
        <v/>
      </c>
      <c r="E303" s="117" t="str">
        <f t="shared" si="148"/>
        <v/>
      </c>
      <c r="F303" s="33" t="str">
        <f t="shared" si="138"/>
        <v/>
      </c>
      <c r="G303" s="118" t="str">
        <f t="shared" si="127"/>
        <v/>
      </c>
      <c r="H303" s="33" t="str">
        <f t="shared" si="128"/>
        <v/>
      </c>
      <c r="I303" s="119" t="str">
        <f t="shared" si="142"/>
        <v/>
      </c>
      <c r="J303" s="120" t="str">
        <f t="shared" ref="J303:J312" si="149">IF(J241="","",J241)</f>
        <v/>
      </c>
      <c r="K303" s="170"/>
      <c r="L303" s="1141">
        <f t="shared" ref="L303:M312" si="150">IF(L241="","",L241)</f>
        <v>0</v>
      </c>
      <c r="M303" s="1141">
        <f t="shared" si="150"/>
        <v>0</v>
      </c>
      <c r="N303" s="804" t="str">
        <f t="shared" si="129"/>
        <v/>
      </c>
      <c r="O303" s="795"/>
      <c r="P303" s="1156" t="str">
        <f t="shared" si="130"/>
        <v/>
      </c>
      <c r="Q303" s="957" t="str">
        <f t="shared" si="131"/>
        <v/>
      </c>
      <c r="R303" s="767" t="str">
        <f t="shared" si="132"/>
        <v/>
      </c>
      <c r="S303" s="966">
        <f t="shared" si="133"/>
        <v>0</v>
      </c>
      <c r="T303" s="116"/>
      <c r="X303" s="760" t="str">
        <f t="shared" si="143"/>
        <v/>
      </c>
      <c r="Y303" s="745">
        <f t="shared" si="134"/>
        <v>0.6</v>
      </c>
      <c r="Z303" s="758" t="e">
        <f t="shared" si="135"/>
        <v>#VALUE!</v>
      </c>
      <c r="AA303" s="758" t="e">
        <f t="shared" si="136"/>
        <v>#VALUE!</v>
      </c>
      <c r="AB303" s="758" t="e">
        <f t="shared" si="137"/>
        <v>#VALUE!</v>
      </c>
      <c r="AC303" s="544" t="e">
        <f t="shared" si="144"/>
        <v>#VALUE!</v>
      </c>
      <c r="AD303" s="544">
        <f t="shared" si="145"/>
        <v>0</v>
      </c>
      <c r="AE303" s="759">
        <f>IF(H303&gt;8,tab!C$194,tab!C$197)</f>
        <v>0.5</v>
      </c>
      <c r="AF303" s="544">
        <f t="shared" si="146"/>
        <v>0</v>
      </c>
      <c r="AG303" s="760">
        <f t="shared" si="147"/>
        <v>0</v>
      </c>
      <c r="AH303" s="544"/>
    </row>
    <row r="304" spans="3:34" ht="13.15" customHeight="1" x14ac:dyDescent="0.2">
      <c r="C304" s="31"/>
      <c r="D304" s="117" t="str">
        <f t="shared" si="148"/>
        <v/>
      </c>
      <c r="E304" s="117" t="str">
        <f t="shared" si="148"/>
        <v/>
      </c>
      <c r="F304" s="33" t="str">
        <f t="shared" si="138"/>
        <v/>
      </c>
      <c r="G304" s="118" t="str">
        <f t="shared" si="127"/>
        <v/>
      </c>
      <c r="H304" s="33" t="str">
        <f t="shared" si="128"/>
        <v/>
      </c>
      <c r="I304" s="119" t="str">
        <f t="shared" si="142"/>
        <v/>
      </c>
      <c r="J304" s="120" t="str">
        <f t="shared" si="149"/>
        <v/>
      </c>
      <c r="K304" s="170"/>
      <c r="L304" s="1141">
        <f t="shared" si="150"/>
        <v>0</v>
      </c>
      <c r="M304" s="1141">
        <f t="shared" si="150"/>
        <v>0</v>
      </c>
      <c r="N304" s="804" t="str">
        <f t="shared" si="129"/>
        <v/>
      </c>
      <c r="O304" s="795"/>
      <c r="P304" s="1156" t="str">
        <f t="shared" si="130"/>
        <v/>
      </c>
      <c r="Q304" s="957" t="str">
        <f t="shared" si="131"/>
        <v/>
      </c>
      <c r="R304" s="767" t="str">
        <f t="shared" si="132"/>
        <v/>
      </c>
      <c r="S304" s="966">
        <f t="shared" si="133"/>
        <v>0</v>
      </c>
      <c r="T304" s="116"/>
      <c r="X304" s="760" t="str">
        <f t="shared" si="143"/>
        <v/>
      </c>
      <c r="Y304" s="745">
        <f t="shared" si="134"/>
        <v>0.6</v>
      </c>
      <c r="Z304" s="758" t="e">
        <f t="shared" si="135"/>
        <v>#VALUE!</v>
      </c>
      <c r="AA304" s="758" t="e">
        <f t="shared" si="136"/>
        <v>#VALUE!</v>
      </c>
      <c r="AB304" s="758" t="e">
        <f t="shared" si="137"/>
        <v>#VALUE!</v>
      </c>
      <c r="AC304" s="544" t="e">
        <f t="shared" si="144"/>
        <v>#VALUE!</v>
      </c>
      <c r="AD304" s="544">
        <f t="shared" si="145"/>
        <v>0</v>
      </c>
      <c r="AE304" s="759">
        <f>IF(H304&gt;8,tab!C$194,tab!C$197)</f>
        <v>0.5</v>
      </c>
      <c r="AF304" s="544">
        <f t="shared" si="146"/>
        <v>0</v>
      </c>
      <c r="AG304" s="760">
        <f t="shared" si="147"/>
        <v>0</v>
      </c>
      <c r="AH304" s="544"/>
    </row>
    <row r="305" spans="3:34" ht="13.15" customHeight="1" x14ac:dyDescent="0.2">
      <c r="C305" s="31"/>
      <c r="D305" s="117" t="str">
        <f t="shared" si="148"/>
        <v/>
      </c>
      <c r="E305" s="117" t="str">
        <f t="shared" si="148"/>
        <v/>
      </c>
      <c r="F305" s="33" t="str">
        <f t="shared" si="138"/>
        <v/>
      </c>
      <c r="G305" s="118" t="str">
        <f t="shared" si="127"/>
        <v/>
      </c>
      <c r="H305" s="33" t="str">
        <f t="shared" si="128"/>
        <v/>
      </c>
      <c r="I305" s="119" t="str">
        <f t="shared" si="142"/>
        <v/>
      </c>
      <c r="J305" s="120" t="str">
        <f t="shared" si="149"/>
        <v/>
      </c>
      <c r="K305" s="170"/>
      <c r="L305" s="1141">
        <f t="shared" si="150"/>
        <v>0</v>
      </c>
      <c r="M305" s="1141">
        <f t="shared" si="150"/>
        <v>0</v>
      </c>
      <c r="N305" s="804" t="str">
        <f t="shared" si="129"/>
        <v/>
      </c>
      <c r="O305" s="795"/>
      <c r="P305" s="1156" t="str">
        <f t="shared" si="130"/>
        <v/>
      </c>
      <c r="Q305" s="957" t="str">
        <f t="shared" si="131"/>
        <v/>
      </c>
      <c r="R305" s="767" t="str">
        <f t="shared" si="132"/>
        <v/>
      </c>
      <c r="S305" s="966">
        <f t="shared" si="133"/>
        <v>0</v>
      </c>
      <c r="T305" s="116"/>
      <c r="X305" s="760" t="str">
        <f t="shared" si="143"/>
        <v/>
      </c>
      <c r="Y305" s="745">
        <f t="shared" si="134"/>
        <v>0.6</v>
      </c>
      <c r="Z305" s="758" t="e">
        <f t="shared" si="135"/>
        <v>#VALUE!</v>
      </c>
      <c r="AA305" s="758" t="e">
        <f t="shared" si="136"/>
        <v>#VALUE!</v>
      </c>
      <c r="AB305" s="758" t="e">
        <f t="shared" si="137"/>
        <v>#VALUE!</v>
      </c>
      <c r="AC305" s="544" t="e">
        <f t="shared" si="144"/>
        <v>#VALUE!</v>
      </c>
      <c r="AD305" s="544">
        <f t="shared" si="145"/>
        <v>0</v>
      </c>
      <c r="AE305" s="759">
        <f>IF(H305&gt;8,tab!C$194,tab!C$197)</f>
        <v>0.5</v>
      </c>
      <c r="AF305" s="544">
        <f t="shared" si="146"/>
        <v>0</v>
      </c>
      <c r="AG305" s="760">
        <f t="shared" si="147"/>
        <v>0</v>
      </c>
      <c r="AH305" s="544"/>
    </row>
    <row r="306" spans="3:34" ht="13.15" customHeight="1" x14ac:dyDescent="0.2">
      <c r="C306" s="31"/>
      <c r="D306" s="117" t="str">
        <f t="shared" si="148"/>
        <v/>
      </c>
      <c r="E306" s="117" t="str">
        <f t="shared" si="148"/>
        <v/>
      </c>
      <c r="F306" s="33" t="str">
        <f t="shared" si="138"/>
        <v/>
      </c>
      <c r="G306" s="118" t="str">
        <f t="shared" si="127"/>
        <v/>
      </c>
      <c r="H306" s="33" t="str">
        <f t="shared" si="128"/>
        <v/>
      </c>
      <c r="I306" s="119" t="str">
        <f t="shared" si="142"/>
        <v/>
      </c>
      <c r="J306" s="120" t="str">
        <f t="shared" si="149"/>
        <v/>
      </c>
      <c r="K306" s="170"/>
      <c r="L306" s="1141">
        <f t="shared" si="150"/>
        <v>0</v>
      </c>
      <c r="M306" s="1141">
        <f t="shared" si="150"/>
        <v>0</v>
      </c>
      <c r="N306" s="804" t="str">
        <f t="shared" si="129"/>
        <v/>
      </c>
      <c r="O306" s="795"/>
      <c r="P306" s="1156" t="str">
        <f t="shared" si="130"/>
        <v/>
      </c>
      <c r="Q306" s="957" t="str">
        <f t="shared" si="131"/>
        <v/>
      </c>
      <c r="R306" s="767" t="str">
        <f t="shared" si="132"/>
        <v/>
      </c>
      <c r="S306" s="966">
        <f t="shared" si="133"/>
        <v>0</v>
      </c>
      <c r="T306" s="116"/>
      <c r="X306" s="760" t="str">
        <f t="shared" si="143"/>
        <v/>
      </c>
      <c r="Y306" s="745">
        <f t="shared" si="134"/>
        <v>0.6</v>
      </c>
      <c r="Z306" s="758" t="e">
        <f t="shared" si="135"/>
        <v>#VALUE!</v>
      </c>
      <c r="AA306" s="758" t="e">
        <f t="shared" si="136"/>
        <v>#VALUE!</v>
      </c>
      <c r="AB306" s="758" t="e">
        <f t="shared" si="137"/>
        <v>#VALUE!</v>
      </c>
      <c r="AC306" s="544" t="e">
        <f t="shared" si="144"/>
        <v>#VALUE!</v>
      </c>
      <c r="AD306" s="544">
        <f t="shared" si="145"/>
        <v>0</v>
      </c>
      <c r="AE306" s="759">
        <f>IF(H306&gt;8,tab!C$194,tab!C$197)</f>
        <v>0.5</v>
      </c>
      <c r="AF306" s="544">
        <f t="shared" si="146"/>
        <v>0</v>
      </c>
      <c r="AG306" s="760">
        <f t="shared" si="147"/>
        <v>0</v>
      </c>
      <c r="AH306" s="544"/>
    </row>
    <row r="307" spans="3:34" ht="13.15" customHeight="1" x14ac:dyDescent="0.2">
      <c r="C307" s="31"/>
      <c r="D307" s="117" t="str">
        <f t="shared" si="148"/>
        <v/>
      </c>
      <c r="E307" s="117" t="str">
        <f t="shared" si="148"/>
        <v/>
      </c>
      <c r="F307" s="33" t="str">
        <f t="shared" si="138"/>
        <v/>
      </c>
      <c r="G307" s="118" t="str">
        <f t="shared" si="127"/>
        <v/>
      </c>
      <c r="H307" s="33" t="str">
        <f t="shared" si="128"/>
        <v/>
      </c>
      <c r="I307" s="119" t="str">
        <f t="shared" si="142"/>
        <v/>
      </c>
      <c r="J307" s="120" t="str">
        <f t="shared" si="149"/>
        <v/>
      </c>
      <c r="K307" s="170"/>
      <c r="L307" s="1141">
        <f t="shared" si="150"/>
        <v>0</v>
      </c>
      <c r="M307" s="1141">
        <f t="shared" si="150"/>
        <v>0</v>
      </c>
      <c r="N307" s="804" t="str">
        <f t="shared" si="129"/>
        <v/>
      </c>
      <c r="O307" s="795"/>
      <c r="P307" s="1156" t="str">
        <f t="shared" si="130"/>
        <v/>
      </c>
      <c r="Q307" s="957" t="str">
        <f t="shared" si="131"/>
        <v/>
      </c>
      <c r="R307" s="767" t="str">
        <f t="shared" si="132"/>
        <v/>
      </c>
      <c r="S307" s="966">
        <f t="shared" si="133"/>
        <v>0</v>
      </c>
      <c r="T307" s="116"/>
      <c r="X307" s="760" t="str">
        <f t="shared" si="143"/>
        <v/>
      </c>
      <c r="Y307" s="745">
        <f t="shared" si="134"/>
        <v>0.6</v>
      </c>
      <c r="Z307" s="758" t="e">
        <f t="shared" si="135"/>
        <v>#VALUE!</v>
      </c>
      <c r="AA307" s="758" t="e">
        <f t="shared" si="136"/>
        <v>#VALUE!</v>
      </c>
      <c r="AB307" s="758" t="e">
        <f t="shared" si="137"/>
        <v>#VALUE!</v>
      </c>
      <c r="AC307" s="544" t="e">
        <f t="shared" si="144"/>
        <v>#VALUE!</v>
      </c>
      <c r="AD307" s="544">
        <f t="shared" si="145"/>
        <v>0</v>
      </c>
      <c r="AE307" s="759">
        <f>IF(H307&gt;8,tab!C$194,tab!C$197)</f>
        <v>0.5</v>
      </c>
      <c r="AF307" s="544">
        <f t="shared" si="146"/>
        <v>0</v>
      </c>
      <c r="AG307" s="760">
        <f t="shared" si="147"/>
        <v>0</v>
      </c>
      <c r="AH307" s="544"/>
    </row>
    <row r="308" spans="3:34" ht="13.15" customHeight="1" x14ac:dyDescent="0.2">
      <c r="C308" s="31"/>
      <c r="D308" s="117" t="str">
        <f t="shared" si="148"/>
        <v/>
      </c>
      <c r="E308" s="117" t="str">
        <f t="shared" si="148"/>
        <v/>
      </c>
      <c r="F308" s="33" t="str">
        <f t="shared" si="138"/>
        <v/>
      </c>
      <c r="G308" s="118" t="str">
        <f t="shared" si="127"/>
        <v/>
      </c>
      <c r="H308" s="33" t="str">
        <f t="shared" si="128"/>
        <v/>
      </c>
      <c r="I308" s="119" t="str">
        <f t="shared" si="142"/>
        <v/>
      </c>
      <c r="J308" s="120" t="str">
        <f t="shared" si="149"/>
        <v/>
      </c>
      <c r="K308" s="170"/>
      <c r="L308" s="1141">
        <f t="shared" si="150"/>
        <v>0</v>
      </c>
      <c r="M308" s="1141">
        <f t="shared" si="150"/>
        <v>0</v>
      </c>
      <c r="N308" s="804" t="str">
        <f t="shared" si="129"/>
        <v/>
      </c>
      <c r="O308" s="795"/>
      <c r="P308" s="1156" t="str">
        <f t="shared" si="130"/>
        <v/>
      </c>
      <c r="Q308" s="957" t="str">
        <f t="shared" si="131"/>
        <v/>
      </c>
      <c r="R308" s="767" t="str">
        <f t="shared" si="132"/>
        <v/>
      </c>
      <c r="S308" s="966">
        <f t="shared" si="133"/>
        <v>0</v>
      </c>
      <c r="T308" s="116"/>
      <c r="X308" s="760" t="str">
        <f t="shared" si="143"/>
        <v/>
      </c>
      <c r="Y308" s="745">
        <f t="shared" si="134"/>
        <v>0.6</v>
      </c>
      <c r="Z308" s="758" t="e">
        <f t="shared" si="135"/>
        <v>#VALUE!</v>
      </c>
      <c r="AA308" s="758" t="e">
        <f t="shared" si="136"/>
        <v>#VALUE!</v>
      </c>
      <c r="AB308" s="758" t="e">
        <f t="shared" si="137"/>
        <v>#VALUE!</v>
      </c>
      <c r="AC308" s="544" t="e">
        <f t="shared" si="144"/>
        <v>#VALUE!</v>
      </c>
      <c r="AD308" s="544">
        <f t="shared" si="145"/>
        <v>0</v>
      </c>
      <c r="AE308" s="759">
        <f>IF(H308&gt;8,tab!C$194,tab!C$197)</f>
        <v>0.5</v>
      </c>
      <c r="AF308" s="544">
        <f t="shared" si="146"/>
        <v>0</v>
      </c>
      <c r="AG308" s="760">
        <f t="shared" si="147"/>
        <v>0</v>
      </c>
      <c r="AH308" s="544"/>
    </row>
    <row r="309" spans="3:34" ht="13.15" customHeight="1" x14ac:dyDescent="0.2">
      <c r="C309" s="31"/>
      <c r="D309" s="117" t="str">
        <f t="shared" si="148"/>
        <v/>
      </c>
      <c r="E309" s="117" t="str">
        <f t="shared" si="148"/>
        <v/>
      </c>
      <c r="F309" s="33" t="str">
        <f t="shared" si="138"/>
        <v/>
      </c>
      <c r="G309" s="118" t="str">
        <f t="shared" si="127"/>
        <v/>
      </c>
      <c r="H309" s="33" t="str">
        <f t="shared" si="128"/>
        <v/>
      </c>
      <c r="I309" s="119" t="str">
        <f t="shared" si="142"/>
        <v/>
      </c>
      <c r="J309" s="120" t="str">
        <f t="shared" si="149"/>
        <v/>
      </c>
      <c r="K309" s="170"/>
      <c r="L309" s="1141">
        <f t="shared" si="150"/>
        <v>0</v>
      </c>
      <c r="M309" s="1141">
        <f t="shared" si="150"/>
        <v>0</v>
      </c>
      <c r="N309" s="804" t="str">
        <f t="shared" si="129"/>
        <v/>
      </c>
      <c r="O309" s="795"/>
      <c r="P309" s="1156" t="str">
        <f t="shared" si="130"/>
        <v/>
      </c>
      <c r="Q309" s="957" t="str">
        <f t="shared" si="131"/>
        <v/>
      </c>
      <c r="R309" s="767" t="str">
        <f t="shared" si="132"/>
        <v/>
      </c>
      <c r="S309" s="966">
        <f t="shared" si="133"/>
        <v>0</v>
      </c>
      <c r="T309" s="116"/>
      <c r="X309" s="760" t="str">
        <f t="shared" si="143"/>
        <v/>
      </c>
      <c r="Y309" s="745">
        <f t="shared" si="134"/>
        <v>0.6</v>
      </c>
      <c r="Z309" s="758" t="e">
        <f t="shared" si="135"/>
        <v>#VALUE!</v>
      </c>
      <c r="AA309" s="758" t="e">
        <f t="shared" si="136"/>
        <v>#VALUE!</v>
      </c>
      <c r="AB309" s="758" t="e">
        <f t="shared" si="137"/>
        <v>#VALUE!</v>
      </c>
      <c r="AC309" s="544" t="e">
        <f t="shared" si="144"/>
        <v>#VALUE!</v>
      </c>
      <c r="AD309" s="544">
        <f t="shared" si="145"/>
        <v>0</v>
      </c>
      <c r="AE309" s="759">
        <f>IF(H309&gt;8,tab!C$194,tab!C$197)</f>
        <v>0.5</v>
      </c>
      <c r="AF309" s="544">
        <f t="shared" si="146"/>
        <v>0</v>
      </c>
      <c r="AG309" s="760">
        <f t="shared" si="147"/>
        <v>0</v>
      </c>
      <c r="AH309" s="544"/>
    </row>
    <row r="310" spans="3:34" ht="13.15" customHeight="1" x14ac:dyDescent="0.2">
      <c r="C310" s="31"/>
      <c r="D310" s="117" t="str">
        <f t="shared" si="148"/>
        <v/>
      </c>
      <c r="E310" s="117" t="str">
        <f t="shared" si="148"/>
        <v/>
      </c>
      <c r="F310" s="33" t="str">
        <f t="shared" si="138"/>
        <v/>
      </c>
      <c r="G310" s="118" t="str">
        <f t="shared" si="127"/>
        <v/>
      </c>
      <c r="H310" s="33" t="str">
        <f t="shared" si="128"/>
        <v/>
      </c>
      <c r="I310" s="119" t="str">
        <f t="shared" si="142"/>
        <v/>
      </c>
      <c r="J310" s="120" t="str">
        <f t="shared" si="149"/>
        <v/>
      </c>
      <c r="K310" s="170"/>
      <c r="L310" s="1141">
        <f t="shared" si="150"/>
        <v>0</v>
      </c>
      <c r="M310" s="1141">
        <f t="shared" si="150"/>
        <v>0</v>
      </c>
      <c r="N310" s="804" t="str">
        <f t="shared" si="129"/>
        <v/>
      </c>
      <c r="O310" s="795"/>
      <c r="P310" s="1156" t="str">
        <f t="shared" si="130"/>
        <v/>
      </c>
      <c r="Q310" s="957" t="str">
        <f t="shared" si="131"/>
        <v/>
      </c>
      <c r="R310" s="767" t="str">
        <f t="shared" si="132"/>
        <v/>
      </c>
      <c r="S310" s="966">
        <f t="shared" si="133"/>
        <v>0</v>
      </c>
      <c r="T310" s="116"/>
      <c r="X310" s="760" t="str">
        <f t="shared" si="143"/>
        <v/>
      </c>
      <c r="Y310" s="745">
        <f t="shared" si="134"/>
        <v>0.6</v>
      </c>
      <c r="Z310" s="758" t="e">
        <f t="shared" si="135"/>
        <v>#VALUE!</v>
      </c>
      <c r="AA310" s="758" t="e">
        <f t="shared" si="136"/>
        <v>#VALUE!</v>
      </c>
      <c r="AB310" s="758" t="e">
        <f t="shared" si="137"/>
        <v>#VALUE!</v>
      </c>
      <c r="AC310" s="544" t="e">
        <f t="shared" si="144"/>
        <v>#VALUE!</v>
      </c>
      <c r="AD310" s="544">
        <f t="shared" si="145"/>
        <v>0</v>
      </c>
      <c r="AE310" s="759">
        <f>IF(H310&gt;8,tab!C$194,tab!C$197)</f>
        <v>0.5</v>
      </c>
      <c r="AF310" s="544">
        <f t="shared" si="146"/>
        <v>0</v>
      </c>
      <c r="AG310" s="760">
        <f t="shared" si="147"/>
        <v>0</v>
      </c>
      <c r="AH310" s="544"/>
    </row>
    <row r="311" spans="3:34" ht="13.15" customHeight="1" x14ac:dyDescent="0.2">
      <c r="C311" s="31"/>
      <c r="D311" s="117" t="str">
        <f t="shared" si="148"/>
        <v/>
      </c>
      <c r="E311" s="117" t="str">
        <f t="shared" si="148"/>
        <v/>
      </c>
      <c r="F311" s="33" t="str">
        <f t="shared" si="138"/>
        <v/>
      </c>
      <c r="G311" s="118" t="str">
        <f t="shared" si="127"/>
        <v/>
      </c>
      <c r="H311" s="33" t="str">
        <f t="shared" si="128"/>
        <v/>
      </c>
      <c r="I311" s="119" t="str">
        <f t="shared" si="142"/>
        <v/>
      </c>
      <c r="J311" s="120" t="str">
        <f t="shared" si="149"/>
        <v/>
      </c>
      <c r="K311" s="170"/>
      <c r="L311" s="1141">
        <f t="shared" si="150"/>
        <v>0</v>
      </c>
      <c r="M311" s="1141">
        <f t="shared" si="150"/>
        <v>0</v>
      </c>
      <c r="N311" s="804" t="str">
        <f t="shared" si="129"/>
        <v/>
      </c>
      <c r="O311" s="795"/>
      <c r="P311" s="1156" t="str">
        <f t="shared" si="130"/>
        <v/>
      </c>
      <c r="Q311" s="957" t="str">
        <f t="shared" si="131"/>
        <v/>
      </c>
      <c r="R311" s="767" t="str">
        <f t="shared" si="132"/>
        <v/>
      </c>
      <c r="S311" s="966">
        <f t="shared" si="133"/>
        <v>0</v>
      </c>
      <c r="T311" s="116"/>
      <c r="X311" s="760" t="str">
        <f t="shared" si="143"/>
        <v/>
      </c>
      <c r="Y311" s="745">
        <f t="shared" si="134"/>
        <v>0.6</v>
      </c>
      <c r="Z311" s="758" t="e">
        <f t="shared" si="135"/>
        <v>#VALUE!</v>
      </c>
      <c r="AA311" s="758" t="e">
        <f t="shared" si="136"/>
        <v>#VALUE!</v>
      </c>
      <c r="AB311" s="758" t="e">
        <f t="shared" si="137"/>
        <v>#VALUE!</v>
      </c>
      <c r="AC311" s="544" t="e">
        <f t="shared" si="144"/>
        <v>#VALUE!</v>
      </c>
      <c r="AD311" s="544">
        <f t="shared" si="145"/>
        <v>0</v>
      </c>
      <c r="AE311" s="759">
        <f>IF(H311&gt;8,tab!C$194,tab!C$197)</f>
        <v>0.5</v>
      </c>
      <c r="AF311" s="544">
        <f t="shared" si="146"/>
        <v>0</v>
      </c>
      <c r="AG311" s="760">
        <f t="shared" si="147"/>
        <v>0</v>
      </c>
      <c r="AH311" s="544"/>
    </row>
    <row r="312" spans="3:34" ht="13.15" customHeight="1" x14ac:dyDescent="0.2">
      <c r="C312" s="31"/>
      <c r="D312" s="117" t="str">
        <f t="shared" si="148"/>
        <v/>
      </c>
      <c r="E312" s="117" t="str">
        <f t="shared" si="148"/>
        <v/>
      </c>
      <c r="F312" s="33" t="str">
        <f t="shared" si="138"/>
        <v/>
      </c>
      <c r="G312" s="118" t="str">
        <f t="shared" si="127"/>
        <v/>
      </c>
      <c r="H312" s="33" t="str">
        <f t="shared" si="128"/>
        <v/>
      </c>
      <c r="I312" s="119" t="str">
        <f t="shared" si="142"/>
        <v/>
      </c>
      <c r="J312" s="120" t="str">
        <f t="shared" si="149"/>
        <v/>
      </c>
      <c r="K312" s="170"/>
      <c r="L312" s="1141">
        <f t="shared" si="150"/>
        <v>0</v>
      </c>
      <c r="M312" s="1141">
        <f t="shared" si="150"/>
        <v>0</v>
      </c>
      <c r="N312" s="804" t="str">
        <f t="shared" si="129"/>
        <v/>
      </c>
      <c r="O312" s="795"/>
      <c r="P312" s="1156" t="str">
        <f t="shared" si="130"/>
        <v/>
      </c>
      <c r="Q312" s="957" t="str">
        <f t="shared" si="131"/>
        <v/>
      </c>
      <c r="R312" s="767" t="str">
        <f t="shared" si="132"/>
        <v/>
      </c>
      <c r="S312" s="966">
        <f t="shared" si="133"/>
        <v>0</v>
      </c>
      <c r="T312" s="116"/>
      <c r="X312" s="760" t="str">
        <f t="shared" si="143"/>
        <v/>
      </c>
      <c r="Y312" s="745">
        <f t="shared" si="134"/>
        <v>0.6</v>
      </c>
      <c r="Z312" s="758" t="e">
        <f t="shared" si="135"/>
        <v>#VALUE!</v>
      </c>
      <c r="AA312" s="758" t="e">
        <f t="shared" si="136"/>
        <v>#VALUE!</v>
      </c>
      <c r="AB312" s="758" t="e">
        <f t="shared" si="137"/>
        <v>#VALUE!</v>
      </c>
      <c r="AC312" s="544" t="e">
        <f t="shared" si="144"/>
        <v>#VALUE!</v>
      </c>
      <c r="AD312" s="544">
        <f t="shared" si="145"/>
        <v>0</v>
      </c>
      <c r="AE312" s="759">
        <f>IF(H312&gt;8,tab!C$194,tab!C$197)</f>
        <v>0.5</v>
      </c>
      <c r="AF312" s="544">
        <f t="shared" si="146"/>
        <v>0</v>
      </c>
      <c r="AG312" s="760">
        <f t="shared" si="147"/>
        <v>0</v>
      </c>
      <c r="AH312" s="544"/>
    </row>
    <row r="313" spans="3:34" ht="13.15" customHeight="1" x14ac:dyDescent="0.2">
      <c r="C313" s="31"/>
      <c r="D313" s="28"/>
      <c r="E313" s="28"/>
      <c r="F313" s="28"/>
      <c r="G313" s="28"/>
      <c r="H313" s="30"/>
      <c r="I313" s="158"/>
      <c r="J313" s="768">
        <f>SUM(J263:J312)</f>
        <v>1</v>
      </c>
      <c r="K313" s="121"/>
      <c r="L313" s="802">
        <f>SUM(L263:L312)</f>
        <v>0</v>
      </c>
      <c r="M313" s="802">
        <f>SUM(M263:M312)</f>
        <v>0</v>
      </c>
      <c r="N313" s="497"/>
      <c r="O313" s="802">
        <f>SUM(O263:O312)</f>
        <v>0</v>
      </c>
      <c r="P313" s="803">
        <f>SUM(P263:P312)</f>
        <v>40</v>
      </c>
      <c r="Q313" s="959">
        <f>SUM(Q263:Q312)</f>
        <v>60183.470524412303</v>
      </c>
      <c r="R313" s="959">
        <f>SUM(R263:R312)</f>
        <v>1486.9294755877036</v>
      </c>
      <c r="S313" s="959">
        <f>SUM(S263:S312)</f>
        <v>61670.400000000009</v>
      </c>
      <c r="T313" s="75"/>
      <c r="X313" s="544"/>
      <c r="Y313" s="544"/>
      <c r="AG313" s="760">
        <f>SUM(AG263:AG312)</f>
        <v>0</v>
      </c>
      <c r="AH313" s="544"/>
    </row>
    <row r="314" spans="3:34" ht="13.15" customHeight="1" x14ac:dyDescent="0.2"/>
    <row r="315" spans="3:34" ht="13.15" customHeight="1" x14ac:dyDescent="0.2"/>
    <row r="316" spans="3:34" ht="13.15" customHeight="1" x14ac:dyDescent="0.2"/>
    <row r="317" spans="3:34" ht="13.15" customHeight="1" x14ac:dyDescent="0.2">
      <c r="C317" s="34" t="s">
        <v>48</v>
      </c>
      <c r="E317" s="150" t="str">
        <f>tab!I2</f>
        <v>2024/25</v>
      </c>
      <c r="G317" s="174"/>
      <c r="H317" s="8"/>
      <c r="J317" s="123"/>
      <c r="L317" s="147"/>
      <c r="M317" s="147"/>
      <c r="N317" s="116"/>
      <c r="O317" s="116"/>
      <c r="P317" s="124"/>
      <c r="Q317" s="149"/>
      <c r="R317" s="148"/>
      <c r="AG317" s="544"/>
      <c r="AH317" s="544"/>
    </row>
    <row r="318" spans="3:34" ht="13.15" customHeight="1" x14ac:dyDescent="0.2">
      <c r="C318" s="34" t="s">
        <v>125</v>
      </c>
      <c r="E318" s="150">
        <f>tab!J3</f>
        <v>45566</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59"/>
      <c r="Q320" s="25"/>
      <c r="R320" s="106"/>
      <c r="S320" s="968"/>
      <c r="T320" s="77"/>
    </row>
    <row r="321" spans="3:34" ht="13.15" customHeight="1" x14ac:dyDescent="0.2">
      <c r="C321" s="597"/>
      <c r="D321" s="1340" t="s">
        <v>126</v>
      </c>
      <c r="E321" s="1341"/>
      <c r="F321" s="1341"/>
      <c r="G321" s="1341"/>
      <c r="H321" s="1342"/>
      <c r="I321" s="1342"/>
      <c r="J321" s="1342"/>
      <c r="K321" s="685"/>
      <c r="L321" s="686" t="s">
        <v>440</v>
      </c>
      <c r="M321" s="687"/>
      <c r="N321" s="688"/>
      <c r="O321" s="688"/>
      <c r="P321" s="1155"/>
      <c r="Q321" s="579" t="s">
        <v>450</v>
      </c>
      <c r="R321" s="688"/>
      <c r="S321" s="964"/>
      <c r="T321" s="598"/>
    </row>
    <row r="322" spans="3:34" ht="13.15" customHeight="1" x14ac:dyDescent="0.2">
      <c r="C322" s="282"/>
      <c r="D322" s="696" t="s">
        <v>127</v>
      </c>
      <c r="E322" s="696" t="s">
        <v>88</v>
      </c>
      <c r="F322" s="697" t="s">
        <v>128</v>
      </c>
      <c r="G322" s="698" t="s">
        <v>129</v>
      </c>
      <c r="H322" s="697" t="s">
        <v>130</v>
      </c>
      <c r="I322" s="697" t="s">
        <v>131</v>
      </c>
      <c r="J322" s="699" t="s">
        <v>132</v>
      </c>
      <c r="K322" s="696"/>
      <c r="L322" s="700" t="s">
        <v>441</v>
      </c>
      <c r="M322" s="700" t="s">
        <v>444</v>
      </c>
      <c r="N322" s="700" t="s">
        <v>446</v>
      </c>
      <c r="O322" s="700" t="s">
        <v>443</v>
      </c>
      <c r="P322" s="701" t="s">
        <v>449</v>
      </c>
      <c r="Q322" s="700" t="s">
        <v>133</v>
      </c>
      <c r="R322" s="702" t="s">
        <v>453</v>
      </c>
      <c r="S322" s="703" t="s">
        <v>133</v>
      </c>
      <c r="T322" s="600"/>
      <c r="X322" s="705" t="s">
        <v>139</v>
      </c>
      <c r="Y322" s="706" t="s">
        <v>454</v>
      </c>
      <c r="Z322" s="707" t="s">
        <v>455</v>
      </c>
      <c r="AA322" s="707" t="s">
        <v>455</v>
      </c>
      <c r="AB322" s="707" t="s">
        <v>456</v>
      </c>
      <c r="AC322" s="707" t="s">
        <v>457</v>
      </c>
      <c r="AD322" s="707" t="s">
        <v>458</v>
      </c>
      <c r="AE322" s="707" t="s">
        <v>459</v>
      </c>
      <c r="AF322" s="707" t="s">
        <v>134</v>
      </c>
      <c r="AG322" s="703" t="s">
        <v>135</v>
      </c>
    </row>
    <row r="323" spans="3:34" ht="13.15" customHeight="1" x14ac:dyDescent="0.2">
      <c r="C323" s="31"/>
      <c r="D323" s="709"/>
      <c r="E323" s="696"/>
      <c r="F323" s="697" t="s">
        <v>136</v>
      </c>
      <c r="G323" s="698" t="s">
        <v>137</v>
      </c>
      <c r="H323" s="697"/>
      <c r="I323" s="697"/>
      <c r="J323" s="699" t="s">
        <v>467</v>
      </c>
      <c r="K323" s="696"/>
      <c r="L323" s="700" t="s">
        <v>442</v>
      </c>
      <c r="M323" s="700" t="s">
        <v>445</v>
      </c>
      <c r="N323" s="700" t="s">
        <v>447</v>
      </c>
      <c r="O323" s="700" t="s">
        <v>448</v>
      </c>
      <c r="P323" s="701" t="s">
        <v>141</v>
      </c>
      <c r="Q323" s="707" t="s">
        <v>451</v>
      </c>
      <c r="R323" s="702" t="s">
        <v>452</v>
      </c>
      <c r="S323" s="710" t="s">
        <v>141</v>
      </c>
      <c r="T323" s="601"/>
      <c r="X323" s="707" t="s">
        <v>460</v>
      </c>
      <c r="Y323" s="711">
        <f>tab!C$193</f>
        <v>0.6</v>
      </c>
      <c r="Z323" s="707" t="s">
        <v>461</v>
      </c>
      <c r="AA323" s="707" t="s">
        <v>462</v>
      </c>
      <c r="AB323" s="707" t="s">
        <v>463</v>
      </c>
      <c r="AC323" s="707" t="s">
        <v>464</v>
      </c>
      <c r="AD323" s="707" t="s">
        <v>464</v>
      </c>
      <c r="AE323" s="707" t="s">
        <v>465</v>
      </c>
      <c r="AF323" s="707"/>
      <c r="AG323" s="707" t="s">
        <v>140</v>
      </c>
    </row>
    <row r="324" spans="3:34" ht="13.15" customHeight="1" x14ac:dyDescent="0.2">
      <c r="C324" s="31"/>
      <c r="D324" s="1"/>
      <c r="E324" s="1"/>
      <c r="F324" s="1"/>
      <c r="G324" s="109"/>
      <c r="H324" s="110"/>
      <c r="I324" s="110"/>
      <c r="J324" s="111"/>
      <c r="K324" s="1"/>
      <c r="L324" s="112"/>
      <c r="M324" s="113"/>
      <c r="N324" s="113"/>
      <c r="O324" s="113"/>
      <c r="P324" s="606"/>
      <c r="Q324" s="113"/>
      <c r="R324" s="114"/>
      <c r="S324" s="965"/>
      <c r="T324" s="165"/>
      <c r="X324" s="739"/>
      <c r="Y324" s="740"/>
      <c r="AG324" s="544"/>
    </row>
    <row r="325" spans="3:34" ht="13.15" customHeight="1" x14ac:dyDescent="0.2">
      <c r="C325" s="31"/>
      <c r="D325" s="117" t="str">
        <f t="shared" ref="D325:E344" si="151">IF(D263=0,"",D263)</f>
        <v/>
      </c>
      <c r="E325" s="117" t="str">
        <f t="shared" si="151"/>
        <v>nn</v>
      </c>
      <c r="F325" s="33">
        <f>IF(F263=0,"",F263+1)</f>
        <v>30</v>
      </c>
      <c r="G325" s="118">
        <f>IF(G263="","",G263)</f>
        <v>28341</v>
      </c>
      <c r="H325" s="33">
        <f>IF(H263=0,"",H263)</f>
        <v>8</v>
      </c>
      <c r="I325" s="119">
        <f t="shared" ref="I325:I356" si="152">IF(E325="","",IF(I263+1&gt;VLOOKUP(H325,Salaris2021,22,FALSE),I263,I263+1))</f>
        <v>12</v>
      </c>
      <c r="J325" s="120">
        <f t="shared" ref="J325:J344" si="153">IF(J263="","",J263)</f>
        <v>1</v>
      </c>
      <c r="K325" s="170"/>
      <c r="L325" s="1141">
        <f t="shared" ref="L325:M344" si="154">IF(L263="","",L263)</f>
        <v>0</v>
      </c>
      <c r="M325" s="1141">
        <f t="shared" si="154"/>
        <v>0</v>
      </c>
      <c r="N325" s="804">
        <f>IF(J325="","",IF(J325*40&gt;40,40,J325*40))</f>
        <v>40</v>
      </c>
      <c r="O325" s="795"/>
      <c r="P325" s="1156">
        <f>IF(J325="","",SUM(L325:O325))</f>
        <v>40</v>
      </c>
      <c r="Q325" s="957">
        <f>IF(J325="","",(1659*J325-P325)*AA325)</f>
        <v>61326.431826401451</v>
      </c>
      <c r="R325" s="767">
        <f>IF(J325="","",(P325*AB325)+Z325*(AC325+AD325*(1-AE325)))</f>
        <v>1515.1681735985535</v>
      </c>
      <c r="S325" s="966">
        <f>SUM(Q325:R325)</f>
        <v>62841.600000000006</v>
      </c>
      <c r="T325" s="116"/>
      <c r="X325" s="760">
        <f t="shared" ref="X325:X356" si="155">IF(H325="","",VLOOKUP(H325,Salaris2021,I325+1,FALSE))</f>
        <v>3273</v>
      </c>
      <c r="Y325" s="745">
        <f>$Y$13</f>
        <v>0.6</v>
      </c>
      <c r="Z325" s="758">
        <f>X325*12/1659</f>
        <v>23.674502712477395</v>
      </c>
      <c r="AA325" s="758">
        <f>X325*12*(1+Y325)/1659</f>
        <v>37.879204339963835</v>
      </c>
      <c r="AB325" s="758">
        <f>AA325-Z325</f>
        <v>14.20470162748644</v>
      </c>
      <c r="AC325" s="544">
        <f t="shared" ref="AC325:AC356" si="156">N325+O325</f>
        <v>40</v>
      </c>
      <c r="AD325" s="544">
        <f t="shared" ref="AD325:AD356" si="157">L325+M325</f>
        <v>0</v>
      </c>
      <c r="AE325" s="759">
        <f>IF(H325&gt;8,tab!C$194,tab!C$197)</f>
        <v>0.4</v>
      </c>
      <c r="AF325" s="544">
        <f t="shared" ref="AF325:AF356" si="158">IF(F325&lt;25,0,IF(F325=25,25,IF(F325&lt;40,0,IF(F325=40,40,IF(F325&gt;=40,0)))))</f>
        <v>0</v>
      </c>
      <c r="AG325" s="760">
        <f t="shared" ref="AG325:AG356" si="159">IF(AF325=25,(X325*1.08*(J325)/2),IF(AF325=40,(V325*1.08*(J325)),IF(AF325=0,0)))</f>
        <v>0</v>
      </c>
    </row>
    <row r="326" spans="3:34" ht="13.15" customHeight="1" x14ac:dyDescent="0.2">
      <c r="C326" s="31"/>
      <c r="D326" s="117" t="str">
        <f t="shared" si="151"/>
        <v/>
      </c>
      <c r="E326" s="117" t="str">
        <f t="shared" si="151"/>
        <v/>
      </c>
      <c r="F326" s="33" t="str">
        <f>IF(F264="","",F264+1)</f>
        <v/>
      </c>
      <c r="G326" s="118" t="str">
        <f t="shared" ref="G326:G374" si="160">IF(G264="","",G264)</f>
        <v/>
      </c>
      <c r="H326" s="33" t="str">
        <f t="shared" ref="H326:H374" si="161">IF(H264=0,"",H264)</f>
        <v/>
      </c>
      <c r="I326" s="119" t="str">
        <f t="shared" si="152"/>
        <v/>
      </c>
      <c r="J326" s="120" t="str">
        <f t="shared" si="153"/>
        <v/>
      </c>
      <c r="K326" s="170"/>
      <c r="L326" s="1141">
        <f t="shared" si="154"/>
        <v>0</v>
      </c>
      <c r="M326" s="1141">
        <f t="shared" si="154"/>
        <v>0</v>
      </c>
      <c r="N326" s="804" t="str">
        <f t="shared" ref="N326:N374" si="162">IF(J326="","",IF(J326*40&gt;40,40,J326*40))</f>
        <v/>
      </c>
      <c r="O326" s="795"/>
      <c r="P326" s="1156" t="str">
        <f t="shared" ref="P326:P374" si="163">IF(J326="","",SUM(L326:O326))</f>
        <v/>
      </c>
      <c r="Q326" s="957" t="str">
        <f t="shared" ref="Q326:Q374" si="164">IF(J326="","",(1659*J326-P326)*AA326)</f>
        <v/>
      </c>
      <c r="R326" s="767" t="str">
        <f t="shared" ref="R326:R374" si="165">IF(J326="","",(P326*AB326)+Z326*(AC326+AD326*(1-AE326)))</f>
        <v/>
      </c>
      <c r="S326" s="966">
        <f t="shared" ref="S326:S374" si="166">SUM(Q326:R326)</f>
        <v>0</v>
      </c>
      <c r="T326" s="116"/>
      <c r="X326" s="760" t="str">
        <f t="shared" si="155"/>
        <v/>
      </c>
      <c r="Y326" s="745">
        <f t="shared" ref="Y326:Y374" si="167">$Y$13</f>
        <v>0.6</v>
      </c>
      <c r="Z326" s="758" t="e">
        <f t="shared" ref="Z326:Z374" si="168">X326*12/1659</f>
        <v>#VALUE!</v>
      </c>
      <c r="AA326" s="758" t="e">
        <f t="shared" ref="AA326:AA374" si="169">X326*12*(1+Y326)/1659</f>
        <v>#VALUE!</v>
      </c>
      <c r="AB326" s="758" t="e">
        <f t="shared" ref="AB326:AB374" si="170">AA326-Z326</f>
        <v>#VALUE!</v>
      </c>
      <c r="AC326" s="544" t="e">
        <f t="shared" si="156"/>
        <v>#VALUE!</v>
      </c>
      <c r="AD326" s="544">
        <f t="shared" si="157"/>
        <v>0</v>
      </c>
      <c r="AE326" s="759">
        <f>IF(H326&gt;8,tab!C$194,tab!C$197)</f>
        <v>0.5</v>
      </c>
      <c r="AF326" s="544">
        <f t="shared" si="158"/>
        <v>0</v>
      </c>
      <c r="AG326" s="760">
        <f t="shared" si="159"/>
        <v>0</v>
      </c>
    </row>
    <row r="327" spans="3:34" ht="13.15" customHeight="1" x14ac:dyDescent="0.2">
      <c r="C327" s="31"/>
      <c r="D327" s="117" t="str">
        <f t="shared" si="151"/>
        <v/>
      </c>
      <c r="E327" s="117" t="str">
        <f t="shared" si="151"/>
        <v/>
      </c>
      <c r="F327" s="33" t="str">
        <f t="shared" ref="F327:F374" si="171">IF(F265="","",F265+1)</f>
        <v/>
      </c>
      <c r="G327" s="118" t="str">
        <f t="shared" si="160"/>
        <v/>
      </c>
      <c r="H327" s="33" t="str">
        <f t="shared" si="161"/>
        <v/>
      </c>
      <c r="I327" s="119" t="str">
        <f t="shared" si="152"/>
        <v/>
      </c>
      <c r="J327" s="120" t="str">
        <f t="shared" si="153"/>
        <v/>
      </c>
      <c r="K327" s="170"/>
      <c r="L327" s="1141">
        <f t="shared" si="154"/>
        <v>0</v>
      </c>
      <c r="M327" s="1141">
        <f t="shared" si="154"/>
        <v>0</v>
      </c>
      <c r="N327" s="804" t="str">
        <f t="shared" si="162"/>
        <v/>
      </c>
      <c r="O327" s="795"/>
      <c r="P327" s="1156" t="str">
        <f t="shared" si="163"/>
        <v/>
      </c>
      <c r="Q327" s="957" t="str">
        <f t="shared" si="164"/>
        <v/>
      </c>
      <c r="R327" s="767" t="str">
        <f t="shared" si="165"/>
        <v/>
      </c>
      <c r="S327" s="966">
        <f t="shared" si="166"/>
        <v>0</v>
      </c>
      <c r="T327" s="116"/>
      <c r="X327" s="760" t="str">
        <f t="shared" si="155"/>
        <v/>
      </c>
      <c r="Y327" s="745">
        <f t="shared" si="167"/>
        <v>0.6</v>
      </c>
      <c r="Z327" s="758" t="e">
        <f t="shared" si="168"/>
        <v>#VALUE!</v>
      </c>
      <c r="AA327" s="758" t="e">
        <f t="shared" si="169"/>
        <v>#VALUE!</v>
      </c>
      <c r="AB327" s="758" t="e">
        <f t="shared" si="170"/>
        <v>#VALUE!</v>
      </c>
      <c r="AC327" s="544" t="e">
        <f t="shared" si="156"/>
        <v>#VALUE!</v>
      </c>
      <c r="AD327" s="544">
        <f t="shared" si="157"/>
        <v>0</v>
      </c>
      <c r="AE327" s="759">
        <f>IF(H327&gt;8,tab!C$194,tab!C$197)</f>
        <v>0.5</v>
      </c>
      <c r="AF327" s="544">
        <f t="shared" si="158"/>
        <v>0</v>
      </c>
      <c r="AG327" s="760">
        <f t="shared" si="159"/>
        <v>0</v>
      </c>
    </row>
    <row r="328" spans="3:34" ht="13.15" customHeight="1" x14ac:dyDescent="0.2">
      <c r="C328" s="31"/>
      <c r="D328" s="117" t="str">
        <f t="shared" si="151"/>
        <v/>
      </c>
      <c r="E328" s="117" t="str">
        <f t="shared" si="151"/>
        <v/>
      </c>
      <c r="F328" s="33" t="str">
        <f t="shared" si="171"/>
        <v/>
      </c>
      <c r="G328" s="118" t="str">
        <f t="shared" si="160"/>
        <v/>
      </c>
      <c r="H328" s="33" t="str">
        <f t="shared" si="161"/>
        <v/>
      </c>
      <c r="I328" s="119" t="str">
        <f t="shared" si="152"/>
        <v/>
      </c>
      <c r="J328" s="120" t="str">
        <f t="shared" si="153"/>
        <v/>
      </c>
      <c r="K328" s="170"/>
      <c r="L328" s="1141">
        <f t="shared" si="154"/>
        <v>0</v>
      </c>
      <c r="M328" s="1141">
        <f t="shared" si="154"/>
        <v>0</v>
      </c>
      <c r="N328" s="804" t="str">
        <f t="shared" si="162"/>
        <v/>
      </c>
      <c r="O328" s="795"/>
      <c r="P328" s="1156" t="str">
        <f t="shared" si="163"/>
        <v/>
      </c>
      <c r="Q328" s="957" t="str">
        <f t="shared" si="164"/>
        <v/>
      </c>
      <c r="R328" s="767" t="str">
        <f t="shared" si="165"/>
        <v/>
      </c>
      <c r="S328" s="966">
        <f t="shared" si="166"/>
        <v>0</v>
      </c>
      <c r="T328" s="116"/>
      <c r="X328" s="760" t="str">
        <f t="shared" si="155"/>
        <v/>
      </c>
      <c r="Y328" s="745">
        <f t="shared" si="167"/>
        <v>0.6</v>
      </c>
      <c r="Z328" s="758" t="e">
        <f t="shared" si="168"/>
        <v>#VALUE!</v>
      </c>
      <c r="AA328" s="758" t="e">
        <f t="shared" si="169"/>
        <v>#VALUE!</v>
      </c>
      <c r="AB328" s="758" t="e">
        <f t="shared" si="170"/>
        <v>#VALUE!</v>
      </c>
      <c r="AC328" s="544" t="e">
        <f t="shared" si="156"/>
        <v>#VALUE!</v>
      </c>
      <c r="AD328" s="544">
        <f t="shared" si="157"/>
        <v>0</v>
      </c>
      <c r="AE328" s="759">
        <f>IF(H328&gt;8,tab!C$194,tab!C$197)</f>
        <v>0.5</v>
      </c>
      <c r="AF328" s="544">
        <f t="shared" si="158"/>
        <v>0</v>
      </c>
      <c r="AG328" s="760">
        <f t="shared" si="159"/>
        <v>0</v>
      </c>
    </row>
    <row r="329" spans="3:34" ht="13.15" customHeight="1" x14ac:dyDescent="0.2">
      <c r="C329" s="31"/>
      <c r="D329" s="117" t="str">
        <f t="shared" si="151"/>
        <v/>
      </c>
      <c r="E329" s="117" t="str">
        <f t="shared" si="151"/>
        <v/>
      </c>
      <c r="F329" s="33" t="str">
        <f t="shared" si="171"/>
        <v/>
      </c>
      <c r="G329" s="118" t="str">
        <f t="shared" si="160"/>
        <v/>
      </c>
      <c r="H329" s="33" t="str">
        <f t="shared" si="161"/>
        <v/>
      </c>
      <c r="I329" s="119" t="str">
        <f t="shared" si="152"/>
        <v/>
      </c>
      <c r="J329" s="120" t="str">
        <f t="shared" si="153"/>
        <v/>
      </c>
      <c r="K329" s="170"/>
      <c r="L329" s="1141">
        <f t="shared" si="154"/>
        <v>0</v>
      </c>
      <c r="M329" s="1141">
        <f t="shared" si="154"/>
        <v>0</v>
      </c>
      <c r="N329" s="804" t="str">
        <f t="shared" si="162"/>
        <v/>
      </c>
      <c r="O329" s="795"/>
      <c r="P329" s="1156" t="str">
        <f t="shared" si="163"/>
        <v/>
      </c>
      <c r="Q329" s="957" t="str">
        <f t="shared" si="164"/>
        <v/>
      </c>
      <c r="R329" s="767" t="str">
        <f t="shared" si="165"/>
        <v/>
      </c>
      <c r="S329" s="966">
        <f t="shared" si="166"/>
        <v>0</v>
      </c>
      <c r="T329" s="116"/>
      <c r="X329" s="760" t="str">
        <f t="shared" si="155"/>
        <v/>
      </c>
      <c r="Y329" s="745">
        <f t="shared" si="167"/>
        <v>0.6</v>
      </c>
      <c r="Z329" s="758" t="e">
        <f t="shared" si="168"/>
        <v>#VALUE!</v>
      </c>
      <c r="AA329" s="758" t="e">
        <f t="shared" si="169"/>
        <v>#VALUE!</v>
      </c>
      <c r="AB329" s="758" t="e">
        <f t="shared" si="170"/>
        <v>#VALUE!</v>
      </c>
      <c r="AC329" s="544" t="e">
        <f t="shared" si="156"/>
        <v>#VALUE!</v>
      </c>
      <c r="AD329" s="544">
        <f t="shared" si="157"/>
        <v>0</v>
      </c>
      <c r="AE329" s="759">
        <f>IF(H329&gt;8,tab!C$194,tab!C$197)</f>
        <v>0.5</v>
      </c>
      <c r="AF329" s="544">
        <f t="shared" si="158"/>
        <v>0</v>
      </c>
      <c r="AG329" s="760">
        <f t="shared" si="159"/>
        <v>0</v>
      </c>
    </row>
    <row r="330" spans="3:34" ht="13.15" customHeight="1" x14ac:dyDescent="0.2">
      <c r="C330" s="31"/>
      <c r="D330" s="117" t="str">
        <f t="shared" si="151"/>
        <v/>
      </c>
      <c r="E330" s="117" t="str">
        <f t="shared" si="151"/>
        <v/>
      </c>
      <c r="F330" s="33" t="str">
        <f t="shared" si="171"/>
        <v/>
      </c>
      <c r="G330" s="118" t="str">
        <f t="shared" si="160"/>
        <v/>
      </c>
      <c r="H330" s="33" t="str">
        <f t="shared" si="161"/>
        <v/>
      </c>
      <c r="I330" s="119" t="str">
        <f t="shared" si="152"/>
        <v/>
      </c>
      <c r="J330" s="120" t="str">
        <f t="shared" si="153"/>
        <v/>
      </c>
      <c r="K330" s="170"/>
      <c r="L330" s="1141">
        <f t="shared" si="154"/>
        <v>0</v>
      </c>
      <c r="M330" s="1141">
        <f t="shared" si="154"/>
        <v>0</v>
      </c>
      <c r="N330" s="804" t="str">
        <f t="shared" si="162"/>
        <v/>
      </c>
      <c r="O330" s="795"/>
      <c r="P330" s="1156" t="str">
        <f t="shared" si="163"/>
        <v/>
      </c>
      <c r="Q330" s="957" t="str">
        <f t="shared" si="164"/>
        <v/>
      </c>
      <c r="R330" s="767" t="str">
        <f t="shared" si="165"/>
        <v/>
      </c>
      <c r="S330" s="966">
        <f t="shared" si="166"/>
        <v>0</v>
      </c>
      <c r="T330" s="116"/>
      <c r="X330" s="760" t="str">
        <f t="shared" si="155"/>
        <v/>
      </c>
      <c r="Y330" s="745">
        <f t="shared" si="167"/>
        <v>0.6</v>
      </c>
      <c r="Z330" s="758" t="e">
        <f t="shared" si="168"/>
        <v>#VALUE!</v>
      </c>
      <c r="AA330" s="758" t="e">
        <f t="shared" si="169"/>
        <v>#VALUE!</v>
      </c>
      <c r="AB330" s="758" t="e">
        <f t="shared" si="170"/>
        <v>#VALUE!</v>
      </c>
      <c r="AC330" s="544" t="e">
        <f t="shared" si="156"/>
        <v>#VALUE!</v>
      </c>
      <c r="AD330" s="544">
        <f t="shared" si="157"/>
        <v>0</v>
      </c>
      <c r="AE330" s="759">
        <f>IF(H330&gt;8,tab!C$194,tab!C$197)</f>
        <v>0.5</v>
      </c>
      <c r="AF330" s="544">
        <f t="shared" si="158"/>
        <v>0</v>
      </c>
      <c r="AG330" s="760">
        <f t="shared" si="159"/>
        <v>0</v>
      </c>
    </row>
    <row r="331" spans="3:34" ht="13.15" customHeight="1" x14ac:dyDescent="0.2">
      <c r="C331" s="31"/>
      <c r="D331" s="117" t="str">
        <f t="shared" si="151"/>
        <v/>
      </c>
      <c r="E331" s="117" t="str">
        <f t="shared" si="151"/>
        <v/>
      </c>
      <c r="F331" s="33" t="str">
        <f t="shared" si="171"/>
        <v/>
      </c>
      <c r="G331" s="118" t="str">
        <f t="shared" si="160"/>
        <v/>
      </c>
      <c r="H331" s="33" t="str">
        <f t="shared" si="161"/>
        <v/>
      </c>
      <c r="I331" s="119" t="str">
        <f t="shared" si="152"/>
        <v/>
      </c>
      <c r="J331" s="120" t="str">
        <f t="shared" si="153"/>
        <v/>
      </c>
      <c r="K331" s="170"/>
      <c r="L331" s="1141">
        <f t="shared" si="154"/>
        <v>0</v>
      </c>
      <c r="M331" s="1141">
        <f t="shared" si="154"/>
        <v>0</v>
      </c>
      <c r="N331" s="804" t="str">
        <f t="shared" si="162"/>
        <v/>
      </c>
      <c r="O331" s="795"/>
      <c r="P331" s="1156" t="str">
        <f t="shared" si="163"/>
        <v/>
      </c>
      <c r="Q331" s="957" t="str">
        <f t="shared" si="164"/>
        <v/>
      </c>
      <c r="R331" s="767" t="str">
        <f t="shared" si="165"/>
        <v/>
      </c>
      <c r="S331" s="966">
        <f t="shared" si="166"/>
        <v>0</v>
      </c>
      <c r="T331" s="116"/>
      <c r="X331" s="760" t="str">
        <f t="shared" si="155"/>
        <v/>
      </c>
      <c r="Y331" s="745">
        <f t="shared" si="167"/>
        <v>0.6</v>
      </c>
      <c r="Z331" s="758" t="e">
        <f t="shared" si="168"/>
        <v>#VALUE!</v>
      </c>
      <c r="AA331" s="758" t="e">
        <f t="shared" si="169"/>
        <v>#VALUE!</v>
      </c>
      <c r="AB331" s="758" t="e">
        <f t="shared" si="170"/>
        <v>#VALUE!</v>
      </c>
      <c r="AC331" s="544" t="e">
        <f t="shared" si="156"/>
        <v>#VALUE!</v>
      </c>
      <c r="AD331" s="544">
        <f t="shared" si="157"/>
        <v>0</v>
      </c>
      <c r="AE331" s="759">
        <f>IF(H331&gt;8,tab!C$194,tab!C$197)</f>
        <v>0.5</v>
      </c>
      <c r="AF331" s="544">
        <f t="shared" si="158"/>
        <v>0</v>
      </c>
      <c r="AG331" s="760">
        <f t="shared" si="159"/>
        <v>0</v>
      </c>
    </row>
    <row r="332" spans="3:34" ht="13.15" customHeight="1" x14ac:dyDescent="0.2">
      <c r="C332" s="31"/>
      <c r="D332" s="117" t="str">
        <f t="shared" si="151"/>
        <v/>
      </c>
      <c r="E332" s="117" t="str">
        <f t="shared" si="151"/>
        <v/>
      </c>
      <c r="F332" s="33" t="str">
        <f t="shared" si="171"/>
        <v/>
      </c>
      <c r="G332" s="118" t="str">
        <f t="shared" si="160"/>
        <v/>
      </c>
      <c r="H332" s="33" t="str">
        <f t="shared" si="161"/>
        <v/>
      </c>
      <c r="I332" s="119" t="str">
        <f t="shared" si="152"/>
        <v/>
      </c>
      <c r="J332" s="120" t="str">
        <f t="shared" si="153"/>
        <v/>
      </c>
      <c r="K332" s="170"/>
      <c r="L332" s="1141">
        <f t="shared" si="154"/>
        <v>0</v>
      </c>
      <c r="M332" s="1141">
        <f t="shared" si="154"/>
        <v>0</v>
      </c>
      <c r="N332" s="804" t="str">
        <f t="shared" si="162"/>
        <v/>
      </c>
      <c r="O332" s="795"/>
      <c r="P332" s="1156" t="str">
        <f t="shared" si="163"/>
        <v/>
      </c>
      <c r="Q332" s="957" t="str">
        <f t="shared" si="164"/>
        <v/>
      </c>
      <c r="R332" s="767" t="str">
        <f t="shared" si="165"/>
        <v/>
      </c>
      <c r="S332" s="966">
        <f t="shared" si="166"/>
        <v>0</v>
      </c>
      <c r="T332" s="116"/>
      <c r="X332" s="760" t="str">
        <f t="shared" si="155"/>
        <v/>
      </c>
      <c r="Y332" s="745">
        <f t="shared" si="167"/>
        <v>0.6</v>
      </c>
      <c r="Z332" s="758" t="e">
        <f t="shared" si="168"/>
        <v>#VALUE!</v>
      </c>
      <c r="AA332" s="758" t="e">
        <f t="shared" si="169"/>
        <v>#VALUE!</v>
      </c>
      <c r="AB332" s="758" t="e">
        <f t="shared" si="170"/>
        <v>#VALUE!</v>
      </c>
      <c r="AC332" s="544" t="e">
        <f t="shared" si="156"/>
        <v>#VALUE!</v>
      </c>
      <c r="AD332" s="544">
        <f t="shared" si="157"/>
        <v>0</v>
      </c>
      <c r="AE332" s="759">
        <f>IF(H332&gt;8,tab!C$194,tab!C$197)</f>
        <v>0.5</v>
      </c>
      <c r="AF332" s="544">
        <f t="shared" si="158"/>
        <v>0</v>
      </c>
      <c r="AG332" s="760">
        <f t="shared" si="159"/>
        <v>0</v>
      </c>
    </row>
    <row r="333" spans="3:34" ht="13.15" customHeight="1" x14ac:dyDescent="0.2">
      <c r="C333" s="31"/>
      <c r="D333" s="117" t="str">
        <f t="shared" si="151"/>
        <v/>
      </c>
      <c r="E333" s="117" t="str">
        <f t="shared" si="151"/>
        <v/>
      </c>
      <c r="F333" s="33" t="str">
        <f t="shared" si="171"/>
        <v/>
      </c>
      <c r="G333" s="118" t="str">
        <f t="shared" si="160"/>
        <v/>
      </c>
      <c r="H333" s="33" t="str">
        <f t="shared" si="161"/>
        <v/>
      </c>
      <c r="I333" s="119" t="str">
        <f t="shared" si="152"/>
        <v/>
      </c>
      <c r="J333" s="120" t="str">
        <f t="shared" si="153"/>
        <v/>
      </c>
      <c r="K333" s="170"/>
      <c r="L333" s="1141">
        <f t="shared" si="154"/>
        <v>0</v>
      </c>
      <c r="M333" s="1141">
        <f t="shared" si="154"/>
        <v>0</v>
      </c>
      <c r="N333" s="804" t="str">
        <f t="shared" si="162"/>
        <v/>
      </c>
      <c r="O333" s="795"/>
      <c r="P333" s="1156" t="str">
        <f t="shared" si="163"/>
        <v/>
      </c>
      <c r="Q333" s="957" t="str">
        <f t="shared" si="164"/>
        <v/>
      </c>
      <c r="R333" s="767" t="str">
        <f t="shared" si="165"/>
        <v/>
      </c>
      <c r="S333" s="966">
        <f t="shared" si="166"/>
        <v>0</v>
      </c>
      <c r="T333" s="116"/>
      <c r="X333" s="760" t="str">
        <f t="shared" si="155"/>
        <v/>
      </c>
      <c r="Y333" s="745">
        <f t="shared" si="167"/>
        <v>0.6</v>
      </c>
      <c r="Z333" s="758" t="e">
        <f t="shared" si="168"/>
        <v>#VALUE!</v>
      </c>
      <c r="AA333" s="758" t="e">
        <f t="shared" si="169"/>
        <v>#VALUE!</v>
      </c>
      <c r="AB333" s="758" t="e">
        <f t="shared" si="170"/>
        <v>#VALUE!</v>
      </c>
      <c r="AC333" s="544" t="e">
        <f t="shared" si="156"/>
        <v>#VALUE!</v>
      </c>
      <c r="AD333" s="544">
        <f t="shared" si="157"/>
        <v>0</v>
      </c>
      <c r="AE333" s="759">
        <f>IF(H333&gt;8,tab!C$194,tab!C$197)</f>
        <v>0.5</v>
      </c>
      <c r="AF333" s="544">
        <f t="shared" si="158"/>
        <v>0</v>
      </c>
      <c r="AG333" s="760">
        <f t="shared" si="159"/>
        <v>0</v>
      </c>
    </row>
    <row r="334" spans="3:34" ht="13.15" customHeight="1" x14ac:dyDescent="0.2">
      <c r="C334" s="31"/>
      <c r="D334" s="117" t="str">
        <f t="shared" si="151"/>
        <v/>
      </c>
      <c r="E334" s="117" t="str">
        <f t="shared" si="151"/>
        <v/>
      </c>
      <c r="F334" s="33" t="str">
        <f t="shared" si="171"/>
        <v/>
      </c>
      <c r="G334" s="118" t="str">
        <f t="shared" si="160"/>
        <v/>
      </c>
      <c r="H334" s="33" t="str">
        <f t="shared" si="161"/>
        <v/>
      </c>
      <c r="I334" s="119" t="str">
        <f t="shared" si="152"/>
        <v/>
      </c>
      <c r="J334" s="120" t="str">
        <f t="shared" si="153"/>
        <v/>
      </c>
      <c r="K334" s="170"/>
      <c r="L334" s="1141">
        <f t="shared" si="154"/>
        <v>0</v>
      </c>
      <c r="M334" s="1141">
        <f t="shared" si="154"/>
        <v>0</v>
      </c>
      <c r="N334" s="804" t="str">
        <f t="shared" si="162"/>
        <v/>
      </c>
      <c r="O334" s="795"/>
      <c r="P334" s="1156" t="str">
        <f t="shared" si="163"/>
        <v/>
      </c>
      <c r="Q334" s="957" t="str">
        <f t="shared" si="164"/>
        <v/>
      </c>
      <c r="R334" s="767" t="str">
        <f t="shared" si="165"/>
        <v/>
      </c>
      <c r="S334" s="966">
        <f t="shared" si="166"/>
        <v>0</v>
      </c>
      <c r="T334" s="116"/>
      <c r="X334" s="760" t="str">
        <f t="shared" si="155"/>
        <v/>
      </c>
      <c r="Y334" s="745">
        <f t="shared" si="167"/>
        <v>0.6</v>
      </c>
      <c r="Z334" s="758" t="e">
        <f t="shared" si="168"/>
        <v>#VALUE!</v>
      </c>
      <c r="AA334" s="758" t="e">
        <f t="shared" si="169"/>
        <v>#VALUE!</v>
      </c>
      <c r="AB334" s="758" t="e">
        <f t="shared" si="170"/>
        <v>#VALUE!</v>
      </c>
      <c r="AC334" s="544" t="e">
        <f t="shared" si="156"/>
        <v>#VALUE!</v>
      </c>
      <c r="AD334" s="544">
        <f t="shared" si="157"/>
        <v>0</v>
      </c>
      <c r="AE334" s="759">
        <f>IF(H334&gt;8,tab!C$194,tab!C$197)</f>
        <v>0.5</v>
      </c>
      <c r="AF334" s="544">
        <f t="shared" si="158"/>
        <v>0</v>
      </c>
      <c r="AG334" s="760">
        <f t="shared" si="159"/>
        <v>0</v>
      </c>
      <c r="AH334" s="544"/>
    </row>
    <row r="335" spans="3:34" ht="13.15" customHeight="1" x14ac:dyDescent="0.2">
      <c r="C335" s="31"/>
      <c r="D335" s="117" t="str">
        <f t="shared" si="151"/>
        <v/>
      </c>
      <c r="E335" s="117" t="str">
        <f t="shared" si="151"/>
        <v/>
      </c>
      <c r="F335" s="33" t="str">
        <f t="shared" si="171"/>
        <v/>
      </c>
      <c r="G335" s="118" t="str">
        <f t="shared" si="160"/>
        <v/>
      </c>
      <c r="H335" s="33" t="str">
        <f t="shared" si="161"/>
        <v/>
      </c>
      <c r="I335" s="119" t="str">
        <f t="shared" si="152"/>
        <v/>
      </c>
      <c r="J335" s="120" t="str">
        <f t="shared" si="153"/>
        <v/>
      </c>
      <c r="K335" s="170"/>
      <c r="L335" s="1141">
        <f t="shared" si="154"/>
        <v>0</v>
      </c>
      <c r="M335" s="1141">
        <f t="shared" si="154"/>
        <v>0</v>
      </c>
      <c r="N335" s="804" t="str">
        <f t="shared" si="162"/>
        <v/>
      </c>
      <c r="O335" s="795"/>
      <c r="P335" s="1156" t="str">
        <f t="shared" si="163"/>
        <v/>
      </c>
      <c r="Q335" s="957" t="str">
        <f t="shared" si="164"/>
        <v/>
      </c>
      <c r="R335" s="767" t="str">
        <f t="shared" si="165"/>
        <v/>
      </c>
      <c r="S335" s="966">
        <f t="shared" si="166"/>
        <v>0</v>
      </c>
      <c r="T335" s="116"/>
      <c r="X335" s="760" t="str">
        <f t="shared" si="155"/>
        <v/>
      </c>
      <c r="Y335" s="745">
        <f t="shared" si="167"/>
        <v>0.6</v>
      </c>
      <c r="Z335" s="758" t="e">
        <f t="shared" si="168"/>
        <v>#VALUE!</v>
      </c>
      <c r="AA335" s="758" t="e">
        <f t="shared" si="169"/>
        <v>#VALUE!</v>
      </c>
      <c r="AB335" s="758" t="e">
        <f t="shared" si="170"/>
        <v>#VALUE!</v>
      </c>
      <c r="AC335" s="544" t="e">
        <f t="shared" si="156"/>
        <v>#VALUE!</v>
      </c>
      <c r="AD335" s="544">
        <f t="shared" si="157"/>
        <v>0</v>
      </c>
      <c r="AE335" s="759">
        <f>IF(H335&gt;8,tab!C$194,tab!C$197)</f>
        <v>0.5</v>
      </c>
      <c r="AF335" s="544">
        <f t="shared" si="158"/>
        <v>0</v>
      </c>
      <c r="AG335" s="760">
        <f t="shared" si="159"/>
        <v>0</v>
      </c>
      <c r="AH335" s="544"/>
    </row>
    <row r="336" spans="3:34" ht="13.15" customHeight="1" x14ac:dyDescent="0.2">
      <c r="C336" s="31"/>
      <c r="D336" s="117" t="str">
        <f t="shared" si="151"/>
        <v/>
      </c>
      <c r="E336" s="117" t="str">
        <f t="shared" si="151"/>
        <v/>
      </c>
      <c r="F336" s="33" t="str">
        <f t="shared" si="171"/>
        <v/>
      </c>
      <c r="G336" s="118" t="str">
        <f t="shared" si="160"/>
        <v/>
      </c>
      <c r="H336" s="33" t="str">
        <f t="shared" si="161"/>
        <v/>
      </c>
      <c r="I336" s="119" t="str">
        <f t="shared" si="152"/>
        <v/>
      </c>
      <c r="J336" s="120" t="str">
        <f t="shared" si="153"/>
        <v/>
      </c>
      <c r="K336" s="170"/>
      <c r="L336" s="1141">
        <f t="shared" si="154"/>
        <v>0</v>
      </c>
      <c r="M336" s="1141">
        <f t="shared" si="154"/>
        <v>0</v>
      </c>
      <c r="N336" s="804" t="str">
        <f t="shared" si="162"/>
        <v/>
      </c>
      <c r="O336" s="795"/>
      <c r="P336" s="1156" t="str">
        <f t="shared" si="163"/>
        <v/>
      </c>
      <c r="Q336" s="957" t="str">
        <f t="shared" si="164"/>
        <v/>
      </c>
      <c r="R336" s="767" t="str">
        <f t="shared" si="165"/>
        <v/>
      </c>
      <c r="S336" s="966">
        <f t="shared" si="166"/>
        <v>0</v>
      </c>
      <c r="T336" s="116"/>
      <c r="X336" s="760" t="str">
        <f t="shared" si="155"/>
        <v/>
      </c>
      <c r="Y336" s="745">
        <f t="shared" si="167"/>
        <v>0.6</v>
      </c>
      <c r="Z336" s="758" t="e">
        <f t="shared" si="168"/>
        <v>#VALUE!</v>
      </c>
      <c r="AA336" s="758" t="e">
        <f t="shared" si="169"/>
        <v>#VALUE!</v>
      </c>
      <c r="AB336" s="758" t="e">
        <f t="shared" si="170"/>
        <v>#VALUE!</v>
      </c>
      <c r="AC336" s="544" t="e">
        <f t="shared" si="156"/>
        <v>#VALUE!</v>
      </c>
      <c r="AD336" s="544">
        <f t="shared" si="157"/>
        <v>0</v>
      </c>
      <c r="AE336" s="759">
        <f>IF(H336&gt;8,tab!C$194,tab!C$197)</f>
        <v>0.5</v>
      </c>
      <c r="AF336" s="544">
        <f t="shared" si="158"/>
        <v>0</v>
      </c>
      <c r="AG336" s="760">
        <f t="shared" si="159"/>
        <v>0</v>
      </c>
      <c r="AH336" s="544"/>
    </row>
    <row r="337" spans="3:34" ht="13.15" customHeight="1" x14ac:dyDescent="0.2">
      <c r="C337" s="31"/>
      <c r="D337" s="117" t="str">
        <f t="shared" si="151"/>
        <v/>
      </c>
      <c r="E337" s="117" t="str">
        <f t="shared" si="151"/>
        <v/>
      </c>
      <c r="F337" s="33" t="str">
        <f t="shared" si="171"/>
        <v/>
      </c>
      <c r="G337" s="118" t="str">
        <f t="shared" si="160"/>
        <v/>
      </c>
      <c r="H337" s="33" t="str">
        <f t="shared" si="161"/>
        <v/>
      </c>
      <c r="I337" s="119" t="str">
        <f t="shared" si="152"/>
        <v/>
      </c>
      <c r="J337" s="120" t="str">
        <f t="shared" si="153"/>
        <v/>
      </c>
      <c r="K337" s="170"/>
      <c r="L337" s="1141">
        <f t="shared" si="154"/>
        <v>0</v>
      </c>
      <c r="M337" s="1141">
        <f t="shared" si="154"/>
        <v>0</v>
      </c>
      <c r="N337" s="804" t="str">
        <f t="shared" si="162"/>
        <v/>
      </c>
      <c r="O337" s="795"/>
      <c r="P337" s="1156" t="str">
        <f t="shared" si="163"/>
        <v/>
      </c>
      <c r="Q337" s="957" t="str">
        <f t="shared" si="164"/>
        <v/>
      </c>
      <c r="R337" s="767" t="str">
        <f t="shared" si="165"/>
        <v/>
      </c>
      <c r="S337" s="966">
        <f t="shared" si="166"/>
        <v>0</v>
      </c>
      <c r="T337" s="116"/>
      <c r="X337" s="760" t="str">
        <f t="shared" si="155"/>
        <v/>
      </c>
      <c r="Y337" s="745">
        <f t="shared" si="167"/>
        <v>0.6</v>
      </c>
      <c r="Z337" s="758" t="e">
        <f t="shared" si="168"/>
        <v>#VALUE!</v>
      </c>
      <c r="AA337" s="758" t="e">
        <f t="shared" si="169"/>
        <v>#VALUE!</v>
      </c>
      <c r="AB337" s="758" t="e">
        <f t="shared" si="170"/>
        <v>#VALUE!</v>
      </c>
      <c r="AC337" s="544" t="e">
        <f t="shared" si="156"/>
        <v>#VALUE!</v>
      </c>
      <c r="AD337" s="544">
        <f t="shared" si="157"/>
        <v>0</v>
      </c>
      <c r="AE337" s="759">
        <f>IF(H337&gt;8,tab!C$194,tab!C$197)</f>
        <v>0.5</v>
      </c>
      <c r="AF337" s="544">
        <f t="shared" si="158"/>
        <v>0</v>
      </c>
      <c r="AG337" s="760">
        <f t="shared" si="159"/>
        <v>0</v>
      </c>
      <c r="AH337" s="544"/>
    </row>
    <row r="338" spans="3:34" ht="13.15" customHeight="1" x14ac:dyDescent="0.2">
      <c r="C338" s="31"/>
      <c r="D338" s="117" t="str">
        <f t="shared" si="151"/>
        <v/>
      </c>
      <c r="E338" s="117" t="str">
        <f t="shared" si="151"/>
        <v/>
      </c>
      <c r="F338" s="33" t="str">
        <f t="shared" si="171"/>
        <v/>
      </c>
      <c r="G338" s="118" t="str">
        <f t="shared" si="160"/>
        <v/>
      </c>
      <c r="H338" s="33" t="str">
        <f t="shared" si="161"/>
        <v/>
      </c>
      <c r="I338" s="119" t="str">
        <f t="shared" si="152"/>
        <v/>
      </c>
      <c r="J338" s="120" t="str">
        <f t="shared" si="153"/>
        <v/>
      </c>
      <c r="K338" s="170"/>
      <c r="L338" s="1141">
        <f t="shared" si="154"/>
        <v>0</v>
      </c>
      <c r="M338" s="1141">
        <f t="shared" si="154"/>
        <v>0</v>
      </c>
      <c r="N338" s="804" t="str">
        <f t="shared" si="162"/>
        <v/>
      </c>
      <c r="O338" s="795"/>
      <c r="P338" s="1156" t="str">
        <f t="shared" si="163"/>
        <v/>
      </c>
      <c r="Q338" s="957" t="str">
        <f t="shared" si="164"/>
        <v/>
      </c>
      <c r="R338" s="767" t="str">
        <f t="shared" si="165"/>
        <v/>
      </c>
      <c r="S338" s="966">
        <f t="shared" si="166"/>
        <v>0</v>
      </c>
      <c r="T338" s="116"/>
      <c r="X338" s="760" t="str">
        <f t="shared" si="155"/>
        <v/>
      </c>
      <c r="Y338" s="745">
        <f t="shared" si="167"/>
        <v>0.6</v>
      </c>
      <c r="Z338" s="758" t="e">
        <f t="shared" si="168"/>
        <v>#VALUE!</v>
      </c>
      <c r="AA338" s="758" t="e">
        <f t="shared" si="169"/>
        <v>#VALUE!</v>
      </c>
      <c r="AB338" s="758" t="e">
        <f t="shared" si="170"/>
        <v>#VALUE!</v>
      </c>
      <c r="AC338" s="544" t="e">
        <f t="shared" si="156"/>
        <v>#VALUE!</v>
      </c>
      <c r="AD338" s="544">
        <f t="shared" si="157"/>
        <v>0</v>
      </c>
      <c r="AE338" s="759">
        <f>IF(H338&gt;8,tab!C$194,tab!C$197)</f>
        <v>0.5</v>
      </c>
      <c r="AF338" s="544">
        <f t="shared" si="158"/>
        <v>0</v>
      </c>
      <c r="AG338" s="760">
        <f t="shared" si="159"/>
        <v>0</v>
      </c>
      <c r="AH338" s="544"/>
    </row>
    <row r="339" spans="3:34" ht="13.15" customHeight="1" x14ac:dyDescent="0.2">
      <c r="C339" s="31"/>
      <c r="D339" s="117" t="str">
        <f t="shared" si="151"/>
        <v/>
      </c>
      <c r="E339" s="117" t="str">
        <f t="shared" si="151"/>
        <v/>
      </c>
      <c r="F339" s="33" t="str">
        <f t="shared" si="171"/>
        <v/>
      </c>
      <c r="G339" s="118" t="str">
        <f t="shared" si="160"/>
        <v/>
      </c>
      <c r="H339" s="33" t="str">
        <f t="shared" si="161"/>
        <v/>
      </c>
      <c r="I339" s="119" t="str">
        <f t="shared" si="152"/>
        <v/>
      </c>
      <c r="J339" s="120" t="str">
        <f t="shared" si="153"/>
        <v/>
      </c>
      <c r="K339" s="170"/>
      <c r="L339" s="1141">
        <f t="shared" si="154"/>
        <v>0</v>
      </c>
      <c r="M339" s="1141">
        <f t="shared" si="154"/>
        <v>0</v>
      </c>
      <c r="N339" s="804" t="str">
        <f t="shared" si="162"/>
        <v/>
      </c>
      <c r="O339" s="795"/>
      <c r="P339" s="1156" t="str">
        <f t="shared" si="163"/>
        <v/>
      </c>
      <c r="Q339" s="957" t="str">
        <f t="shared" si="164"/>
        <v/>
      </c>
      <c r="R339" s="767" t="str">
        <f t="shared" si="165"/>
        <v/>
      </c>
      <c r="S339" s="966">
        <f t="shared" si="166"/>
        <v>0</v>
      </c>
      <c r="T339" s="116"/>
      <c r="X339" s="760" t="str">
        <f t="shared" si="155"/>
        <v/>
      </c>
      <c r="Y339" s="745">
        <f t="shared" si="167"/>
        <v>0.6</v>
      </c>
      <c r="Z339" s="758" t="e">
        <f t="shared" si="168"/>
        <v>#VALUE!</v>
      </c>
      <c r="AA339" s="758" t="e">
        <f t="shared" si="169"/>
        <v>#VALUE!</v>
      </c>
      <c r="AB339" s="758" t="e">
        <f t="shared" si="170"/>
        <v>#VALUE!</v>
      </c>
      <c r="AC339" s="544" t="e">
        <f t="shared" si="156"/>
        <v>#VALUE!</v>
      </c>
      <c r="AD339" s="544">
        <f t="shared" si="157"/>
        <v>0</v>
      </c>
      <c r="AE339" s="759">
        <f>IF(H339&gt;8,tab!C$194,tab!C$197)</f>
        <v>0.5</v>
      </c>
      <c r="AF339" s="544">
        <f t="shared" si="158"/>
        <v>0</v>
      </c>
      <c r="AG339" s="760">
        <f t="shared" si="159"/>
        <v>0</v>
      </c>
      <c r="AH339" s="544"/>
    </row>
    <row r="340" spans="3:34" ht="13.15" customHeight="1" x14ac:dyDescent="0.2">
      <c r="C340" s="31"/>
      <c r="D340" s="117" t="str">
        <f t="shared" si="151"/>
        <v/>
      </c>
      <c r="E340" s="117" t="str">
        <f t="shared" si="151"/>
        <v/>
      </c>
      <c r="F340" s="33" t="str">
        <f t="shared" si="171"/>
        <v/>
      </c>
      <c r="G340" s="118" t="str">
        <f t="shared" si="160"/>
        <v/>
      </c>
      <c r="H340" s="33" t="str">
        <f t="shared" si="161"/>
        <v/>
      </c>
      <c r="I340" s="119" t="str">
        <f t="shared" si="152"/>
        <v/>
      </c>
      <c r="J340" s="120" t="str">
        <f t="shared" si="153"/>
        <v/>
      </c>
      <c r="K340" s="170"/>
      <c r="L340" s="1141">
        <f t="shared" si="154"/>
        <v>0</v>
      </c>
      <c r="M340" s="1141">
        <f t="shared" si="154"/>
        <v>0</v>
      </c>
      <c r="N340" s="804" t="str">
        <f t="shared" si="162"/>
        <v/>
      </c>
      <c r="O340" s="795"/>
      <c r="P340" s="1156" t="str">
        <f t="shared" si="163"/>
        <v/>
      </c>
      <c r="Q340" s="957" t="str">
        <f t="shared" si="164"/>
        <v/>
      </c>
      <c r="R340" s="767" t="str">
        <f t="shared" si="165"/>
        <v/>
      </c>
      <c r="S340" s="966">
        <f t="shared" si="166"/>
        <v>0</v>
      </c>
      <c r="T340" s="116"/>
      <c r="X340" s="760" t="str">
        <f t="shared" si="155"/>
        <v/>
      </c>
      <c r="Y340" s="745">
        <f t="shared" si="167"/>
        <v>0.6</v>
      </c>
      <c r="Z340" s="758" t="e">
        <f t="shared" si="168"/>
        <v>#VALUE!</v>
      </c>
      <c r="AA340" s="758" t="e">
        <f t="shared" si="169"/>
        <v>#VALUE!</v>
      </c>
      <c r="AB340" s="758" t="e">
        <f t="shared" si="170"/>
        <v>#VALUE!</v>
      </c>
      <c r="AC340" s="544" t="e">
        <f t="shared" si="156"/>
        <v>#VALUE!</v>
      </c>
      <c r="AD340" s="544">
        <f t="shared" si="157"/>
        <v>0</v>
      </c>
      <c r="AE340" s="759">
        <f>IF(H340&gt;8,tab!C$194,tab!C$197)</f>
        <v>0.5</v>
      </c>
      <c r="AF340" s="544">
        <f t="shared" si="158"/>
        <v>0</v>
      </c>
      <c r="AG340" s="760">
        <f t="shared" si="159"/>
        <v>0</v>
      </c>
      <c r="AH340" s="544"/>
    </row>
    <row r="341" spans="3:34" ht="13.15" customHeight="1" x14ac:dyDescent="0.2">
      <c r="C341" s="31"/>
      <c r="D341" s="117" t="str">
        <f t="shared" si="151"/>
        <v/>
      </c>
      <c r="E341" s="117" t="str">
        <f t="shared" si="151"/>
        <v/>
      </c>
      <c r="F341" s="33" t="str">
        <f t="shared" si="171"/>
        <v/>
      </c>
      <c r="G341" s="118" t="str">
        <f t="shared" si="160"/>
        <v/>
      </c>
      <c r="H341" s="33" t="str">
        <f t="shared" si="161"/>
        <v/>
      </c>
      <c r="I341" s="119" t="str">
        <f t="shared" si="152"/>
        <v/>
      </c>
      <c r="J341" s="120" t="str">
        <f t="shared" si="153"/>
        <v/>
      </c>
      <c r="K341" s="170"/>
      <c r="L341" s="1141">
        <f t="shared" si="154"/>
        <v>0</v>
      </c>
      <c r="M341" s="1141">
        <f t="shared" si="154"/>
        <v>0</v>
      </c>
      <c r="N341" s="804" t="str">
        <f t="shared" si="162"/>
        <v/>
      </c>
      <c r="O341" s="795"/>
      <c r="P341" s="1156" t="str">
        <f t="shared" si="163"/>
        <v/>
      </c>
      <c r="Q341" s="957" t="str">
        <f t="shared" si="164"/>
        <v/>
      </c>
      <c r="R341" s="767" t="str">
        <f t="shared" si="165"/>
        <v/>
      </c>
      <c r="S341" s="966">
        <f t="shared" si="166"/>
        <v>0</v>
      </c>
      <c r="T341" s="116"/>
      <c r="X341" s="760" t="str">
        <f t="shared" si="155"/>
        <v/>
      </c>
      <c r="Y341" s="745">
        <f t="shared" si="167"/>
        <v>0.6</v>
      </c>
      <c r="Z341" s="758" t="e">
        <f t="shared" si="168"/>
        <v>#VALUE!</v>
      </c>
      <c r="AA341" s="758" t="e">
        <f t="shared" si="169"/>
        <v>#VALUE!</v>
      </c>
      <c r="AB341" s="758" t="e">
        <f t="shared" si="170"/>
        <v>#VALUE!</v>
      </c>
      <c r="AC341" s="544" t="e">
        <f t="shared" si="156"/>
        <v>#VALUE!</v>
      </c>
      <c r="AD341" s="544">
        <f t="shared" si="157"/>
        <v>0</v>
      </c>
      <c r="AE341" s="759">
        <f>IF(H341&gt;8,tab!C$194,tab!C$197)</f>
        <v>0.5</v>
      </c>
      <c r="AF341" s="544">
        <f t="shared" si="158"/>
        <v>0</v>
      </c>
      <c r="AG341" s="760">
        <f t="shared" si="159"/>
        <v>0</v>
      </c>
      <c r="AH341" s="544"/>
    </row>
    <row r="342" spans="3:34" ht="13.15" customHeight="1" x14ac:dyDescent="0.2">
      <c r="C342" s="31"/>
      <c r="D342" s="117" t="str">
        <f t="shared" si="151"/>
        <v/>
      </c>
      <c r="E342" s="117" t="str">
        <f t="shared" si="151"/>
        <v/>
      </c>
      <c r="F342" s="33" t="str">
        <f t="shared" si="171"/>
        <v/>
      </c>
      <c r="G342" s="118" t="str">
        <f t="shared" si="160"/>
        <v/>
      </c>
      <c r="H342" s="33" t="str">
        <f t="shared" si="161"/>
        <v/>
      </c>
      <c r="I342" s="119" t="str">
        <f t="shared" si="152"/>
        <v/>
      </c>
      <c r="J342" s="120" t="str">
        <f t="shared" si="153"/>
        <v/>
      </c>
      <c r="K342" s="170"/>
      <c r="L342" s="1141">
        <f t="shared" si="154"/>
        <v>0</v>
      </c>
      <c r="M342" s="1141">
        <f t="shared" si="154"/>
        <v>0</v>
      </c>
      <c r="N342" s="804" t="str">
        <f t="shared" si="162"/>
        <v/>
      </c>
      <c r="O342" s="795"/>
      <c r="P342" s="1156" t="str">
        <f t="shared" si="163"/>
        <v/>
      </c>
      <c r="Q342" s="957" t="str">
        <f t="shared" si="164"/>
        <v/>
      </c>
      <c r="R342" s="767" t="str">
        <f t="shared" si="165"/>
        <v/>
      </c>
      <c r="S342" s="966">
        <f t="shared" si="166"/>
        <v>0</v>
      </c>
      <c r="T342" s="116"/>
      <c r="X342" s="760" t="str">
        <f t="shared" si="155"/>
        <v/>
      </c>
      <c r="Y342" s="745">
        <f t="shared" si="167"/>
        <v>0.6</v>
      </c>
      <c r="Z342" s="758" t="e">
        <f t="shared" si="168"/>
        <v>#VALUE!</v>
      </c>
      <c r="AA342" s="758" t="e">
        <f t="shared" si="169"/>
        <v>#VALUE!</v>
      </c>
      <c r="AB342" s="758" t="e">
        <f t="shared" si="170"/>
        <v>#VALUE!</v>
      </c>
      <c r="AC342" s="544" t="e">
        <f t="shared" si="156"/>
        <v>#VALUE!</v>
      </c>
      <c r="AD342" s="544">
        <f t="shared" si="157"/>
        <v>0</v>
      </c>
      <c r="AE342" s="759">
        <f>IF(H342&gt;8,tab!C$194,tab!C$197)</f>
        <v>0.5</v>
      </c>
      <c r="AF342" s="544">
        <f t="shared" si="158"/>
        <v>0</v>
      </c>
      <c r="AG342" s="760">
        <f t="shared" si="159"/>
        <v>0</v>
      </c>
      <c r="AH342" s="544"/>
    </row>
    <row r="343" spans="3:34" ht="13.15" customHeight="1" x14ac:dyDescent="0.2">
      <c r="C343" s="31"/>
      <c r="D343" s="117" t="str">
        <f t="shared" si="151"/>
        <v/>
      </c>
      <c r="E343" s="117" t="str">
        <f t="shared" si="151"/>
        <v/>
      </c>
      <c r="F343" s="33" t="str">
        <f t="shared" si="171"/>
        <v/>
      </c>
      <c r="G343" s="118" t="str">
        <f t="shared" si="160"/>
        <v/>
      </c>
      <c r="H343" s="33" t="str">
        <f t="shared" si="161"/>
        <v/>
      </c>
      <c r="I343" s="119" t="str">
        <f t="shared" si="152"/>
        <v/>
      </c>
      <c r="J343" s="120" t="str">
        <f t="shared" si="153"/>
        <v/>
      </c>
      <c r="K343" s="170"/>
      <c r="L343" s="1141">
        <f t="shared" si="154"/>
        <v>0</v>
      </c>
      <c r="M343" s="1141">
        <f t="shared" si="154"/>
        <v>0</v>
      </c>
      <c r="N343" s="804" t="str">
        <f t="shared" si="162"/>
        <v/>
      </c>
      <c r="O343" s="795"/>
      <c r="P343" s="1156" t="str">
        <f t="shared" si="163"/>
        <v/>
      </c>
      <c r="Q343" s="957" t="str">
        <f t="shared" si="164"/>
        <v/>
      </c>
      <c r="R343" s="767" t="str">
        <f t="shared" si="165"/>
        <v/>
      </c>
      <c r="S343" s="966">
        <f t="shared" si="166"/>
        <v>0</v>
      </c>
      <c r="T343" s="116"/>
      <c r="X343" s="760" t="str">
        <f t="shared" si="155"/>
        <v/>
      </c>
      <c r="Y343" s="745">
        <f t="shared" si="167"/>
        <v>0.6</v>
      </c>
      <c r="Z343" s="758" t="e">
        <f t="shared" si="168"/>
        <v>#VALUE!</v>
      </c>
      <c r="AA343" s="758" t="e">
        <f t="shared" si="169"/>
        <v>#VALUE!</v>
      </c>
      <c r="AB343" s="758" t="e">
        <f t="shared" si="170"/>
        <v>#VALUE!</v>
      </c>
      <c r="AC343" s="544" t="e">
        <f t="shared" si="156"/>
        <v>#VALUE!</v>
      </c>
      <c r="AD343" s="544">
        <f t="shared" si="157"/>
        <v>0</v>
      </c>
      <c r="AE343" s="759">
        <f>IF(H343&gt;8,tab!C$194,tab!C$197)</f>
        <v>0.5</v>
      </c>
      <c r="AF343" s="544">
        <f t="shared" si="158"/>
        <v>0</v>
      </c>
      <c r="AG343" s="760">
        <f t="shared" si="159"/>
        <v>0</v>
      </c>
      <c r="AH343" s="544"/>
    </row>
    <row r="344" spans="3:34" ht="13.15" customHeight="1" x14ac:dyDescent="0.2">
      <c r="C344" s="31"/>
      <c r="D344" s="117" t="str">
        <f t="shared" si="151"/>
        <v/>
      </c>
      <c r="E344" s="117" t="str">
        <f t="shared" si="151"/>
        <v/>
      </c>
      <c r="F344" s="33" t="str">
        <f t="shared" si="171"/>
        <v/>
      </c>
      <c r="G344" s="118" t="str">
        <f t="shared" si="160"/>
        <v/>
      </c>
      <c r="H344" s="33" t="str">
        <f t="shared" si="161"/>
        <v/>
      </c>
      <c r="I344" s="119" t="str">
        <f t="shared" si="152"/>
        <v/>
      </c>
      <c r="J344" s="120" t="str">
        <f t="shared" si="153"/>
        <v/>
      </c>
      <c r="K344" s="170"/>
      <c r="L344" s="1141">
        <f t="shared" si="154"/>
        <v>0</v>
      </c>
      <c r="M344" s="1141">
        <f t="shared" si="154"/>
        <v>0</v>
      </c>
      <c r="N344" s="804" t="str">
        <f t="shared" si="162"/>
        <v/>
      </c>
      <c r="O344" s="795"/>
      <c r="P344" s="1156" t="str">
        <f t="shared" si="163"/>
        <v/>
      </c>
      <c r="Q344" s="957" t="str">
        <f t="shared" si="164"/>
        <v/>
      </c>
      <c r="R344" s="767" t="str">
        <f t="shared" si="165"/>
        <v/>
      </c>
      <c r="S344" s="966">
        <f t="shared" si="166"/>
        <v>0</v>
      </c>
      <c r="T344" s="116"/>
      <c r="X344" s="760" t="str">
        <f t="shared" si="155"/>
        <v/>
      </c>
      <c r="Y344" s="745">
        <f t="shared" si="167"/>
        <v>0.6</v>
      </c>
      <c r="Z344" s="758" t="e">
        <f t="shared" si="168"/>
        <v>#VALUE!</v>
      </c>
      <c r="AA344" s="758" t="e">
        <f t="shared" si="169"/>
        <v>#VALUE!</v>
      </c>
      <c r="AB344" s="758" t="e">
        <f t="shared" si="170"/>
        <v>#VALUE!</v>
      </c>
      <c r="AC344" s="544" t="e">
        <f t="shared" si="156"/>
        <v>#VALUE!</v>
      </c>
      <c r="AD344" s="544">
        <f t="shared" si="157"/>
        <v>0</v>
      </c>
      <c r="AE344" s="759">
        <f>IF(H344&gt;8,tab!C$194,tab!C$197)</f>
        <v>0.5</v>
      </c>
      <c r="AF344" s="544">
        <f t="shared" si="158"/>
        <v>0</v>
      </c>
      <c r="AG344" s="760">
        <f t="shared" si="159"/>
        <v>0</v>
      </c>
      <c r="AH344" s="544"/>
    </row>
    <row r="345" spans="3:34" ht="13.15" customHeight="1" x14ac:dyDescent="0.2">
      <c r="C345" s="31"/>
      <c r="D345" s="117" t="str">
        <f t="shared" ref="D345:E364" si="172">IF(D283=0,"",D283)</f>
        <v/>
      </c>
      <c r="E345" s="117" t="str">
        <f t="shared" si="172"/>
        <v/>
      </c>
      <c r="F345" s="33" t="str">
        <f t="shared" si="171"/>
        <v/>
      </c>
      <c r="G345" s="118" t="str">
        <f t="shared" si="160"/>
        <v/>
      </c>
      <c r="H345" s="33" t="str">
        <f t="shared" si="161"/>
        <v/>
      </c>
      <c r="I345" s="119" t="str">
        <f t="shared" si="152"/>
        <v/>
      </c>
      <c r="J345" s="120" t="str">
        <f t="shared" ref="J345:J364" si="173">IF(J283="","",J283)</f>
        <v/>
      </c>
      <c r="K345" s="170"/>
      <c r="L345" s="1141">
        <f t="shared" ref="L345:M364" si="174">IF(L283="","",L283)</f>
        <v>0</v>
      </c>
      <c r="M345" s="1141">
        <f t="shared" si="174"/>
        <v>0</v>
      </c>
      <c r="N345" s="804" t="str">
        <f t="shared" si="162"/>
        <v/>
      </c>
      <c r="O345" s="795"/>
      <c r="P345" s="1156" t="str">
        <f t="shared" si="163"/>
        <v/>
      </c>
      <c r="Q345" s="957" t="str">
        <f t="shared" si="164"/>
        <v/>
      </c>
      <c r="R345" s="767" t="str">
        <f t="shared" si="165"/>
        <v/>
      </c>
      <c r="S345" s="966">
        <f t="shared" si="166"/>
        <v>0</v>
      </c>
      <c r="T345" s="116"/>
      <c r="X345" s="760" t="str">
        <f t="shared" si="155"/>
        <v/>
      </c>
      <c r="Y345" s="745">
        <f t="shared" si="167"/>
        <v>0.6</v>
      </c>
      <c r="Z345" s="758" t="e">
        <f t="shared" si="168"/>
        <v>#VALUE!</v>
      </c>
      <c r="AA345" s="758" t="e">
        <f t="shared" si="169"/>
        <v>#VALUE!</v>
      </c>
      <c r="AB345" s="758" t="e">
        <f t="shared" si="170"/>
        <v>#VALUE!</v>
      </c>
      <c r="AC345" s="544" t="e">
        <f t="shared" si="156"/>
        <v>#VALUE!</v>
      </c>
      <c r="AD345" s="544">
        <f t="shared" si="157"/>
        <v>0</v>
      </c>
      <c r="AE345" s="759">
        <f>IF(H345&gt;8,tab!C$194,tab!C$197)</f>
        <v>0.5</v>
      </c>
      <c r="AF345" s="544">
        <f t="shared" si="158"/>
        <v>0</v>
      </c>
      <c r="AG345" s="760">
        <f t="shared" si="159"/>
        <v>0</v>
      </c>
      <c r="AH345" s="544"/>
    </row>
    <row r="346" spans="3:34" ht="13.15" customHeight="1" x14ac:dyDescent="0.2">
      <c r="C346" s="31"/>
      <c r="D346" s="117" t="str">
        <f t="shared" si="172"/>
        <v/>
      </c>
      <c r="E346" s="117" t="str">
        <f t="shared" si="172"/>
        <v/>
      </c>
      <c r="F346" s="33" t="str">
        <f t="shared" si="171"/>
        <v/>
      </c>
      <c r="G346" s="118" t="str">
        <f t="shared" si="160"/>
        <v/>
      </c>
      <c r="H346" s="33" t="str">
        <f t="shared" si="161"/>
        <v/>
      </c>
      <c r="I346" s="119" t="str">
        <f t="shared" si="152"/>
        <v/>
      </c>
      <c r="J346" s="120" t="str">
        <f t="shared" si="173"/>
        <v/>
      </c>
      <c r="K346" s="170"/>
      <c r="L346" s="1141">
        <f t="shared" si="174"/>
        <v>0</v>
      </c>
      <c r="M346" s="1141">
        <f t="shared" si="174"/>
        <v>0</v>
      </c>
      <c r="N346" s="804" t="str">
        <f t="shared" si="162"/>
        <v/>
      </c>
      <c r="O346" s="795"/>
      <c r="P346" s="1156" t="str">
        <f t="shared" si="163"/>
        <v/>
      </c>
      <c r="Q346" s="957" t="str">
        <f t="shared" si="164"/>
        <v/>
      </c>
      <c r="R346" s="767" t="str">
        <f t="shared" si="165"/>
        <v/>
      </c>
      <c r="S346" s="966">
        <f t="shared" si="166"/>
        <v>0</v>
      </c>
      <c r="T346" s="116"/>
      <c r="X346" s="760" t="str">
        <f t="shared" si="155"/>
        <v/>
      </c>
      <c r="Y346" s="745">
        <f t="shared" si="167"/>
        <v>0.6</v>
      </c>
      <c r="Z346" s="758" t="e">
        <f t="shared" si="168"/>
        <v>#VALUE!</v>
      </c>
      <c r="AA346" s="758" t="e">
        <f t="shared" si="169"/>
        <v>#VALUE!</v>
      </c>
      <c r="AB346" s="758" t="e">
        <f t="shared" si="170"/>
        <v>#VALUE!</v>
      </c>
      <c r="AC346" s="544" t="e">
        <f t="shared" si="156"/>
        <v>#VALUE!</v>
      </c>
      <c r="AD346" s="544">
        <f t="shared" si="157"/>
        <v>0</v>
      </c>
      <c r="AE346" s="759">
        <f>IF(H346&gt;8,tab!C$194,tab!C$197)</f>
        <v>0.5</v>
      </c>
      <c r="AF346" s="544">
        <f t="shared" si="158"/>
        <v>0</v>
      </c>
      <c r="AG346" s="760">
        <f t="shared" si="159"/>
        <v>0</v>
      </c>
      <c r="AH346" s="544"/>
    </row>
    <row r="347" spans="3:34" ht="13.15" customHeight="1" x14ac:dyDescent="0.2">
      <c r="C347" s="31"/>
      <c r="D347" s="117" t="str">
        <f t="shared" si="172"/>
        <v/>
      </c>
      <c r="E347" s="117" t="str">
        <f t="shared" si="172"/>
        <v/>
      </c>
      <c r="F347" s="33" t="str">
        <f t="shared" si="171"/>
        <v/>
      </c>
      <c r="G347" s="118" t="str">
        <f t="shared" si="160"/>
        <v/>
      </c>
      <c r="H347" s="33" t="str">
        <f t="shared" si="161"/>
        <v/>
      </c>
      <c r="I347" s="119" t="str">
        <f t="shared" si="152"/>
        <v/>
      </c>
      <c r="J347" s="120" t="str">
        <f t="shared" si="173"/>
        <v/>
      </c>
      <c r="K347" s="170"/>
      <c r="L347" s="1141">
        <f t="shared" si="174"/>
        <v>0</v>
      </c>
      <c r="M347" s="1141">
        <f t="shared" si="174"/>
        <v>0</v>
      </c>
      <c r="N347" s="804" t="str">
        <f t="shared" si="162"/>
        <v/>
      </c>
      <c r="O347" s="795"/>
      <c r="P347" s="1156" t="str">
        <f t="shared" si="163"/>
        <v/>
      </c>
      <c r="Q347" s="957" t="str">
        <f t="shared" si="164"/>
        <v/>
      </c>
      <c r="R347" s="767" t="str">
        <f t="shared" si="165"/>
        <v/>
      </c>
      <c r="S347" s="966">
        <f t="shared" si="166"/>
        <v>0</v>
      </c>
      <c r="T347" s="116"/>
      <c r="X347" s="760" t="str">
        <f t="shared" si="155"/>
        <v/>
      </c>
      <c r="Y347" s="745">
        <f t="shared" si="167"/>
        <v>0.6</v>
      </c>
      <c r="Z347" s="758" t="e">
        <f t="shared" si="168"/>
        <v>#VALUE!</v>
      </c>
      <c r="AA347" s="758" t="e">
        <f t="shared" si="169"/>
        <v>#VALUE!</v>
      </c>
      <c r="AB347" s="758" t="e">
        <f t="shared" si="170"/>
        <v>#VALUE!</v>
      </c>
      <c r="AC347" s="544" t="e">
        <f t="shared" si="156"/>
        <v>#VALUE!</v>
      </c>
      <c r="AD347" s="544">
        <f t="shared" si="157"/>
        <v>0</v>
      </c>
      <c r="AE347" s="759">
        <f>IF(H347&gt;8,tab!C$194,tab!C$197)</f>
        <v>0.5</v>
      </c>
      <c r="AF347" s="544">
        <f t="shared" si="158"/>
        <v>0</v>
      </c>
      <c r="AG347" s="760">
        <f t="shared" si="159"/>
        <v>0</v>
      </c>
      <c r="AH347" s="544"/>
    </row>
    <row r="348" spans="3:34" ht="13.15" customHeight="1" x14ac:dyDescent="0.2">
      <c r="C348" s="31"/>
      <c r="D348" s="117" t="str">
        <f t="shared" si="172"/>
        <v/>
      </c>
      <c r="E348" s="117" t="str">
        <f t="shared" si="172"/>
        <v/>
      </c>
      <c r="F348" s="33" t="str">
        <f t="shared" si="171"/>
        <v/>
      </c>
      <c r="G348" s="118" t="str">
        <f t="shared" si="160"/>
        <v/>
      </c>
      <c r="H348" s="33" t="str">
        <f t="shared" si="161"/>
        <v/>
      </c>
      <c r="I348" s="119" t="str">
        <f t="shared" si="152"/>
        <v/>
      </c>
      <c r="J348" s="120" t="str">
        <f t="shared" si="173"/>
        <v/>
      </c>
      <c r="K348" s="170"/>
      <c r="L348" s="1141">
        <f t="shared" si="174"/>
        <v>0</v>
      </c>
      <c r="M348" s="1141">
        <f t="shared" si="174"/>
        <v>0</v>
      </c>
      <c r="N348" s="804" t="str">
        <f t="shared" si="162"/>
        <v/>
      </c>
      <c r="O348" s="795"/>
      <c r="P348" s="1156" t="str">
        <f t="shared" si="163"/>
        <v/>
      </c>
      <c r="Q348" s="957" t="str">
        <f t="shared" si="164"/>
        <v/>
      </c>
      <c r="R348" s="767" t="str">
        <f t="shared" si="165"/>
        <v/>
      </c>
      <c r="S348" s="966">
        <f t="shared" si="166"/>
        <v>0</v>
      </c>
      <c r="T348" s="116"/>
      <c r="X348" s="760" t="str">
        <f t="shared" si="155"/>
        <v/>
      </c>
      <c r="Y348" s="745">
        <f t="shared" si="167"/>
        <v>0.6</v>
      </c>
      <c r="Z348" s="758" t="e">
        <f t="shared" si="168"/>
        <v>#VALUE!</v>
      </c>
      <c r="AA348" s="758" t="e">
        <f t="shared" si="169"/>
        <v>#VALUE!</v>
      </c>
      <c r="AB348" s="758" t="e">
        <f t="shared" si="170"/>
        <v>#VALUE!</v>
      </c>
      <c r="AC348" s="544" t="e">
        <f t="shared" si="156"/>
        <v>#VALUE!</v>
      </c>
      <c r="AD348" s="544">
        <f t="shared" si="157"/>
        <v>0</v>
      </c>
      <c r="AE348" s="759">
        <f>IF(H348&gt;8,tab!C$194,tab!C$197)</f>
        <v>0.5</v>
      </c>
      <c r="AF348" s="544">
        <f t="shared" si="158"/>
        <v>0</v>
      </c>
      <c r="AG348" s="760">
        <f t="shared" si="159"/>
        <v>0</v>
      </c>
      <c r="AH348" s="544"/>
    </row>
    <row r="349" spans="3:34" ht="13.15" customHeight="1" x14ac:dyDescent="0.2">
      <c r="C349" s="31"/>
      <c r="D349" s="117" t="str">
        <f t="shared" si="172"/>
        <v/>
      </c>
      <c r="E349" s="117" t="str">
        <f t="shared" si="172"/>
        <v/>
      </c>
      <c r="F349" s="33" t="str">
        <f t="shared" si="171"/>
        <v/>
      </c>
      <c r="G349" s="118" t="str">
        <f t="shared" si="160"/>
        <v/>
      </c>
      <c r="H349" s="33" t="str">
        <f t="shared" si="161"/>
        <v/>
      </c>
      <c r="I349" s="119" t="str">
        <f t="shared" si="152"/>
        <v/>
      </c>
      <c r="J349" s="120" t="str">
        <f t="shared" si="173"/>
        <v/>
      </c>
      <c r="K349" s="170"/>
      <c r="L349" s="1141">
        <f t="shared" si="174"/>
        <v>0</v>
      </c>
      <c r="M349" s="1141">
        <f t="shared" si="174"/>
        <v>0</v>
      </c>
      <c r="N349" s="804" t="str">
        <f t="shared" si="162"/>
        <v/>
      </c>
      <c r="O349" s="795"/>
      <c r="P349" s="1156" t="str">
        <f t="shared" si="163"/>
        <v/>
      </c>
      <c r="Q349" s="957" t="str">
        <f t="shared" si="164"/>
        <v/>
      </c>
      <c r="R349" s="767" t="str">
        <f t="shared" si="165"/>
        <v/>
      </c>
      <c r="S349" s="966">
        <f t="shared" si="166"/>
        <v>0</v>
      </c>
      <c r="T349" s="116"/>
      <c r="X349" s="760" t="str">
        <f t="shared" si="155"/>
        <v/>
      </c>
      <c r="Y349" s="745">
        <f t="shared" si="167"/>
        <v>0.6</v>
      </c>
      <c r="Z349" s="758" t="e">
        <f t="shared" si="168"/>
        <v>#VALUE!</v>
      </c>
      <c r="AA349" s="758" t="e">
        <f t="shared" si="169"/>
        <v>#VALUE!</v>
      </c>
      <c r="AB349" s="758" t="e">
        <f t="shared" si="170"/>
        <v>#VALUE!</v>
      </c>
      <c r="AC349" s="544" t="e">
        <f t="shared" si="156"/>
        <v>#VALUE!</v>
      </c>
      <c r="AD349" s="544">
        <f t="shared" si="157"/>
        <v>0</v>
      </c>
      <c r="AE349" s="759">
        <f>IF(H349&gt;8,tab!C$194,tab!C$197)</f>
        <v>0.5</v>
      </c>
      <c r="AF349" s="544">
        <f t="shared" si="158"/>
        <v>0</v>
      </c>
      <c r="AG349" s="760">
        <f t="shared" si="159"/>
        <v>0</v>
      </c>
      <c r="AH349" s="544"/>
    </row>
    <row r="350" spans="3:34" ht="13.15" customHeight="1" x14ac:dyDescent="0.2">
      <c r="C350" s="31"/>
      <c r="D350" s="117" t="str">
        <f t="shared" si="172"/>
        <v/>
      </c>
      <c r="E350" s="117" t="str">
        <f t="shared" si="172"/>
        <v/>
      </c>
      <c r="F350" s="33" t="str">
        <f t="shared" si="171"/>
        <v/>
      </c>
      <c r="G350" s="118" t="str">
        <f t="shared" si="160"/>
        <v/>
      </c>
      <c r="H350" s="33" t="str">
        <f t="shared" si="161"/>
        <v/>
      </c>
      <c r="I350" s="119" t="str">
        <f t="shared" si="152"/>
        <v/>
      </c>
      <c r="J350" s="120" t="str">
        <f t="shared" si="173"/>
        <v/>
      </c>
      <c r="K350" s="170"/>
      <c r="L350" s="1141">
        <f t="shared" si="174"/>
        <v>0</v>
      </c>
      <c r="M350" s="1141">
        <f t="shared" si="174"/>
        <v>0</v>
      </c>
      <c r="N350" s="804" t="str">
        <f t="shared" si="162"/>
        <v/>
      </c>
      <c r="O350" s="795"/>
      <c r="P350" s="1156" t="str">
        <f t="shared" si="163"/>
        <v/>
      </c>
      <c r="Q350" s="957" t="str">
        <f t="shared" si="164"/>
        <v/>
      </c>
      <c r="R350" s="767" t="str">
        <f t="shared" si="165"/>
        <v/>
      </c>
      <c r="S350" s="966">
        <f t="shared" si="166"/>
        <v>0</v>
      </c>
      <c r="T350" s="116"/>
      <c r="X350" s="760" t="str">
        <f t="shared" si="155"/>
        <v/>
      </c>
      <c r="Y350" s="745">
        <f t="shared" si="167"/>
        <v>0.6</v>
      </c>
      <c r="Z350" s="758" t="e">
        <f t="shared" si="168"/>
        <v>#VALUE!</v>
      </c>
      <c r="AA350" s="758" t="e">
        <f t="shared" si="169"/>
        <v>#VALUE!</v>
      </c>
      <c r="AB350" s="758" t="e">
        <f t="shared" si="170"/>
        <v>#VALUE!</v>
      </c>
      <c r="AC350" s="544" t="e">
        <f t="shared" si="156"/>
        <v>#VALUE!</v>
      </c>
      <c r="AD350" s="544">
        <f t="shared" si="157"/>
        <v>0</v>
      </c>
      <c r="AE350" s="759">
        <f>IF(H350&gt;8,tab!C$194,tab!C$197)</f>
        <v>0.5</v>
      </c>
      <c r="AF350" s="544">
        <f t="shared" si="158"/>
        <v>0</v>
      </c>
      <c r="AG350" s="760">
        <f t="shared" si="159"/>
        <v>0</v>
      </c>
      <c r="AH350" s="544"/>
    </row>
    <row r="351" spans="3:34" ht="13.15" customHeight="1" x14ac:dyDescent="0.2">
      <c r="C351" s="31"/>
      <c r="D351" s="117" t="str">
        <f t="shared" si="172"/>
        <v/>
      </c>
      <c r="E351" s="117" t="str">
        <f t="shared" si="172"/>
        <v/>
      </c>
      <c r="F351" s="33" t="str">
        <f t="shared" si="171"/>
        <v/>
      </c>
      <c r="G351" s="118" t="str">
        <f t="shared" si="160"/>
        <v/>
      </c>
      <c r="H351" s="33" t="str">
        <f t="shared" si="161"/>
        <v/>
      </c>
      <c r="I351" s="119" t="str">
        <f t="shared" si="152"/>
        <v/>
      </c>
      <c r="J351" s="120" t="str">
        <f t="shared" si="173"/>
        <v/>
      </c>
      <c r="K351" s="170"/>
      <c r="L351" s="1141">
        <f t="shared" si="174"/>
        <v>0</v>
      </c>
      <c r="M351" s="1141">
        <f t="shared" si="174"/>
        <v>0</v>
      </c>
      <c r="N351" s="804" t="str">
        <f t="shared" si="162"/>
        <v/>
      </c>
      <c r="O351" s="795"/>
      <c r="P351" s="1156" t="str">
        <f t="shared" si="163"/>
        <v/>
      </c>
      <c r="Q351" s="957" t="str">
        <f t="shared" si="164"/>
        <v/>
      </c>
      <c r="R351" s="767" t="str">
        <f t="shared" si="165"/>
        <v/>
      </c>
      <c r="S351" s="966">
        <f t="shared" si="166"/>
        <v>0</v>
      </c>
      <c r="T351" s="116"/>
      <c r="X351" s="760" t="str">
        <f t="shared" si="155"/>
        <v/>
      </c>
      <c r="Y351" s="745">
        <f t="shared" si="167"/>
        <v>0.6</v>
      </c>
      <c r="Z351" s="758" t="e">
        <f t="shared" si="168"/>
        <v>#VALUE!</v>
      </c>
      <c r="AA351" s="758" t="e">
        <f t="shared" si="169"/>
        <v>#VALUE!</v>
      </c>
      <c r="AB351" s="758" t="e">
        <f t="shared" si="170"/>
        <v>#VALUE!</v>
      </c>
      <c r="AC351" s="544" t="e">
        <f t="shared" si="156"/>
        <v>#VALUE!</v>
      </c>
      <c r="AD351" s="544">
        <f t="shared" si="157"/>
        <v>0</v>
      </c>
      <c r="AE351" s="759">
        <f>IF(H351&gt;8,tab!C$194,tab!C$197)</f>
        <v>0.5</v>
      </c>
      <c r="AF351" s="544">
        <f t="shared" si="158"/>
        <v>0</v>
      </c>
      <c r="AG351" s="760">
        <f t="shared" si="159"/>
        <v>0</v>
      </c>
      <c r="AH351" s="544"/>
    </row>
    <row r="352" spans="3:34" ht="13.15" customHeight="1" x14ac:dyDescent="0.2">
      <c r="C352" s="31"/>
      <c r="D352" s="117" t="str">
        <f t="shared" si="172"/>
        <v/>
      </c>
      <c r="E352" s="117" t="str">
        <f t="shared" si="172"/>
        <v/>
      </c>
      <c r="F352" s="33" t="str">
        <f t="shared" si="171"/>
        <v/>
      </c>
      <c r="G352" s="118" t="str">
        <f t="shared" si="160"/>
        <v/>
      </c>
      <c r="H352" s="33" t="str">
        <f t="shared" si="161"/>
        <v/>
      </c>
      <c r="I352" s="119" t="str">
        <f t="shared" si="152"/>
        <v/>
      </c>
      <c r="J352" s="120" t="str">
        <f t="shared" si="173"/>
        <v/>
      </c>
      <c r="K352" s="170"/>
      <c r="L352" s="1141">
        <f t="shared" si="174"/>
        <v>0</v>
      </c>
      <c r="M352" s="1141">
        <f t="shared" si="174"/>
        <v>0</v>
      </c>
      <c r="N352" s="804" t="str">
        <f t="shared" si="162"/>
        <v/>
      </c>
      <c r="O352" s="795"/>
      <c r="P352" s="1156" t="str">
        <f t="shared" si="163"/>
        <v/>
      </c>
      <c r="Q352" s="957" t="str">
        <f t="shared" si="164"/>
        <v/>
      </c>
      <c r="R352" s="767" t="str">
        <f t="shared" si="165"/>
        <v/>
      </c>
      <c r="S352" s="966">
        <f t="shared" si="166"/>
        <v>0</v>
      </c>
      <c r="T352" s="116"/>
      <c r="X352" s="760" t="str">
        <f t="shared" si="155"/>
        <v/>
      </c>
      <c r="Y352" s="745">
        <f t="shared" si="167"/>
        <v>0.6</v>
      </c>
      <c r="Z352" s="758" t="e">
        <f t="shared" si="168"/>
        <v>#VALUE!</v>
      </c>
      <c r="AA352" s="758" t="e">
        <f t="shared" si="169"/>
        <v>#VALUE!</v>
      </c>
      <c r="AB352" s="758" t="e">
        <f t="shared" si="170"/>
        <v>#VALUE!</v>
      </c>
      <c r="AC352" s="544" t="e">
        <f t="shared" si="156"/>
        <v>#VALUE!</v>
      </c>
      <c r="AD352" s="544">
        <f t="shared" si="157"/>
        <v>0</v>
      </c>
      <c r="AE352" s="759">
        <f>IF(H352&gt;8,tab!C$194,tab!C$197)</f>
        <v>0.5</v>
      </c>
      <c r="AF352" s="544">
        <f t="shared" si="158"/>
        <v>0</v>
      </c>
      <c r="AG352" s="760">
        <f t="shared" si="159"/>
        <v>0</v>
      </c>
      <c r="AH352" s="544"/>
    </row>
    <row r="353" spans="3:34" ht="13.15" customHeight="1" x14ac:dyDescent="0.2">
      <c r="C353" s="31"/>
      <c r="D353" s="117" t="str">
        <f t="shared" si="172"/>
        <v/>
      </c>
      <c r="E353" s="117" t="str">
        <f t="shared" si="172"/>
        <v/>
      </c>
      <c r="F353" s="33" t="str">
        <f t="shared" si="171"/>
        <v/>
      </c>
      <c r="G353" s="118" t="str">
        <f t="shared" si="160"/>
        <v/>
      </c>
      <c r="H353" s="33" t="str">
        <f t="shared" si="161"/>
        <v/>
      </c>
      <c r="I353" s="119" t="str">
        <f t="shared" si="152"/>
        <v/>
      </c>
      <c r="J353" s="120" t="str">
        <f t="shared" si="173"/>
        <v/>
      </c>
      <c r="K353" s="170"/>
      <c r="L353" s="1141">
        <f t="shared" si="174"/>
        <v>0</v>
      </c>
      <c r="M353" s="1141">
        <f t="shared" si="174"/>
        <v>0</v>
      </c>
      <c r="N353" s="804" t="str">
        <f t="shared" si="162"/>
        <v/>
      </c>
      <c r="O353" s="795"/>
      <c r="P353" s="1156" t="str">
        <f t="shared" si="163"/>
        <v/>
      </c>
      <c r="Q353" s="957" t="str">
        <f t="shared" si="164"/>
        <v/>
      </c>
      <c r="R353" s="767" t="str">
        <f t="shared" si="165"/>
        <v/>
      </c>
      <c r="S353" s="966">
        <f t="shared" si="166"/>
        <v>0</v>
      </c>
      <c r="T353" s="116"/>
      <c r="X353" s="760" t="str">
        <f t="shared" si="155"/>
        <v/>
      </c>
      <c r="Y353" s="745">
        <f t="shared" si="167"/>
        <v>0.6</v>
      </c>
      <c r="Z353" s="758" t="e">
        <f t="shared" si="168"/>
        <v>#VALUE!</v>
      </c>
      <c r="AA353" s="758" t="e">
        <f t="shared" si="169"/>
        <v>#VALUE!</v>
      </c>
      <c r="AB353" s="758" t="e">
        <f t="shared" si="170"/>
        <v>#VALUE!</v>
      </c>
      <c r="AC353" s="544" t="e">
        <f t="shared" si="156"/>
        <v>#VALUE!</v>
      </c>
      <c r="AD353" s="544">
        <f t="shared" si="157"/>
        <v>0</v>
      </c>
      <c r="AE353" s="759">
        <f>IF(H353&gt;8,tab!C$194,tab!C$197)</f>
        <v>0.5</v>
      </c>
      <c r="AF353" s="544">
        <f t="shared" si="158"/>
        <v>0</v>
      </c>
      <c r="AG353" s="760">
        <f t="shared" si="159"/>
        <v>0</v>
      </c>
      <c r="AH353" s="544"/>
    </row>
    <row r="354" spans="3:34" ht="13.15" customHeight="1" x14ac:dyDescent="0.2">
      <c r="C354" s="31"/>
      <c r="D354" s="117" t="str">
        <f t="shared" si="172"/>
        <v/>
      </c>
      <c r="E354" s="117" t="str">
        <f t="shared" si="172"/>
        <v/>
      </c>
      <c r="F354" s="33" t="str">
        <f t="shared" si="171"/>
        <v/>
      </c>
      <c r="G354" s="118" t="str">
        <f t="shared" si="160"/>
        <v/>
      </c>
      <c r="H354" s="33" t="str">
        <f t="shared" si="161"/>
        <v/>
      </c>
      <c r="I354" s="119" t="str">
        <f t="shared" si="152"/>
        <v/>
      </c>
      <c r="J354" s="120" t="str">
        <f t="shared" si="173"/>
        <v/>
      </c>
      <c r="K354" s="170"/>
      <c r="L354" s="1141">
        <f t="shared" si="174"/>
        <v>0</v>
      </c>
      <c r="M354" s="1141">
        <f t="shared" si="174"/>
        <v>0</v>
      </c>
      <c r="N354" s="804" t="str">
        <f t="shared" si="162"/>
        <v/>
      </c>
      <c r="O354" s="795"/>
      <c r="P354" s="1156" t="str">
        <f t="shared" si="163"/>
        <v/>
      </c>
      <c r="Q354" s="957" t="str">
        <f t="shared" si="164"/>
        <v/>
      </c>
      <c r="R354" s="767" t="str">
        <f t="shared" si="165"/>
        <v/>
      </c>
      <c r="S354" s="966">
        <f t="shared" si="166"/>
        <v>0</v>
      </c>
      <c r="T354" s="116"/>
      <c r="X354" s="760" t="str">
        <f t="shared" si="155"/>
        <v/>
      </c>
      <c r="Y354" s="745">
        <f t="shared" si="167"/>
        <v>0.6</v>
      </c>
      <c r="Z354" s="758" t="e">
        <f t="shared" si="168"/>
        <v>#VALUE!</v>
      </c>
      <c r="AA354" s="758" t="e">
        <f t="shared" si="169"/>
        <v>#VALUE!</v>
      </c>
      <c r="AB354" s="758" t="e">
        <f t="shared" si="170"/>
        <v>#VALUE!</v>
      </c>
      <c r="AC354" s="544" t="e">
        <f t="shared" si="156"/>
        <v>#VALUE!</v>
      </c>
      <c r="AD354" s="544">
        <f t="shared" si="157"/>
        <v>0</v>
      </c>
      <c r="AE354" s="759">
        <f>IF(H354&gt;8,tab!C$194,tab!C$197)</f>
        <v>0.5</v>
      </c>
      <c r="AF354" s="544">
        <f t="shared" si="158"/>
        <v>0</v>
      </c>
      <c r="AG354" s="760">
        <f t="shared" si="159"/>
        <v>0</v>
      </c>
      <c r="AH354" s="544"/>
    </row>
    <row r="355" spans="3:34" ht="13.15" customHeight="1" x14ac:dyDescent="0.2">
      <c r="C355" s="31"/>
      <c r="D355" s="117" t="str">
        <f t="shared" si="172"/>
        <v/>
      </c>
      <c r="E355" s="117" t="str">
        <f t="shared" si="172"/>
        <v/>
      </c>
      <c r="F355" s="33" t="str">
        <f t="shared" si="171"/>
        <v/>
      </c>
      <c r="G355" s="118" t="str">
        <f t="shared" si="160"/>
        <v/>
      </c>
      <c r="H355" s="33" t="str">
        <f t="shared" si="161"/>
        <v/>
      </c>
      <c r="I355" s="119" t="str">
        <f t="shared" si="152"/>
        <v/>
      </c>
      <c r="J355" s="120" t="str">
        <f t="shared" si="173"/>
        <v/>
      </c>
      <c r="K355" s="170"/>
      <c r="L355" s="1141">
        <f t="shared" si="174"/>
        <v>0</v>
      </c>
      <c r="M355" s="1141">
        <f t="shared" si="174"/>
        <v>0</v>
      </c>
      <c r="N355" s="804" t="str">
        <f t="shared" si="162"/>
        <v/>
      </c>
      <c r="O355" s="795"/>
      <c r="P355" s="1156" t="str">
        <f t="shared" si="163"/>
        <v/>
      </c>
      <c r="Q355" s="957" t="str">
        <f t="shared" si="164"/>
        <v/>
      </c>
      <c r="R355" s="767" t="str">
        <f t="shared" si="165"/>
        <v/>
      </c>
      <c r="S355" s="966">
        <f t="shared" si="166"/>
        <v>0</v>
      </c>
      <c r="T355" s="116"/>
      <c r="X355" s="760" t="str">
        <f t="shared" si="155"/>
        <v/>
      </c>
      <c r="Y355" s="745">
        <f t="shared" si="167"/>
        <v>0.6</v>
      </c>
      <c r="Z355" s="758" t="e">
        <f t="shared" si="168"/>
        <v>#VALUE!</v>
      </c>
      <c r="AA355" s="758" t="e">
        <f t="shared" si="169"/>
        <v>#VALUE!</v>
      </c>
      <c r="AB355" s="758" t="e">
        <f t="shared" si="170"/>
        <v>#VALUE!</v>
      </c>
      <c r="AC355" s="544" t="e">
        <f t="shared" si="156"/>
        <v>#VALUE!</v>
      </c>
      <c r="AD355" s="544">
        <f t="shared" si="157"/>
        <v>0</v>
      </c>
      <c r="AE355" s="759">
        <f>IF(H355&gt;8,tab!C$194,tab!C$197)</f>
        <v>0.5</v>
      </c>
      <c r="AF355" s="544">
        <f t="shared" si="158"/>
        <v>0</v>
      </c>
      <c r="AG355" s="760">
        <f t="shared" si="159"/>
        <v>0</v>
      </c>
      <c r="AH355" s="544"/>
    </row>
    <row r="356" spans="3:34" ht="13.15" customHeight="1" x14ac:dyDescent="0.2">
      <c r="C356" s="31"/>
      <c r="D356" s="117" t="str">
        <f t="shared" si="172"/>
        <v/>
      </c>
      <c r="E356" s="117" t="str">
        <f t="shared" si="172"/>
        <v/>
      </c>
      <c r="F356" s="33" t="str">
        <f t="shared" si="171"/>
        <v/>
      </c>
      <c r="G356" s="118" t="str">
        <f t="shared" si="160"/>
        <v/>
      </c>
      <c r="H356" s="33" t="str">
        <f t="shared" si="161"/>
        <v/>
      </c>
      <c r="I356" s="119" t="str">
        <f t="shared" si="152"/>
        <v/>
      </c>
      <c r="J356" s="120" t="str">
        <f t="shared" si="173"/>
        <v/>
      </c>
      <c r="K356" s="170"/>
      <c r="L356" s="1141">
        <f t="shared" si="174"/>
        <v>0</v>
      </c>
      <c r="M356" s="1141">
        <f t="shared" si="174"/>
        <v>0</v>
      </c>
      <c r="N356" s="804" t="str">
        <f t="shared" si="162"/>
        <v/>
      </c>
      <c r="O356" s="795"/>
      <c r="P356" s="1156" t="str">
        <f t="shared" si="163"/>
        <v/>
      </c>
      <c r="Q356" s="957" t="str">
        <f t="shared" si="164"/>
        <v/>
      </c>
      <c r="R356" s="767" t="str">
        <f t="shared" si="165"/>
        <v/>
      </c>
      <c r="S356" s="966">
        <f t="shared" si="166"/>
        <v>0</v>
      </c>
      <c r="T356" s="116"/>
      <c r="X356" s="760" t="str">
        <f t="shared" si="155"/>
        <v/>
      </c>
      <c r="Y356" s="745">
        <f t="shared" si="167"/>
        <v>0.6</v>
      </c>
      <c r="Z356" s="758" t="e">
        <f t="shared" si="168"/>
        <v>#VALUE!</v>
      </c>
      <c r="AA356" s="758" t="e">
        <f t="shared" si="169"/>
        <v>#VALUE!</v>
      </c>
      <c r="AB356" s="758" t="e">
        <f t="shared" si="170"/>
        <v>#VALUE!</v>
      </c>
      <c r="AC356" s="544" t="e">
        <f t="shared" si="156"/>
        <v>#VALUE!</v>
      </c>
      <c r="AD356" s="544">
        <f t="shared" si="157"/>
        <v>0</v>
      </c>
      <c r="AE356" s="759">
        <f>IF(H356&gt;8,tab!C$194,tab!C$197)</f>
        <v>0.5</v>
      </c>
      <c r="AF356" s="544">
        <f t="shared" si="158"/>
        <v>0</v>
      </c>
      <c r="AG356" s="760">
        <f t="shared" si="159"/>
        <v>0</v>
      </c>
      <c r="AH356" s="544"/>
    </row>
    <row r="357" spans="3:34" ht="13.15" customHeight="1" x14ac:dyDescent="0.2">
      <c r="C357" s="31"/>
      <c r="D357" s="117" t="str">
        <f t="shared" si="172"/>
        <v/>
      </c>
      <c r="E357" s="117" t="str">
        <f t="shared" si="172"/>
        <v/>
      </c>
      <c r="F357" s="33" t="str">
        <f t="shared" si="171"/>
        <v/>
      </c>
      <c r="G357" s="118" t="str">
        <f t="shared" si="160"/>
        <v/>
      </c>
      <c r="H357" s="33" t="str">
        <f t="shared" si="161"/>
        <v/>
      </c>
      <c r="I357" s="119" t="str">
        <f t="shared" ref="I357:I374" si="175">IF(E357="","",IF(I295+1&gt;VLOOKUP(H357,Salaris2021,22,FALSE),I295,I295+1))</f>
        <v/>
      </c>
      <c r="J357" s="120" t="str">
        <f t="shared" si="173"/>
        <v/>
      </c>
      <c r="K357" s="170"/>
      <c r="L357" s="1141">
        <f t="shared" si="174"/>
        <v>0</v>
      </c>
      <c r="M357" s="1141">
        <f t="shared" si="174"/>
        <v>0</v>
      </c>
      <c r="N357" s="804" t="str">
        <f t="shared" si="162"/>
        <v/>
      </c>
      <c r="O357" s="795"/>
      <c r="P357" s="1156" t="str">
        <f t="shared" si="163"/>
        <v/>
      </c>
      <c r="Q357" s="957" t="str">
        <f t="shared" si="164"/>
        <v/>
      </c>
      <c r="R357" s="767" t="str">
        <f t="shared" si="165"/>
        <v/>
      </c>
      <c r="S357" s="966">
        <f t="shared" si="166"/>
        <v>0</v>
      </c>
      <c r="T357" s="116"/>
      <c r="X357" s="760" t="str">
        <f t="shared" ref="X357:X374" si="176">IF(H357="","",VLOOKUP(H357,Salaris2021,I357+1,FALSE))</f>
        <v/>
      </c>
      <c r="Y357" s="745">
        <f t="shared" si="167"/>
        <v>0.6</v>
      </c>
      <c r="Z357" s="758" t="e">
        <f t="shared" si="168"/>
        <v>#VALUE!</v>
      </c>
      <c r="AA357" s="758" t="e">
        <f t="shared" si="169"/>
        <v>#VALUE!</v>
      </c>
      <c r="AB357" s="758" t="e">
        <f t="shared" si="170"/>
        <v>#VALUE!</v>
      </c>
      <c r="AC357" s="544" t="e">
        <f t="shared" ref="AC357:AC374" si="177">N357+O357</f>
        <v>#VALUE!</v>
      </c>
      <c r="AD357" s="544">
        <f t="shared" ref="AD357:AD374" si="178">L357+M357</f>
        <v>0</v>
      </c>
      <c r="AE357" s="759">
        <f>IF(H357&gt;8,tab!C$194,tab!C$197)</f>
        <v>0.5</v>
      </c>
      <c r="AF357" s="544">
        <f t="shared" ref="AF357:AF374" si="179">IF(F357&lt;25,0,IF(F357=25,25,IF(F357&lt;40,0,IF(F357=40,40,IF(F357&gt;=40,0)))))</f>
        <v>0</v>
      </c>
      <c r="AG357" s="760">
        <f t="shared" ref="AG357:AG374" si="180">IF(AF357=25,(X357*1.08*(J357)/2),IF(AF357=40,(V357*1.08*(J357)),IF(AF357=0,0)))</f>
        <v>0</v>
      </c>
      <c r="AH357" s="544"/>
    </row>
    <row r="358" spans="3:34" ht="13.15" customHeight="1" x14ac:dyDescent="0.2">
      <c r="C358" s="31"/>
      <c r="D358" s="117" t="str">
        <f t="shared" si="172"/>
        <v/>
      </c>
      <c r="E358" s="117" t="str">
        <f t="shared" si="172"/>
        <v/>
      </c>
      <c r="F358" s="33" t="str">
        <f t="shared" si="171"/>
        <v/>
      </c>
      <c r="G358" s="118" t="str">
        <f t="shared" si="160"/>
        <v/>
      </c>
      <c r="H358" s="33" t="str">
        <f t="shared" si="161"/>
        <v/>
      </c>
      <c r="I358" s="119" t="str">
        <f t="shared" si="175"/>
        <v/>
      </c>
      <c r="J358" s="120" t="str">
        <f t="shared" si="173"/>
        <v/>
      </c>
      <c r="K358" s="170"/>
      <c r="L358" s="1141">
        <f t="shared" si="174"/>
        <v>0</v>
      </c>
      <c r="M358" s="1141">
        <f t="shared" si="174"/>
        <v>0</v>
      </c>
      <c r="N358" s="804" t="str">
        <f t="shared" si="162"/>
        <v/>
      </c>
      <c r="O358" s="795"/>
      <c r="P358" s="1156" t="str">
        <f t="shared" si="163"/>
        <v/>
      </c>
      <c r="Q358" s="957" t="str">
        <f t="shared" si="164"/>
        <v/>
      </c>
      <c r="R358" s="767" t="str">
        <f t="shared" si="165"/>
        <v/>
      </c>
      <c r="S358" s="966">
        <f t="shared" si="166"/>
        <v>0</v>
      </c>
      <c r="T358" s="116"/>
      <c r="X358" s="760" t="str">
        <f t="shared" si="176"/>
        <v/>
      </c>
      <c r="Y358" s="745">
        <f t="shared" si="167"/>
        <v>0.6</v>
      </c>
      <c r="Z358" s="758" t="e">
        <f t="shared" si="168"/>
        <v>#VALUE!</v>
      </c>
      <c r="AA358" s="758" t="e">
        <f t="shared" si="169"/>
        <v>#VALUE!</v>
      </c>
      <c r="AB358" s="758" t="e">
        <f t="shared" si="170"/>
        <v>#VALUE!</v>
      </c>
      <c r="AC358" s="544" t="e">
        <f t="shared" si="177"/>
        <v>#VALUE!</v>
      </c>
      <c r="AD358" s="544">
        <f t="shared" si="178"/>
        <v>0</v>
      </c>
      <c r="AE358" s="759">
        <f>IF(H358&gt;8,tab!C$194,tab!C$197)</f>
        <v>0.5</v>
      </c>
      <c r="AF358" s="544">
        <f t="shared" si="179"/>
        <v>0</v>
      </c>
      <c r="AG358" s="760">
        <f t="shared" si="180"/>
        <v>0</v>
      </c>
      <c r="AH358" s="544"/>
    </row>
    <row r="359" spans="3:34" ht="13.15" customHeight="1" x14ac:dyDescent="0.2">
      <c r="C359" s="31"/>
      <c r="D359" s="117" t="str">
        <f t="shared" si="172"/>
        <v/>
      </c>
      <c r="E359" s="117" t="str">
        <f t="shared" si="172"/>
        <v/>
      </c>
      <c r="F359" s="33" t="str">
        <f t="shared" si="171"/>
        <v/>
      </c>
      <c r="G359" s="118" t="str">
        <f t="shared" si="160"/>
        <v/>
      </c>
      <c r="H359" s="33" t="str">
        <f t="shared" si="161"/>
        <v/>
      </c>
      <c r="I359" s="119" t="str">
        <f t="shared" si="175"/>
        <v/>
      </c>
      <c r="J359" s="120" t="str">
        <f t="shared" si="173"/>
        <v/>
      </c>
      <c r="K359" s="170"/>
      <c r="L359" s="1141">
        <f t="shared" si="174"/>
        <v>0</v>
      </c>
      <c r="M359" s="1141">
        <f t="shared" si="174"/>
        <v>0</v>
      </c>
      <c r="N359" s="804" t="str">
        <f t="shared" si="162"/>
        <v/>
      </c>
      <c r="O359" s="795"/>
      <c r="P359" s="1156" t="str">
        <f t="shared" si="163"/>
        <v/>
      </c>
      <c r="Q359" s="957" t="str">
        <f t="shared" si="164"/>
        <v/>
      </c>
      <c r="R359" s="767" t="str">
        <f t="shared" si="165"/>
        <v/>
      </c>
      <c r="S359" s="966">
        <f t="shared" si="166"/>
        <v>0</v>
      </c>
      <c r="T359" s="116"/>
      <c r="X359" s="760" t="str">
        <f t="shared" si="176"/>
        <v/>
      </c>
      <c r="Y359" s="745">
        <f t="shared" si="167"/>
        <v>0.6</v>
      </c>
      <c r="Z359" s="758" t="e">
        <f t="shared" si="168"/>
        <v>#VALUE!</v>
      </c>
      <c r="AA359" s="758" t="e">
        <f t="shared" si="169"/>
        <v>#VALUE!</v>
      </c>
      <c r="AB359" s="758" t="e">
        <f t="shared" si="170"/>
        <v>#VALUE!</v>
      </c>
      <c r="AC359" s="544" t="e">
        <f t="shared" si="177"/>
        <v>#VALUE!</v>
      </c>
      <c r="AD359" s="544">
        <f t="shared" si="178"/>
        <v>0</v>
      </c>
      <c r="AE359" s="759">
        <f>IF(H359&gt;8,tab!C$194,tab!C$197)</f>
        <v>0.5</v>
      </c>
      <c r="AF359" s="544">
        <f t="shared" si="179"/>
        <v>0</v>
      </c>
      <c r="AG359" s="760">
        <f t="shared" si="180"/>
        <v>0</v>
      </c>
      <c r="AH359" s="544"/>
    </row>
    <row r="360" spans="3:34" ht="13.15" customHeight="1" x14ac:dyDescent="0.2">
      <c r="C360" s="31"/>
      <c r="D360" s="117" t="str">
        <f t="shared" si="172"/>
        <v/>
      </c>
      <c r="E360" s="117" t="str">
        <f t="shared" si="172"/>
        <v/>
      </c>
      <c r="F360" s="33" t="str">
        <f t="shared" si="171"/>
        <v/>
      </c>
      <c r="G360" s="118" t="str">
        <f t="shared" si="160"/>
        <v/>
      </c>
      <c r="H360" s="33" t="str">
        <f t="shared" si="161"/>
        <v/>
      </c>
      <c r="I360" s="119" t="str">
        <f t="shared" si="175"/>
        <v/>
      </c>
      <c r="J360" s="120" t="str">
        <f t="shared" si="173"/>
        <v/>
      </c>
      <c r="K360" s="170"/>
      <c r="L360" s="1141">
        <f t="shared" si="174"/>
        <v>0</v>
      </c>
      <c r="M360" s="1141">
        <f t="shared" si="174"/>
        <v>0</v>
      </c>
      <c r="N360" s="804" t="str">
        <f t="shared" si="162"/>
        <v/>
      </c>
      <c r="O360" s="795"/>
      <c r="P360" s="1156" t="str">
        <f t="shared" si="163"/>
        <v/>
      </c>
      <c r="Q360" s="957" t="str">
        <f t="shared" si="164"/>
        <v/>
      </c>
      <c r="R360" s="767" t="str">
        <f t="shared" si="165"/>
        <v/>
      </c>
      <c r="S360" s="966">
        <f t="shared" si="166"/>
        <v>0</v>
      </c>
      <c r="T360" s="116"/>
      <c r="X360" s="760" t="str">
        <f t="shared" si="176"/>
        <v/>
      </c>
      <c r="Y360" s="745">
        <f t="shared" si="167"/>
        <v>0.6</v>
      </c>
      <c r="Z360" s="758" t="e">
        <f t="shared" si="168"/>
        <v>#VALUE!</v>
      </c>
      <c r="AA360" s="758" t="e">
        <f t="shared" si="169"/>
        <v>#VALUE!</v>
      </c>
      <c r="AB360" s="758" t="e">
        <f t="shared" si="170"/>
        <v>#VALUE!</v>
      </c>
      <c r="AC360" s="544" t="e">
        <f t="shared" si="177"/>
        <v>#VALUE!</v>
      </c>
      <c r="AD360" s="544">
        <f t="shared" si="178"/>
        <v>0</v>
      </c>
      <c r="AE360" s="759">
        <f>IF(H360&gt;8,tab!C$194,tab!C$197)</f>
        <v>0.5</v>
      </c>
      <c r="AF360" s="544">
        <f t="shared" si="179"/>
        <v>0</v>
      </c>
      <c r="AG360" s="760">
        <f t="shared" si="180"/>
        <v>0</v>
      </c>
      <c r="AH360" s="544"/>
    </row>
    <row r="361" spans="3:34" ht="13.15" customHeight="1" x14ac:dyDescent="0.2">
      <c r="C361" s="31"/>
      <c r="D361" s="117" t="str">
        <f t="shared" si="172"/>
        <v/>
      </c>
      <c r="E361" s="117" t="str">
        <f t="shared" si="172"/>
        <v/>
      </c>
      <c r="F361" s="33" t="str">
        <f t="shared" si="171"/>
        <v/>
      </c>
      <c r="G361" s="118" t="str">
        <f t="shared" si="160"/>
        <v/>
      </c>
      <c r="H361" s="33" t="str">
        <f t="shared" si="161"/>
        <v/>
      </c>
      <c r="I361" s="119" t="str">
        <f t="shared" si="175"/>
        <v/>
      </c>
      <c r="J361" s="120" t="str">
        <f t="shared" si="173"/>
        <v/>
      </c>
      <c r="K361" s="170"/>
      <c r="L361" s="1141">
        <f t="shared" si="174"/>
        <v>0</v>
      </c>
      <c r="M361" s="1141">
        <f t="shared" si="174"/>
        <v>0</v>
      </c>
      <c r="N361" s="804" t="str">
        <f t="shared" si="162"/>
        <v/>
      </c>
      <c r="O361" s="795"/>
      <c r="P361" s="1156" t="str">
        <f t="shared" si="163"/>
        <v/>
      </c>
      <c r="Q361" s="957" t="str">
        <f t="shared" si="164"/>
        <v/>
      </c>
      <c r="R361" s="767" t="str">
        <f t="shared" si="165"/>
        <v/>
      </c>
      <c r="S361" s="966">
        <f t="shared" si="166"/>
        <v>0</v>
      </c>
      <c r="T361" s="116"/>
      <c r="X361" s="760" t="str">
        <f t="shared" si="176"/>
        <v/>
      </c>
      <c r="Y361" s="745">
        <f t="shared" si="167"/>
        <v>0.6</v>
      </c>
      <c r="Z361" s="758" t="e">
        <f t="shared" si="168"/>
        <v>#VALUE!</v>
      </c>
      <c r="AA361" s="758" t="e">
        <f t="shared" si="169"/>
        <v>#VALUE!</v>
      </c>
      <c r="AB361" s="758" t="e">
        <f t="shared" si="170"/>
        <v>#VALUE!</v>
      </c>
      <c r="AC361" s="544" t="e">
        <f t="shared" si="177"/>
        <v>#VALUE!</v>
      </c>
      <c r="AD361" s="544">
        <f t="shared" si="178"/>
        <v>0</v>
      </c>
      <c r="AE361" s="759">
        <f>IF(H361&gt;8,tab!C$194,tab!C$197)</f>
        <v>0.5</v>
      </c>
      <c r="AF361" s="544">
        <f t="shared" si="179"/>
        <v>0</v>
      </c>
      <c r="AG361" s="760">
        <f t="shared" si="180"/>
        <v>0</v>
      </c>
      <c r="AH361" s="544"/>
    </row>
    <row r="362" spans="3:34" ht="13.15" customHeight="1" x14ac:dyDescent="0.2">
      <c r="C362" s="31"/>
      <c r="D362" s="117" t="str">
        <f t="shared" si="172"/>
        <v/>
      </c>
      <c r="E362" s="117" t="str">
        <f t="shared" si="172"/>
        <v/>
      </c>
      <c r="F362" s="33" t="str">
        <f t="shared" si="171"/>
        <v/>
      </c>
      <c r="G362" s="118" t="str">
        <f t="shared" si="160"/>
        <v/>
      </c>
      <c r="H362" s="33" t="str">
        <f t="shared" si="161"/>
        <v/>
      </c>
      <c r="I362" s="119" t="str">
        <f t="shared" si="175"/>
        <v/>
      </c>
      <c r="J362" s="120" t="str">
        <f t="shared" si="173"/>
        <v/>
      </c>
      <c r="K362" s="170"/>
      <c r="L362" s="1141">
        <f t="shared" si="174"/>
        <v>0</v>
      </c>
      <c r="M362" s="1141">
        <f t="shared" si="174"/>
        <v>0</v>
      </c>
      <c r="N362" s="804" t="str">
        <f t="shared" si="162"/>
        <v/>
      </c>
      <c r="O362" s="795"/>
      <c r="P362" s="1156" t="str">
        <f t="shared" si="163"/>
        <v/>
      </c>
      <c r="Q362" s="957" t="str">
        <f t="shared" si="164"/>
        <v/>
      </c>
      <c r="R362" s="767" t="str">
        <f t="shared" si="165"/>
        <v/>
      </c>
      <c r="S362" s="966">
        <f t="shared" si="166"/>
        <v>0</v>
      </c>
      <c r="T362" s="116"/>
      <c r="X362" s="760" t="str">
        <f t="shared" si="176"/>
        <v/>
      </c>
      <c r="Y362" s="745">
        <f t="shared" si="167"/>
        <v>0.6</v>
      </c>
      <c r="Z362" s="758" t="e">
        <f t="shared" si="168"/>
        <v>#VALUE!</v>
      </c>
      <c r="AA362" s="758" t="e">
        <f t="shared" si="169"/>
        <v>#VALUE!</v>
      </c>
      <c r="AB362" s="758" t="e">
        <f t="shared" si="170"/>
        <v>#VALUE!</v>
      </c>
      <c r="AC362" s="544" t="e">
        <f t="shared" si="177"/>
        <v>#VALUE!</v>
      </c>
      <c r="AD362" s="544">
        <f t="shared" si="178"/>
        <v>0</v>
      </c>
      <c r="AE362" s="759">
        <f>IF(H362&gt;8,tab!C$194,tab!C$197)</f>
        <v>0.5</v>
      </c>
      <c r="AF362" s="544">
        <f t="shared" si="179"/>
        <v>0</v>
      </c>
      <c r="AG362" s="760">
        <f t="shared" si="180"/>
        <v>0</v>
      </c>
      <c r="AH362" s="544"/>
    </row>
    <row r="363" spans="3:34" ht="13.15" customHeight="1" x14ac:dyDescent="0.2">
      <c r="C363" s="31"/>
      <c r="D363" s="117" t="str">
        <f t="shared" si="172"/>
        <v/>
      </c>
      <c r="E363" s="117" t="str">
        <f t="shared" si="172"/>
        <v/>
      </c>
      <c r="F363" s="33" t="str">
        <f t="shared" si="171"/>
        <v/>
      </c>
      <c r="G363" s="118" t="str">
        <f t="shared" si="160"/>
        <v/>
      </c>
      <c r="H363" s="33" t="str">
        <f t="shared" si="161"/>
        <v/>
      </c>
      <c r="I363" s="119" t="str">
        <f t="shared" si="175"/>
        <v/>
      </c>
      <c r="J363" s="120" t="str">
        <f t="shared" si="173"/>
        <v/>
      </c>
      <c r="K363" s="170"/>
      <c r="L363" s="1141">
        <f t="shared" si="174"/>
        <v>0</v>
      </c>
      <c r="M363" s="1141">
        <f t="shared" si="174"/>
        <v>0</v>
      </c>
      <c r="N363" s="804" t="str">
        <f t="shared" si="162"/>
        <v/>
      </c>
      <c r="O363" s="795"/>
      <c r="P363" s="1156" t="str">
        <f t="shared" si="163"/>
        <v/>
      </c>
      <c r="Q363" s="957" t="str">
        <f t="shared" si="164"/>
        <v/>
      </c>
      <c r="R363" s="767" t="str">
        <f t="shared" si="165"/>
        <v/>
      </c>
      <c r="S363" s="966">
        <f t="shared" si="166"/>
        <v>0</v>
      </c>
      <c r="T363" s="116"/>
      <c r="X363" s="760" t="str">
        <f t="shared" si="176"/>
        <v/>
      </c>
      <c r="Y363" s="745">
        <f t="shared" si="167"/>
        <v>0.6</v>
      </c>
      <c r="Z363" s="758" t="e">
        <f t="shared" si="168"/>
        <v>#VALUE!</v>
      </c>
      <c r="AA363" s="758" t="e">
        <f t="shared" si="169"/>
        <v>#VALUE!</v>
      </c>
      <c r="AB363" s="758" t="e">
        <f t="shared" si="170"/>
        <v>#VALUE!</v>
      </c>
      <c r="AC363" s="544" t="e">
        <f t="shared" si="177"/>
        <v>#VALUE!</v>
      </c>
      <c r="AD363" s="544">
        <f t="shared" si="178"/>
        <v>0</v>
      </c>
      <c r="AE363" s="759">
        <f>IF(H363&gt;8,tab!C$194,tab!C$197)</f>
        <v>0.5</v>
      </c>
      <c r="AF363" s="544">
        <f t="shared" si="179"/>
        <v>0</v>
      </c>
      <c r="AG363" s="760">
        <f t="shared" si="180"/>
        <v>0</v>
      </c>
      <c r="AH363" s="544"/>
    </row>
    <row r="364" spans="3:34" ht="13.15" customHeight="1" x14ac:dyDescent="0.2">
      <c r="C364" s="31"/>
      <c r="D364" s="117" t="str">
        <f t="shared" si="172"/>
        <v/>
      </c>
      <c r="E364" s="117" t="str">
        <f t="shared" si="172"/>
        <v/>
      </c>
      <c r="F364" s="33" t="str">
        <f t="shared" si="171"/>
        <v/>
      </c>
      <c r="G364" s="118" t="str">
        <f t="shared" si="160"/>
        <v/>
      </c>
      <c r="H364" s="33" t="str">
        <f t="shared" si="161"/>
        <v/>
      </c>
      <c r="I364" s="119" t="str">
        <f t="shared" si="175"/>
        <v/>
      </c>
      <c r="J364" s="120" t="str">
        <f t="shared" si="173"/>
        <v/>
      </c>
      <c r="K364" s="170"/>
      <c r="L364" s="1141">
        <f t="shared" si="174"/>
        <v>0</v>
      </c>
      <c r="M364" s="1141">
        <f t="shared" si="174"/>
        <v>0</v>
      </c>
      <c r="N364" s="804" t="str">
        <f t="shared" si="162"/>
        <v/>
      </c>
      <c r="O364" s="795"/>
      <c r="P364" s="1156" t="str">
        <f t="shared" si="163"/>
        <v/>
      </c>
      <c r="Q364" s="957" t="str">
        <f t="shared" si="164"/>
        <v/>
      </c>
      <c r="R364" s="767" t="str">
        <f t="shared" si="165"/>
        <v/>
      </c>
      <c r="S364" s="966">
        <f t="shared" si="166"/>
        <v>0</v>
      </c>
      <c r="T364" s="116"/>
      <c r="X364" s="760" t="str">
        <f t="shared" si="176"/>
        <v/>
      </c>
      <c r="Y364" s="745">
        <f t="shared" si="167"/>
        <v>0.6</v>
      </c>
      <c r="Z364" s="758" t="e">
        <f t="shared" si="168"/>
        <v>#VALUE!</v>
      </c>
      <c r="AA364" s="758" t="e">
        <f t="shared" si="169"/>
        <v>#VALUE!</v>
      </c>
      <c r="AB364" s="758" t="e">
        <f t="shared" si="170"/>
        <v>#VALUE!</v>
      </c>
      <c r="AC364" s="544" t="e">
        <f t="shared" si="177"/>
        <v>#VALUE!</v>
      </c>
      <c r="AD364" s="544">
        <f t="shared" si="178"/>
        <v>0</v>
      </c>
      <c r="AE364" s="759">
        <f>IF(H364&gt;8,tab!C$194,tab!C$197)</f>
        <v>0.5</v>
      </c>
      <c r="AF364" s="544">
        <f t="shared" si="179"/>
        <v>0</v>
      </c>
      <c r="AG364" s="760">
        <f t="shared" si="180"/>
        <v>0</v>
      </c>
      <c r="AH364" s="544"/>
    </row>
    <row r="365" spans="3:34" ht="13.15" customHeight="1" x14ac:dyDescent="0.2">
      <c r="C365" s="31"/>
      <c r="D365" s="117" t="str">
        <f t="shared" ref="D365:E374" si="181">IF(D303=0,"",D303)</f>
        <v/>
      </c>
      <c r="E365" s="117" t="str">
        <f t="shared" si="181"/>
        <v/>
      </c>
      <c r="F365" s="33" t="str">
        <f t="shared" si="171"/>
        <v/>
      </c>
      <c r="G365" s="118" t="str">
        <f t="shared" si="160"/>
        <v/>
      </c>
      <c r="H365" s="33" t="str">
        <f t="shared" si="161"/>
        <v/>
      </c>
      <c r="I365" s="119" t="str">
        <f t="shared" si="175"/>
        <v/>
      </c>
      <c r="J365" s="120" t="str">
        <f t="shared" ref="J365:J374" si="182">IF(J303="","",J303)</f>
        <v/>
      </c>
      <c r="K365" s="170"/>
      <c r="L365" s="1141">
        <f t="shared" ref="L365:M374" si="183">IF(L303="","",L303)</f>
        <v>0</v>
      </c>
      <c r="M365" s="1141">
        <f t="shared" si="183"/>
        <v>0</v>
      </c>
      <c r="N365" s="804" t="str">
        <f t="shared" si="162"/>
        <v/>
      </c>
      <c r="O365" s="795"/>
      <c r="P365" s="1156" t="str">
        <f t="shared" si="163"/>
        <v/>
      </c>
      <c r="Q365" s="957" t="str">
        <f t="shared" si="164"/>
        <v/>
      </c>
      <c r="R365" s="767" t="str">
        <f t="shared" si="165"/>
        <v/>
      </c>
      <c r="S365" s="966">
        <f t="shared" si="166"/>
        <v>0</v>
      </c>
      <c r="T365" s="116"/>
      <c r="X365" s="760" t="str">
        <f t="shared" si="176"/>
        <v/>
      </c>
      <c r="Y365" s="745">
        <f t="shared" si="167"/>
        <v>0.6</v>
      </c>
      <c r="Z365" s="758" t="e">
        <f t="shared" si="168"/>
        <v>#VALUE!</v>
      </c>
      <c r="AA365" s="758" t="e">
        <f t="shared" si="169"/>
        <v>#VALUE!</v>
      </c>
      <c r="AB365" s="758" t="e">
        <f t="shared" si="170"/>
        <v>#VALUE!</v>
      </c>
      <c r="AC365" s="544" t="e">
        <f t="shared" si="177"/>
        <v>#VALUE!</v>
      </c>
      <c r="AD365" s="544">
        <f t="shared" si="178"/>
        <v>0</v>
      </c>
      <c r="AE365" s="759">
        <f>IF(H365&gt;8,tab!C$194,tab!C$197)</f>
        <v>0.5</v>
      </c>
      <c r="AF365" s="544">
        <f t="shared" si="179"/>
        <v>0</v>
      </c>
      <c r="AG365" s="760">
        <f t="shared" si="180"/>
        <v>0</v>
      </c>
      <c r="AH365" s="544"/>
    </row>
    <row r="366" spans="3:34" ht="13.15" customHeight="1" x14ac:dyDescent="0.2">
      <c r="C366" s="31"/>
      <c r="D366" s="117" t="str">
        <f t="shared" si="181"/>
        <v/>
      </c>
      <c r="E366" s="117" t="str">
        <f t="shared" si="181"/>
        <v/>
      </c>
      <c r="F366" s="33" t="str">
        <f t="shared" si="171"/>
        <v/>
      </c>
      <c r="G366" s="118" t="str">
        <f t="shared" si="160"/>
        <v/>
      </c>
      <c r="H366" s="33" t="str">
        <f t="shared" si="161"/>
        <v/>
      </c>
      <c r="I366" s="119" t="str">
        <f t="shared" si="175"/>
        <v/>
      </c>
      <c r="J366" s="120" t="str">
        <f t="shared" si="182"/>
        <v/>
      </c>
      <c r="K366" s="170"/>
      <c r="L366" s="1141">
        <f t="shared" si="183"/>
        <v>0</v>
      </c>
      <c r="M366" s="1141">
        <f t="shared" si="183"/>
        <v>0</v>
      </c>
      <c r="N366" s="804" t="str">
        <f t="shared" si="162"/>
        <v/>
      </c>
      <c r="O366" s="795"/>
      <c r="P366" s="1156" t="str">
        <f t="shared" si="163"/>
        <v/>
      </c>
      <c r="Q366" s="957" t="str">
        <f t="shared" si="164"/>
        <v/>
      </c>
      <c r="R366" s="767" t="str">
        <f t="shared" si="165"/>
        <v/>
      </c>
      <c r="S366" s="966">
        <f t="shared" si="166"/>
        <v>0</v>
      </c>
      <c r="T366" s="116"/>
      <c r="X366" s="760" t="str">
        <f t="shared" si="176"/>
        <v/>
      </c>
      <c r="Y366" s="745">
        <f t="shared" si="167"/>
        <v>0.6</v>
      </c>
      <c r="Z366" s="758" t="e">
        <f t="shared" si="168"/>
        <v>#VALUE!</v>
      </c>
      <c r="AA366" s="758" t="e">
        <f t="shared" si="169"/>
        <v>#VALUE!</v>
      </c>
      <c r="AB366" s="758" t="e">
        <f t="shared" si="170"/>
        <v>#VALUE!</v>
      </c>
      <c r="AC366" s="544" t="e">
        <f t="shared" si="177"/>
        <v>#VALUE!</v>
      </c>
      <c r="AD366" s="544">
        <f t="shared" si="178"/>
        <v>0</v>
      </c>
      <c r="AE366" s="759">
        <f>IF(H366&gt;8,tab!C$194,tab!C$197)</f>
        <v>0.5</v>
      </c>
      <c r="AF366" s="544">
        <f t="shared" si="179"/>
        <v>0</v>
      </c>
      <c r="AG366" s="760">
        <f t="shared" si="180"/>
        <v>0</v>
      </c>
      <c r="AH366" s="544"/>
    </row>
    <row r="367" spans="3:34" ht="13.15" customHeight="1" x14ac:dyDescent="0.2">
      <c r="C367" s="31"/>
      <c r="D367" s="117" t="str">
        <f t="shared" si="181"/>
        <v/>
      </c>
      <c r="E367" s="117" t="str">
        <f t="shared" si="181"/>
        <v/>
      </c>
      <c r="F367" s="33" t="str">
        <f t="shared" si="171"/>
        <v/>
      </c>
      <c r="G367" s="118" t="str">
        <f t="shared" si="160"/>
        <v/>
      </c>
      <c r="H367" s="33" t="str">
        <f t="shared" si="161"/>
        <v/>
      </c>
      <c r="I367" s="119" t="str">
        <f t="shared" si="175"/>
        <v/>
      </c>
      <c r="J367" s="120" t="str">
        <f t="shared" si="182"/>
        <v/>
      </c>
      <c r="K367" s="170"/>
      <c r="L367" s="1141">
        <f t="shared" si="183"/>
        <v>0</v>
      </c>
      <c r="M367" s="1141">
        <f t="shared" si="183"/>
        <v>0</v>
      </c>
      <c r="N367" s="804" t="str">
        <f t="shared" si="162"/>
        <v/>
      </c>
      <c r="O367" s="795"/>
      <c r="P367" s="1156" t="str">
        <f t="shared" si="163"/>
        <v/>
      </c>
      <c r="Q367" s="957" t="str">
        <f t="shared" si="164"/>
        <v/>
      </c>
      <c r="R367" s="767" t="str">
        <f t="shared" si="165"/>
        <v/>
      </c>
      <c r="S367" s="966">
        <f t="shared" si="166"/>
        <v>0</v>
      </c>
      <c r="T367" s="116"/>
      <c r="X367" s="760" t="str">
        <f t="shared" si="176"/>
        <v/>
      </c>
      <c r="Y367" s="745">
        <f t="shared" si="167"/>
        <v>0.6</v>
      </c>
      <c r="Z367" s="758" t="e">
        <f t="shared" si="168"/>
        <v>#VALUE!</v>
      </c>
      <c r="AA367" s="758" t="e">
        <f t="shared" si="169"/>
        <v>#VALUE!</v>
      </c>
      <c r="AB367" s="758" t="e">
        <f t="shared" si="170"/>
        <v>#VALUE!</v>
      </c>
      <c r="AC367" s="544" t="e">
        <f t="shared" si="177"/>
        <v>#VALUE!</v>
      </c>
      <c r="AD367" s="544">
        <f t="shared" si="178"/>
        <v>0</v>
      </c>
      <c r="AE367" s="759">
        <f>IF(H367&gt;8,tab!C$194,tab!C$197)</f>
        <v>0.5</v>
      </c>
      <c r="AF367" s="544">
        <f t="shared" si="179"/>
        <v>0</v>
      </c>
      <c r="AG367" s="760">
        <f t="shared" si="180"/>
        <v>0</v>
      </c>
      <c r="AH367" s="544"/>
    </row>
    <row r="368" spans="3:34" ht="13.15" customHeight="1" x14ac:dyDescent="0.2">
      <c r="C368" s="31"/>
      <c r="D368" s="117" t="str">
        <f t="shared" si="181"/>
        <v/>
      </c>
      <c r="E368" s="117" t="str">
        <f t="shared" si="181"/>
        <v/>
      </c>
      <c r="F368" s="33" t="str">
        <f t="shared" si="171"/>
        <v/>
      </c>
      <c r="G368" s="118" t="str">
        <f t="shared" si="160"/>
        <v/>
      </c>
      <c r="H368" s="33" t="str">
        <f t="shared" si="161"/>
        <v/>
      </c>
      <c r="I368" s="119" t="str">
        <f t="shared" si="175"/>
        <v/>
      </c>
      <c r="J368" s="120" t="str">
        <f t="shared" si="182"/>
        <v/>
      </c>
      <c r="K368" s="170"/>
      <c r="L368" s="1141">
        <f t="shared" si="183"/>
        <v>0</v>
      </c>
      <c r="M368" s="1141">
        <f t="shared" si="183"/>
        <v>0</v>
      </c>
      <c r="N368" s="804" t="str">
        <f t="shared" si="162"/>
        <v/>
      </c>
      <c r="O368" s="795"/>
      <c r="P368" s="1156" t="str">
        <f t="shared" si="163"/>
        <v/>
      </c>
      <c r="Q368" s="957" t="str">
        <f t="shared" si="164"/>
        <v/>
      </c>
      <c r="R368" s="767" t="str">
        <f t="shared" si="165"/>
        <v/>
      </c>
      <c r="S368" s="966">
        <f t="shared" si="166"/>
        <v>0</v>
      </c>
      <c r="T368" s="116"/>
      <c r="X368" s="760" t="str">
        <f t="shared" si="176"/>
        <v/>
      </c>
      <c r="Y368" s="745">
        <f t="shared" si="167"/>
        <v>0.6</v>
      </c>
      <c r="Z368" s="758" t="e">
        <f t="shared" si="168"/>
        <v>#VALUE!</v>
      </c>
      <c r="AA368" s="758" t="e">
        <f t="shared" si="169"/>
        <v>#VALUE!</v>
      </c>
      <c r="AB368" s="758" t="e">
        <f t="shared" si="170"/>
        <v>#VALUE!</v>
      </c>
      <c r="AC368" s="544" t="e">
        <f t="shared" si="177"/>
        <v>#VALUE!</v>
      </c>
      <c r="AD368" s="544">
        <f t="shared" si="178"/>
        <v>0</v>
      </c>
      <c r="AE368" s="759">
        <f>IF(H368&gt;8,tab!C$194,tab!C$197)</f>
        <v>0.5</v>
      </c>
      <c r="AF368" s="544">
        <f t="shared" si="179"/>
        <v>0</v>
      </c>
      <c r="AG368" s="760">
        <f t="shared" si="180"/>
        <v>0</v>
      </c>
      <c r="AH368" s="544"/>
    </row>
    <row r="369" spans="3:34" ht="13.15" customHeight="1" x14ac:dyDescent="0.2">
      <c r="C369" s="31"/>
      <c r="D369" s="117" t="str">
        <f t="shared" si="181"/>
        <v/>
      </c>
      <c r="E369" s="117" t="str">
        <f t="shared" si="181"/>
        <v/>
      </c>
      <c r="F369" s="33" t="str">
        <f t="shared" si="171"/>
        <v/>
      </c>
      <c r="G369" s="118" t="str">
        <f t="shared" si="160"/>
        <v/>
      </c>
      <c r="H369" s="33" t="str">
        <f t="shared" si="161"/>
        <v/>
      </c>
      <c r="I369" s="119" t="str">
        <f t="shared" si="175"/>
        <v/>
      </c>
      <c r="J369" s="120" t="str">
        <f t="shared" si="182"/>
        <v/>
      </c>
      <c r="K369" s="170"/>
      <c r="L369" s="1141">
        <f t="shared" si="183"/>
        <v>0</v>
      </c>
      <c r="M369" s="1141">
        <f t="shared" si="183"/>
        <v>0</v>
      </c>
      <c r="N369" s="804" t="str">
        <f t="shared" si="162"/>
        <v/>
      </c>
      <c r="O369" s="795"/>
      <c r="P369" s="1156" t="str">
        <f t="shared" si="163"/>
        <v/>
      </c>
      <c r="Q369" s="957" t="str">
        <f t="shared" si="164"/>
        <v/>
      </c>
      <c r="R369" s="767" t="str">
        <f t="shared" si="165"/>
        <v/>
      </c>
      <c r="S369" s="966">
        <f t="shared" si="166"/>
        <v>0</v>
      </c>
      <c r="T369" s="116"/>
      <c r="X369" s="760" t="str">
        <f t="shared" si="176"/>
        <v/>
      </c>
      <c r="Y369" s="745">
        <f t="shared" si="167"/>
        <v>0.6</v>
      </c>
      <c r="Z369" s="758" t="e">
        <f t="shared" si="168"/>
        <v>#VALUE!</v>
      </c>
      <c r="AA369" s="758" t="e">
        <f t="shared" si="169"/>
        <v>#VALUE!</v>
      </c>
      <c r="AB369" s="758" t="e">
        <f t="shared" si="170"/>
        <v>#VALUE!</v>
      </c>
      <c r="AC369" s="544" t="e">
        <f t="shared" si="177"/>
        <v>#VALUE!</v>
      </c>
      <c r="AD369" s="544">
        <f t="shared" si="178"/>
        <v>0</v>
      </c>
      <c r="AE369" s="759">
        <f>IF(H369&gt;8,tab!C$194,tab!C$197)</f>
        <v>0.5</v>
      </c>
      <c r="AF369" s="544">
        <f t="shared" si="179"/>
        <v>0</v>
      </c>
      <c r="AG369" s="760">
        <f t="shared" si="180"/>
        <v>0</v>
      </c>
      <c r="AH369" s="544"/>
    </row>
    <row r="370" spans="3:34" ht="13.15" customHeight="1" x14ac:dyDescent="0.2">
      <c r="C370" s="31"/>
      <c r="D370" s="117" t="str">
        <f t="shared" si="181"/>
        <v/>
      </c>
      <c r="E370" s="117" t="str">
        <f t="shared" si="181"/>
        <v/>
      </c>
      <c r="F370" s="33" t="str">
        <f t="shared" si="171"/>
        <v/>
      </c>
      <c r="G370" s="118" t="str">
        <f t="shared" si="160"/>
        <v/>
      </c>
      <c r="H370" s="33" t="str">
        <f t="shared" si="161"/>
        <v/>
      </c>
      <c r="I370" s="119" t="str">
        <f t="shared" si="175"/>
        <v/>
      </c>
      <c r="J370" s="120" t="str">
        <f t="shared" si="182"/>
        <v/>
      </c>
      <c r="K370" s="170"/>
      <c r="L370" s="1141">
        <f t="shared" si="183"/>
        <v>0</v>
      </c>
      <c r="M370" s="1141">
        <f t="shared" si="183"/>
        <v>0</v>
      </c>
      <c r="N370" s="804" t="str">
        <f t="shared" si="162"/>
        <v/>
      </c>
      <c r="O370" s="795"/>
      <c r="P370" s="1156" t="str">
        <f t="shared" si="163"/>
        <v/>
      </c>
      <c r="Q370" s="957" t="str">
        <f t="shared" si="164"/>
        <v/>
      </c>
      <c r="R370" s="767" t="str">
        <f t="shared" si="165"/>
        <v/>
      </c>
      <c r="S370" s="966">
        <f t="shared" si="166"/>
        <v>0</v>
      </c>
      <c r="T370" s="116"/>
      <c r="X370" s="760" t="str">
        <f t="shared" si="176"/>
        <v/>
      </c>
      <c r="Y370" s="745">
        <f t="shared" si="167"/>
        <v>0.6</v>
      </c>
      <c r="Z370" s="758" t="e">
        <f t="shared" si="168"/>
        <v>#VALUE!</v>
      </c>
      <c r="AA370" s="758" t="e">
        <f t="shared" si="169"/>
        <v>#VALUE!</v>
      </c>
      <c r="AB370" s="758" t="e">
        <f t="shared" si="170"/>
        <v>#VALUE!</v>
      </c>
      <c r="AC370" s="544" t="e">
        <f t="shared" si="177"/>
        <v>#VALUE!</v>
      </c>
      <c r="AD370" s="544">
        <f t="shared" si="178"/>
        <v>0</v>
      </c>
      <c r="AE370" s="759">
        <f>IF(H370&gt;8,tab!C$194,tab!C$197)</f>
        <v>0.5</v>
      </c>
      <c r="AF370" s="544">
        <f t="shared" si="179"/>
        <v>0</v>
      </c>
      <c r="AG370" s="760">
        <f t="shared" si="180"/>
        <v>0</v>
      </c>
      <c r="AH370" s="544"/>
    </row>
    <row r="371" spans="3:34" ht="13.15" customHeight="1" x14ac:dyDescent="0.2">
      <c r="C371" s="31"/>
      <c r="D371" s="117" t="str">
        <f t="shared" si="181"/>
        <v/>
      </c>
      <c r="E371" s="117" t="str">
        <f t="shared" si="181"/>
        <v/>
      </c>
      <c r="F371" s="33" t="str">
        <f t="shared" si="171"/>
        <v/>
      </c>
      <c r="G371" s="118" t="str">
        <f t="shared" si="160"/>
        <v/>
      </c>
      <c r="H371" s="33" t="str">
        <f t="shared" si="161"/>
        <v/>
      </c>
      <c r="I371" s="119" t="str">
        <f t="shared" si="175"/>
        <v/>
      </c>
      <c r="J371" s="120" t="str">
        <f t="shared" si="182"/>
        <v/>
      </c>
      <c r="K371" s="170"/>
      <c r="L371" s="1141">
        <f t="shared" si="183"/>
        <v>0</v>
      </c>
      <c r="M371" s="1141">
        <f t="shared" si="183"/>
        <v>0</v>
      </c>
      <c r="N371" s="804" t="str">
        <f t="shared" si="162"/>
        <v/>
      </c>
      <c r="O371" s="795"/>
      <c r="P371" s="1156" t="str">
        <f t="shared" si="163"/>
        <v/>
      </c>
      <c r="Q371" s="957" t="str">
        <f t="shared" si="164"/>
        <v/>
      </c>
      <c r="R371" s="767" t="str">
        <f t="shared" si="165"/>
        <v/>
      </c>
      <c r="S371" s="966">
        <f t="shared" si="166"/>
        <v>0</v>
      </c>
      <c r="T371" s="116"/>
      <c r="X371" s="760" t="str">
        <f t="shared" si="176"/>
        <v/>
      </c>
      <c r="Y371" s="745">
        <f t="shared" si="167"/>
        <v>0.6</v>
      </c>
      <c r="Z371" s="758" t="e">
        <f t="shared" si="168"/>
        <v>#VALUE!</v>
      </c>
      <c r="AA371" s="758" t="e">
        <f t="shared" si="169"/>
        <v>#VALUE!</v>
      </c>
      <c r="AB371" s="758" t="e">
        <f t="shared" si="170"/>
        <v>#VALUE!</v>
      </c>
      <c r="AC371" s="544" t="e">
        <f t="shared" si="177"/>
        <v>#VALUE!</v>
      </c>
      <c r="AD371" s="544">
        <f t="shared" si="178"/>
        <v>0</v>
      </c>
      <c r="AE371" s="759">
        <f>IF(H371&gt;8,tab!C$194,tab!C$197)</f>
        <v>0.5</v>
      </c>
      <c r="AF371" s="544">
        <f t="shared" si="179"/>
        <v>0</v>
      </c>
      <c r="AG371" s="760">
        <f t="shared" si="180"/>
        <v>0</v>
      </c>
      <c r="AH371" s="544"/>
    </row>
    <row r="372" spans="3:34" ht="13.15" customHeight="1" x14ac:dyDescent="0.2">
      <c r="C372" s="31"/>
      <c r="D372" s="117" t="str">
        <f t="shared" si="181"/>
        <v/>
      </c>
      <c r="E372" s="117" t="str">
        <f t="shared" si="181"/>
        <v/>
      </c>
      <c r="F372" s="33" t="str">
        <f t="shared" si="171"/>
        <v/>
      </c>
      <c r="G372" s="118" t="str">
        <f t="shared" si="160"/>
        <v/>
      </c>
      <c r="H372" s="33" t="str">
        <f t="shared" si="161"/>
        <v/>
      </c>
      <c r="I372" s="119" t="str">
        <f t="shared" si="175"/>
        <v/>
      </c>
      <c r="J372" s="120" t="str">
        <f t="shared" si="182"/>
        <v/>
      </c>
      <c r="K372" s="170"/>
      <c r="L372" s="1141">
        <f t="shared" si="183"/>
        <v>0</v>
      </c>
      <c r="M372" s="1141">
        <f t="shared" si="183"/>
        <v>0</v>
      </c>
      <c r="N372" s="804" t="str">
        <f t="shared" si="162"/>
        <v/>
      </c>
      <c r="O372" s="795"/>
      <c r="P372" s="1156" t="str">
        <f t="shared" si="163"/>
        <v/>
      </c>
      <c r="Q372" s="957" t="str">
        <f t="shared" si="164"/>
        <v/>
      </c>
      <c r="R372" s="767" t="str">
        <f t="shared" si="165"/>
        <v/>
      </c>
      <c r="S372" s="966">
        <f t="shared" si="166"/>
        <v>0</v>
      </c>
      <c r="T372" s="116"/>
      <c r="X372" s="760" t="str">
        <f t="shared" si="176"/>
        <v/>
      </c>
      <c r="Y372" s="745">
        <f t="shared" si="167"/>
        <v>0.6</v>
      </c>
      <c r="Z372" s="758" t="e">
        <f t="shared" si="168"/>
        <v>#VALUE!</v>
      </c>
      <c r="AA372" s="758" t="e">
        <f t="shared" si="169"/>
        <v>#VALUE!</v>
      </c>
      <c r="AB372" s="758" t="e">
        <f t="shared" si="170"/>
        <v>#VALUE!</v>
      </c>
      <c r="AC372" s="544" t="e">
        <f t="shared" si="177"/>
        <v>#VALUE!</v>
      </c>
      <c r="AD372" s="544">
        <f t="shared" si="178"/>
        <v>0</v>
      </c>
      <c r="AE372" s="759">
        <f>IF(H372&gt;8,tab!C$194,tab!C$197)</f>
        <v>0.5</v>
      </c>
      <c r="AF372" s="544">
        <f t="shared" si="179"/>
        <v>0</v>
      </c>
      <c r="AG372" s="760">
        <f t="shared" si="180"/>
        <v>0</v>
      </c>
      <c r="AH372" s="544"/>
    </row>
    <row r="373" spans="3:34" ht="13.15" customHeight="1" x14ac:dyDescent="0.2">
      <c r="C373" s="31"/>
      <c r="D373" s="117" t="str">
        <f t="shared" si="181"/>
        <v/>
      </c>
      <c r="E373" s="117" t="str">
        <f t="shared" si="181"/>
        <v/>
      </c>
      <c r="F373" s="33" t="str">
        <f t="shared" si="171"/>
        <v/>
      </c>
      <c r="G373" s="118" t="str">
        <f t="shared" si="160"/>
        <v/>
      </c>
      <c r="H373" s="33" t="str">
        <f t="shared" si="161"/>
        <v/>
      </c>
      <c r="I373" s="119" t="str">
        <f t="shared" si="175"/>
        <v/>
      </c>
      <c r="J373" s="120" t="str">
        <f t="shared" si="182"/>
        <v/>
      </c>
      <c r="K373" s="170"/>
      <c r="L373" s="1141">
        <f t="shared" si="183"/>
        <v>0</v>
      </c>
      <c r="M373" s="1141">
        <f t="shared" si="183"/>
        <v>0</v>
      </c>
      <c r="N373" s="804" t="str">
        <f t="shared" si="162"/>
        <v/>
      </c>
      <c r="O373" s="795"/>
      <c r="P373" s="1156" t="str">
        <f t="shared" si="163"/>
        <v/>
      </c>
      <c r="Q373" s="957" t="str">
        <f t="shared" si="164"/>
        <v/>
      </c>
      <c r="R373" s="767" t="str">
        <f t="shared" si="165"/>
        <v/>
      </c>
      <c r="S373" s="966">
        <f t="shared" si="166"/>
        <v>0</v>
      </c>
      <c r="T373" s="116"/>
      <c r="X373" s="760" t="str">
        <f t="shared" si="176"/>
        <v/>
      </c>
      <c r="Y373" s="745">
        <f t="shared" si="167"/>
        <v>0.6</v>
      </c>
      <c r="Z373" s="758" t="e">
        <f t="shared" si="168"/>
        <v>#VALUE!</v>
      </c>
      <c r="AA373" s="758" t="e">
        <f t="shared" si="169"/>
        <v>#VALUE!</v>
      </c>
      <c r="AB373" s="758" t="e">
        <f t="shared" si="170"/>
        <v>#VALUE!</v>
      </c>
      <c r="AC373" s="544" t="e">
        <f t="shared" si="177"/>
        <v>#VALUE!</v>
      </c>
      <c r="AD373" s="544">
        <f t="shared" si="178"/>
        <v>0</v>
      </c>
      <c r="AE373" s="759">
        <f>IF(H373&gt;8,tab!C$194,tab!C$197)</f>
        <v>0.5</v>
      </c>
      <c r="AF373" s="544">
        <f t="shared" si="179"/>
        <v>0</v>
      </c>
      <c r="AG373" s="760">
        <f t="shared" si="180"/>
        <v>0</v>
      </c>
      <c r="AH373" s="544"/>
    </row>
    <row r="374" spans="3:34" ht="13.15" customHeight="1" x14ac:dyDescent="0.2">
      <c r="C374" s="31"/>
      <c r="D374" s="117" t="str">
        <f t="shared" si="181"/>
        <v/>
      </c>
      <c r="E374" s="117" t="str">
        <f t="shared" si="181"/>
        <v/>
      </c>
      <c r="F374" s="33" t="str">
        <f t="shared" si="171"/>
        <v/>
      </c>
      <c r="G374" s="118" t="str">
        <f t="shared" si="160"/>
        <v/>
      </c>
      <c r="H374" s="33" t="str">
        <f t="shared" si="161"/>
        <v/>
      </c>
      <c r="I374" s="119" t="str">
        <f t="shared" si="175"/>
        <v/>
      </c>
      <c r="J374" s="120" t="str">
        <f t="shared" si="182"/>
        <v/>
      </c>
      <c r="K374" s="170"/>
      <c r="L374" s="1141">
        <f t="shared" si="183"/>
        <v>0</v>
      </c>
      <c r="M374" s="1141">
        <f t="shared" si="183"/>
        <v>0</v>
      </c>
      <c r="N374" s="804" t="str">
        <f t="shared" si="162"/>
        <v/>
      </c>
      <c r="O374" s="795"/>
      <c r="P374" s="1156" t="str">
        <f t="shared" si="163"/>
        <v/>
      </c>
      <c r="Q374" s="957" t="str">
        <f t="shared" si="164"/>
        <v/>
      </c>
      <c r="R374" s="767" t="str">
        <f t="shared" si="165"/>
        <v/>
      </c>
      <c r="S374" s="966">
        <f t="shared" si="166"/>
        <v>0</v>
      </c>
      <c r="T374" s="116"/>
      <c r="X374" s="760" t="str">
        <f t="shared" si="176"/>
        <v/>
      </c>
      <c r="Y374" s="745">
        <f t="shared" si="167"/>
        <v>0.6</v>
      </c>
      <c r="Z374" s="758" t="e">
        <f t="shared" si="168"/>
        <v>#VALUE!</v>
      </c>
      <c r="AA374" s="758" t="e">
        <f t="shared" si="169"/>
        <v>#VALUE!</v>
      </c>
      <c r="AB374" s="758" t="e">
        <f t="shared" si="170"/>
        <v>#VALUE!</v>
      </c>
      <c r="AC374" s="544" t="e">
        <f t="shared" si="177"/>
        <v>#VALUE!</v>
      </c>
      <c r="AD374" s="544">
        <f t="shared" si="178"/>
        <v>0</v>
      </c>
      <c r="AE374" s="759">
        <f>IF(H374&gt;8,tab!C$194,tab!C$197)</f>
        <v>0.5</v>
      </c>
      <c r="AF374" s="544">
        <f t="shared" si="179"/>
        <v>0</v>
      </c>
      <c r="AG374" s="760">
        <f t="shared" si="180"/>
        <v>0</v>
      </c>
      <c r="AH374" s="544"/>
    </row>
    <row r="375" spans="3:34" ht="13.15" customHeight="1" x14ac:dyDescent="0.2">
      <c r="C375" s="31"/>
      <c r="D375" s="28"/>
      <c r="E375" s="28"/>
      <c r="F375" s="28"/>
      <c r="G375" s="28"/>
      <c r="H375" s="30"/>
      <c r="I375" s="158"/>
      <c r="J375" s="768">
        <f>SUM(J325:J374)</f>
        <v>1</v>
      </c>
      <c r="K375" s="121"/>
      <c r="L375" s="802">
        <f>SUM(L325:L374)</f>
        <v>0</v>
      </c>
      <c r="M375" s="802">
        <f>SUM(M325:M374)</f>
        <v>0</v>
      </c>
      <c r="N375" s="497"/>
      <c r="O375" s="802">
        <f>SUM(O325:O374)</f>
        <v>0</v>
      </c>
      <c r="P375" s="803">
        <f>SUM(P325:P374)</f>
        <v>40</v>
      </c>
      <c r="Q375" s="959">
        <f>SUM(Q325:Q374)</f>
        <v>61326.431826401451</v>
      </c>
      <c r="R375" s="959">
        <f>SUM(R325:R374)</f>
        <v>1515.1681735985535</v>
      </c>
      <c r="S375" s="959">
        <f>SUM(S325:S374)</f>
        <v>62841.600000000006</v>
      </c>
      <c r="T375" s="75"/>
      <c r="X375" s="544"/>
      <c r="Y375" s="544"/>
      <c r="AG375" s="760">
        <f>SUM(AG325:AG374)</f>
        <v>0</v>
      </c>
      <c r="AH375" s="544"/>
    </row>
    <row r="376" spans="3:34" ht="13.15" customHeight="1" x14ac:dyDescent="0.2"/>
    <row r="377" spans="3:34" ht="13.15" customHeight="1" x14ac:dyDescent="0.2"/>
    <row r="378" spans="3:34" ht="13.15" customHeight="1" x14ac:dyDescent="0.2"/>
    <row r="379" spans="3:34" ht="13.15" customHeight="1" x14ac:dyDescent="0.2"/>
    <row r="380" spans="3:34" ht="13.15" customHeight="1" x14ac:dyDescent="0.2"/>
    <row r="381" spans="3:34" ht="13.15" customHeight="1" x14ac:dyDescent="0.2"/>
    <row r="382" spans="3:34" ht="13.15" customHeight="1" x14ac:dyDescent="0.2"/>
    <row r="383" spans="3:34" ht="13.15" customHeight="1" x14ac:dyDescent="0.2"/>
    <row r="384" spans="3:34" ht="13.15" customHeight="1"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row r="395" ht="13.15" customHeight="1" x14ac:dyDescent="0.2"/>
    <row r="396" ht="13.15" customHeight="1" x14ac:dyDescent="0.2"/>
    <row r="397" ht="13.15" customHeight="1" x14ac:dyDescent="0.2"/>
    <row r="398" ht="13.15" customHeight="1" x14ac:dyDescent="0.2"/>
    <row r="399" ht="13.15" customHeight="1" x14ac:dyDescent="0.2"/>
    <row r="400" ht="13.15" customHeight="1" x14ac:dyDescent="0.2"/>
    <row r="401" ht="13.15" customHeight="1" x14ac:dyDescent="0.2"/>
    <row r="402" ht="13.15" customHeight="1" x14ac:dyDescent="0.2"/>
    <row r="403" ht="13.15" customHeight="1" x14ac:dyDescent="0.2"/>
    <row r="404" ht="13.15" customHeight="1" x14ac:dyDescent="0.2"/>
    <row r="405" ht="13.15" customHeight="1" x14ac:dyDescent="0.2"/>
    <row r="406" ht="13.15" customHeight="1" x14ac:dyDescent="0.2"/>
    <row r="407" ht="13.15" customHeight="1" x14ac:dyDescent="0.2"/>
    <row r="408" ht="13.15" customHeight="1" x14ac:dyDescent="0.2"/>
    <row r="409" ht="13.15" customHeight="1" x14ac:dyDescent="0.2"/>
    <row r="410" ht="13.15" customHeight="1" x14ac:dyDescent="0.2"/>
    <row r="411" ht="13.15" customHeight="1" x14ac:dyDescent="0.2"/>
    <row r="412" ht="13.15" customHeight="1" x14ac:dyDescent="0.2"/>
    <row r="413" ht="13.15" customHeight="1" x14ac:dyDescent="0.2"/>
  </sheetData>
  <sheetProtection algorithmName="SHA-512" hashValue="DYDyFJqElxo0rZE4YrPQyHylgv5SIdUYTgKQkVuAgf335fLFI9TrB1iTQSA8qLrI2zpRbw/KzA8yTdh1v/12HQ==" saltValue="sOX4hwq69uPtxpnGJ6PlEA=="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xr:uid="{00000000-0002-0000-0600-000000000000}">
      <formula1>"LIOa,LIOb,1,2,3,4,5,6,7,8,9,10,11,12,13,14,ID1,ID2,ID3"</formula1>
    </dataValidation>
    <dataValidation type="list" allowBlank="1" showInputMessage="1" showErrorMessage="1" sqref="H15:H16" xr:uid="{00000000-0002-0000-0600-000001000000}">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479</v>
      </c>
      <c r="D4" s="181"/>
      <c r="E4" s="17"/>
      <c r="F4" s="17"/>
      <c r="G4" s="17"/>
      <c r="H4" s="20"/>
      <c r="I4" s="20"/>
      <c r="J4" s="20"/>
      <c r="K4" s="17"/>
      <c r="L4" s="17"/>
      <c r="M4" s="17"/>
      <c r="N4" s="17"/>
      <c r="O4" s="17"/>
      <c r="P4" s="17"/>
      <c r="Q4" s="179"/>
    </row>
    <row r="5" spans="2:17" s="180" customFormat="1" ht="13.7" customHeight="1" x14ac:dyDescent="0.3">
      <c r="B5" s="177"/>
      <c r="C5" s="194" t="str">
        <f>geg!H9</f>
        <v>M.L. Kingschool</v>
      </c>
      <c r="D5" s="178"/>
      <c r="E5" s="17"/>
      <c r="F5" s="17"/>
      <c r="G5" s="17"/>
      <c r="H5" s="20"/>
      <c r="I5" s="20"/>
      <c r="J5" s="20"/>
      <c r="K5" s="17"/>
      <c r="L5" s="17"/>
      <c r="M5" s="17"/>
      <c r="N5" s="17"/>
      <c r="O5" s="17"/>
      <c r="P5" s="17"/>
      <c r="Q5" s="179"/>
    </row>
    <row r="6" spans="2:17" s="180" customFormat="1" ht="13.7" customHeight="1" x14ac:dyDescent="0.3">
      <c r="B6" s="177"/>
      <c r="C6" s="508"/>
      <c r="D6" s="178"/>
      <c r="E6" s="17"/>
      <c r="F6" s="17"/>
      <c r="G6" s="17"/>
      <c r="H6" s="20"/>
      <c r="I6" s="20"/>
      <c r="J6" s="20"/>
      <c r="K6" s="17"/>
      <c r="L6" s="17"/>
      <c r="M6" s="17"/>
      <c r="N6" s="17"/>
      <c r="O6" s="17"/>
      <c r="P6" s="17"/>
      <c r="Q6" s="179"/>
    </row>
    <row r="7" spans="2:17" s="180" customFormat="1" ht="13.7" customHeight="1" x14ac:dyDescent="0.3">
      <c r="B7" s="177"/>
      <c r="C7" s="508"/>
      <c r="D7" s="178"/>
      <c r="E7" s="17"/>
      <c r="F7" s="17"/>
      <c r="G7" s="17"/>
      <c r="H7" s="20"/>
      <c r="I7" s="20"/>
      <c r="J7" s="20"/>
      <c r="K7" s="17"/>
      <c r="L7" s="17"/>
      <c r="M7" s="17"/>
      <c r="N7" s="17"/>
      <c r="O7" s="17"/>
      <c r="P7" s="17"/>
      <c r="Q7" s="179"/>
    </row>
    <row r="8" spans="2:17" s="180" customFormat="1" ht="13.7" customHeight="1" x14ac:dyDescent="0.3">
      <c r="B8" s="177"/>
      <c r="C8" s="988" t="s">
        <v>150</v>
      </c>
      <c r="D8" s="989"/>
      <c r="E8" s="989"/>
      <c r="F8" s="989"/>
      <c r="G8" s="989"/>
      <c r="H8" s="636"/>
      <c r="I8" s="636"/>
      <c r="J8" s="636"/>
      <c r="K8" s="989"/>
      <c r="L8" s="989"/>
      <c r="M8" s="989"/>
      <c r="N8" s="989"/>
      <c r="O8" s="989"/>
      <c r="P8" s="17"/>
      <c r="Q8" s="179"/>
    </row>
    <row r="9" spans="2:17" s="180" customFormat="1" ht="13.7" customHeight="1" x14ac:dyDescent="0.3">
      <c r="B9" s="177"/>
      <c r="C9" s="990" t="s">
        <v>151</v>
      </c>
      <c r="D9" s="989"/>
      <c r="E9" s="989"/>
      <c r="F9" s="989"/>
      <c r="G9" s="989"/>
      <c r="H9" s="636"/>
      <c r="I9" s="636"/>
      <c r="J9" s="636"/>
      <c r="K9" s="989"/>
      <c r="L9" s="989"/>
      <c r="M9" s="989"/>
      <c r="N9" s="989"/>
      <c r="O9" s="989"/>
      <c r="P9" s="17"/>
      <c r="Q9" s="179"/>
    </row>
    <row r="10" spans="2:17" s="180" customFormat="1" ht="13.7" customHeight="1" x14ac:dyDescent="0.3">
      <c r="B10" s="177"/>
      <c r="C10" s="990" t="s">
        <v>152</v>
      </c>
      <c r="D10" s="989"/>
      <c r="E10" s="989"/>
      <c r="F10" s="989"/>
      <c r="G10" s="989"/>
      <c r="H10" s="636"/>
      <c r="I10" s="636"/>
      <c r="J10" s="636"/>
      <c r="K10" s="989"/>
      <c r="L10" s="989"/>
      <c r="M10" s="989"/>
      <c r="N10" s="989"/>
      <c r="O10" s="989"/>
      <c r="P10" s="17"/>
      <c r="Q10" s="179"/>
    </row>
    <row r="11" spans="2:17" s="180" customFormat="1" ht="13.7" customHeight="1" x14ac:dyDescent="0.3">
      <c r="B11" s="177"/>
      <c r="C11" s="991"/>
      <c r="D11" s="991"/>
      <c r="E11" s="989"/>
      <c r="F11" s="989"/>
      <c r="G11" s="989"/>
      <c r="H11" s="636"/>
      <c r="I11" s="636"/>
      <c r="J11" s="636"/>
      <c r="K11" s="989"/>
      <c r="L11" s="989"/>
      <c r="M11" s="989"/>
      <c r="N11" s="989"/>
      <c r="O11" s="989"/>
      <c r="P11" s="17"/>
      <c r="Q11" s="179"/>
    </row>
    <row r="12" spans="2:17" ht="13.7" customHeight="1" x14ac:dyDescent="0.2">
      <c r="B12" s="182"/>
      <c r="C12" s="992"/>
      <c r="D12" s="653"/>
      <c r="E12" s="636"/>
      <c r="F12" s="636"/>
      <c r="G12" s="993"/>
      <c r="H12" s="636"/>
      <c r="I12" s="636"/>
      <c r="J12" s="636"/>
      <c r="K12" s="636"/>
      <c r="L12" s="636"/>
      <c r="M12" s="636"/>
      <c r="N12" s="636"/>
      <c r="O12" s="636"/>
      <c r="P12" s="20"/>
      <c r="Q12" s="22"/>
    </row>
    <row r="13" spans="2:17" ht="13.7" customHeight="1" x14ac:dyDescent="0.2">
      <c r="B13" s="222"/>
      <c r="C13" s="963"/>
      <c r="D13" s="994"/>
      <c r="E13" s="636"/>
      <c r="F13" s="993"/>
      <c r="G13" s="993"/>
      <c r="H13" s="993">
        <f>tab!E4</f>
        <v>2020</v>
      </c>
      <c r="I13" s="993">
        <f>H13+1</f>
        <v>2021</v>
      </c>
      <c r="J13" s="993">
        <f t="shared" ref="J13:O13" si="0">I13+1</f>
        <v>2022</v>
      </c>
      <c r="K13" s="993">
        <f t="shared" si="0"/>
        <v>2023</v>
      </c>
      <c r="L13" s="993">
        <f t="shared" si="0"/>
        <v>2024</v>
      </c>
      <c r="M13" s="993">
        <f t="shared" si="0"/>
        <v>2025</v>
      </c>
      <c r="N13" s="993">
        <f t="shared" si="0"/>
        <v>2026</v>
      </c>
      <c r="O13" s="993">
        <f t="shared" si="0"/>
        <v>2027</v>
      </c>
      <c r="P13" s="20"/>
      <c r="Q13" s="22"/>
    </row>
    <row r="14" spans="2:17" ht="13.7" customHeight="1" x14ac:dyDescent="0.2">
      <c r="B14" s="182"/>
      <c r="C14" s="508"/>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153</v>
      </c>
      <c r="E16" s="186"/>
      <c r="F16" s="1219"/>
      <c r="G16" s="1297"/>
      <c r="H16" s="1218">
        <f t="shared" ref="H16:O16" si="1">G19</f>
        <v>0</v>
      </c>
      <c r="I16" s="997">
        <f t="shared" si="1"/>
        <v>0</v>
      </c>
      <c r="J16" s="997">
        <f t="shared" si="1"/>
        <v>0</v>
      </c>
      <c r="K16" s="997">
        <f t="shared" si="1"/>
        <v>0</v>
      </c>
      <c r="L16" s="997">
        <f t="shared" si="1"/>
        <v>0</v>
      </c>
      <c r="M16" s="997">
        <f t="shared" si="1"/>
        <v>0</v>
      </c>
      <c r="N16" s="997">
        <f t="shared" si="1"/>
        <v>0</v>
      </c>
      <c r="O16" s="997">
        <f t="shared" si="1"/>
        <v>0</v>
      </c>
      <c r="P16" s="6"/>
      <c r="Q16" s="22"/>
    </row>
    <row r="17" spans="2:17" ht="13.7" customHeight="1" x14ac:dyDescent="0.2">
      <c r="B17" s="18"/>
      <c r="C17" s="185"/>
      <c r="D17" s="71" t="s">
        <v>154</v>
      </c>
      <c r="E17" s="188"/>
      <c r="F17" s="1219"/>
      <c r="G17" s="1298"/>
      <c r="H17" s="189">
        <v>0</v>
      </c>
      <c r="I17" s="189">
        <v>0</v>
      </c>
      <c r="J17" s="189">
        <v>0</v>
      </c>
      <c r="K17" s="189">
        <v>0</v>
      </c>
      <c r="L17" s="189">
        <v>0</v>
      </c>
      <c r="M17" s="189">
        <v>0</v>
      </c>
      <c r="N17" s="189">
        <v>0</v>
      </c>
      <c r="O17" s="189">
        <v>0</v>
      </c>
      <c r="P17" s="6"/>
      <c r="Q17" s="22"/>
    </row>
    <row r="18" spans="2:17" ht="13.7" customHeight="1" x14ac:dyDescent="0.2">
      <c r="B18" s="18"/>
      <c r="C18" s="185"/>
      <c r="D18" s="71" t="s">
        <v>155</v>
      </c>
      <c r="E18" s="186"/>
      <c r="F18" s="1219"/>
      <c r="G18" s="1298"/>
      <c r="H18" s="189">
        <v>0</v>
      </c>
      <c r="I18" s="189">
        <v>0</v>
      </c>
      <c r="J18" s="189">
        <v>0</v>
      </c>
      <c r="K18" s="189">
        <v>0</v>
      </c>
      <c r="L18" s="189">
        <v>0</v>
      </c>
      <c r="M18" s="189">
        <v>0</v>
      </c>
      <c r="N18" s="189">
        <v>0</v>
      </c>
      <c r="O18" s="189">
        <v>0</v>
      </c>
      <c r="P18" s="6"/>
      <c r="Q18" s="22"/>
    </row>
    <row r="19" spans="2:17" ht="13.7" customHeight="1" x14ac:dyDescent="0.2">
      <c r="B19" s="18"/>
      <c r="C19" s="190"/>
      <c r="D19" s="62" t="s">
        <v>156</v>
      </c>
      <c r="E19" s="188"/>
      <c r="F19" s="1220"/>
      <c r="G19" s="1299"/>
      <c r="H19" s="996">
        <f t="shared" ref="H19:O19" si="2">SUM(H16:H17)-H18</f>
        <v>0</v>
      </c>
      <c r="I19" s="996">
        <f t="shared" si="2"/>
        <v>0</v>
      </c>
      <c r="J19" s="996">
        <f t="shared" si="2"/>
        <v>0</v>
      </c>
      <c r="K19" s="996">
        <f t="shared" si="2"/>
        <v>0</v>
      </c>
      <c r="L19" s="996">
        <f t="shared" si="2"/>
        <v>0</v>
      </c>
      <c r="M19" s="996">
        <f t="shared" si="2"/>
        <v>0</v>
      </c>
      <c r="N19" s="996">
        <f t="shared" si="2"/>
        <v>0</v>
      </c>
      <c r="O19" s="996">
        <f t="shared" si="2"/>
        <v>0</v>
      </c>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08"/>
      <c r="D21" s="99"/>
      <c r="E21" s="20"/>
      <c r="F21" s="20"/>
      <c r="G21" s="20"/>
      <c r="H21" s="87"/>
      <c r="I21" s="20"/>
      <c r="J21" s="20"/>
      <c r="K21" s="20"/>
      <c r="L21" s="20"/>
      <c r="M21" s="20"/>
      <c r="N21" s="20"/>
      <c r="O21" s="20"/>
      <c r="P21" s="20"/>
      <c r="Q21" s="22"/>
    </row>
    <row r="22" spans="2:17" ht="13.7" customHeight="1" x14ac:dyDescent="0.2">
      <c r="B22" s="182"/>
      <c r="C22" s="508"/>
      <c r="D22" s="99"/>
      <c r="E22" s="20"/>
      <c r="F22" s="636"/>
      <c r="G22" s="636"/>
      <c r="H22" s="717"/>
      <c r="I22" s="636"/>
      <c r="J22" s="636"/>
      <c r="K22" s="636"/>
      <c r="L22" s="636"/>
      <c r="M22" s="636"/>
      <c r="N22" s="636"/>
      <c r="O22" s="636"/>
      <c r="P22" s="20"/>
      <c r="Q22" s="22"/>
    </row>
    <row r="23" spans="2:17" ht="13.7" customHeight="1" x14ac:dyDescent="0.2">
      <c r="B23" s="182"/>
      <c r="C23" s="193"/>
      <c r="D23" s="983"/>
      <c r="E23" s="20"/>
      <c r="F23" s="993">
        <f>1+O13</f>
        <v>2028</v>
      </c>
      <c r="G23" s="993">
        <f t="shared" ref="G23:O23" si="3">F23+1</f>
        <v>2029</v>
      </c>
      <c r="H23" s="993">
        <f t="shared" si="3"/>
        <v>2030</v>
      </c>
      <c r="I23" s="993">
        <f t="shared" si="3"/>
        <v>2031</v>
      </c>
      <c r="J23" s="993">
        <f t="shared" si="3"/>
        <v>2032</v>
      </c>
      <c r="K23" s="993">
        <f t="shared" si="3"/>
        <v>2033</v>
      </c>
      <c r="L23" s="993">
        <f t="shared" si="3"/>
        <v>2034</v>
      </c>
      <c r="M23" s="993">
        <f t="shared" si="3"/>
        <v>2035</v>
      </c>
      <c r="N23" s="993">
        <f t="shared" si="3"/>
        <v>2036</v>
      </c>
      <c r="O23" s="993">
        <f t="shared" si="3"/>
        <v>2037</v>
      </c>
      <c r="P23" s="183"/>
      <c r="Q23" s="22"/>
    </row>
    <row r="24" spans="2:17" ht="13.7" customHeight="1" x14ac:dyDescent="0.2">
      <c r="B24" s="182"/>
      <c r="C24" s="508"/>
      <c r="D24" s="99"/>
      <c r="E24" s="20"/>
      <c r="F24" s="20"/>
      <c r="G24" s="20"/>
      <c r="H24" s="20"/>
      <c r="I24" s="20"/>
      <c r="J24" s="20"/>
      <c r="K24" s="20"/>
      <c r="L24" s="20"/>
      <c r="M24" s="20"/>
      <c r="N24" s="20"/>
      <c r="O24" s="20"/>
      <c r="P24" s="20"/>
      <c r="Q24" s="22"/>
    </row>
    <row r="25" spans="2:17" ht="13.7" customHeight="1" x14ac:dyDescent="0.2">
      <c r="B25" s="182"/>
      <c r="C25" s="184"/>
      <c r="D25" s="154"/>
      <c r="F25" s="23"/>
      <c r="G25" s="24"/>
      <c r="H25" s="24"/>
      <c r="I25" s="24"/>
      <c r="J25" s="24"/>
      <c r="K25" s="24"/>
      <c r="L25" s="24"/>
      <c r="M25" s="24"/>
      <c r="N25" s="24"/>
      <c r="O25" s="24"/>
      <c r="P25" s="26"/>
      <c r="Q25" s="22"/>
    </row>
    <row r="26" spans="2:17" ht="13.7" customHeight="1" x14ac:dyDescent="0.2">
      <c r="B26" s="182"/>
      <c r="C26" s="185"/>
      <c r="D26" s="71" t="s">
        <v>153</v>
      </c>
      <c r="E26" s="186"/>
      <c r="F26" s="998">
        <f>O19</f>
        <v>0</v>
      </c>
      <c r="G26" s="997">
        <f t="shared" ref="G26:O26" si="4">F29</f>
        <v>0</v>
      </c>
      <c r="H26" s="997">
        <f t="shared" si="4"/>
        <v>0</v>
      </c>
      <c r="I26" s="997">
        <f t="shared" si="4"/>
        <v>0</v>
      </c>
      <c r="J26" s="997">
        <f t="shared" si="4"/>
        <v>0</v>
      </c>
      <c r="K26" s="997">
        <f t="shared" si="4"/>
        <v>0</v>
      </c>
      <c r="L26" s="997">
        <f t="shared" si="4"/>
        <v>0</v>
      </c>
      <c r="M26" s="997">
        <f t="shared" si="4"/>
        <v>0</v>
      </c>
      <c r="N26" s="997">
        <f t="shared" si="4"/>
        <v>0</v>
      </c>
      <c r="O26" s="997">
        <f t="shared" si="4"/>
        <v>0</v>
      </c>
      <c r="P26" s="6"/>
      <c r="Q26" s="22"/>
    </row>
    <row r="27" spans="2:17" ht="13.7" customHeight="1" x14ac:dyDescent="0.2">
      <c r="B27" s="182"/>
      <c r="C27" s="185"/>
      <c r="D27" s="71" t="s">
        <v>154</v>
      </c>
      <c r="E27" s="188"/>
      <c r="F27" s="187">
        <v>0</v>
      </c>
      <c r="G27" s="189">
        <v>0</v>
      </c>
      <c r="H27" s="189">
        <v>0</v>
      </c>
      <c r="I27" s="189">
        <v>0</v>
      </c>
      <c r="J27" s="189">
        <v>0</v>
      </c>
      <c r="K27" s="189">
        <v>0</v>
      </c>
      <c r="L27" s="189">
        <v>0</v>
      </c>
      <c r="M27" s="189">
        <v>0</v>
      </c>
      <c r="N27" s="189">
        <v>0</v>
      </c>
      <c r="O27" s="189">
        <v>0</v>
      </c>
      <c r="P27" s="6"/>
      <c r="Q27" s="22"/>
    </row>
    <row r="28" spans="2:17" ht="13.7" customHeight="1" x14ac:dyDescent="0.2">
      <c r="B28" s="182"/>
      <c r="C28" s="185"/>
      <c r="D28" s="71" t="s">
        <v>155</v>
      </c>
      <c r="E28" s="186"/>
      <c r="F28" s="187">
        <v>0</v>
      </c>
      <c r="G28" s="189">
        <v>0</v>
      </c>
      <c r="H28" s="189">
        <v>0</v>
      </c>
      <c r="I28" s="189">
        <v>0</v>
      </c>
      <c r="J28" s="189">
        <v>0</v>
      </c>
      <c r="K28" s="189">
        <v>0</v>
      </c>
      <c r="L28" s="189">
        <v>0</v>
      </c>
      <c r="M28" s="189">
        <v>0</v>
      </c>
      <c r="N28" s="189">
        <v>0</v>
      </c>
      <c r="O28" s="189">
        <v>0</v>
      </c>
      <c r="P28" s="6"/>
      <c r="Q28" s="22"/>
    </row>
    <row r="29" spans="2:17" ht="13.7" customHeight="1" x14ac:dyDescent="0.2">
      <c r="B29" s="182"/>
      <c r="C29" s="190"/>
      <c r="D29" s="62" t="s">
        <v>156</v>
      </c>
      <c r="E29" s="188"/>
      <c r="F29" s="995">
        <f t="shared" ref="F29:O29" si="5">SUM(F26:F27)-F28</f>
        <v>0</v>
      </c>
      <c r="G29" s="996">
        <f>SUM(G26:G27)-G28</f>
        <v>0</v>
      </c>
      <c r="H29" s="996">
        <f t="shared" si="5"/>
        <v>0</v>
      </c>
      <c r="I29" s="996">
        <f t="shared" si="5"/>
        <v>0</v>
      </c>
      <c r="J29" s="996">
        <f t="shared" si="5"/>
        <v>0</v>
      </c>
      <c r="K29" s="996">
        <f t="shared" si="5"/>
        <v>0</v>
      </c>
      <c r="L29" s="996">
        <f t="shared" si="5"/>
        <v>0</v>
      </c>
      <c r="M29" s="996">
        <f t="shared" si="5"/>
        <v>0</v>
      </c>
      <c r="N29" s="996">
        <f t="shared" si="5"/>
        <v>0</v>
      </c>
      <c r="O29" s="996">
        <f t="shared" si="5"/>
        <v>0</v>
      </c>
      <c r="P29" s="6"/>
      <c r="Q29" s="22"/>
    </row>
    <row r="30" spans="2:17" ht="13.7" customHeight="1" x14ac:dyDescent="0.2">
      <c r="B30" s="182"/>
      <c r="C30" s="73"/>
      <c r="F30" s="36"/>
      <c r="G30" s="191"/>
      <c r="H30" s="191"/>
      <c r="I30" s="191"/>
      <c r="J30" s="191"/>
      <c r="K30" s="191"/>
      <c r="L30" s="191"/>
      <c r="M30" s="191"/>
      <c r="N30" s="191"/>
      <c r="O30" s="191"/>
      <c r="P30" s="38"/>
      <c r="Q30" s="22"/>
    </row>
    <row r="31" spans="2:17" ht="13.7" customHeight="1" x14ac:dyDescent="0.2">
      <c r="B31" s="182"/>
      <c r="C31" s="508"/>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84"/>
      <c r="Q32" s="43"/>
    </row>
    <row r="33" s="34" customFormat="1" ht="13.7" customHeight="1" collapsed="1" x14ac:dyDescent="0.2"/>
  </sheetData>
  <sheetProtection algorithmName="SHA-512" hashValue="vfaOWcdfbUzDtPbXhjcRvlfr7PcajrrBHp28TbRRwWxpf0YnuuV5fIaVSzI59Gg/idmU0RYCDVREDN4roCLa9w==" saltValue="gNfgROYj5Gjmw8qV/Cl2qg=="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999" customFormat="1" ht="18" customHeight="1" x14ac:dyDescent="0.3">
      <c r="B4" s="177"/>
      <c r="C4" s="358" t="s">
        <v>158</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geg!H9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0"/>
      <c r="C8" s="196"/>
      <c r="D8" s="197" t="s">
        <v>159</v>
      </c>
      <c r="E8" s="197" t="s">
        <v>160</v>
      </c>
      <c r="F8" s="196" t="s">
        <v>161</v>
      </c>
      <c r="G8" s="196" t="s">
        <v>162</v>
      </c>
      <c r="H8" s="196" t="s">
        <v>163</v>
      </c>
      <c r="I8" s="196" t="s">
        <v>164</v>
      </c>
      <c r="J8" s="196" t="s">
        <v>165</v>
      </c>
      <c r="K8" s="196"/>
      <c r="L8" s="196" t="s">
        <v>166</v>
      </c>
      <c r="M8" s="196" t="s">
        <v>167</v>
      </c>
      <c r="N8" s="196" t="s">
        <v>168</v>
      </c>
      <c r="O8" s="198" t="s">
        <v>169</v>
      </c>
      <c r="P8" s="196" t="s">
        <v>170</v>
      </c>
      <c r="Q8" s="196"/>
      <c r="R8" s="196">
        <f>tab!E4</f>
        <v>2020</v>
      </c>
      <c r="S8" s="196">
        <f>tab!F4</f>
        <v>2021</v>
      </c>
      <c r="T8" s="196">
        <f>tab!G4</f>
        <v>2022</v>
      </c>
      <c r="U8" s="196">
        <f>tab!H4</f>
        <v>2023</v>
      </c>
      <c r="V8" s="196">
        <f>tab!I4</f>
        <v>2024</v>
      </c>
      <c r="W8" s="1000">
        <f t="shared" ref="W8:Y8" si="0">V8+1</f>
        <v>2025</v>
      </c>
      <c r="X8" s="1000">
        <f t="shared" si="0"/>
        <v>2026</v>
      </c>
      <c r="Y8" s="1000">
        <f t="shared" si="0"/>
        <v>2027</v>
      </c>
      <c r="Z8" s="196"/>
      <c r="AA8" s="196">
        <f t="shared" ref="AA8:AH8" si="1">R8</f>
        <v>2020</v>
      </c>
      <c r="AB8" s="196">
        <f t="shared" si="1"/>
        <v>2021</v>
      </c>
      <c r="AC8" s="196">
        <f t="shared" si="1"/>
        <v>2022</v>
      </c>
      <c r="AD8" s="196">
        <f t="shared" si="1"/>
        <v>2023</v>
      </c>
      <c r="AE8" s="196">
        <f t="shared" si="1"/>
        <v>2024</v>
      </c>
      <c r="AF8" s="196">
        <f t="shared" si="1"/>
        <v>2025</v>
      </c>
      <c r="AG8" s="196">
        <f t="shared" si="1"/>
        <v>2026</v>
      </c>
      <c r="AH8" s="196">
        <f t="shared" si="1"/>
        <v>2027</v>
      </c>
      <c r="AI8" s="196"/>
      <c r="AJ8" s="481"/>
    </row>
    <row r="9" spans="2:36" s="168" customFormat="1" ht="13.15" customHeight="1" x14ac:dyDescent="0.2">
      <c r="B9" s="480"/>
      <c r="C9" s="196"/>
      <c r="D9" s="197"/>
      <c r="E9" s="197"/>
      <c r="F9" s="196" t="s">
        <v>171</v>
      </c>
      <c r="G9" s="196" t="s">
        <v>172</v>
      </c>
      <c r="H9" s="196" t="s">
        <v>173</v>
      </c>
      <c r="I9" s="196" t="s">
        <v>174</v>
      </c>
      <c r="J9" s="196" t="s">
        <v>175</v>
      </c>
      <c r="K9" s="196"/>
      <c r="L9" s="196"/>
      <c r="M9" s="196" t="s">
        <v>176</v>
      </c>
      <c r="N9" s="196" t="s">
        <v>177</v>
      </c>
      <c r="O9" s="198" t="s">
        <v>168</v>
      </c>
      <c r="P9" s="198">
        <f>R8</f>
        <v>2020</v>
      </c>
      <c r="Q9" s="196"/>
      <c r="R9" s="196" t="s">
        <v>168</v>
      </c>
      <c r="S9" s="196" t="s">
        <v>168</v>
      </c>
      <c r="T9" s="196" t="s">
        <v>168</v>
      </c>
      <c r="U9" s="196" t="s">
        <v>168</v>
      </c>
      <c r="V9" s="196" t="s">
        <v>168</v>
      </c>
      <c r="W9" s="196" t="s">
        <v>168</v>
      </c>
      <c r="X9" s="196" t="s">
        <v>168</v>
      </c>
      <c r="Y9" s="196" t="s">
        <v>168</v>
      </c>
      <c r="Z9" s="196"/>
      <c r="AA9" s="196" t="s">
        <v>178</v>
      </c>
      <c r="AB9" s="196" t="s">
        <v>178</v>
      </c>
      <c r="AC9" s="196" t="s">
        <v>178</v>
      </c>
      <c r="AD9" s="196" t="s">
        <v>178</v>
      </c>
      <c r="AE9" s="196" t="s">
        <v>178</v>
      </c>
      <c r="AF9" s="196" t="s">
        <v>178</v>
      </c>
      <c r="AG9" s="196" t="s">
        <v>178</v>
      </c>
      <c r="AH9" s="196" t="s">
        <v>178</v>
      </c>
      <c r="AI9" s="196"/>
      <c r="AJ9" s="481"/>
    </row>
    <row r="10" spans="2:36" s="168" customFormat="1" ht="13.15" customHeight="1" x14ac:dyDescent="0.2">
      <c r="B10" s="480"/>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1"/>
    </row>
    <row r="11" spans="2:36" s="168" customFormat="1" ht="13.15" customHeight="1" x14ac:dyDescent="0.2">
      <c r="B11" s="480"/>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1"/>
    </row>
    <row r="12" spans="2:36" ht="13.15" customHeight="1" collapsed="1" x14ac:dyDescent="0.2">
      <c r="B12" s="18"/>
      <c r="C12" s="31"/>
      <c r="D12" s="1"/>
      <c r="E12" s="1"/>
      <c r="F12" s="32"/>
      <c r="G12" s="32"/>
      <c r="H12" s="32"/>
      <c r="I12" s="32"/>
      <c r="J12" s="32"/>
      <c r="K12" s="3"/>
      <c r="L12" s="3"/>
      <c r="M12" s="3"/>
      <c r="N12" s="3"/>
      <c r="O12" s="3"/>
      <c r="P12" s="769">
        <f>SUM(P14:P169)</f>
        <v>45000</v>
      </c>
      <c r="Q12" s="3"/>
      <c r="R12" s="769">
        <f t="shared" ref="R12:Y12" si="2">SUM(R14:R169)</f>
        <v>15000</v>
      </c>
      <c r="S12" s="769">
        <f t="shared" si="2"/>
        <v>15000</v>
      </c>
      <c r="T12" s="769">
        <f t="shared" si="2"/>
        <v>15000</v>
      </c>
      <c r="U12" s="769">
        <f t="shared" si="2"/>
        <v>15000</v>
      </c>
      <c r="V12" s="769">
        <f t="shared" si="2"/>
        <v>15000</v>
      </c>
      <c r="W12" s="769">
        <f t="shared" si="2"/>
        <v>15000</v>
      </c>
      <c r="X12" s="769">
        <f t="shared" si="2"/>
        <v>15000</v>
      </c>
      <c r="Y12" s="769">
        <f t="shared" si="2"/>
        <v>15000</v>
      </c>
      <c r="Z12" s="201"/>
      <c r="AA12" s="769">
        <f t="shared" ref="AA12:AH12" si="3">SUM(AA14:AA169)</f>
        <v>0</v>
      </c>
      <c r="AB12" s="769">
        <f t="shared" si="3"/>
        <v>0</v>
      </c>
      <c r="AC12" s="769">
        <f t="shared" si="3"/>
        <v>0</v>
      </c>
      <c r="AD12" s="769">
        <f t="shared" si="3"/>
        <v>75000</v>
      </c>
      <c r="AE12" s="769">
        <f t="shared" si="3"/>
        <v>0</v>
      </c>
      <c r="AF12" s="769">
        <f t="shared" si="3"/>
        <v>0</v>
      </c>
      <c r="AG12" s="769">
        <f t="shared" si="3"/>
        <v>0</v>
      </c>
      <c r="AH12" s="769">
        <f t="shared" si="3"/>
        <v>0</v>
      </c>
      <c r="AI12" s="6"/>
      <c r="AJ12" s="22"/>
    </row>
    <row r="13" spans="2:36" s="168" customFormat="1" ht="13.15" customHeight="1" x14ac:dyDescent="0.2">
      <c r="B13" s="480"/>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1"/>
    </row>
    <row r="14" spans="2:36" ht="13.15" customHeight="1" x14ac:dyDescent="0.2">
      <c r="B14" s="18"/>
      <c r="C14" s="31"/>
      <c r="D14" s="117" t="s">
        <v>597</v>
      </c>
      <c r="E14" s="117" t="s">
        <v>598</v>
      </c>
      <c r="F14" s="119"/>
      <c r="G14" s="33">
        <v>100</v>
      </c>
      <c r="H14" s="209">
        <v>750</v>
      </c>
      <c r="I14" s="33">
        <v>2018</v>
      </c>
      <c r="J14" s="33">
        <v>5</v>
      </c>
      <c r="K14" s="3"/>
      <c r="L14" s="32">
        <f>IF(J14="geen",9999999999,J14)</f>
        <v>5</v>
      </c>
      <c r="M14" s="767">
        <f t="shared" ref="M14:M77" si="4">G14*H14</f>
        <v>75000</v>
      </c>
      <c r="N14" s="767">
        <f t="shared" ref="N14:N77" si="5">IF(G14=0,0,(G14*H14)/L14)</f>
        <v>15000</v>
      </c>
      <c r="O14" s="1001">
        <f t="shared" ref="O14:O77" si="6">IF(L14=0,"-",(IF(L14&gt;3000,"-",I14+L14-1)))</f>
        <v>2022</v>
      </c>
      <c r="P14" s="767">
        <f t="shared" ref="P14:P77" si="7">IF(J14="geen",IF(I14&lt;$R$8,G14*H14,0),IF(I14&gt;=$R$8,0,IF((H14*G14-(R$8-I14)*N14)&lt;0,0,H14*G14-(R$8-I14)*N14)))</f>
        <v>45000</v>
      </c>
      <c r="Q14" s="3"/>
      <c r="R14" s="767">
        <f t="shared" ref="R14:Y29" si="8">(IF(R$8&lt;$I14,0,IF($O14&lt;=R$8-1,0,$N14)))</f>
        <v>15000</v>
      </c>
      <c r="S14" s="767">
        <f t="shared" si="8"/>
        <v>15000</v>
      </c>
      <c r="T14" s="767">
        <f t="shared" si="8"/>
        <v>15000</v>
      </c>
      <c r="U14" s="767">
        <f t="shared" si="8"/>
        <v>0</v>
      </c>
      <c r="V14" s="767">
        <f t="shared" si="8"/>
        <v>0</v>
      </c>
      <c r="W14" s="767">
        <f t="shared" si="8"/>
        <v>0</v>
      </c>
      <c r="X14" s="767">
        <f t="shared" si="8"/>
        <v>0</v>
      </c>
      <c r="Y14" s="767">
        <f t="shared" si="8"/>
        <v>0</v>
      </c>
      <c r="Z14" s="3"/>
      <c r="AA14" s="767">
        <f t="shared" ref="AA14:AH29" si="9">IF(AA$8=$I14,($G14*$H14),0)</f>
        <v>0</v>
      </c>
      <c r="AB14" s="767">
        <f t="shared" si="9"/>
        <v>0</v>
      </c>
      <c r="AC14" s="767">
        <f t="shared" si="9"/>
        <v>0</v>
      </c>
      <c r="AD14" s="767">
        <f t="shared" si="9"/>
        <v>0</v>
      </c>
      <c r="AE14" s="767">
        <f t="shared" si="9"/>
        <v>0</v>
      </c>
      <c r="AF14" s="767">
        <f t="shared" si="9"/>
        <v>0</v>
      </c>
      <c r="AG14" s="767">
        <f t="shared" si="9"/>
        <v>0</v>
      </c>
      <c r="AH14" s="767">
        <f t="shared" si="9"/>
        <v>0</v>
      </c>
      <c r="AI14" s="6"/>
      <c r="AJ14" s="22"/>
    </row>
    <row r="15" spans="2:36" ht="13.15" customHeight="1" x14ac:dyDescent="0.2">
      <c r="B15" s="18"/>
      <c r="C15" s="31"/>
      <c r="D15" s="117" t="s">
        <v>597</v>
      </c>
      <c r="E15" s="117" t="s">
        <v>598</v>
      </c>
      <c r="F15" s="119"/>
      <c r="G15" s="33">
        <v>100</v>
      </c>
      <c r="H15" s="209">
        <v>750</v>
      </c>
      <c r="I15" s="33">
        <v>2023</v>
      </c>
      <c r="J15" s="33">
        <v>5</v>
      </c>
      <c r="K15" s="3"/>
      <c r="L15" s="32">
        <f t="shared" ref="L15:L78" si="10">IF(J15="geen",9999999999,J15)</f>
        <v>5</v>
      </c>
      <c r="M15" s="767">
        <f t="shared" si="4"/>
        <v>75000</v>
      </c>
      <c r="N15" s="767">
        <f t="shared" si="5"/>
        <v>15000</v>
      </c>
      <c r="O15" s="1001">
        <f t="shared" si="6"/>
        <v>2027</v>
      </c>
      <c r="P15" s="767">
        <f t="shared" si="7"/>
        <v>0</v>
      </c>
      <c r="Q15" s="3"/>
      <c r="R15" s="767">
        <f t="shared" si="8"/>
        <v>0</v>
      </c>
      <c r="S15" s="767">
        <f t="shared" si="8"/>
        <v>0</v>
      </c>
      <c r="T15" s="767">
        <f t="shared" si="8"/>
        <v>0</v>
      </c>
      <c r="U15" s="767">
        <f t="shared" si="8"/>
        <v>15000</v>
      </c>
      <c r="V15" s="767">
        <f t="shared" si="8"/>
        <v>15000</v>
      </c>
      <c r="W15" s="767">
        <f t="shared" si="8"/>
        <v>15000</v>
      </c>
      <c r="X15" s="767">
        <f t="shared" si="8"/>
        <v>15000</v>
      </c>
      <c r="Y15" s="767">
        <f t="shared" si="8"/>
        <v>15000</v>
      </c>
      <c r="Z15" s="3"/>
      <c r="AA15" s="767">
        <f t="shared" si="9"/>
        <v>0</v>
      </c>
      <c r="AB15" s="767">
        <f t="shared" si="9"/>
        <v>0</v>
      </c>
      <c r="AC15" s="767">
        <f t="shared" si="9"/>
        <v>0</v>
      </c>
      <c r="AD15" s="767">
        <f t="shared" si="9"/>
        <v>75000</v>
      </c>
      <c r="AE15" s="767">
        <f t="shared" si="9"/>
        <v>0</v>
      </c>
      <c r="AF15" s="767">
        <f t="shared" si="9"/>
        <v>0</v>
      </c>
      <c r="AG15" s="767">
        <f t="shared" si="9"/>
        <v>0</v>
      </c>
      <c r="AH15" s="767">
        <f t="shared" si="9"/>
        <v>0</v>
      </c>
      <c r="AI15" s="6"/>
      <c r="AJ15" s="22"/>
    </row>
    <row r="16" spans="2:36" ht="13.15" customHeight="1" x14ac:dyDescent="0.2">
      <c r="B16" s="18"/>
      <c r="C16" s="31"/>
      <c r="D16" s="117"/>
      <c r="E16" s="117"/>
      <c r="F16" s="119"/>
      <c r="G16" s="33"/>
      <c r="H16" s="209"/>
      <c r="I16" s="33"/>
      <c r="J16" s="33"/>
      <c r="K16" s="3"/>
      <c r="L16" s="32">
        <f t="shared" si="10"/>
        <v>0</v>
      </c>
      <c r="M16" s="767">
        <f t="shared" si="4"/>
        <v>0</v>
      </c>
      <c r="N16" s="767">
        <f t="shared" si="5"/>
        <v>0</v>
      </c>
      <c r="O16" s="1001" t="str">
        <f t="shared" si="6"/>
        <v>-</v>
      </c>
      <c r="P16" s="767">
        <f t="shared" si="7"/>
        <v>0</v>
      </c>
      <c r="Q16" s="3"/>
      <c r="R16" s="767">
        <f t="shared" si="8"/>
        <v>0</v>
      </c>
      <c r="S16" s="767">
        <f t="shared" si="8"/>
        <v>0</v>
      </c>
      <c r="T16" s="767">
        <f t="shared" si="8"/>
        <v>0</v>
      </c>
      <c r="U16" s="767">
        <f t="shared" si="8"/>
        <v>0</v>
      </c>
      <c r="V16" s="767">
        <f t="shared" si="8"/>
        <v>0</v>
      </c>
      <c r="W16" s="767">
        <f t="shared" si="8"/>
        <v>0</v>
      </c>
      <c r="X16" s="767">
        <f t="shared" si="8"/>
        <v>0</v>
      </c>
      <c r="Y16" s="767">
        <f t="shared" si="8"/>
        <v>0</v>
      </c>
      <c r="Z16" s="3"/>
      <c r="AA16" s="767">
        <f t="shared" si="9"/>
        <v>0</v>
      </c>
      <c r="AB16" s="767">
        <f t="shared" si="9"/>
        <v>0</v>
      </c>
      <c r="AC16" s="767">
        <f t="shared" si="9"/>
        <v>0</v>
      </c>
      <c r="AD16" s="767">
        <f t="shared" si="9"/>
        <v>0</v>
      </c>
      <c r="AE16" s="767">
        <f t="shared" si="9"/>
        <v>0</v>
      </c>
      <c r="AF16" s="767">
        <f t="shared" si="9"/>
        <v>0</v>
      </c>
      <c r="AG16" s="767">
        <f t="shared" si="9"/>
        <v>0</v>
      </c>
      <c r="AH16" s="767">
        <f t="shared" si="9"/>
        <v>0</v>
      </c>
      <c r="AI16" s="6"/>
      <c r="AJ16" s="22"/>
    </row>
    <row r="17" spans="2:36" ht="13.15" customHeight="1" x14ac:dyDescent="0.2">
      <c r="B17" s="18"/>
      <c r="C17" s="31"/>
      <c r="D17" s="117"/>
      <c r="E17" s="117"/>
      <c r="F17" s="119"/>
      <c r="G17" s="33"/>
      <c r="H17" s="209"/>
      <c r="I17" s="33"/>
      <c r="J17" s="33"/>
      <c r="K17" s="3"/>
      <c r="L17" s="32">
        <f t="shared" si="10"/>
        <v>0</v>
      </c>
      <c r="M17" s="767">
        <f t="shared" si="4"/>
        <v>0</v>
      </c>
      <c r="N17" s="767">
        <f t="shared" si="5"/>
        <v>0</v>
      </c>
      <c r="O17" s="1001" t="str">
        <f t="shared" si="6"/>
        <v>-</v>
      </c>
      <c r="P17" s="767">
        <f t="shared" si="7"/>
        <v>0</v>
      </c>
      <c r="Q17" s="3"/>
      <c r="R17" s="767">
        <f t="shared" si="8"/>
        <v>0</v>
      </c>
      <c r="S17" s="767">
        <f t="shared" si="8"/>
        <v>0</v>
      </c>
      <c r="T17" s="767">
        <f t="shared" si="8"/>
        <v>0</v>
      </c>
      <c r="U17" s="767">
        <f t="shared" si="8"/>
        <v>0</v>
      </c>
      <c r="V17" s="767">
        <f t="shared" si="8"/>
        <v>0</v>
      </c>
      <c r="W17" s="767">
        <f t="shared" si="8"/>
        <v>0</v>
      </c>
      <c r="X17" s="767">
        <f t="shared" si="8"/>
        <v>0</v>
      </c>
      <c r="Y17" s="767">
        <f t="shared" si="8"/>
        <v>0</v>
      </c>
      <c r="Z17" s="3"/>
      <c r="AA17" s="767">
        <f t="shared" si="9"/>
        <v>0</v>
      </c>
      <c r="AB17" s="767">
        <f t="shared" si="9"/>
        <v>0</v>
      </c>
      <c r="AC17" s="767">
        <f t="shared" si="9"/>
        <v>0</v>
      </c>
      <c r="AD17" s="767">
        <f t="shared" si="9"/>
        <v>0</v>
      </c>
      <c r="AE17" s="767">
        <f t="shared" si="9"/>
        <v>0</v>
      </c>
      <c r="AF17" s="767">
        <f t="shared" si="9"/>
        <v>0</v>
      </c>
      <c r="AG17" s="767">
        <f t="shared" si="9"/>
        <v>0</v>
      </c>
      <c r="AH17" s="767">
        <f t="shared" si="9"/>
        <v>0</v>
      </c>
      <c r="AI17" s="6"/>
      <c r="AJ17" s="22"/>
    </row>
    <row r="18" spans="2:36" ht="13.15" customHeight="1" x14ac:dyDescent="0.2">
      <c r="B18" s="18"/>
      <c r="C18" s="31"/>
      <c r="D18" s="117"/>
      <c r="E18" s="117"/>
      <c r="F18" s="119"/>
      <c r="G18" s="33"/>
      <c r="H18" s="209"/>
      <c r="I18" s="33"/>
      <c r="J18" s="33"/>
      <c r="K18" s="3"/>
      <c r="L18" s="32">
        <f t="shared" si="10"/>
        <v>0</v>
      </c>
      <c r="M18" s="767">
        <f t="shared" si="4"/>
        <v>0</v>
      </c>
      <c r="N18" s="767">
        <f t="shared" si="5"/>
        <v>0</v>
      </c>
      <c r="O18" s="1001" t="str">
        <f t="shared" si="6"/>
        <v>-</v>
      </c>
      <c r="P18" s="767">
        <f t="shared" si="7"/>
        <v>0</v>
      </c>
      <c r="Q18" s="3"/>
      <c r="R18" s="767">
        <f t="shared" si="8"/>
        <v>0</v>
      </c>
      <c r="S18" s="767">
        <f t="shared" si="8"/>
        <v>0</v>
      </c>
      <c r="T18" s="767">
        <f t="shared" si="8"/>
        <v>0</v>
      </c>
      <c r="U18" s="767">
        <f t="shared" si="8"/>
        <v>0</v>
      </c>
      <c r="V18" s="767">
        <f t="shared" si="8"/>
        <v>0</v>
      </c>
      <c r="W18" s="767">
        <f t="shared" si="8"/>
        <v>0</v>
      </c>
      <c r="X18" s="767">
        <f t="shared" si="8"/>
        <v>0</v>
      </c>
      <c r="Y18" s="767">
        <f t="shared" si="8"/>
        <v>0</v>
      </c>
      <c r="Z18" s="3"/>
      <c r="AA18" s="767">
        <f t="shared" si="9"/>
        <v>0</v>
      </c>
      <c r="AB18" s="767">
        <f t="shared" si="9"/>
        <v>0</v>
      </c>
      <c r="AC18" s="767">
        <f t="shared" si="9"/>
        <v>0</v>
      </c>
      <c r="AD18" s="767">
        <f t="shared" si="9"/>
        <v>0</v>
      </c>
      <c r="AE18" s="767">
        <f t="shared" si="9"/>
        <v>0</v>
      </c>
      <c r="AF18" s="767">
        <f t="shared" si="9"/>
        <v>0</v>
      </c>
      <c r="AG18" s="767">
        <f t="shared" si="9"/>
        <v>0</v>
      </c>
      <c r="AH18" s="767">
        <f t="shared" si="9"/>
        <v>0</v>
      </c>
      <c r="AI18" s="6"/>
      <c r="AJ18" s="22"/>
    </row>
    <row r="19" spans="2:36" ht="13.15" customHeight="1" x14ac:dyDescent="0.2">
      <c r="B19" s="18"/>
      <c r="C19" s="31"/>
      <c r="D19" s="117"/>
      <c r="E19" s="117"/>
      <c r="F19" s="119"/>
      <c r="G19" s="33"/>
      <c r="H19" s="209"/>
      <c r="I19" s="33"/>
      <c r="J19" s="33"/>
      <c r="K19" s="3"/>
      <c r="L19" s="32">
        <f t="shared" si="10"/>
        <v>0</v>
      </c>
      <c r="M19" s="767">
        <f t="shared" si="4"/>
        <v>0</v>
      </c>
      <c r="N19" s="767">
        <f t="shared" si="5"/>
        <v>0</v>
      </c>
      <c r="O19" s="1001" t="str">
        <f t="shared" si="6"/>
        <v>-</v>
      </c>
      <c r="P19" s="767">
        <f t="shared" si="7"/>
        <v>0</v>
      </c>
      <c r="Q19" s="3"/>
      <c r="R19" s="767">
        <f t="shared" si="8"/>
        <v>0</v>
      </c>
      <c r="S19" s="767">
        <f t="shared" si="8"/>
        <v>0</v>
      </c>
      <c r="T19" s="767">
        <f t="shared" si="8"/>
        <v>0</v>
      </c>
      <c r="U19" s="767">
        <f t="shared" si="8"/>
        <v>0</v>
      </c>
      <c r="V19" s="767">
        <f t="shared" si="8"/>
        <v>0</v>
      </c>
      <c r="W19" s="767">
        <f t="shared" si="8"/>
        <v>0</v>
      </c>
      <c r="X19" s="767">
        <f t="shared" si="8"/>
        <v>0</v>
      </c>
      <c r="Y19" s="767">
        <f t="shared" si="8"/>
        <v>0</v>
      </c>
      <c r="Z19" s="3"/>
      <c r="AA19" s="767">
        <f t="shared" si="9"/>
        <v>0</v>
      </c>
      <c r="AB19" s="767">
        <f t="shared" si="9"/>
        <v>0</v>
      </c>
      <c r="AC19" s="767">
        <f t="shared" si="9"/>
        <v>0</v>
      </c>
      <c r="AD19" s="767">
        <f t="shared" si="9"/>
        <v>0</v>
      </c>
      <c r="AE19" s="767">
        <f t="shared" si="9"/>
        <v>0</v>
      </c>
      <c r="AF19" s="767">
        <f t="shared" si="9"/>
        <v>0</v>
      </c>
      <c r="AG19" s="767">
        <f t="shared" si="9"/>
        <v>0</v>
      </c>
      <c r="AH19" s="767">
        <f t="shared" si="9"/>
        <v>0</v>
      </c>
      <c r="AI19" s="6"/>
      <c r="AJ19" s="22"/>
    </row>
    <row r="20" spans="2:36" ht="13.15" customHeight="1" x14ac:dyDescent="0.2">
      <c r="B20" s="18"/>
      <c r="C20" s="31"/>
      <c r="D20" s="117"/>
      <c r="E20" s="117"/>
      <c r="F20" s="119"/>
      <c r="G20" s="33"/>
      <c r="H20" s="209"/>
      <c r="I20" s="33"/>
      <c r="J20" s="33"/>
      <c r="K20" s="3"/>
      <c r="L20" s="32">
        <f t="shared" si="10"/>
        <v>0</v>
      </c>
      <c r="M20" s="767">
        <f t="shared" si="4"/>
        <v>0</v>
      </c>
      <c r="N20" s="767">
        <f t="shared" si="5"/>
        <v>0</v>
      </c>
      <c r="O20" s="1001" t="str">
        <f t="shared" si="6"/>
        <v>-</v>
      </c>
      <c r="P20" s="767">
        <f t="shared" si="7"/>
        <v>0</v>
      </c>
      <c r="Q20" s="3"/>
      <c r="R20" s="767">
        <f t="shared" si="8"/>
        <v>0</v>
      </c>
      <c r="S20" s="767">
        <f t="shared" si="8"/>
        <v>0</v>
      </c>
      <c r="T20" s="767">
        <f t="shared" si="8"/>
        <v>0</v>
      </c>
      <c r="U20" s="767">
        <f t="shared" si="8"/>
        <v>0</v>
      </c>
      <c r="V20" s="767">
        <f t="shared" si="8"/>
        <v>0</v>
      </c>
      <c r="W20" s="767">
        <f t="shared" si="8"/>
        <v>0</v>
      </c>
      <c r="X20" s="767">
        <f t="shared" si="8"/>
        <v>0</v>
      </c>
      <c r="Y20" s="767">
        <f t="shared" si="8"/>
        <v>0</v>
      </c>
      <c r="Z20" s="3"/>
      <c r="AA20" s="767">
        <f t="shared" si="9"/>
        <v>0</v>
      </c>
      <c r="AB20" s="767">
        <f t="shared" si="9"/>
        <v>0</v>
      </c>
      <c r="AC20" s="767">
        <f t="shared" si="9"/>
        <v>0</v>
      </c>
      <c r="AD20" s="767">
        <f t="shared" si="9"/>
        <v>0</v>
      </c>
      <c r="AE20" s="767">
        <f t="shared" si="9"/>
        <v>0</v>
      </c>
      <c r="AF20" s="767">
        <f t="shared" si="9"/>
        <v>0</v>
      </c>
      <c r="AG20" s="767">
        <f t="shared" si="9"/>
        <v>0</v>
      </c>
      <c r="AH20" s="767">
        <f t="shared" si="9"/>
        <v>0</v>
      </c>
      <c r="AI20" s="6"/>
      <c r="AJ20" s="22"/>
    </row>
    <row r="21" spans="2:36" ht="13.15" customHeight="1" x14ac:dyDescent="0.2">
      <c r="B21" s="18"/>
      <c r="C21" s="31"/>
      <c r="D21" s="117"/>
      <c r="E21" s="117"/>
      <c r="F21" s="119"/>
      <c r="G21" s="33"/>
      <c r="H21" s="209"/>
      <c r="I21" s="33"/>
      <c r="J21" s="33"/>
      <c r="K21" s="3"/>
      <c r="L21" s="32">
        <f t="shared" si="10"/>
        <v>0</v>
      </c>
      <c r="M21" s="767">
        <f t="shared" si="4"/>
        <v>0</v>
      </c>
      <c r="N21" s="767">
        <f t="shared" si="5"/>
        <v>0</v>
      </c>
      <c r="O21" s="1001" t="str">
        <f t="shared" si="6"/>
        <v>-</v>
      </c>
      <c r="P21" s="767">
        <f t="shared" si="7"/>
        <v>0</v>
      </c>
      <c r="Q21" s="3"/>
      <c r="R21" s="767">
        <f t="shared" si="8"/>
        <v>0</v>
      </c>
      <c r="S21" s="767">
        <f t="shared" si="8"/>
        <v>0</v>
      </c>
      <c r="T21" s="767">
        <f t="shared" si="8"/>
        <v>0</v>
      </c>
      <c r="U21" s="767">
        <f t="shared" si="8"/>
        <v>0</v>
      </c>
      <c r="V21" s="767">
        <f t="shared" si="8"/>
        <v>0</v>
      </c>
      <c r="W21" s="767">
        <f t="shared" si="8"/>
        <v>0</v>
      </c>
      <c r="X21" s="767">
        <f t="shared" si="8"/>
        <v>0</v>
      </c>
      <c r="Y21" s="767">
        <f t="shared" si="8"/>
        <v>0</v>
      </c>
      <c r="Z21" s="3"/>
      <c r="AA21" s="767">
        <f t="shared" si="9"/>
        <v>0</v>
      </c>
      <c r="AB21" s="767">
        <f t="shared" si="9"/>
        <v>0</v>
      </c>
      <c r="AC21" s="767">
        <f t="shared" si="9"/>
        <v>0</v>
      </c>
      <c r="AD21" s="767">
        <f t="shared" si="9"/>
        <v>0</v>
      </c>
      <c r="AE21" s="767">
        <f t="shared" si="9"/>
        <v>0</v>
      </c>
      <c r="AF21" s="767">
        <f t="shared" si="9"/>
        <v>0</v>
      </c>
      <c r="AG21" s="767">
        <f t="shared" si="9"/>
        <v>0</v>
      </c>
      <c r="AH21" s="767">
        <f t="shared" si="9"/>
        <v>0</v>
      </c>
      <c r="AI21" s="6"/>
      <c r="AJ21" s="22"/>
    </row>
    <row r="22" spans="2:36" ht="13.15" customHeight="1" x14ac:dyDescent="0.2">
      <c r="B22" s="18"/>
      <c r="C22" s="31"/>
      <c r="D22" s="117"/>
      <c r="E22" s="117"/>
      <c r="F22" s="119"/>
      <c r="G22" s="33"/>
      <c r="H22" s="209"/>
      <c r="I22" s="33"/>
      <c r="J22" s="33"/>
      <c r="K22" s="3"/>
      <c r="L22" s="32">
        <f t="shared" si="10"/>
        <v>0</v>
      </c>
      <c r="M22" s="767">
        <f t="shared" si="4"/>
        <v>0</v>
      </c>
      <c r="N22" s="767">
        <f t="shared" si="5"/>
        <v>0</v>
      </c>
      <c r="O22" s="1001" t="str">
        <f t="shared" si="6"/>
        <v>-</v>
      </c>
      <c r="P22" s="767">
        <f t="shared" si="7"/>
        <v>0</v>
      </c>
      <c r="Q22" s="3"/>
      <c r="R22" s="767">
        <f t="shared" si="8"/>
        <v>0</v>
      </c>
      <c r="S22" s="767">
        <f t="shared" si="8"/>
        <v>0</v>
      </c>
      <c r="T22" s="767">
        <f t="shared" si="8"/>
        <v>0</v>
      </c>
      <c r="U22" s="767">
        <f t="shared" si="8"/>
        <v>0</v>
      </c>
      <c r="V22" s="767">
        <f t="shared" si="8"/>
        <v>0</v>
      </c>
      <c r="W22" s="767">
        <f t="shared" si="8"/>
        <v>0</v>
      </c>
      <c r="X22" s="767">
        <f t="shared" si="8"/>
        <v>0</v>
      </c>
      <c r="Y22" s="767">
        <f t="shared" si="8"/>
        <v>0</v>
      </c>
      <c r="Z22" s="3"/>
      <c r="AA22" s="767">
        <f t="shared" si="9"/>
        <v>0</v>
      </c>
      <c r="AB22" s="767">
        <f t="shared" si="9"/>
        <v>0</v>
      </c>
      <c r="AC22" s="767">
        <f t="shared" si="9"/>
        <v>0</v>
      </c>
      <c r="AD22" s="767">
        <f t="shared" si="9"/>
        <v>0</v>
      </c>
      <c r="AE22" s="767">
        <f t="shared" si="9"/>
        <v>0</v>
      </c>
      <c r="AF22" s="767">
        <f t="shared" si="9"/>
        <v>0</v>
      </c>
      <c r="AG22" s="767">
        <f t="shared" si="9"/>
        <v>0</v>
      </c>
      <c r="AH22" s="767">
        <f t="shared" si="9"/>
        <v>0</v>
      </c>
      <c r="AI22" s="6"/>
      <c r="AJ22" s="22"/>
    </row>
    <row r="23" spans="2:36" ht="13.15" customHeight="1" x14ac:dyDescent="0.2">
      <c r="B23" s="18"/>
      <c r="C23" s="31"/>
      <c r="D23" s="117"/>
      <c r="E23" s="117"/>
      <c r="F23" s="119"/>
      <c r="G23" s="33"/>
      <c r="H23" s="209"/>
      <c r="I23" s="33"/>
      <c r="J23" s="33"/>
      <c r="K23" s="3"/>
      <c r="L23" s="32">
        <f t="shared" si="10"/>
        <v>0</v>
      </c>
      <c r="M23" s="767">
        <f t="shared" si="4"/>
        <v>0</v>
      </c>
      <c r="N23" s="767">
        <f t="shared" si="5"/>
        <v>0</v>
      </c>
      <c r="O23" s="1001" t="str">
        <f t="shared" si="6"/>
        <v>-</v>
      </c>
      <c r="P23" s="767">
        <f t="shared" si="7"/>
        <v>0</v>
      </c>
      <c r="Q23" s="3"/>
      <c r="R23" s="767">
        <f t="shared" si="8"/>
        <v>0</v>
      </c>
      <c r="S23" s="767">
        <f t="shared" si="8"/>
        <v>0</v>
      </c>
      <c r="T23" s="767">
        <f t="shared" si="8"/>
        <v>0</v>
      </c>
      <c r="U23" s="767">
        <f t="shared" si="8"/>
        <v>0</v>
      </c>
      <c r="V23" s="767">
        <f t="shared" si="8"/>
        <v>0</v>
      </c>
      <c r="W23" s="767">
        <f t="shared" si="8"/>
        <v>0</v>
      </c>
      <c r="X23" s="767">
        <f t="shared" si="8"/>
        <v>0</v>
      </c>
      <c r="Y23" s="767">
        <f t="shared" si="8"/>
        <v>0</v>
      </c>
      <c r="Z23" s="3"/>
      <c r="AA23" s="767">
        <f t="shared" si="9"/>
        <v>0</v>
      </c>
      <c r="AB23" s="767">
        <f t="shared" si="9"/>
        <v>0</v>
      </c>
      <c r="AC23" s="767">
        <f t="shared" si="9"/>
        <v>0</v>
      </c>
      <c r="AD23" s="767">
        <f t="shared" si="9"/>
        <v>0</v>
      </c>
      <c r="AE23" s="767">
        <f t="shared" si="9"/>
        <v>0</v>
      </c>
      <c r="AF23" s="767">
        <f t="shared" si="9"/>
        <v>0</v>
      </c>
      <c r="AG23" s="767">
        <f t="shared" si="9"/>
        <v>0</v>
      </c>
      <c r="AH23" s="767">
        <f t="shared" si="9"/>
        <v>0</v>
      </c>
      <c r="AI23" s="6"/>
      <c r="AJ23" s="22"/>
    </row>
    <row r="24" spans="2:36" ht="13.15" customHeight="1" x14ac:dyDescent="0.2">
      <c r="B24" s="18"/>
      <c r="C24" s="31"/>
      <c r="D24" s="117"/>
      <c r="E24" s="117"/>
      <c r="F24" s="119"/>
      <c r="G24" s="33"/>
      <c r="H24" s="209"/>
      <c r="I24" s="33"/>
      <c r="J24" s="33"/>
      <c r="K24" s="3"/>
      <c r="L24" s="32">
        <f t="shared" si="10"/>
        <v>0</v>
      </c>
      <c r="M24" s="767">
        <f t="shared" si="4"/>
        <v>0</v>
      </c>
      <c r="N24" s="767">
        <f t="shared" si="5"/>
        <v>0</v>
      </c>
      <c r="O24" s="1001" t="str">
        <f t="shared" si="6"/>
        <v>-</v>
      </c>
      <c r="P24" s="767">
        <f t="shared" si="7"/>
        <v>0</v>
      </c>
      <c r="Q24" s="3"/>
      <c r="R24" s="767">
        <f t="shared" si="8"/>
        <v>0</v>
      </c>
      <c r="S24" s="767">
        <f t="shared" si="8"/>
        <v>0</v>
      </c>
      <c r="T24" s="767">
        <f t="shared" si="8"/>
        <v>0</v>
      </c>
      <c r="U24" s="767">
        <f t="shared" si="8"/>
        <v>0</v>
      </c>
      <c r="V24" s="767">
        <f t="shared" si="8"/>
        <v>0</v>
      </c>
      <c r="W24" s="767">
        <f t="shared" si="8"/>
        <v>0</v>
      </c>
      <c r="X24" s="767">
        <f t="shared" si="8"/>
        <v>0</v>
      </c>
      <c r="Y24" s="767">
        <f t="shared" si="8"/>
        <v>0</v>
      </c>
      <c r="Z24" s="3"/>
      <c r="AA24" s="767">
        <f t="shared" si="9"/>
        <v>0</v>
      </c>
      <c r="AB24" s="767">
        <f t="shared" si="9"/>
        <v>0</v>
      </c>
      <c r="AC24" s="767">
        <f t="shared" si="9"/>
        <v>0</v>
      </c>
      <c r="AD24" s="767">
        <f t="shared" si="9"/>
        <v>0</v>
      </c>
      <c r="AE24" s="767">
        <f t="shared" si="9"/>
        <v>0</v>
      </c>
      <c r="AF24" s="767">
        <f t="shared" si="9"/>
        <v>0</v>
      </c>
      <c r="AG24" s="767">
        <f t="shared" si="9"/>
        <v>0</v>
      </c>
      <c r="AH24" s="767">
        <f t="shared" si="9"/>
        <v>0</v>
      </c>
      <c r="AI24" s="6"/>
      <c r="AJ24" s="22"/>
    </row>
    <row r="25" spans="2:36" ht="13.15" customHeight="1" x14ac:dyDescent="0.2">
      <c r="B25" s="18"/>
      <c r="C25" s="31"/>
      <c r="D25" s="117"/>
      <c r="E25" s="117"/>
      <c r="F25" s="119"/>
      <c r="G25" s="33"/>
      <c r="H25" s="209"/>
      <c r="I25" s="33"/>
      <c r="J25" s="33"/>
      <c r="K25" s="3"/>
      <c r="L25" s="32">
        <f t="shared" si="10"/>
        <v>0</v>
      </c>
      <c r="M25" s="767">
        <f t="shared" si="4"/>
        <v>0</v>
      </c>
      <c r="N25" s="767">
        <f t="shared" si="5"/>
        <v>0</v>
      </c>
      <c r="O25" s="1001" t="str">
        <f t="shared" si="6"/>
        <v>-</v>
      </c>
      <c r="P25" s="767">
        <f t="shared" si="7"/>
        <v>0</v>
      </c>
      <c r="Q25" s="3"/>
      <c r="R25" s="767">
        <f t="shared" si="8"/>
        <v>0</v>
      </c>
      <c r="S25" s="767">
        <f t="shared" si="8"/>
        <v>0</v>
      </c>
      <c r="T25" s="767">
        <f t="shared" si="8"/>
        <v>0</v>
      </c>
      <c r="U25" s="767">
        <f t="shared" si="8"/>
        <v>0</v>
      </c>
      <c r="V25" s="767">
        <f t="shared" si="8"/>
        <v>0</v>
      </c>
      <c r="W25" s="767">
        <f t="shared" si="8"/>
        <v>0</v>
      </c>
      <c r="X25" s="767">
        <f t="shared" si="8"/>
        <v>0</v>
      </c>
      <c r="Y25" s="767">
        <f t="shared" si="8"/>
        <v>0</v>
      </c>
      <c r="Z25" s="3"/>
      <c r="AA25" s="767">
        <f t="shared" si="9"/>
        <v>0</v>
      </c>
      <c r="AB25" s="767">
        <f t="shared" si="9"/>
        <v>0</v>
      </c>
      <c r="AC25" s="767">
        <f t="shared" si="9"/>
        <v>0</v>
      </c>
      <c r="AD25" s="767">
        <f t="shared" si="9"/>
        <v>0</v>
      </c>
      <c r="AE25" s="767">
        <f t="shared" si="9"/>
        <v>0</v>
      </c>
      <c r="AF25" s="767">
        <f t="shared" si="9"/>
        <v>0</v>
      </c>
      <c r="AG25" s="767">
        <f t="shared" si="9"/>
        <v>0</v>
      </c>
      <c r="AH25" s="767">
        <f t="shared" si="9"/>
        <v>0</v>
      </c>
      <c r="AI25" s="6"/>
      <c r="AJ25" s="22"/>
    </row>
    <row r="26" spans="2:36" ht="13.15" customHeight="1" x14ac:dyDescent="0.2">
      <c r="B26" s="18"/>
      <c r="C26" s="31"/>
      <c r="D26" s="117"/>
      <c r="E26" s="117"/>
      <c r="F26" s="119"/>
      <c r="G26" s="33"/>
      <c r="H26" s="209"/>
      <c r="I26" s="33"/>
      <c r="J26" s="33"/>
      <c r="K26" s="3"/>
      <c r="L26" s="32">
        <f t="shared" si="10"/>
        <v>0</v>
      </c>
      <c r="M26" s="767">
        <f t="shared" si="4"/>
        <v>0</v>
      </c>
      <c r="N26" s="767">
        <f t="shared" si="5"/>
        <v>0</v>
      </c>
      <c r="O26" s="1001" t="str">
        <f t="shared" si="6"/>
        <v>-</v>
      </c>
      <c r="P26" s="767">
        <f t="shared" si="7"/>
        <v>0</v>
      </c>
      <c r="Q26" s="3"/>
      <c r="R26" s="767">
        <f t="shared" si="8"/>
        <v>0</v>
      </c>
      <c r="S26" s="767">
        <f t="shared" si="8"/>
        <v>0</v>
      </c>
      <c r="T26" s="767">
        <f t="shared" si="8"/>
        <v>0</v>
      </c>
      <c r="U26" s="767">
        <f t="shared" si="8"/>
        <v>0</v>
      </c>
      <c r="V26" s="767">
        <f t="shared" si="8"/>
        <v>0</v>
      </c>
      <c r="W26" s="767">
        <f t="shared" si="8"/>
        <v>0</v>
      </c>
      <c r="X26" s="767">
        <f t="shared" si="8"/>
        <v>0</v>
      </c>
      <c r="Y26" s="767">
        <f t="shared" si="8"/>
        <v>0</v>
      </c>
      <c r="Z26" s="3"/>
      <c r="AA26" s="767">
        <f t="shared" si="9"/>
        <v>0</v>
      </c>
      <c r="AB26" s="767">
        <f t="shared" si="9"/>
        <v>0</v>
      </c>
      <c r="AC26" s="767">
        <f t="shared" si="9"/>
        <v>0</v>
      </c>
      <c r="AD26" s="767">
        <f t="shared" si="9"/>
        <v>0</v>
      </c>
      <c r="AE26" s="767">
        <f t="shared" si="9"/>
        <v>0</v>
      </c>
      <c r="AF26" s="767">
        <f t="shared" si="9"/>
        <v>0</v>
      </c>
      <c r="AG26" s="767">
        <f t="shared" si="9"/>
        <v>0</v>
      </c>
      <c r="AH26" s="767">
        <f t="shared" si="9"/>
        <v>0</v>
      </c>
      <c r="AI26" s="6"/>
      <c r="AJ26" s="22"/>
    </row>
    <row r="27" spans="2:36" ht="13.15" customHeight="1" x14ac:dyDescent="0.2">
      <c r="B27" s="18"/>
      <c r="C27" s="31"/>
      <c r="D27" s="117"/>
      <c r="E27" s="117"/>
      <c r="F27" s="119"/>
      <c r="G27" s="33"/>
      <c r="H27" s="209"/>
      <c r="I27" s="33"/>
      <c r="J27" s="33"/>
      <c r="K27" s="3"/>
      <c r="L27" s="32">
        <f t="shared" si="10"/>
        <v>0</v>
      </c>
      <c r="M27" s="767">
        <f t="shared" si="4"/>
        <v>0</v>
      </c>
      <c r="N27" s="767">
        <f t="shared" si="5"/>
        <v>0</v>
      </c>
      <c r="O27" s="1001" t="str">
        <f t="shared" si="6"/>
        <v>-</v>
      </c>
      <c r="P27" s="767">
        <f t="shared" si="7"/>
        <v>0</v>
      </c>
      <c r="Q27" s="3"/>
      <c r="R27" s="767">
        <f t="shared" si="8"/>
        <v>0</v>
      </c>
      <c r="S27" s="767">
        <f t="shared" si="8"/>
        <v>0</v>
      </c>
      <c r="T27" s="767">
        <f t="shared" si="8"/>
        <v>0</v>
      </c>
      <c r="U27" s="767">
        <f t="shared" si="8"/>
        <v>0</v>
      </c>
      <c r="V27" s="767">
        <f t="shared" si="8"/>
        <v>0</v>
      </c>
      <c r="W27" s="767">
        <f t="shared" si="8"/>
        <v>0</v>
      </c>
      <c r="X27" s="767">
        <f t="shared" si="8"/>
        <v>0</v>
      </c>
      <c r="Y27" s="767">
        <f t="shared" si="8"/>
        <v>0</v>
      </c>
      <c r="Z27" s="3"/>
      <c r="AA27" s="767">
        <f t="shared" si="9"/>
        <v>0</v>
      </c>
      <c r="AB27" s="767">
        <f t="shared" si="9"/>
        <v>0</v>
      </c>
      <c r="AC27" s="767">
        <f t="shared" si="9"/>
        <v>0</v>
      </c>
      <c r="AD27" s="767">
        <f t="shared" si="9"/>
        <v>0</v>
      </c>
      <c r="AE27" s="767">
        <f t="shared" si="9"/>
        <v>0</v>
      </c>
      <c r="AF27" s="767">
        <f t="shared" si="9"/>
        <v>0</v>
      </c>
      <c r="AG27" s="767">
        <f t="shared" si="9"/>
        <v>0</v>
      </c>
      <c r="AH27" s="767">
        <f t="shared" si="9"/>
        <v>0</v>
      </c>
      <c r="AI27" s="6"/>
      <c r="AJ27" s="22"/>
    </row>
    <row r="28" spans="2:36" ht="13.15" customHeight="1" x14ac:dyDescent="0.2">
      <c r="B28" s="18"/>
      <c r="C28" s="31"/>
      <c r="D28" s="117"/>
      <c r="E28" s="117"/>
      <c r="F28" s="119"/>
      <c r="G28" s="33"/>
      <c r="H28" s="209"/>
      <c r="I28" s="33"/>
      <c r="J28" s="33"/>
      <c r="K28" s="3"/>
      <c r="L28" s="32">
        <f t="shared" si="10"/>
        <v>0</v>
      </c>
      <c r="M28" s="767">
        <f t="shared" si="4"/>
        <v>0</v>
      </c>
      <c r="N28" s="767">
        <f t="shared" si="5"/>
        <v>0</v>
      </c>
      <c r="O28" s="1001" t="str">
        <f t="shared" si="6"/>
        <v>-</v>
      </c>
      <c r="P28" s="767">
        <f t="shared" si="7"/>
        <v>0</v>
      </c>
      <c r="Q28" s="3"/>
      <c r="R28" s="767">
        <f t="shared" si="8"/>
        <v>0</v>
      </c>
      <c r="S28" s="767">
        <f t="shared" si="8"/>
        <v>0</v>
      </c>
      <c r="T28" s="767">
        <f t="shared" si="8"/>
        <v>0</v>
      </c>
      <c r="U28" s="767">
        <f t="shared" si="8"/>
        <v>0</v>
      </c>
      <c r="V28" s="767">
        <f t="shared" si="8"/>
        <v>0</v>
      </c>
      <c r="W28" s="767">
        <f t="shared" si="8"/>
        <v>0</v>
      </c>
      <c r="X28" s="767">
        <f t="shared" si="8"/>
        <v>0</v>
      </c>
      <c r="Y28" s="767">
        <f t="shared" si="8"/>
        <v>0</v>
      </c>
      <c r="Z28" s="3"/>
      <c r="AA28" s="767">
        <f t="shared" si="9"/>
        <v>0</v>
      </c>
      <c r="AB28" s="767">
        <f t="shared" si="9"/>
        <v>0</v>
      </c>
      <c r="AC28" s="767">
        <f t="shared" si="9"/>
        <v>0</v>
      </c>
      <c r="AD28" s="767">
        <f t="shared" si="9"/>
        <v>0</v>
      </c>
      <c r="AE28" s="767">
        <f t="shared" si="9"/>
        <v>0</v>
      </c>
      <c r="AF28" s="767">
        <f t="shared" si="9"/>
        <v>0</v>
      </c>
      <c r="AG28" s="767">
        <f t="shared" si="9"/>
        <v>0</v>
      </c>
      <c r="AH28" s="767">
        <f t="shared" si="9"/>
        <v>0</v>
      </c>
      <c r="AI28" s="6"/>
      <c r="AJ28" s="22"/>
    </row>
    <row r="29" spans="2:36" ht="13.15" customHeight="1" x14ac:dyDescent="0.2">
      <c r="B29" s="18"/>
      <c r="C29" s="31"/>
      <c r="D29" s="117"/>
      <c r="E29" s="117"/>
      <c r="F29" s="119"/>
      <c r="G29" s="33"/>
      <c r="H29" s="209"/>
      <c r="I29" s="33"/>
      <c r="J29" s="33"/>
      <c r="K29" s="3"/>
      <c r="L29" s="32">
        <f t="shared" si="10"/>
        <v>0</v>
      </c>
      <c r="M29" s="767">
        <f t="shared" si="4"/>
        <v>0</v>
      </c>
      <c r="N29" s="767">
        <f t="shared" si="5"/>
        <v>0</v>
      </c>
      <c r="O29" s="1001" t="str">
        <f t="shared" si="6"/>
        <v>-</v>
      </c>
      <c r="P29" s="767">
        <f t="shared" si="7"/>
        <v>0</v>
      </c>
      <c r="Q29" s="3"/>
      <c r="R29" s="767">
        <f t="shared" si="8"/>
        <v>0</v>
      </c>
      <c r="S29" s="767">
        <f t="shared" si="8"/>
        <v>0</v>
      </c>
      <c r="T29" s="767">
        <f t="shared" si="8"/>
        <v>0</v>
      </c>
      <c r="U29" s="767">
        <f t="shared" si="8"/>
        <v>0</v>
      </c>
      <c r="V29" s="767">
        <f t="shared" si="8"/>
        <v>0</v>
      </c>
      <c r="W29" s="767">
        <f t="shared" si="8"/>
        <v>0</v>
      </c>
      <c r="X29" s="767">
        <f t="shared" si="8"/>
        <v>0</v>
      </c>
      <c r="Y29" s="767">
        <f t="shared" si="8"/>
        <v>0</v>
      </c>
      <c r="Z29" s="3"/>
      <c r="AA29" s="767">
        <f t="shared" si="9"/>
        <v>0</v>
      </c>
      <c r="AB29" s="767">
        <f t="shared" si="9"/>
        <v>0</v>
      </c>
      <c r="AC29" s="767">
        <f t="shared" si="9"/>
        <v>0</v>
      </c>
      <c r="AD29" s="767">
        <f t="shared" si="9"/>
        <v>0</v>
      </c>
      <c r="AE29" s="767">
        <f t="shared" si="9"/>
        <v>0</v>
      </c>
      <c r="AF29" s="767">
        <f t="shared" si="9"/>
        <v>0</v>
      </c>
      <c r="AG29" s="767">
        <f t="shared" si="9"/>
        <v>0</v>
      </c>
      <c r="AH29" s="767">
        <f t="shared" si="9"/>
        <v>0</v>
      </c>
      <c r="AI29" s="6"/>
      <c r="AJ29" s="22"/>
    </row>
    <row r="30" spans="2:36" ht="13.15" customHeight="1" x14ac:dyDescent="0.2">
      <c r="B30" s="18"/>
      <c r="C30" s="31"/>
      <c r="D30" s="117"/>
      <c r="E30" s="117"/>
      <c r="F30" s="119"/>
      <c r="G30" s="33"/>
      <c r="H30" s="209"/>
      <c r="I30" s="33"/>
      <c r="J30" s="33"/>
      <c r="K30" s="3"/>
      <c r="L30" s="32">
        <f t="shared" si="10"/>
        <v>0</v>
      </c>
      <c r="M30" s="767">
        <f t="shared" si="4"/>
        <v>0</v>
      </c>
      <c r="N30" s="767">
        <f t="shared" si="5"/>
        <v>0</v>
      </c>
      <c r="O30" s="1001" t="str">
        <f t="shared" si="6"/>
        <v>-</v>
      </c>
      <c r="P30" s="767">
        <f t="shared" si="7"/>
        <v>0</v>
      </c>
      <c r="Q30" s="3"/>
      <c r="R30" s="767">
        <f t="shared" ref="R30:Y45" si="11">(IF(R$8&lt;$I30,0,IF($O30&lt;=R$8-1,0,$N30)))</f>
        <v>0</v>
      </c>
      <c r="S30" s="767">
        <f t="shared" si="11"/>
        <v>0</v>
      </c>
      <c r="T30" s="767">
        <f t="shared" si="11"/>
        <v>0</v>
      </c>
      <c r="U30" s="767">
        <f t="shared" si="11"/>
        <v>0</v>
      </c>
      <c r="V30" s="767">
        <f t="shared" si="11"/>
        <v>0</v>
      </c>
      <c r="W30" s="767">
        <f t="shared" si="11"/>
        <v>0</v>
      </c>
      <c r="X30" s="767">
        <f t="shared" si="11"/>
        <v>0</v>
      </c>
      <c r="Y30" s="767">
        <f t="shared" si="11"/>
        <v>0</v>
      </c>
      <c r="Z30" s="3"/>
      <c r="AA30" s="767">
        <f t="shared" ref="AA30:AH45" si="12">IF(AA$8=$I30,($G30*$H30),0)</f>
        <v>0</v>
      </c>
      <c r="AB30" s="767">
        <f t="shared" si="12"/>
        <v>0</v>
      </c>
      <c r="AC30" s="767">
        <f t="shared" si="12"/>
        <v>0</v>
      </c>
      <c r="AD30" s="767">
        <f t="shared" si="12"/>
        <v>0</v>
      </c>
      <c r="AE30" s="767">
        <f t="shared" si="12"/>
        <v>0</v>
      </c>
      <c r="AF30" s="767">
        <f t="shared" si="12"/>
        <v>0</v>
      </c>
      <c r="AG30" s="767">
        <f t="shared" si="12"/>
        <v>0</v>
      </c>
      <c r="AH30" s="767">
        <f t="shared" si="12"/>
        <v>0</v>
      </c>
      <c r="AI30" s="6"/>
      <c r="AJ30" s="22"/>
    </row>
    <row r="31" spans="2:36" ht="13.15" customHeight="1" x14ac:dyDescent="0.2">
      <c r="B31" s="18"/>
      <c r="C31" s="31"/>
      <c r="D31" s="117"/>
      <c r="E31" s="117"/>
      <c r="F31" s="119"/>
      <c r="G31" s="33"/>
      <c r="H31" s="209"/>
      <c r="I31" s="33"/>
      <c r="J31" s="33"/>
      <c r="K31" s="3"/>
      <c r="L31" s="32">
        <f t="shared" si="10"/>
        <v>0</v>
      </c>
      <c r="M31" s="767">
        <f t="shared" si="4"/>
        <v>0</v>
      </c>
      <c r="N31" s="767">
        <f t="shared" si="5"/>
        <v>0</v>
      </c>
      <c r="O31" s="1001" t="str">
        <f t="shared" si="6"/>
        <v>-</v>
      </c>
      <c r="P31" s="767">
        <f t="shared" si="7"/>
        <v>0</v>
      </c>
      <c r="Q31" s="3"/>
      <c r="R31" s="767">
        <f t="shared" si="11"/>
        <v>0</v>
      </c>
      <c r="S31" s="767">
        <f t="shared" si="11"/>
        <v>0</v>
      </c>
      <c r="T31" s="767">
        <f t="shared" si="11"/>
        <v>0</v>
      </c>
      <c r="U31" s="767">
        <f t="shared" si="11"/>
        <v>0</v>
      </c>
      <c r="V31" s="767">
        <f t="shared" si="11"/>
        <v>0</v>
      </c>
      <c r="W31" s="767">
        <f t="shared" si="11"/>
        <v>0</v>
      </c>
      <c r="X31" s="767">
        <f t="shared" si="11"/>
        <v>0</v>
      </c>
      <c r="Y31" s="767">
        <f t="shared" si="11"/>
        <v>0</v>
      </c>
      <c r="Z31" s="3"/>
      <c r="AA31" s="767">
        <f t="shared" si="12"/>
        <v>0</v>
      </c>
      <c r="AB31" s="767">
        <f t="shared" si="12"/>
        <v>0</v>
      </c>
      <c r="AC31" s="767">
        <f t="shared" si="12"/>
        <v>0</v>
      </c>
      <c r="AD31" s="767">
        <f t="shared" si="12"/>
        <v>0</v>
      </c>
      <c r="AE31" s="767">
        <f t="shared" si="12"/>
        <v>0</v>
      </c>
      <c r="AF31" s="767">
        <f t="shared" si="12"/>
        <v>0</v>
      </c>
      <c r="AG31" s="767">
        <f t="shared" si="12"/>
        <v>0</v>
      </c>
      <c r="AH31" s="767">
        <f t="shared" si="12"/>
        <v>0</v>
      </c>
      <c r="AI31" s="6"/>
      <c r="AJ31" s="22"/>
    </row>
    <row r="32" spans="2:36" ht="13.15" customHeight="1" x14ac:dyDescent="0.2">
      <c r="B32" s="18"/>
      <c r="C32" s="31"/>
      <c r="D32" s="117"/>
      <c r="E32" s="117"/>
      <c r="F32" s="119"/>
      <c r="G32" s="33"/>
      <c r="H32" s="209"/>
      <c r="I32" s="33"/>
      <c r="J32" s="33"/>
      <c r="K32" s="3"/>
      <c r="L32" s="32">
        <f t="shared" si="10"/>
        <v>0</v>
      </c>
      <c r="M32" s="767">
        <f t="shared" si="4"/>
        <v>0</v>
      </c>
      <c r="N32" s="767">
        <f t="shared" si="5"/>
        <v>0</v>
      </c>
      <c r="O32" s="1001" t="str">
        <f t="shared" si="6"/>
        <v>-</v>
      </c>
      <c r="P32" s="767">
        <f t="shared" si="7"/>
        <v>0</v>
      </c>
      <c r="Q32" s="3"/>
      <c r="R32" s="767">
        <f t="shared" si="11"/>
        <v>0</v>
      </c>
      <c r="S32" s="767">
        <f t="shared" si="11"/>
        <v>0</v>
      </c>
      <c r="T32" s="767">
        <f t="shared" si="11"/>
        <v>0</v>
      </c>
      <c r="U32" s="767">
        <f t="shared" si="11"/>
        <v>0</v>
      </c>
      <c r="V32" s="767">
        <f t="shared" si="11"/>
        <v>0</v>
      </c>
      <c r="W32" s="767">
        <f t="shared" si="11"/>
        <v>0</v>
      </c>
      <c r="X32" s="767">
        <f t="shared" si="11"/>
        <v>0</v>
      </c>
      <c r="Y32" s="767">
        <f t="shared" si="11"/>
        <v>0</v>
      </c>
      <c r="Z32" s="3"/>
      <c r="AA32" s="767">
        <f t="shared" si="12"/>
        <v>0</v>
      </c>
      <c r="AB32" s="767">
        <f t="shared" si="12"/>
        <v>0</v>
      </c>
      <c r="AC32" s="767">
        <f t="shared" si="12"/>
        <v>0</v>
      </c>
      <c r="AD32" s="767">
        <f t="shared" si="12"/>
        <v>0</v>
      </c>
      <c r="AE32" s="767">
        <f t="shared" si="12"/>
        <v>0</v>
      </c>
      <c r="AF32" s="767">
        <f t="shared" si="12"/>
        <v>0</v>
      </c>
      <c r="AG32" s="767">
        <f t="shared" si="12"/>
        <v>0</v>
      </c>
      <c r="AH32" s="767">
        <f t="shared" si="12"/>
        <v>0</v>
      </c>
      <c r="AI32" s="6"/>
      <c r="AJ32" s="22"/>
    </row>
    <row r="33" spans="2:36" ht="13.15" customHeight="1" x14ac:dyDescent="0.2">
      <c r="B33" s="18"/>
      <c r="C33" s="31"/>
      <c r="D33" s="117"/>
      <c r="E33" s="117"/>
      <c r="F33" s="119"/>
      <c r="G33" s="33"/>
      <c r="H33" s="209"/>
      <c r="I33" s="33"/>
      <c r="J33" s="33"/>
      <c r="K33" s="3"/>
      <c r="L33" s="32">
        <f t="shared" si="10"/>
        <v>0</v>
      </c>
      <c r="M33" s="767">
        <f t="shared" si="4"/>
        <v>0</v>
      </c>
      <c r="N33" s="767">
        <f t="shared" si="5"/>
        <v>0</v>
      </c>
      <c r="O33" s="1001" t="str">
        <f t="shared" si="6"/>
        <v>-</v>
      </c>
      <c r="P33" s="767">
        <f t="shared" si="7"/>
        <v>0</v>
      </c>
      <c r="Q33" s="3"/>
      <c r="R33" s="767">
        <f t="shared" si="11"/>
        <v>0</v>
      </c>
      <c r="S33" s="767">
        <f t="shared" si="11"/>
        <v>0</v>
      </c>
      <c r="T33" s="767">
        <f t="shared" si="11"/>
        <v>0</v>
      </c>
      <c r="U33" s="767">
        <f t="shared" si="11"/>
        <v>0</v>
      </c>
      <c r="V33" s="767">
        <f t="shared" si="11"/>
        <v>0</v>
      </c>
      <c r="W33" s="767">
        <f t="shared" si="11"/>
        <v>0</v>
      </c>
      <c r="X33" s="767">
        <f t="shared" si="11"/>
        <v>0</v>
      </c>
      <c r="Y33" s="767">
        <f t="shared" si="11"/>
        <v>0</v>
      </c>
      <c r="Z33" s="3"/>
      <c r="AA33" s="767">
        <f t="shared" si="12"/>
        <v>0</v>
      </c>
      <c r="AB33" s="767">
        <f t="shared" si="12"/>
        <v>0</v>
      </c>
      <c r="AC33" s="767">
        <f t="shared" si="12"/>
        <v>0</v>
      </c>
      <c r="AD33" s="767">
        <f t="shared" si="12"/>
        <v>0</v>
      </c>
      <c r="AE33" s="767">
        <f t="shared" si="12"/>
        <v>0</v>
      </c>
      <c r="AF33" s="767">
        <f t="shared" si="12"/>
        <v>0</v>
      </c>
      <c r="AG33" s="767">
        <f t="shared" si="12"/>
        <v>0</v>
      </c>
      <c r="AH33" s="767">
        <f t="shared" si="12"/>
        <v>0</v>
      </c>
      <c r="AI33" s="6"/>
      <c r="AJ33" s="22"/>
    </row>
    <row r="34" spans="2:36" ht="13.15" customHeight="1" x14ac:dyDescent="0.2">
      <c r="B34" s="18"/>
      <c r="C34" s="31"/>
      <c r="D34" s="117"/>
      <c r="E34" s="117"/>
      <c r="F34" s="119"/>
      <c r="G34" s="33"/>
      <c r="H34" s="209"/>
      <c r="I34" s="33"/>
      <c r="J34" s="33"/>
      <c r="K34" s="3"/>
      <c r="L34" s="32">
        <f t="shared" si="10"/>
        <v>0</v>
      </c>
      <c r="M34" s="767">
        <f t="shared" si="4"/>
        <v>0</v>
      </c>
      <c r="N34" s="767">
        <f t="shared" si="5"/>
        <v>0</v>
      </c>
      <c r="O34" s="1001" t="str">
        <f t="shared" si="6"/>
        <v>-</v>
      </c>
      <c r="P34" s="767">
        <f t="shared" si="7"/>
        <v>0</v>
      </c>
      <c r="Q34" s="3"/>
      <c r="R34" s="767">
        <f t="shared" si="11"/>
        <v>0</v>
      </c>
      <c r="S34" s="767">
        <f t="shared" si="11"/>
        <v>0</v>
      </c>
      <c r="T34" s="767">
        <f t="shared" si="11"/>
        <v>0</v>
      </c>
      <c r="U34" s="767">
        <f t="shared" si="11"/>
        <v>0</v>
      </c>
      <c r="V34" s="767">
        <f t="shared" si="11"/>
        <v>0</v>
      </c>
      <c r="W34" s="767">
        <f t="shared" si="11"/>
        <v>0</v>
      </c>
      <c r="X34" s="767">
        <f t="shared" si="11"/>
        <v>0</v>
      </c>
      <c r="Y34" s="767">
        <f t="shared" si="11"/>
        <v>0</v>
      </c>
      <c r="Z34" s="3"/>
      <c r="AA34" s="767">
        <f t="shared" si="12"/>
        <v>0</v>
      </c>
      <c r="AB34" s="767">
        <f t="shared" si="12"/>
        <v>0</v>
      </c>
      <c r="AC34" s="767">
        <f t="shared" si="12"/>
        <v>0</v>
      </c>
      <c r="AD34" s="767">
        <f t="shared" si="12"/>
        <v>0</v>
      </c>
      <c r="AE34" s="767">
        <f t="shared" si="12"/>
        <v>0</v>
      </c>
      <c r="AF34" s="767">
        <f t="shared" si="12"/>
        <v>0</v>
      </c>
      <c r="AG34" s="767">
        <f t="shared" si="12"/>
        <v>0</v>
      </c>
      <c r="AH34" s="767">
        <f t="shared" si="12"/>
        <v>0</v>
      </c>
      <c r="AI34" s="6"/>
      <c r="AJ34" s="22"/>
    </row>
    <row r="35" spans="2:36" ht="13.15" customHeight="1" x14ac:dyDescent="0.2">
      <c r="B35" s="18"/>
      <c r="C35" s="31"/>
      <c r="D35" s="117"/>
      <c r="E35" s="117"/>
      <c r="F35" s="119"/>
      <c r="G35" s="33"/>
      <c r="H35" s="209"/>
      <c r="I35" s="33"/>
      <c r="J35" s="33"/>
      <c r="K35" s="3"/>
      <c r="L35" s="32">
        <f t="shared" si="10"/>
        <v>0</v>
      </c>
      <c r="M35" s="767">
        <f t="shared" si="4"/>
        <v>0</v>
      </c>
      <c r="N35" s="767">
        <f t="shared" si="5"/>
        <v>0</v>
      </c>
      <c r="O35" s="1001" t="str">
        <f t="shared" si="6"/>
        <v>-</v>
      </c>
      <c r="P35" s="767">
        <f t="shared" si="7"/>
        <v>0</v>
      </c>
      <c r="Q35" s="3"/>
      <c r="R35" s="767">
        <f t="shared" si="11"/>
        <v>0</v>
      </c>
      <c r="S35" s="767">
        <f t="shared" si="11"/>
        <v>0</v>
      </c>
      <c r="T35" s="767">
        <f t="shared" si="11"/>
        <v>0</v>
      </c>
      <c r="U35" s="767">
        <f t="shared" si="11"/>
        <v>0</v>
      </c>
      <c r="V35" s="767">
        <f t="shared" si="11"/>
        <v>0</v>
      </c>
      <c r="W35" s="767">
        <f t="shared" si="11"/>
        <v>0</v>
      </c>
      <c r="X35" s="767">
        <f t="shared" si="11"/>
        <v>0</v>
      </c>
      <c r="Y35" s="767">
        <f t="shared" si="11"/>
        <v>0</v>
      </c>
      <c r="Z35" s="3"/>
      <c r="AA35" s="767">
        <f t="shared" si="12"/>
        <v>0</v>
      </c>
      <c r="AB35" s="767">
        <f t="shared" si="12"/>
        <v>0</v>
      </c>
      <c r="AC35" s="767">
        <f t="shared" si="12"/>
        <v>0</v>
      </c>
      <c r="AD35" s="767">
        <f t="shared" si="12"/>
        <v>0</v>
      </c>
      <c r="AE35" s="767">
        <f t="shared" si="12"/>
        <v>0</v>
      </c>
      <c r="AF35" s="767">
        <f t="shared" si="12"/>
        <v>0</v>
      </c>
      <c r="AG35" s="767">
        <f t="shared" si="12"/>
        <v>0</v>
      </c>
      <c r="AH35" s="767">
        <f t="shared" si="12"/>
        <v>0</v>
      </c>
      <c r="AI35" s="6"/>
      <c r="AJ35" s="22"/>
    </row>
    <row r="36" spans="2:36" ht="13.15" customHeight="1" x14ac:dyDescent="0.2">
      <c r="B36" s="18"/>
      <c r="C36" s="31"/>
      <c r="D36" s="117"/>
      <c r="E36" s="117"/>
      <c r="F36" s="119"/>
      <c r="G36" s="33"/>
      <c r="H36" s="209"/>
      <c r="I36" s="33"/>
      <c r="J36" s="33"/>
      <c r="K36" s="3"/>
      <c r="L36" s="32">
        <f t="shared" si="10"/>
        <v>0</v>
      </c>
      <c r="M36" s="767">
        <f t="shared" si="4"/>
        <v>0</v>
      </c>
      <c r="N36" s="767">
        <f t="shared" si="5"/>
        <v>0</v>
      </c>
      <c r="O36" s="1001" t="str">
        <f t="shared" si="6"/>
        <v>-</v>
      </c>
      <c r="P36" s="767">
        <f t="shared" si="7"/>
        <v>0</v>
      </c>
      <c r="Q36" s="3"/>
      <c r="R36" s="767">
        <f t="shared" si="11"/>
        <v>0</v>
      </c>
      <c r="S36" s="767">
        <f t="shared" si="11"/>
        <v>0</v>
      </c>
      <c r="T36" s="767">
        <f t="shared" si="11"/>
        <v>0</v>
      </c>
      <c r="U36" s="767">
        <f t="shared" si="11"/>
        <v>0</v>
      </c>
      <c r="V36" s="767">
        <f t="shared" si="11"/>
        <v>0</v>
      </c>
      <c r="W36" s="767">
        <f t="shared" si="11"/>
        <v>0</v>
      </c>
      <c r="X36" s="767">
        <f t="shared" si="11"/>
        <v>0</v>
      </c>
      <c r="Y36" s="767">
        <f t="shared" si="11"/>
        <v>0</v>
      </c>
      <c r="Z36" s="3"/>
      <c r="AA36" s="767">
        <f t="shared" si="12"/>
        <v>0</v>
      </c>
      <c r="AB36" s="767">
        <f t="shared" si="12"/>
        <v>0</v>
      </c>
      <c r="AC36" s="767">
        <f t="shared" si="12"/>
        <v>0</v>
      </c>
      <c r="AD36" s="767">
        <f t="shared" si="12"/>
        <v>0</v>
      </c>
      <c r="AE36" s="767">
        <f t="shared" si="12"/>
        <v>0</v>
      </c>
      <c r="AF36" s="767">
        <f t="shared" si="12"/>
        <v>0</v>
      </c>
      <c r="AG36" s="767">
        <f t="shared" si="12"/>
        <v>0</v>
      </c>
      <c r="AH36" s="767">
        <f t="shared" si="12"/>
        <v>0</v>
      </c>
      <c r="AI36" s="6"/>
      <c r="AJ36" s="22"/>
    </row>
    <row r="37" spans="2:36" ht="13.15" customHeight="1" x14ac:dyDescent="0.2">
      <c r="B37" s="18"/>
      <c r="C37" s="31"/>
      <c r="D37" s="117"/>
      <c r="E37" s="117"/>
      <c r="F37" s="119"/>
      <c r="G37" s="33"/>
      <c r="H37" s="209"/>
      <c r="I37" s="33"/>
      <c r="J37" s="33"/>
      <c r="K37" s="3"/>
      <c r="L37" s="32">
        <f t="shared" si="10"/>
        <v>0</v>
      </c>
      <c r="M37" s="767">
        <f t="shared" si="4"/>
        <v>0</v>
      </c>
      <c r="N37" s="767">
        <f t="shared" si="5"/>
        <v>0</v>
      </c>
      <c r="O37" s="1001" t="str">
        <f t="shared" si="6"/>
        <v>-</v>
      </c>
      <c r="P37" s="767">
        <f t="shared" si="7"/>
        <v>0</v>
      </c>
      <c r="Q37" s="3"/>
      <c r="R37" s="767">
        <f t="shared" si="11"/>
        <v>0</v>
      </c>
      <c r="S37" s="767">
        <f t="shared" si="11"/>
        <v>0</v>
      </c>
      <c r="T37" s="767">
        <f t="shared" si="11"/>
        <v>0</v>
      </c>
      <c r="U37" s="767">
        <f t="shared" si="11"/>
        <v>0</v>
      </c>
      <c r="V37" s="767">
        <f t="shared" si="11"/>
        <v>0</v>
      </c>
      <c r="W37" s="767">
        <f t="shared" si="11"/>
        <v>0</v>
      </c>
      <c r="X37" s="767">
        <f t="shared" si="11"/>
        <v>0</v>
      </c>
      <c r="Y37" s="767">
        <f t="shared" si="11"/>
        <v>0</v>
      </c>
      <c r="Z37" s="3"/>
      <c r="AA37" s="767">
        <f t="shared" si="12"/>
        <v>0</v>
      </c>
      <c r="AB37" s="767">
        <f t="shared" si="12"/>
        <v>0</v>
      </c>
      <c r="AC37" s="767">
        <f t="shared" si="12"/>
        <v>0</v>
      </c>
      <c r="AD37" s="767">
        <f t="shared" si="12"/>
        <v>0</v>
      </c>
      <c r="AE37" s="767">
        <f t="shared" si="12"/>
        <v>0</v>
      </c>
      <c r="AF37" s="767">
        <f t="shared" si="12"/>
        <v>0</v>
      </c>
      <c r="AG37" s="767">
        <f t="shared" si="12"/>
        <v>0</v>
      </c>
      <c r="AH37" s="767">
        <f t="shared" si="12"/>
        <v>0</v>
      </c>
      <c r="AI37" s="6"/>
      <c r="AJ37" s="22"/>
    </row>
    <row r="38" spans="2:36" ht="13.15" customHeight="1" x14ac:dyDescent="0.2">
      <c r="B38" s="18"/>
      <c r="C38" s="31"/>
      <c r="D38" s="117"/>
      <c r="E38" s="117"/>
      <c r="F38" s="119"/>
      <c r="G38" s="33"/>
      <c r="H38" s="209"/>
      <c r="I38" s="33"/>
      <c r="J38" s="33"/>
      <c r="K38" s="3"/>
      <c r="L38" s="32">
        <f t="shared" si="10"/>
        <v>0</v>
      </c>
      <c r="M38" s="767">
        <f t="shared" si="4"/>
        <v>0</v>
      </c>
      <c r="N38" s="767">
        <f t="shared" si="5"/>
        <v>0</v>
      </c>
      <c r="O38" s="1001" t="str">
        <f t="shared" si="6"/>
        <v>-</v>
      </c>
      <c r="P38" s="767">
        <f t="shared" si="7"/>
        <v>0</v>
      </c>
      <c r="Q38" s="3"/>
      <c r="R38" s="767">
        <f t="shared" si="11"/>
        <v>0</v>
      </c>
      <c r="S38" s="767">
        <f t="shared" si="11"/>
        <v>0</v>
      </c>
      <c r="T38" s="767">
        <f t="shared" si="11"/>
        <v>0</v>
      </c>
      <c r="U38" s="767">
        <f t="shared" si="11"/>
        <v>0</v>
      </c>
      <c r="V38" s="767">
        <f t="shared" si="11"/>
        <v>0</v>
      </c>
      <c r="W38" s="767">
        <f t="shared" si="11"/>
        <v>0</v>
      </c>
      <c r="X38" s="767">
        <f t="shared" si="11"/>
        <v>0</v>
      </c>
      <c r="Y38" s="767">
        <f t="shared" si="11"/>
        <v>0</v>
      </c>
      <c r="Z38" s="3"/>
      <c r="AA38" s="767">
        <f t="shared" si="12"/>
        <v>0</v>
      </c>
      <c r="AB38" s="767">
        <f t="shared" si="12"/>
        <v>0</v>
      </c>
      <c r="AC38" s="767">
        <f t="shared" si="12"/>
        <v>0</v>
      </c>
      <c r="AD38" s="767">
        <f t="shared" si="12"/>
        <v>0</v>
      </c>
      <c r="AE38" s="767">
        <f t="shared" si="12"/>
        <v>0</v>
      </c>
      <c r="AF38" s="767">
        <f t="shared" si="12"/>
        <v>0</v>
      </c>
      <c r="AG38" s="767">
        <f t="shared" si="12"/>
        <v>0</v>
      </c>
      <c r="AH38" s="767">
        <f t="shared" si="12"/>
        <v>0</v>
      </c>
      <c r="AI38" s="6"/>
      <c r="AJ38" s="22"/>
    </row>
    <row r="39" spans="2:36" ht="13.15" customHeight="1" x14ac:dyDescent="0.2">
      <c r="B39" s="18"/>
      <c r="C39" s="31"/>
      <c r="D39" s="117"/>
      <c r="E39" s="117"/>
      <c r="F39" s="119"/>
      <c r="G39" s="33"/>
      <c r="H39" s="209"/>
      <c r="I39" s="33"/>
      <c r="J39" s="33"/>
      <c r="K39" s="3"/>
      <c r="L39" s="32">
        <f t="shared" si="10"/>
        <v>0</v>
      </c>
      <c r="M39" s="767">
        <f t="shared" si="4"/>
        <v>0</v>
      </c>
      <c r="N39" s="767">
        <f t="shared" si="5"/>
        <v>0</v>
      </c>
      <c r="O39" s="1001" t="str">
        <f t="shared" si="6"/>
        <v>-</v>
      </c>
      <c r="P39" s="767">
        <f t="shared" si="7"/>
        <v>0</v>
      </c>
      <c r="Q39" s="3"/>
      <c r="R39" s="767">
        <f t="shared" si="11"/>
        <v>0</v>
      </c>
      <c r="S39" s="767">
        <f t="shared" si="11"/>
        <v>0</v>
      </c>
      <c r="T39" s="767">
        <f t="shared" si="11"/>
        <v>0</v>
      </c>
      <c r="U39" s="767">
        <f t="shared" si="11"/>
        <v>0</v>
      </c>
      <c r="V39" s="767">
        <f t="shared" si="11"/>
        <v>0</v>
      </c>
      <c r="W39" s="767">
        <f t="shared" si="11"/>
        <v>0</v>
      </c>
      <c r="X39" s="767">
        <f t="shared" si="11"/>
        <v>0</v>
      </c>
      <c r="Y39" s="767">
        <f t="shared" si="11"/>
        <v>0</v>
      </c>
      <c r="Z39" s="3"/>
      <c r="AA39" s="767">
        <f t="shared" si="12"/>
        <v>0</v>
      </c>
      <c r="AB39" s="767">
        <f t="shared" si="12"/>
        <v>0</v>
      </c>
      <c r="AC39" s="767">
        <f t="shared" si="12"/>
        <v>0</v>
      </c>
      <c r="AD39" s="767">
        <f t="shared" si="12"/>
        <v>0</v>
      </c>
      <c r="AE39" s="767">
        <f t="shared" si="12"/>
        <v>0</v>
      </c>
      <c r="AF39" s="767">
        <f t="shared" si="12"/>
        <v>0</v>
      </c>
      <c r="AG39" s="767">
        <f t="shared" si="12"/>
        <v>0</v>
      </c>
      <c r="AH39" s="767">
        <f t="shared" si="12"/>
        <v>0</v>
      </c>
      <c r="AI39" s="6"/>
      <c r="AJ39" s="22"/>
    </row>
    <row r="40" spans="2:36" ht="13.15" customHeight="1" x14ac:dyDescent="0.2">
      <c r="B40" s="18"/>
      <c r="C40" s="31"/>
      <c r="D40" s="117"/>
      <c r="E40" s="117"/>
      <c r="F40" s="119"/>
      <c r="G40" s="33"/>
      <c r="H40" s="209"/>
      <c r="I40" s="33"/>
      <c r="J40" s="33"/>
      <c r="K40" s="3"/>
      <c r="L40" s="32">
        <f t="shared" si="10"/>
        <v>0</v>
      </c>
      <c r="M40" s="767">
        <f t="shared" si="4"/>
        <v>0</v>
      </c>
      <c r="N40" s="767">
        <f t="shared" si="5"/>
        <v>0</v>
      </c>
      <c r="O40" s="1001" t="str">
        <f t="shared" si="6"/>
        <v>-</v>
      </c>
      <c r="P40" s="767">
        <f t="shared" si="7"/>
        <v>0</v>
      </c>
      <c r="Q40" s="3"/>
      <c r="R40" s="767">
        <f t="shared" si="11"/>
        <v>0</v>
      </c>
      <c r="S40" s="767">
        <f t="shared" si="11"/>
        <v>0</v>
      </c>
      <c r="T40" s="767">
        <f t="shared" si="11"/>
        <v>0</v>
      </c>
      <c r="U40" s="767">
        <f t="shared" si="11"/>
        <v>0</v>
      </c>
      <c r="V40" s="767">
        <f t="shared" si="11"/>
        <v>0</v>
      </c>
      <c r="W40" s="767">
        <f t="shared" si="11"/>
        <v>0</v>
      </c>
      <c r="X40" s="767">
        <f t="shared" si="11"/>
        <v>0</v>
      </c>
      <c r="Y40" s="767">
        <f t="shared" si="11"/>
        <v>0</v>
      </c>
      <c r="Z40" s="3"/>
      <c r="AA40" s="767">
        <f t="shared" si="12"/>
        <v>0</v>
      </c>
      <c r="AB40" s="767">
        <f t="shared" si="12"/>
        <v>0</v>
      </c>
      <c r="AC40" s="767">
        <f t="shared" si="12"/>
        <v>0</v>
      </c>
      <c r="AD40" s="767">
        <f t="shared" si="12"/>
        <v>0</v>
      </c>
      <c r="AE40" s="767">
        <f t="shared" si="12"/>
        <v>0</v>
      </c>
      <c r="AF40" s="767">
        <f t="shared" si="12"/>
        <v>0</v>
      </c>
      <c r="AG40" s="767">
        <f t="shared" si="12"/>
        <v>0</v>
      </c>
      <c r="AH40" s="767">
        <f t="shared" si="12"/>
        <v>0</v>
      </c>
      <c r="AI40" s="6"/>
      <c r="AJ40" s="22"/>
    </row>
    <row r="41" spans="2:36" ht="13.15" customHeight="1" x14ac:dyDescent="0.2">
      <c r="B41" s="18"/>
      <c r="C41" s="31"/>
      <c r="D41" s="117"/>
      <c r="E41" s="117"/>
      <c r="F41" s="119"/>
      <c r="G41" s="33"/>
      <c r="H41" s="209"/>
      <c r="I41" s="33"/>
      <c r="J41" s="33"/>
      <c r="K41" s="3"/>
      <c r="L41" s="32">
        <f t="shared" si="10"/>
        <v>0</v>
      </c>
      <c r="M41" s="767">
        <f t="shared" si="4"/>
        <v>0</v>
      </c>
      <c r="N41" s="767">
        <f t="shared" si="5"/>
        <v>0</v>
      </c>
      <c r="O41" s="1001" t="str">
        <f t="shared" si="6"/>
        <v>-</v>
      </c>
      <c r="P41" s="767">
        <f t="shared" si="7"/>
        <v>0</v>
      </c>
      <c r="Q41" s="3"/>
      <c r="R41" s="767">
        <f t="shared" si="11"/>
        <v>0</v>
      </c>
      <c r="S41" s="767">
        <f t="shared" si="11"/>
        <v>0</v>
      </c>
      <c r="T41" s="767">
        <f t="shared" si="11"/>
        <v>0</v>
      </c>
      <c r="U41" s="767">
        <f t="shared" si="11"/>
        <v>0</v>
      </c>
      <c r="V41" s="767">
        <f t="shared" si="11"/>
        <v>0</v>
      </c>
      <c r="W41" s="767">
        <f t="shared" si="11"/>
        <v>0</v>
      </c>
      <c r="X41" s="767">
        <f t="shared" si="11"/>
        <v>0</v>
      </c>
      <c r="Y41" s="767">
        <f t="shared" si="11"/>
        <v>0</v>
      </c>
      <c r="Z41" s="3"/>
      <c r="AA41" s="767">
        <f t="shared" si="12"/>
        <v>0</v>
      </c>
      <c r="AB41" s="767">
        <f t="shared" si="12"/>
        <v>0</v>
      </c>
      <c r="AC41" s="767">
        <f t="shared" si="12"/>
        <v>0</v>
      </c>
      <c r="AD41" s="767">
        <f t="shared" si="12"/>
        <v>0</v>
      </c>
      <c r="AE41" s="767">
        <f t="shared" si="12"/>
        <v>0</v>
      </c>
      <c r="AF41" s="767">
        <f t="shared" si="12"/>
        <v>0</v>
      </c>
      <c r="AG41" s="767">
        <f t="shared" si="12"/>
        <v>0</v>
      </c>
      <c r="AH41" s="767">
        <f t="shared" si="12"/>
        <v>0</v>
      </c>
      <c r="AI41" s="6"/>
      <c r="AJ41" s="22"/>
    </row>
    <row r="42" spans="2:36" ht="13.15" customHeight="1" x14ac:dyDescent="0.2">
      <c r="B42" s="18"/>
      <c r="C42" s="31"/>
      <c r="D42" s="117"/>
      <c r="E42" s="117"/>
      <c r="F42" s="119"/>
      <c r="G42" s="33"/>
      <c r="H42" s="209"/>
      <c r="I42" s="33"/>
      <c r="J42" s="33"/>
      <c r="K42" s="3"/>
      <c r="L42" s="32">
        <f t="shared" si="10"/>
        <v>0</v>
      </c>
      <c r="M42" s="767">
        <f t="shared" si="4"/>
        <v>0</v>
      </c>
      <c r="N42" s="767">
        <f t="shared" si="5"/>
        <v>0</v>
      </c>
      <c r="O42" s="1001" t="str">
        <f t="shared" si="6"/>
        <v>-</v>
      </c>
      <c r="P42" s="767">
        <f t="shared" si="7"/>
        <v>0</v>
      </c>
      <c r="Q42" s="3"/>
      <c r="R42" s="767">
        <f t="shared" si="11"/>
        <v>0</v>
      </c>
      <c r="S42" s="767">
        <f t="shared" si="11"/>
        <v>0</v>
      </c>
      <c r="T42" s="767">
        <f t="shared" si="11"/>
        <v>0</v>
      </c>
      <c r="U42" s="767">
        <f t="shared" si="11"/>
        <v>0</v>
      </c>
      <c r="V42" s="767">
        <f t="shared" si="11"/>
        <v>0</v>
      </c>
      <c r="W42" s="767">
        <f t="shared" si="11"/>
        <v>0</v>
      </c>
      <c r="X42" s="767">
        <f t="shared" si="11"/>
        <v>0</v>
      </c>
      <c r="Y42" s="767">
        <f t="shared" si="11"/>
        <v>0</v>
      </c>
      <c r="Z42" s="3"/>
      <c r="AA42" s="767">
        <f t="shared" si="12"/>
        <v>0</v>
      </c>
      <c r="AB42" s="767">
        <f t="shared" si="12"/>
        <v>0</v>
      </c>
      <c r="AC42" s="767">
        <f t="shared" si="12"/>
        <v>0</v>
      </c>
      <c r="AD42" s="767">
        <f t="shared" si="12"/>
        <v>0</v>
      </c>
      <c r="AE42" s="767">
        <f t="shared" si="12"/>
        <v>0</v>
      </c>
      <c r="AF42" s="767">
        <f t="shared" si="12"/>
        <v>0</v>
      </c>
      <c r="AG42" s="767">
        <f t="shared" si="12"/>
        <v>0</v>
      </c>
      <c r="AH42" s="767">
        <f t="shared" si="12"/>
        <v>0</v>
      </c>
      <c r="AI42" s="6"/>
      <c r="AJ42" s="22"/>
    </row>
    <row r="43" spans="2:36" ht="13.15" customHeight="1" x14ac:dyDescent="0.2">
      <c r="B43" s="18"/>
      <c r="C43" s="31"/>
      <c r="D43" s="117"/>
      <c r="E43" s="117"/>
      <c r="F43" s="119"/>
      <c r="G43" s="33"/>
      <c r="H43" s="209"/>
      <c r="I43" s="33"/>
      <c r="J43" s="33"/>
      <c r="K43" s="3"/>
      <c r="L43" s="32">
        <f t="shared" si="10"/>
        <v>0</v>
      </c>
      <c r="M43" s="767">
        <f t="shared" si="4"/>
        <v>0</v>
      </c>
      <c r="N43" s="767">
        <f t="shared" si="5"/>
        <v>0</v>
      </c>
      <c r="O43" s="1001" t="str">
        <f t="shared" si="6"/>
        <v>-</v>
      </c>
      <c r="P43" s="767">
        <f t="shared" si="7"/>
        <v>0</v>
      </c>
      <c r="Q43" s="3"/>
      <c r="R43" s="767">
        <f t="shared" si="11"/>
        <v>0</v>
      </c>
      <c r="S43" s="767">
        <f t="shared" si="11"/>
        <v>0</v>
      </c>
      <c r="T43" s="767">
        <f t="shared" si="11"/>
        <v>0</v>
      </c>
      <c r="U43" s="767">
        <f t="shared" si="11"/>
        <v>0</v>
      </c>
      <c r="V43" s="767">
        <f t="shared" si="11"/>
        <v>0</v>
      </c>
      <c r="W43" s="767">
        <f t="shared" si="11"/>
        <v>0</v>
      </c>
      <c r="X43" s="767">
        <f t="shared" si="11"/>
        <v>0</v>
      </c>
      <c r="Y43" s="767">
        <f t="shared" si="11"/>
        <v>0</v>
      </c>
      <c r="Z43" s="3"/>
      <c r="AA43" s="767">
        <f t="shared" si="12"/>
        <v>0</v>
      </c>
      <c r="AB43" s="767">
        <f t="shared" si="12"/>
        <v>0</v>
      </c>
      <c r="AC43" s="767">
        <f t="shared" si="12"/>
        <v>0</v>
      </c>
      <c r="AD43" s="767">
        <f t="shared" si="12"/>
        <v>0</v>
      </c>
      <c r="AE43" s="767">
        <f t="shared" si="12"/>
        <v>0</v>
      </c>
      <c r="AF43" s="767">
        <f t="shared" si="12"/>
        <v>0</v>
      </c>
      <c r="AG43" s="767">
        <f t="shared" si="12"/>
        <v>0</v>
      </c>
      <c r="AH43" s="767">
        <f t="shared" si="12"/>
        <v>0</v>
      </c>
      <c r="AI43" s="6"/>
      <c r="AJ43" s="22"/>
    </row>
    <row r="44" spans="2:36" ht="13.15" customHeight="1" x14ac:dyDescent="0.2">
      <c r="B44" s="18"/>
      <c r="C44" s="31"/>
      <c r="D44" s="117"/>
      <c r="E44" s="117"/>
      <c r="F44" s="119"/>
      <c r="G44" s="33"/>
      <c r="H44" s="209"/>
      <c r="I44" s="33"/>
      <c r="J44" s="33"/>
      <c r="K44" s="3"/>
      <c r="L44" s="32">
        <f t="shared" si="10"/>
        <v>0</v>
      </c>
      <c r="M44" s="767">
        <f t="shared" si="4"/>
        <v>0</v>
      </c>
      <c r="N44" s="767">
        <f t="shared" si="5"/>
        <v>0</v>
      </c>
      <c r="O44" s="1001" t="str">
        <f t="shared" si="6"/>
        <v>-</v>
      </c>
      <c r="P44" s="767">
        <f t="shared" si="7"/>
        <v>0</v>
      </c>
      <c r="Q44" s="3"/>
      <c r="R44" s="767">
        <f t="shared" si="11"/>
        <v>0</v>
      </c>
      <c r="S44" s="767">
        <f t="shared" si="11"/>
        <v>0</v>
      </c>
      <c r="T44" s="767">
        <f t="shared" si="11"/>
        <v>0</v>
      </c>
      <c r="U44" s="767">
        <f t="shared" si="11"/>
        <v>0</v>
      </c>
      <c r="V44" s="767">
        <f t="shared" si="11"/>
        <v>0</v>
      </c>
      <c r="W44" s="767">
        <f t="shared" si="11"/>
        <v>0</v>
      </c>
      <c r="X44" s="767">
        <f t="shared" si="11"/>
        <v>0</v>
      </c>
      <c r="Y44" s="767">
        <f t="shared" si="11"/>
        <v>0</v>
      </c>
      <c r="Z44" s="3"/>
      <c r="AA44" s="767">
        <f t="shared" si="12"/>
        <v>0</v>
      </c>
      <c r="AB44" s="767">
        <f t="shared" si="12"/>
        <v>0</v>
      </c>
      <c r="AC44" s="767">
        <f t="shared" si="12"/>
        <v>0</v>
      </c>
      <c r="AD44" s="767">
        <f t="shared" si="12"/>
        <v>0</v>
      </c>
      <c r="AE44" s="767">
        <f t="shared" si="12"/>
        <v>0</v>
      </c>
      <c r="AF44" s="767">
        <f t="shared" si="12"/>
        <v>0</v>
      </c>
      <c r="AG44" s="767">
        <f t="shared" si="12"/>
        <v>0</v>
      </c>
      <c r="AH44" s="767">
        <f t="shared" si="12"/>
        <v>0</v>
      </c>
      <c r="AI44" s="6"/>
      <c r="AJ44" s="22"/>
    </row>
    <row r="45" spans="2:36" ht="13.15" customHeight="1" x14ac:dyDescent="0.2">
      <c r="B45" s="18"/>
      <c r="C45" s="31"/>
      <c r="D45" s="117"/>
      <c r="E45" s="117"/>
      <c r="F45" s="119"/>
      <c r="G45" s="33"/>
      <c r="H45" s="209"/>
      <c r="I45" s="33"/>
      <c r="J45" s="33"/>
      <c r="K45" s="3"/>
      <c r="L45" s="32">
        <f t="shared" si="10"/>
        <v>0</v>
      </c>
      <c r="M45" s="767">
        <f t="shared" si="4"/>
        <v>0</v>
      </c>
      <c r="N45" s="767">
        <f t="shared" si="5"/>
        <v>0</v>
      </c>
      <c r="O45" s="1001" t="str">
        <f t="shared" si="6"/>
        <v>-</v>
      </c>
      <c r="P45" s="767">
        <f t="shared" si="7"/>
        <v>0</v>
      </c>
      <c r="Q45" s="3"/>
      <c r="R45" s="767">
        <f t="shared" si="11"/>
        <v>0</v>
      </c>
      <c r="S45" s="767">
        <f t="shared" si="11"/>
        <v>0</v>
      </c>
      <c r="T45" s="767">
        <f t="shared" si="11"/>
        <v>0</v>
      </c>
      <c r="U45" s="767">
        <f t="shared" si="11"/>
        <v>0</v>
      </c>
      <c r="V45" s="767">
        <f t="shared" si="11"/>
        <v>0</v>
      </c>
      <c r="W45" s="767">
        <f t="shared" si="11"/>
        <v>0</v>
      </c>
      <c r="X45" s="767">
        <f t="shared" si="11"/>
        <v>0</v>
      </c>
      <c r="Y45" s="767">
        <f t="shared" si="11"/>
        <v>0</v>
      </c>
      <c r="Z45" s="3"/>
      <c r="AA45" s="767">
        <f t="shared" si="12"/>
        <v>0</v>
      </c>
      <c r="AB45" s="767">
        <f t="shared" si="12"/>
        <v>0</v>
      </c>
      <c r="AC45" s="767">
        <f t="shared" si="12"/>
        <v>0</v>
      </c>
      <c r="AD45" s="767">
        <f t="shared" si="12"/>
        <v>0</v>
      </c>
      <c r="AE45" s="767">
        <f t="shared" si="12"/>
        <v>0</v>
      </c>
      <c r="AF45" s="767">
        <f t="shared" si="12"/>
        <v>0</v>
      </c>
      <c r="AG45" s="767">
        <f t="shared" si="12"/>
        <v>0</v>
      </c>
      <c r="AH45" s="767">
        <f t="shared" si="12"/>
        <v>0</v>
      </c>
      <c r="AI45" s="6"/>
      <c r="AJ45" s="22"/>
    </row>
    <row r="46" spans="2:36" ht="13.15" customHeight="1" x14ac:dyDescent="0.2">
      <c r="B46" s="18"/>
      <c r="C46" s="31"/>
      <c r="D46" s="117"/>
      <c r="E46" s="117"/>
      <c r="F46" s="119"/>
      <c r="G46" s="33"/>
      <c r="H46" s="209"/>
      <c r="I46" s="33"/>
      <c r="J46" s="33"/>
      <c r="K46" s="3"/>
      <c r="L46" s="32">
        <f t="shared" si="10"/>
        <v>0</v>
      </c>
      <c r="M46" s="767">
        <f t="shared" si="4"/>
        <v>0</v>
      </c>
      <c r="N46" s="767">
        <f t="shared" si="5"/>
        <v>0</v>
      </c>
      <c r="O46" s="1001" t="str">
        <f t="shared" si="6"/>
        <v>-</v>
      </c>
      <c r="P46" s="767">
        <f t="shared" si="7"/>
        <v>0</v>
      </c>
      <c r="Q46" s="3"/>
      <c r="R46" s="767">
        <f t="shared" ref="R46:Y61" si="13">(IF(R$8&lt;$I46,0,IF($O46&lt;=R$8-1,0,$N46)))</f>
        <v>0</v>
      </c>
      <c r="S46" s="767">
        <f t="shared" si="13"/>
        <v>0</v>
      </c>
      <c r="T46" s="767">
        <f t="shared" si="13"/>
        <v>0</v>
      </c>
      <c r="U46" s="767">
        <f t="shared" si="13"/>
        <v>0</v>
      </c>
      <c r="V46" s="767">
        <f t="shared" si="13"/>
        <v>0</v>
      </c>
      <c r="W46" s="767">
        <f t="shared" si="13"/>
        <v>0</v>
      </c>
      <c r="X46" s="767">
        <f t="shared" si="13"/>
        <v>0</v>
      </c>
      <c r="Y46" s="767">
        <f t="shared" si="13"/>
        <v>0</v>
      </c>
      <c r="Z46" s="3"/>
      <c r="AA46" s="767">
        <f t="shared" ref="AA46:AH61" si="14">IF(AA$8=$I46,($G46*$H46),0)</f>
        <v>0</v>
      </c>
      <c r="AB46" s="767">
        <f t="shared" si="14"/>
        <v>0</v>
      </c>
      <c r="AC46" s="767">
        <f t="shared" si="14"/>
        <v>0</v>
      </c>
      <c r="AD46" s="767">
        <f t="shared" si="14"/>
        <v>0</v>
      </c>
      <c r="AE46" s="767">
        <f t="shared" si="14"/>
        <v>0</v>
      </c>
      <c r="AF46" s="767">
        <f t="shared" si="14"/>
        <v>0</v>
      </c>
      <c r="AG46" s="767">
        <f t="shared" si="14"/>
        <v>0</v>
      </c>
      <c r="AH46" s="767">
        <f t="shared" si="14"/>
        <v>0</v>
      </c>
      <c r="AI46" s="6"/>
      <c r="AJ46" s="22"/>
    </row>
    <row r="47" spans="2:36" ht="13.15" customHeight="1" x14ac:dyDescent="0.2">
      <c r="B47" s="18"/>
      <c r="C47" s="31"/>
      <c r="D47" s="117"/>
      <c r="E47" s="117"/>
      <c r="F47" s="119"/>
      <c r="G47" s="33"/>
      <c r="H47" s="209"/>
      <c r="I47" s="33"/>
      <c r="J47" s="33"/>
      <c r="K47" s="3"/>
      <c r="L47" s="32">
        <f t="shared" si="10"/>
        <v>0</v>
      </c>
      <c r="M47" s="767">
        <f t="shared" si="4"/>
        <v>0</v>
      </c>
      <c r="N47" s="767">
        <f t="shared" si="5"/>
        <v>0</v>
      </c>
      <c r="O47" s="1001" t="str">
        <f t="shared" si="6"/>
        <v>-</v>
      </c>
      <c r="P47" s="767">
        <f t="shared" si="7"/>
        <v>0</v>
      </c>
      <c r="Q47" s="3"/>
      <c r="R47" s="767">
        <f t="shared" si="13"/>
        <v>0</v>
      </c>
      <c r="S47" s="767">
        <f t="shared" si="13"/>
        <v>0</v>
      </c>
      <c r="T47" s="767">
        <f t="shared" si="13"/>
        <v>0</v>
      </c>
      <c r="U47" s="767">
        <f t="shared" si="13"/>
        <v>0</v>
      </c>
      <c r="V47" s="767">
        <f t="shared" si="13"/>
        <v>0</v>
      </c>
      <c r="W47" s="767">
        <f t="shared" si="13"/>
        <v>0</v>
      </c>
      <c r="X47" s="767">
        <f t="shared" si="13"/>
        <v>0</v>
      </c>
      <c r="Y47" s="767">
        <f t="shared" si="13"/>
        <v>0</v>
      </c>
      <c r="Z47" s="3"/>
      <c r="AA47" s="767">
        <f t="shared" si="14"/>
        <v>0</v>
      </c>
      <c r="AB47" s="767">
        <f t="shared" si="14"/>
        <v>0</v>
      </c>
      <c r="AC47" s="767">
        <f t="shared" si="14"/>
        <v>0</v>
      </c>
      <c r="AD47" s="767">
        <f t="shared" si="14"/>
        <v>0</v>
      </c>
      <c r="AE47" s="767">
        <f t="shared" si="14"/>
        <v>0</v>
      </c>
      <c r="AF47" s="767">
        <f t="shared" si="14"/>
        <v>0</v>
      </c>
      <c r="AG47" s="767">
        <f t="shared" si="14"/>
        <v>0</v>
      </c>
      <c r="AH47" s="767">
        <f t="shared" si="14"/>
        <v>0</v>
      </c>
      <c r="AI47" s="6"/>
      <c r="AJ47" s="22"/>
    </row>
    <row r="48" spans="2:36" ht="13.15" customHeight="1" x14ac:dyDescent="0.2">
      <c r="B48" s="18"/>
      <c r="C48" s="31"/>
      <c r="D48" s="117"/>
      <c r="E48" s="117"/>
      <c r="F48" s="119"/>
      <c r="G48" s="33"/>
      <c r="H48" s="209"/>
      <c r="I48" s="33"/>
      <c r="J48" s="33"/>
      <c r="K48" s="3"/>
      <c r="L48" s="32">
        <f t="shared" si="10"/>
        <v>0</v>
      </c>
      <c r="M48" s="767">
        <f t="shared" si="4"/>
        <v>0</v>
      </c>
      <c r="N48" s="767">
        <f t="shared" si="5"/>
        <v>0</v>
      </c>
      <c r="O48" s="1001" t="str">
        <f t="shared" si="6"/>
        <v>-</v>
      </c>
      <c r="P48" s="767">
        <f t="shared" si="7"/>
        <v>0</v>
      </c>
      <c r="Q48" s="3"/>
      <c r="R48" s="767">
        <f t="shared" si="13"/>
        <v>0</v>
      </c>
      <c r="S48" s="767">
        <f t="shared" si="13"/>
        <v>0</v>
      </c>
      <c r="T48" s="767">
        <f t="shared" si="13"/>
        <v>0</v>
      </c>
      <c r="U48" s="767">
        <f t="shared" si="13"/>
        <v>0</v>
      </c>
      <c r="V48" s="767">
        <f t="shared" si="13"/>
        <v>0</v>
      </c>
      <c r="W48" s="767">
        <f t="shared" si="13"/>
        <v>0</v>
      </c>
      <c r="X48" s="767">
        <f t="shared" si="13"/>
        <v>0</v>
      </c>
      <c r="Y48" s="767">
        <f t="shared" si="13"/>
        <v>0</v>
      </c>
      <c r="Z48" s="3"/>
      <c r="AA48" s="767">
        <f t="shared" si="14"/>
        <v>0</v>
      </c>
      <c r="AB48" s="767">
        <f t="shared" si="14"/>
        <v>0</v>
      </c>
      <c r="AC48" s="767">
        <f t="shared" si="14"/>
        <v>0</v>
      </c>
      <c r="AD48" s="767">
        <f t="shared" si="14"/>
        <v>0</v>
      </c>
      <c r="AE48" s="767">
        <f t="shared" si="14"/>
        <v>0</v>
      </c>
      <c r="AF48" s="767">
        <f t="shared" si="14"/>
        <v>0</v>
      </c>
      <c r="AG48" s="767">
        <f t="shared" si="14"/>
        <v>0</v>
      </c>
      <c r="AH48" s="767">
        <f t="shared" si="14"/>
        <v>0</v>
      </c>
      <c r="AI48" s="6"/>
      <c r="AJ48" s="22"/>
    </row>
    <row r="49" spans="2:36" ht="13.15" customHeight="1" x14ac:dyDescent="0.2">
      <c r="B49" s="18"/>
      <c r="C49" s="31"/>
      <c r="D49" s="117"/>
      <c r="E49" s="117"/>
      <c r="F49" s="119"/>
      <c r="G49" s="33"/>
      <c r="H49" s="209"/>
      <c r="I49" s="33"/>
      <c r="J49" s="33"/>
      <c r="K49" s="3"/>
      <c r="L49" s="32">
        <f t="shared" si="10"/>
        <v>0</v>
      </c>
      <c r="M49" s="767">
        <f t="shared" si="4"/>
        <v>0</v>
      </c>
      <c r="N49" s="767">
        <f t="shared" si="5"/>
        <v>0</v>
      </c>
      <c r="O49" s="1001" t="str">
        <f t="shared" si="6"/>
        <v>-</v>
      </c>
      <c r="P49" s="767">
        <f t="shared" si="7"/>
        <v>0</v>
      </c>
      <c r="Q49" s="3"/>
      <c r="R49" s="767">
        <f t="shared" si="13"/>
        <v>0</v>
      </c>
      <c r="S49" s="767">
        <f t="shared" si="13"/>
        <v>0</v>
      </c>
      <c r="T49" s="767">
        <f t="shared" si="13"/>
        <v>0</v>
      </c>
      <c r="U49" s="767">
        <f t="shared" si="13"/>
        <v>0</v>
      </c>
      <c r="V49" s="767">
        <f t="shared" si="13"/>
        <v>0</v>
      </c>
      <c r="W49" s="767">
        <f t="shared" si="13"/>
        <v>0</v>
      </c>
      <c r="X49" s="767">
        <f t="shared" si="13"/>
        <v>0</v>
      </c>
      <c r="Y49" s="767">
        <f t="shared" si="13"/>
        <v>0</v>
      </c>
      <c r="Z49" s="3"/>
      <c r="AA49" s="767">
        <f t="shared" si="14"/>
        <v>0</v>
      </c>
      <c r="AB49" s="767">
        <f t="shared" si="14"/>
        <v>0</v>
      </c>
      <c r="AC49" s="767">
        <f t="shared" si="14"/>
        <v>0</v>
      </c>
      <c r="AD49" s="767">
        <f t="shared" si="14"/>
        <v>0</v>
      </c>
      <c r="AE49" s="767">
        <f t="shared" si="14"/>
        <v>0</v>
      </c>
      <c r="AF49" s="767">
        <f t="shared" si="14"/>
        <v>0</v>
      </c>
      <c r="AG49" s="767">
        <f t="shared" si="14"/>
        <v>0</v>
      </c>
      <c r="AH49" s="767">
        <f t="shared" si="14"/>
        <v>0</v>
      </c>
      <c r="AI49" s="6"/>
      <c r="AJ49" s="22"/>
    </row>
    <row r="50" spans="2:36" ht="13.15" customHeight="1" x14ac:dyDescent="0.2">
      <c r="B50" s="18"/>
      <c r="C50" s="31"/>
      <c r="D50" s="117"/>
      <c r="E50" s="117"/>
      <c r="F50" s="119"/>
      <c r="G50" s="33"/>
      <c r="H50" s="209"/>
      <c r="I50" s="33"/>
      <c r="J50" s="33"/>
      <c r="K50" s="3"/>
      <c r="L50" s="32">
        <f t="shared" si="10"/>
        <v>0</v>
      </c>
      <c r="M50" s="767">
        <f t="shared" si="4"/>
        <v>0</v>
      </c>
      <c r="N50" s="767">
        <f t="shared" si="5"/>
        <v>0</v>
      </c>
      <c r="O50" s="1001" t="str">
        <f t="shared" si="6"/>
        <v>-</v>
      </c>
      <c r="P50" s="767">
        <f t="shared" si="7"/>
        <v>0</v>
      </c>
      <c r="Q50" s="3"/>
      <c r="R50" s="767">
        <f t="shared" si="13"/>
        <v>0</v>
      </c>
      <c r="S50" s="767">
        <f t="shared" si="13"/>
        <v>0</v>
      </c>
      <c r="T50" s="767">
        <f t="shared" si="13"/>
        <v>0</v>
      </c>
      <c r="U50" s="767">
        <f t="shared" si="13"/>
        <v>0</v>
      </c>
      <c r="V50" s="767">
        <f t="shared" si="13"/>
        <v>0</v>
      </c>
      <c r="W50" s="767">
        <f t="shared" si="13"/>
        <v>0</v>
      </c>
      <c r="X50" s="767">
        <f t="shared" si="13"/>
        <v>0</v>
      </c>
      <c r="Y50" s="767">
        <f t="shared" si="13"/>
        <v>0</v>
      </c>
      <c r="Z50" s="3"/>
      <c r="AA50" s="767">
        <f t="shared" si="14"/>
        <v>0</v>
      </c>
      <c r="AB50" s="767">
        <f t="shared" si="14"/>
        <v>0</v>
      </c>
      <c r="AC50" s="767">
        <f t="shared" si="14"/>
        <v>0</v>
      </c>
      <c r="AD50" s="767">
        <f t="shared" si="14"/>
        <v>0</v>
      </c>
      <c r="AE50" s="767">
        <f t="shared" si="14"/>
        <v>0</v>
      </c>
      <c r="AF50" s="767">
        <f t="shared" si="14"/>
        <v>0</v>
      </c>
      <c r="AG50" s="767">
        <f t="shared" si="14"/>
        <v>0</v>
      </c>
      <c r="AH50" s="767">
        <f t="shared" si="14"/>
        <v>0</v>
      </c>
      <c r="AI50" s="6"/>
      <c r="AJ50" s="22"/>
    </row>
    <row r="51" spans="2:36" ht="13.15" customHeight="1" x14ac:dyDescent="0.2">
      <c r="B51" s="18"/>
      <c r="C51" s="31"/>
      <c r="D51" s="117"/>
      <c r="E51" s="117"/>
      <c r="F51" s="119"/>
      <c r="G51" s="33"/>
      <c r="H51" s="209"/>
      <c r="I51" s="33"/>
      <c r="J51" s="33"/>
      <c r="K51" s="3"/>
      <c r="L51" s="32">
        <f t="shared" si="10"/>
        <v>0</v>
      </c>
      <c r="M51" s="767">
        <f t="shared" si="4"/>
        <v>0</v>
      </c>
      <c r="N51" s="767">
        <f t="shared" si="5"/>
        <v>0</v>
      </c>
      <c r="O51" s="1001" t="str">
        <f t="shared" si="6"/>
        <v>-</v>
      </c>
      <c r="P51" s="767">
        <f t="shared" si="7"/>
        <v>0</v>
      </c>
      <c r="Q51" s="3"/>
      <c r="R51" s="767">
        <f t="shared" si="13"/>
        <v>0</v>
      </c>
      <c r="S51" s="767">
        <f t="shared" si="13"/>
        <v>0</v>
      </c>
      <c r="T51" s="767">
        <f t="shared" si="13"/>
        <v>0</v>
      </c>
      <c r="U51" s="767">
        <f t="shared" si="13"/>
        <v>0</v>
      </c>
      <c r="V51" s="767">
        <f t="shared" si="13"/>
        <v>0</v>
      </c>
      <c r="W51" s="767">
        <f t="shared" si="13"/>
        <v>0</v>
      </c>
      <c r="X51" s="767">
        <f t="shared" si="13"/>
        <v>0</v>
      </c>
      <c r="Y51" s="767">
        <f t="shared" si="13"/>
        <v>0</v>
      </c>
      <c r="Z51" s="3"/>
      <c r="AA51" s="767">
        <f t="shared" si="14"/>
        <v>0</v>
      </c>
      <c r="AB51" s="767">
        <f t="shared" si="14"/>
        <v>0</v>
      </c>
      <c r="AC51" s="767">
        <f t="shared" si="14"/>
        <v>0</v>
      </c>
      <c r="AD51" s="767">
        <f t="shared" si="14"/>
        <v>0</v>
      </c>
      <c r="AE51" s="767">
        <f t="shared" si="14"/>
        <v>0</v>
      </c>
      <c r="AF51" s="767">
        <f t="shared" si="14"/>
        <v>0</v>
      </c>
      <c r="AG51" s="767">
        <f t="shared" si="14"/>
        <v>0</v>
      </c>
      <c r="AH51" s="767">
        <f t="shared" si="14"/>
        <v>0</v>
      </c>
      <c r="AI51" s="6"/>
      <c r="AJ51" s="22"/>
    </row>
    <row r="52" spans="2:36" ht="13.15" customHeight="1" x14ac:dyDescent="0.2">
      <c r="B52" s="18"/>
      <c r="C52" s="31"/>
      <c r="D52" s="117"/>
      <c r="E52" s="117"/>
      <c r="F52" s="119"/>
      <c r="G52" s="33"/>
      <c r="H52" s="209"/>
      <c r="I52" s="33"/>
      <c r="J52" s="33"/>
      <c r="K52" s="3"/>
      <c r="L52" s="32">
        <f t="shared" si="10"/>
        <v>0</v>
      </c>
      <c r="M52" s="767">
        <f t="shared" si="4"/>
        <v>0</v>
      </c>
      <c r="N52" s="767">
        <f t="shared" si="5"/>
        <v>0</v>
      </c>
      <c r="O52" s="1001" t="str">
        <f t="shared" si="6"/>
        <v>-</v>
      </c>
      <c r="P52" s="767">
        <f t="shared" si="7"/>
        <v>0</v>
      </c>
      <c r="Q52" s="3"/>
      <c r="R52" s="767">
        <f t="shared" si="13"/>
        <v>0</v>
      </c>
      <c r="S52" s="767">
        <f t="shared" si="13"/>
        <v>0</v>
      </c>
      <c r="T52" s="767">
        <f t="shared" si="13"/>
        <v>0</v>
      </c>
      <c r="U52" s="767">
        <f t="shared" si="13"/>
        <v>0</v>
      </c>
      <c r="V52" s="767">
        <f t="shared" si="13"/>
        <v>0</v>
      </c>
      <c r="W52" s="767">
        <f t="shared" si="13"/>
        <v>0</v>
      </c>
      <c r="X52" s="767">
        <f t="shared" si="13"/>
        <v>0</v>
      </c>
      <c r="Y52" s="767">
        <f t="shared" si="13"/>
        <v>0</v>
      </c>
      <c r="Z52" s="3"/>
      <c r="AA52" s="767">
        <f t="shared" si="14"/>
        <v>0</v>
      </c>
      <c r="AB52" s="767">
        <f t="shared" si="14"/>
        <v>0</v>
      </c>
      <c r="AC52" s="767">
        <f t="shared" si="14"/>
        <v>0</v>
      </c>
      <c r="AD52" s="767">
        <f t="shared" si="14"/>
        <v>0</v>
      </c>
      <c r="AE52" s="767">
        <f t="shared" si="14"/>
        <v>0</v>
      </c>
      <c r="AF52" s="767">
        <f t="shared" si="14"/>
        <v>0</v>
      </c>
      <c r="AG52" s="767">
        <f t="shared" si="14"/>
        <v>0</v>
      </c>
      <c r="AH52" s="767">
        <f t="shared" si="14"/>
        <v>0</v>
      </c>
      <c r="AI52" s="6"/>
      <c r="AJ52" s="22"/>
    </row>
    <row r="53" spans="2:36" ht="13.15" customHeight="1" x14ac:dyDescent="0.2">
      <c r="B53" s="18"/>
      <c r="C53" s="31"/>
      <c r="D53" s="117"/>
      <c r="E53" s="117"/>
      <c r="F53" s="119"/>
      <c r="G53" s="33"/>
      <c r="H53" s="209"/>
      <c r="I53" s="33"/>
      <c r="J53" s="33"/>
      <c r="K53" s="3"/>
      <c r="L53" s="32">
        <f t="shared" si="10"/>
        <v>0</v>
      </c>
      <c r="M53" s="767">
        <f t="shared" si="4"/>
        <v>0</v>
      </c>
      <c r="N53" s="767">
        <f t="shared" si="5"/>
        <v>0</v>
      </c>
      <c r="O53" s="1001" t="str">
        <f t="shared" si="6"/>
        <v>-</v>
      </c>
      <c r="P53" s="767">
        <f t="shared" si="7"/>
        <v>0</v>
      </c>
      <c r="Q53" s="3"/>
      <c r="R53" s="767">
        <f t="shared" si="13"/>
        <v>0</v>
      </c>
      <c r="S53" s="767">
        <f t="shared" si="13"/>
        <v>0</v>
      </c>
      <c r="T53" s="767">
        <f t="shared" si="13"/>
        <v>0</v>
      </c>
      <c r="U53" s="767">
        <f t="shared" si="13"/>
        <v>0</v>
      </c>
      <c r="V53" s="767">
        <f t="shared" si="13"/>
        <v>0</v>
      </c>
      <c r="W53" s="767">
        <f t="shared" si="13"/>
        <v>0</v>
      </c>
      <c r="X53" s="767">
        <f t="shared" si="13"/>
        <v>0</v>
      </c>
      <c r="Y53" s="767">
        <f t="shared" si="13"/>
        <v>0</v>
      </c>
      <c r="Z53" s="3"/>
      <c r="AA53" s="767">
        <f t="shared" si="14"/>
        <v>0</v>
      </c>
      <c r="AB53" s="767">
        <f t="shared" si="14"/>
        <v>0</v>
      </c>
      <c r="AC53" s="767">
        <f t="shared" si="14"/>
        <v>0</v>
      </c>
      <c r="AD53" s="767">
        <f t="shared" si="14"/>
        <v>0</v>
      </c>
      <c r="AE53" s="767">
        <f t="shared" si="14"/>
        <v>0</v>
      </c>
      <c r="AF53" s="767">
        <f t="shared" si="14"/>
        <v>0</v>
      </c>
      <c r="AG53" s="767">
        <f t="shared" si="14"/>
        <v>0</v>
      </c>
      <c r="AH53" s="767">
        <f t="shared" si="14"/>
        <v>0</v>
      </c>
      <c r="AI53" s="6"/>
      <c r="AJ53" s="22"/>
    </row>
    <row r="54" spans="2:36" ht="13.15" customHeight="1" x14ac:dyDescent="0.2">
      <c r="B54" s="18"/>
      <c r="C54" s="31"/>
      <c r="D54" s="117"/>
      <c r="E54" s="117"/>
      <c r="F54" s="119"/>
      <c r="G54" s="33"/>
      <c r="H54" s="209"/>
      <c r="I54" s="33"/>
      <c r="J54" s="33"/>
      <c r="K54" s="3"/>
      <c r="L54" s="32">
        <f t="shared" si="10"/>
        <v>0</v>
      </c>
      <c r="M54" s="767">
        <f t="shared" si="4"/>
        <v>0</v>
      </c>
      <c r="N54" s="767">
        <f t="shared" si="5"/>
        <v>0</v>
      </c>
      <c r="O54" s="1001" t="str">
        <f t="shared" si="6"/>
        <v>-</v>
      </c>
      <c r="P54" s="767">
        <f t="shared" si="7"/>
        <v>0</v>
      </c>
      <c r="Q54" s="3"/>
      <c r="R54" s="767">
        <f t="shared" si="13"/>
        <v>0</v>
      </c>
      <c r="S54" s="767">
        <f t="shared" si="13"/>
        <v>0</v>
      </c>
      <c r="T54" s="767">
        <f t="shared" si="13"/>
        <v>0</v>
      </c>
      <c r="U54" s="767">
        <f t="shared" si="13"/>
        <v>0</v>
      </c>
      <c r="V54" s="767">
        <f t="shared" si="13"/>
        <v>0</v>
      </c>
      <c r="W54" s="767">
        <f t="shared" si="13"/>
        <v>0</v>
      </c>
      <c r="X54" s="767">
        <f t="shared" si="13"/>
        <v>0</v>
      </c>
      <c r="Y54" s="767">
        <f t="shared" si="13"/>
        <v>0</v>
      </c>
      <c r="Z54" s="3"/>
      <c r="AA54" s="767">
        <f t="shared" si="14"/>
        <v>0</v>
      </c>
      <c r="AB54" s="767">
        <f t="shared" si="14"/>
        <v>0</v>
      </c>
      <c r="AC54" s="767">
        <f t="shared" si="14"/>
        <v>0</v>
      </c>
      <c r="AD54" s="767">
        <f t="shared" si="14"/>
        <v>0</v>
      </c>
      <c r="AE54" s="767">
        <f t="shared" si="14"/>
        <v>0</v>
      </c>
      <c r="AF54" s="767">
        <f t="shared" si="14"/>
        <v>0</v>
      </c>
      <c r="AG54" s="767">
        <f t="shared" si="14"/>
        <v>0</v>
      </c>
      <c r="AH54" s="767">
        <f t="shared" si="14"/>
        <v>0</v>
      </c>
      <c r="AI54" s="6"/>
      <c r="AJ54" s="22"/>
    </row>
    <row r="55" spans="2:36" ht="13.15" customHeight="1" x14ac:dyDescent="0.2">
      <c r="B55" s="18"/>
      <c r="C55" s="31"/>
      <c r="D55" s="117"/>
      <c r="E55" s="117"/>
      <c r="F55" s="119"/>
      <c r="G55" s="33"/>
      <c r="H55" s="209"/>
      <c r="I55" s="33"/>
      <c r="J55" s="33"/>
      <c r="K55" s="3"/>
      <c r="L55" s="32">
        <f t="shared" si="10"/>
        <v>0</v>
      </c>
      <c r="M55" s="767">
        <f t="shared" si="4"/>
        <v>0</v>
      </c>
      <c r="N55" s="767">
        <f t="shared" si="5"/>
        <v>0</v>
      </c>
      <c r="O55" s="1001" t="str">
        <f t="shared" si="6"/>
        <v>-</v>
      </c>
      <c r="P55" s="767">
        <f t="shared" si="7"/>
        <v>0</v>
      </c>
      <c r="Q55" s="3"/>
      <c r="R55" s="767">
        <f t="shared" si="13"/>
        <v>0</v>
      </c>
      <c r="S55" s="767">
        <f t="shared" si="13"/>
        <v>0</v>
      </c>
      <c r="T55" s="767">
        <f t="shared" si="13"/>
        <v>0</v>
      </c>
      <c r="U55" s="767">
        <f t="shared" si="13"/>
        <v>0</v>
      </c>
      <c r="V55" s="767">
        <f t="shared" si="13"/>
        <v>0</v>
      </c>
      <c r="W55" s="767">
        <f t="shared" si="13"/>
        <v>0</v>
      </c>
      <c r="X55" s="767">
        <f t="shared" si="13"/>
        <v>0</v>
      </c>
      <c r="Y55" s="767">
        <f t="shared" si="13"/>
        <v>0</v>
      </c>
      <c r="Z55" s="3"/>
      <c r="AA55" s="767">
        <f t="shared" si="14"/>
        <v>0</v>
      </c>
      <c r="AB55" s="767">
        <f t="shared" si="14"/>
        <v>0</v>
      </c>
      <c r="AC55" s="767">
        <f t="shared" si="14"/>
        <v>0</v>
      </c>
      <c r="AD55" s="767">
        <f t="shared" si="14"/>
        <v>0</v>
      </c>
      <c r="AE55" s="767">
        <f t="shared" si="14"/>
        <v>0</v>
      </c>
      <c r="AF55" s="767">
        <f t="shared" si="14"/>
        <v>0</v>
      </c>
      <c r="AG55" s="767">
        <f t="shared" si="14"/>
        <v>0</v>
      </c>
      <c r="AH55" s="767">
        <f t="shared" si="14"/>
        <v>0</v>
      </c>
      <c r="AI55" s="6"/>
      <c r="AJ55" s="22"/>
    </row>
    <row r="56" spans="2:36" ht="13.15" customHeight="1" x14ac:dyDescent="0.2">
      <c r="B56" s="18"/>
      <c r="C56" s="31"/>
      <c r="D56" s="117"/>
      <c r="E56" s="117"/>
      <c r="F56" s="119"/>
      <c r="G56" s="33"/>
      <c r="H56" s="209"/>
      <c r="I56" s="33"/>
      <c r="J56" s="33"/>
      <c r="K56" s="3"/>
      <c r="L56" s="32">
        <f t="shared" si="10"/>
        <v>0</v>
      </c>
      <c r="M56" s="767">
        <f t="shared" si="4"/>
        <v>0</v>
      </c>
      <c r="N56" s="767">
        <f t="shared" si="5"/>
        <v>0</v>
      </c>
      <c r="O56" s="1001" t="str">
        <f t="shared" si="6"/>
        <v>-</v>
      </c>
      <c r="P56" s="767">
        <f t="shared" si="7"/>
        <v>0</v>
      </c>
      <c r="Q56" s="3"/>
      <c r="R56" s="767">
        <f t="shared" si="13"/>
        <v>0</v>
      </c>
      <c r="S56" s="767">
        <f t="shared" si="13"/>
        <v>0</v>
      </c>
      <c r="T56" s="767">
        <f t="shared" si="13"/>
        <v>0</v>
      </c>
      <c r="U56" s="767">
        <f t="shared" si="13"/>
        <v>0</v>
      </c>
      <c r="V56" s="767">
        <f t="shared" si="13"/>
        <v>0</v>
      </c>
      <c r="W56" s="767">
        <f t="shared" si="13"/>
        <v>0</v>
      </c>
      <c r="X56" s="767">
        <f t="shared" si="13"/>
        <v>0</v>
      </c>
      <c r="Y56" s="767">
        <f t="shared" si="13"/>
        <v>0</v>
      </c>
      <c r="Z56" s="3"/>
      <c r="AA56" s="767">
        <f t="shared" si="14"/>
        <v>0</v>
      </c>
      <c r="AB56" s="767">
        <f t="shared" si="14"/>
        <v>0</v>
      </c>
      <c r="AC56" s="767">
        <f t="shared" si="14"/>
        <v>0</v>
      </c>
      <c r="AD56" s="767">
        <f t="shared" si="14"/>
        <v>0</v>
      </c>
      <c r="AE56" s="767">
        <f t="shared" si="14"/>
        <v>0</v>
      </c>
      <c r="AF56" s="767">
        <f t="shared" si="14"/>
        <v>0</v>
      </c>
      <c r="AG56" s="767">
        <f t="shared" si="14"/>
        <v>0</v>
      </c>
      <c r="AH56" s="767">
        <f t="shared" si="14"/>
        <v>0</v>
      </c>
      <c r="AI56" s="6"/>
      <c r="AJ56" s="22"/>
    </row>
    <row r="57" spans="2:36" ht="13.15" customHeight="1" x14ac:dyDescent="0.2">
      <c r="B57" s="18"/>
      <c r="C57" s="31"/>
      <c r="D57" s="117"/>
      <c r="E57" s="117"/>
      <c r="F57" s="119"/>
      <c r="G57" s="33"/>
      <c r="H57" s="209"/>
      <c r="I57" s="33"/>
      <c r="J57" s="33"/>
      <c r="K57" s="3"/>
      <c r="L57" s="32">
        <f t="shared" si="10"/>
        <v>0</v>
      </c>
      <c r="M57" s="767">
        <f t="shared" si="4"/>
        <v>0</v>
      </c>
      <c r="N57" s="767">
        <f t="shared" si="5"/>
        <v>0</v>
      </c>
      <c r="O57" s="1001" t="str">
        <f t="shared" si="6"/>
        <v>-</v>
      </c>
      <c r="P57" s="767">
        <f t="shared" si="7"/>
        <v>0</v>
      </c>
      <c r="Q57" s="3"/>
      <c r="R57" s="767">
        <f t="shared" si="13"/>
        <v>0</v>
      </c>
      <c r="S57" s="767">
        <f t="shared" si="13"/>
        <v>0</v>
      </c>
      <c r="T57" s="767">
        <f t="shared" si="13"/>
        <v>0</v>
      </c>
      <c r="U57" s="767">
        <f t="shared" si="13"/>
        <v>0</v>
      </c>
      <c r="V57" s="767">
        <f t="shared" si="13"/>
        <v>0</v>
      </c>
      <c r="W57" s="767">
        <f t="shared" si="13"/>
        <v>0</v>
      </c>
      <c r="X57" s="767">
        <f t="shared" si="13"/>
        <v>0</v>
      </c>
      <c r="Y57" s="767">
        <f t="shared" si="13"/>
        <v>0</v>
      </c>
      <c r="Z57" s="3"/>
      <c r="AA57" s="767">
        <f t="shared" si="14"/>
        <v>0</v>
      </c>
      <c r="AB57" s="767">
        <f t="shared" si="14"/>
        <v>0</v>
      </c>
      <c r="AC57" s="767">
        <f t="shared" si="14"/>
        <v>0</v>
      </c>
      <c r="AD57" s="767">
        <f t="shared" si="14"/>
        <v>0</v>
      </c>
      <c r="AE57" s="767">
        <f t="shared" si="14"/>
        <v>0</v>
      </c>
      <c r="AF57" s="767">
        <f t="shared" si="14"/>
        <v>0</v>
      </c>
      <c r="AG57" s="767">
        <f t="shared" si="14"/>
        <v>0</v>
      </c>
      <c r="AH57" s="767">
        <f t="shared" si="14"/>
        <v>0</v>
      </c>
      <c r="AI57" s="6"/>
      <c r="AJ57" s="22"/>
    </row>
    <row r="58" spans="2:36" ht="13.15" customHeight="1" x14ac:dyDescent="0.2">
      <c r="B58" s="18"/>
      <c r="C58" s="31"/>
      <c r="D58" s="117"/>
      <c r="E58" s="117"/>
      <c r="F58" s="119"/>
      <c r="G58" s="33"/>
      <c r="H58" s="209"/>
      <c r="I58" s="33"/>
      <c r="J58" s="33"/>
      <c r="K58" s="3"/>
      <c r="L58" s="32">
        <f t="shared" si="10"/>
        <v>0</v>
      </c>
      <c r="M58" s="767">
        <f t="shared" si="4"/>
        <v>0</v>
      </c>
      <c r="N58" s="767">
        <f t="shared" si="5"/>
        <v>0</v>
      </c>
      <c r="O58" s="1001" t="str">
        <f t="shared" si="6"/>
        <v>-</v>
      </c>
      <c r="P58" s="767">
        <f t="shared" si="7"/>
        <v>0</v>
      </c>
      <c r="Q58" s="3"/>
      <c r="R58" s="767">
        <f t="shared" si="13"/>
        <v>0</v>
      </c>
      <c r="S58" s="767">
        <f t="shared" si="13"/>
        <v>0</v>
      </c>
      <c r="T58" s="767">
        <f t="shared" si="13"/>
        <v>0</v>
      </c>
      <c r="U58" s="767">
        <f t="shared" si="13"/>
        <v>0</v>
      </c>
      <c r="V58" s="767">
        <f t="shared" si="13"/>
        <v>0</v>
      </c>
      <c r="W58" s="767">
        <f t="shared" si="13"/>
        <v>0</v>
      </c>
      <c r="X58" s="767">
        <f t="shared" si="13"/>
        <v>0</v>
      </c>
      <c r="Y58" s="767">
        <f t="shared" si="13"/>
        <v>0</v>
      </c>
      <c r="Z58" s="3"/>
      <c r="AA58" s="767">
        <f t="shared" si="14"/>
        <v>0</v>
      </c>
      <c r="AB58" s="767">
        <f t="shared" si="14"/>
        <v>0</v>
      </c>
      <c r="AC58" s="767">
        <f t="shared" si="14"/>
        <v>0</v>
      </c>
      <c r="AD58" s="767">
        <f t="shared" si="14"/>
        <v>0</v>
      </c>
      <c r="AE58" s="767">
        <f t="shared" si="14"/>
        <v>0</v>
      </c>
      <c r="AF58" s="767">
        <f t="shared" si="14"/>
        <v>0</v>
      </c>
      <c r="AG58" s="767">
        <f t="shared" si="14"/>
        <v>0</v>
      </c>
      <c r="AH58" s="767">
        <f t="shared" si="14"/>
        <v>0</v>
      </c>
      <c r="AI58" s="6"/>
      <c r="AJ58" s="22"/>
    </row>
    <row r="59" spans="2:36" ht="13.15" customHeight="1" x14ac:dyDescent="0.2">
      <c r="B59" s="18"/>
      <c r="C59" s="31"/>
      <c r="D59" s="117"/>
      <c r="E59" s="117"/>
      <c r="F59" s="119"/>
      <c r="G59" s="33"/>
      <c r="H59" s="209"/>
      <c r="I59" s="33"/>
      <c r="J59" s="33"/>
      <c r="K59" s="3"/>
      <c r="L59" s="32">
        <f t="shared" si="10"/>
        <v>0</v>
      </c>
      <c r="M59" s="767">
        <f t="shared" si="4"/>
        <v>0</v>
      </c>
      <c r="N59" s="767">
        <f t="shared" si="5"/>
        <v>0</v>
      </c>
      <c r="O59" s="1001" t="str">
        <f t="shared" si="6"/>
        <v>-</v>
      </c>
      <c r="P59" s="767">
        <f t="shared" si="7"/>
        <v>0</v>
      </c>
      <c r="Q59" s="3"/>
      <c r="R59" s="767">
        <f t="shared" si="13"/>
        <v>0</v>
      </c>
      <c r="S59" s="767">
        <f t="shared" si="13"/>
        <v>0</v>
      </c>
      <c r="T59" s="767">
        <f t="shared" si="13"/>
        <v>0</v>
      </c>
      <c r="U59" s="767">
        <f t="shared" si="13"/>
        <v>0</v>
      </c>
      <c r="V59" s="767">
        <f t="shared" si="13"/>
        <v>0</v>
      </c>
      <c r="W59" s="767">
        <f t="shared" si="13"/>
        <v>0</v>
      </c>
      <c r="X59" s="767">
        <f t="shared" si="13"/>
        <v>0</v>
      </c>
      <c r="Y59" s="767">
        <f t="shared" si="13"/>
        <v>0</v>
      </c>
      <c r="Z59" s="3"/>
      <c r="AA59" s="767">
        <f t="shared" si="14"/>
        <v>0</v>
      </c>
      <c r="AB59" s="767">
        <f t="shared" si="14"/>
        <v>0</v>
      </c>
      <c r="AC59" s="767">
        <f t="shared" si="14"/>
        <v>0</v>
      </c>
      <c r="AD59" s="767">
        <f t="shared" si="14"/>
        <v>0</v>
      </c>
      <c r="AE59" s="767">
        <f t="shared" si="14"/>
        <v>0</v>
      </c>
      <c r="AF59" s="767">
        <f t="shared" si="14"/>
        <v>0</v>
      </c>
      <c r="AG59" s="767">
        <f t="shared" si="14"/>
        <v>0</v>
      </c>
      <c r="AH59" s="767">
        <f t="shared" si="14"/>
        <v>0</v>
      </c>
      <c r="AI59" s="6"/>
      <c r="AJ59" s="22"/>
    </row>
    <row r="60" spans="2:36" ht="13.15" customHeight="1" x14ac:dyDescent="0.2">
      <c r="B60" s="18"/>
      <c r="C60" s="31"/>
      <c r="D60" s="117"/>
      <c r="E60" s="117"/>
      <c r="F60" s="119"/>
      <c r="G60" s="33"/>
      <c r="H60" s="209"/>
      <c r="I60" s="33"/>
      <c r="J60" s="33"/>
      <c r="K60" s="3"/>
      <c r="L60" s="32">
        <f t="shared" si="10"/>
        <v>0</v>
      </c>
      <c r="M60" s="767">
        <f t="shared" si="4"/>
        <v>0</v>
      </c>
      <c r="N60" s="767">
        <f t="shared" si="5"/>
        <v>0</v>
      </c>
      <c r="O60" s="1001" t="str">
        <f t="shared" si="6"/>
        <v>-</v>
      </c>
      <c r="P60" s="767">
        <f t="shared" si="7"/>
        <v>0</v>
      </c>
      <c r="Q60" s="3"/>
      <c r="R60" s="767">
        <f t="shared" si="13"/>
        <v>0</v>
      </c>
      <c r="S60" s="767">
        <f t="shared" si="13"/>
        <v>0</v>
      </c>
      <c r="T60" s="767">
        <f t="shared" si="13"/>
        <v>0</v>
      </c>
      <c r="U60" s="767">
        <f t="shared" si="13"/>
        <v>0</v>
      </c>
      <c r="V60" s="767">
        <f t="shared" si="13"/>
        <v>0</v>
      </c>
      <c r="W60" s="767">
        <f t="shared" si="13"/>
        <v>0</v>
      </c>
      <c r="X60" s="767">
        <f t="shared" si="13"/>
        <v>0</v>
      </c>
      <c r="Y60" s="767">
        <f t="shared" si="13"/>
        <v>0</v>
      </c>
      <c r="Z60" s="3"/>
      <c r="AA60" s="767">
        <f t="shared" si="14"/>
        <v>0</v>
      </c>
      <c r="AB60" s="767">
        <f t="shared" si="14"/>
        <v>0</v>
      </c>
      <c r="AC60" s="767">
        <f t="shared" si="14"/>
        <v>0</v>
      </c>
      <c r="AD60" s="767">
        <f t="shared" si="14"/>
        <v>0</v>
      </c>
      <c r="AE60" s="767">
        <f t="shared" si="14"/>
        <v>0</v>
      </c>
      <c r="AF60" s="767">
        <f t="shared" si="14"/>
        <v>0</v>
      </c>
      <c r="AG60" s="767">
        <f t="shared" si="14"/>
        <v>0</v>
      </c>
      <c r="AH60" s="767">
        <f t="shared" si="14"/>
        <v>0</v>
      </c>
      <c r="AI60" s="6"/>
      <c r="AJ60" s="22"/>
    </row>
    <row r="61" spans="2:36" ht="13.15" customHeight="1" x14ac:dyDescent="0.2">
      <c r="B61" s="18"/>
      <c r="C61" s="31"/>
      <c r="D61" s="117"/>
      <c r="E61" s="117"/>
      <c r="F61" s="119"/>
      <c r="G61" s="33"/>
      <c r="H61" s="209"/>
      <c r="I61" s="33"/>
      <c r="J61" s="33"/>
      <c r="K61" s="3"/>
      <c r="L61" s="32">
        <f t="shared" si="10"/>
        <v>0</v>
      </c>
      <c r="M61" s="767">
        <f t="shared" si="4"/>
        <v>0</v>
      </c>
      <c r="N61" s="767">
        <f t="shared" si="5"/>
        <v>0</v>
      </c>
      <c r="O61" s="1001" t="str">
        <f t="shared" si="6"/>
        <v>-</v>
      </c>
      <c r="P61" s="767">
        <f t="shared" si="7"/>
        <v>0</v>
      </c>
      <c r="Q61" s="3"/>
      <c r="R61" s="767">
        <f t="shared" si="13"/>
        <v>0</v>
      </c>
      <c r="S61" s="767">
        <f t="shared" si="13"/>
        <v>0</v>
      </c>
      <c r="T61" s="767">
        <f t="shared" si="13"/>
        <v>0</v>
      </c>
      <c r="U61" s="767">
        <f t="shared" si="13"/>
        <v>0</v>
      </c>
      <c r="V61" s="767">
        <f t="shared" si="13"/>
        <v>0</v>
      </c>
      <c r="W61" s="767">
        <f t="shared" si="13"/>
        <v>0</v>
      </c>
      <c r="X61" s="767">
        <f t="shared" si="13"/>
        <v>0</v>
      </c>
      <c r="Y61" s="767">
        <f t="shared" si="13"/>
        <v>0</v>
      </c>
      <c r="Z61" s="3"/>
      <c r="AA61" s="767">
        <f t="shared" si="14"/>
        <v>0</v>
      </c>
      <c r="AB61" s="767">
        <f t="shared" si="14"/>
        <v>0</v>
      </c>
      <c r="AC61" s="767">
        <f t="shared" si="14"/>
        <v>0</v>
      </c>
      <c r="AD61" s="767">
        <f t="shared" si="14"/>
        <v>0</v>
      </c>
      <c r="AE61" s="767">
        <f t="shared" si="14"/>
        <v>0</v>
      </c>
      <c r="AF61" s="767">
        <f t="shared" si="14"/>
        <v>0</v>
      </c>
      <c r="AG61" s="767">
        <f t="shared" si="14"/>
        <v>0</v>
      </c>
      <c r="AH61" s="767">
        <f t="shared" si="14"/>
        <v>0</v>
      </c>
      <c r="AI61" s="6"/>
      <c r="AJ61" s="22"/>
    </row>
    <row r="62" spans="2:36" ht="13.15" customHeight="1" x14ac:dyDescent="0.2">
      <c r="B62" s="18"/>
      <c r="C62" s="31"/>
      <c r="D62" s="117"/>
      <c r="E62" s="117"/>
      <c r="F62" s="119"/>
      <c r="G62" s="33"/>
      <c r="H62" s="209"/>
      <c r="I62" s="33"/>
      <c r="J62" s="33"/>
      <c r="K62" s="3"/>
      <c r="L62" s="32">
        <f t="shared" si="10"/>
        <v>0</v>
      </c>
      <c r="M62" s="767">
        <f t="shared" si="4"/>
        <v>0</v>
      </c>
      <c r="N62" s="767">
        <f t="shared" si="5"/>
        <v>0</v>
      </c>
      <c r="O62" s="1001" t="str">
        <f t="shared" si="6"/>
        <v>-</v>
      </c>
      <c r="P62" s="767">
        <f t="shared" si="7"/>
        <v>0</v>
      </c>
      <c r="Q62" s="3"/>
      <c r="R62" s="767">
        <f t="shared" ref="R62:Y77" si="15">(IF(R$8&lt;$I62,0,IF($O62&lt;=R$8-1,0,$N62)))</f>
        <v>0</v>
      </c>
      <c r="S62" s="767">
        <f t="shared" si="15"/>
        <v>0</v>
      </c>
      <c r="T62" s="767">
        <f t="shared" si="15"/>
        <v>0</v>
      </c>
      <c r="U62" s="767">
        <f t="shared" si="15"/>
        <v>0</v>
      </c>
      <c r="V62" s="767">
        <f t="shared" si="15"/>
        <v>0</v>
      </c>
      <c r="W62" s="767">
        <f t="shared" si="15"/>
        <v>0</v>
      </c>
      <c r="X62" s="767">
        <f t="shared" si="15"/>
        <v>0</v>
      </c>
      <c r="Y62" s="767">
        <f t="shared" si="15"/>
        <v>0</v>
      </c>
      <c r="Z62" s="3"/>
      <c r="AA62" s="767">
        <f t="shared" ref="AA62:AH77" si="16">IF(AA$8=$I62,($G62*$H62),0)</f>
        <v>0</v>
      </c>
      <c r="AB62" s="767">
        <f t="shared" si="16"/>
        <v>0</v>
      </c>
      <c r="AC62" s="767">
        <f t="shared" si="16"/>
        <v>0</v>
      </c>
      <c r="AD62" s="767">
        <f t="shared" si="16"/>
        <v>0</v>
      </c>
      <c r="AE62" s="767">
        <f t="shared" si="16"/>
        <v>0</v>
      </c>
      <c r="AF62" s="767">
        <f t="shared" si="16"/>
        <v>0</v>
      </c>
      <c r="AG62" s="767">
        <f t="shared" si="16"/>
        <v>0</v>
      </c>
      <c r="AH62" s="767">
        <f t="shared" si="16"/>
        <v>0</v>
      </c>
      <c r="AI62" s="6"/>
      <c r="AJ62" s="22"/>
    </row>
    <row r="63" spans="2:36" ht="13.15" customHeight="1" x14ac:dyDescent="0.2">
      <c r="B63" s="18"/>
      <c r="C63" s="31"/>
      <c r="D63" s="117"/>
      <c r="E63" s="117"/>
      <c r="F63" s="119"/>
      <c r="G63" s="33"/>
      <c r="H63" s="209"/>
      <c r="I63" s="33"/>
      <c r="J63" s="33"/>
      <c r="K63" s="3"/>
      <c r="L63" s="32">
        <f t="shared" si="10"/>
        <v>0</v>
      </c>
      <c r="M63" s="767">
        <f t="shared" si="4"/>
        <v>0</v>
      </c>
      <c r="N63" s="767">
        <f t="shared" si="5"/>
        <v>0</v>
      </c>
      <c r="O63" s="1001" t="str">
        <f t="shared" si="6"/>
        <v>-</v>
      </c>
      <c r="P63" s="767">
        <f t="shared" si="7"/>
        <v>0</v>
      </c>
      <c r="Q63" s="3"/>
      <c r="R63" s="767">
        <f t="shared" si="15"/>
        <v>0</v>
      </c>
      <c r="S63" s="767">
        <f t="shared" si="15"/>
        <v>0</v>
      </c>
      <c r="T63" s="767">
        <f t="shared" si="15"/>
        <v>0</v>
      </c>
      <c r="U63" s="767">
        <f t="shared" si="15"/>
        <v>0</v>
      </c>
      <c r="V63" s="767">
        <f t="shared" si="15"/>
        <v>0</v>
      </c>
      <c r="W63" s="767">
        <f t="shared" si="15"/>
        <v>0</v>
      </c>
      <c r="X63" s="767">
        <f t="shared" si="15"/>
        <v>0</v>
      </c>
      <c r="Y63" s="767">
        <f t="shared" si="15"/>
        <v>0</v>
      </c>
      <c r="Z63" s="3"/>
      <c r="AA63" s="767">
        <f t="shared" si="16"/>
        <v>0</v>
      </c>
      <c r="AB63" s="767">
        <f t="shared" si="16"/>
        <v>0</v>
      </c>
      <c r="AC63" s="767">
        <f t="shared" si="16"/>
        <v>0</v>
      </c>
      <c r="AD63" s="767">
        <f t="shared" si="16"/>
        <v>0</v>
      </c>
      <c r="AE63" s="767">
        <f t="shared" si="16"/>
        <v>0</v>
      </c>
      <c r="AF63" s="767">
        <f t="shared" si="16"/>
        <v>0</v>
      </c>
      <c r="AG63" s="767">
        <f t="shared" si="16"/>
        <v>0</v>
      </c>
      <c r="AH63" s="767">
        <f t="shared" si="16"/>
        <v>0</v>
      </c>
      <c r="AI63" s="6"/>
      <c r="AJ63" s="22"/>
    </row>
    <row r="64" spans="2:36" ht="13.15" customHeight="1" x14ac:dyDescent="0.2">
      <c r="B64" s="18"/>
      <c r="C64" s="31"/>
      <c r="D64" s="117"/>
      <c r="E64" s="117"/>
      <c r="F64" s="119"/>
      <c r="G64" s="33"/>
      <c r="H64" s="209"/>
      <c r="I64" s="33"/>
      <c r="J64" s="33"/>
      <c r="K64" s="3"/>
      <c r="L64" s="32">
        <f t="shared" si="10"/>
        <v>0</v>
      </c>
      <c r="M64" s="767">
        <f t="shared" si="4"/>
        <v>0</v>
      </c>
      <c r="N64" s="767">
        <f t="shared" si="5"/>
        <v>0</v>
      </c>
      <c r="O64" s="1001" t="str">
        <f t="shared" si="6"/>
        <v>-</v>
      </c>
      <c r="P64" s="767">
        <f t="shared" si="7"/>
        <v>0</v>
      </c>
      <c r="Q64" s="3"/>
      <c r="R64" s="767">
        <f t="shared" si="15"/>
        <v>0</v>
      </c>
      <c r="S64" s="767">
        <f t="shared" si="15"/>
        <v>0</v>
      </c>
      <c r="T64" s="767">
        <f t="shared" si="15"/>
        <v>0</v>
      </c>
      <c r="U64" s="767">
        <f t="shared" si="15"/>
        <v>0</v>
      </c>
      <c r="V64" s="767">
        <f t="shared" si="15"/>
        <v>0</v>
      </c>
      <c r="W64" s="767">
        <f t="shared" si="15"/>
        <v>0</v>
      </c>
      <c r="X64" s="767">
        <f t="shared" si="15"/>
        <v>0</v>
      </c>
      <c r="Y64" s="767">
        <f t="shared" si="15"/>
        <v>0</v>
      </c>
      <c r="Z64" s="3"/>
      <c r="AA64" s="767">
        <f t="shared" si="16"/>
        <v>0</v>
      </c>
      <c r="AB64" s="767">
        <f t="shared" si="16"/>
        <v>0</v>
      </c>
      <c r="AC64" s="767">
        <f t="shared" si="16"/>
        <v>0</v>
      </c>
      <c r="AD64" s="767">
        <f t="shared" si="16"/>
        <v>0</v>
      </c>
      <c r="AE64" s="767">
        <f t="shared" si="16"/>
        <v>0</v>
      </c>
      <c r="AF64" s="767">
        <f t="shared" si="16"/>
        <v>0</v>
      </c>
      <c r="AG64" s="767">
        <f t="shared" si="16"/>
        <v>0</v>
      </c>
      <c r="AH64" s="767">
        <f t="shared" si="16"/>
        <v>0</v>
      </c>
      <c r="AI64" s="6"/>
      <c r="AJ64" s="22"/>
    </row>
    <row r="65" spans="2:36" ht="13.15" customHeight="1" x14ac:dyDescent="0.2">
      <c r="B65" s="18"/>
      <c r="C65" s="31"/>
      <c r="D65" s="117"/>
      <c r="E65" s="117"/>
      <c r="F65" s="119"/>
      <c r="G65" s="33"/>
      <c r="H65" s="209"/>
      <c r="I65" s="33"/>
      <c r="J65" s="33"/>
      <c r="K65" s="3"/>
      <c r="L65" s="32">
        <f t="shared" si="10"/>
        <v>0</v>
      </c>
      <c r="M65" s="767">
        <f t="shared" si="4"/>
        <v>0</v>
      </c>
      <c r="N65" s="767">
        <f t="shared" si="5"/>
        <v>0</v>
      </c>
      <c r="O65" s="1001" t="str">
        <f t="shared" si="6"/>
        <v>-</v>
      </c>
      <c r="P65" s="767">
        <f t="shared" si="7"/>
        <v>0</v>
      </c>
      <c r="Q65" s="3"/>
      <c r="R65" s="767">
        <f t="shared" si="15"/>
        <v>0</v>
      </c>
      <c r="S65" s="767">
        <f t="shared" si="15"/>
        <v>0</v>
      </c>
      <c r="T65" s="767">
        <f t="shared" si="15"/>
        <v>0</v>
      </c>
      <c r="U65" s="767">
        <f t="shared" si="15"/>
        <v>0</v>
      </c>
      <c r="V65" s="767">
        <f t="shared" si="15"/>
        <v>0</v>
      </c>
      <c r="W65" s="767">
        <f t="shared" si="15"/>
        <v>0</v>
      </c>
      <c r="X65" s="767">
        <f t="shared" si="15"/>
        <v>0</v>
      </c>
      <c r="Y65" s="767">
        <f t="shared" si="15"/>
        <v>0</v>
      </c>
      <c r="Z65" s="3"/>
      <c r="AA65" s="767">
        <f t="shared" si="16"/>
        <v>0</v>
      </c>
      <c r="AB65" s="767">
        <f t="shared" si="16"/>
        <v>0</v>
      </c>
      <c r="AC65" s="767">
        <f t="shared" si="16"/>
        <v>0</v>
      </c>
      <c r="AD65" s="767">
        <f t="shared" si="16"/>
        <v>0</v>
      </c>
      <c r="AE65" s="767">
        <f t="shared" si="16"/>
        <v>0</v>
      </c>
      <c r="AF65" s="767">
        <f t="shared" si="16"/>
        <v>0</v>
      </c>
      <c r="AG65" s="767">
        <f t="shared" si="16"/>
        <v>0</v>
      </c>
      <c r="AH65" s="767">
        <f t="shared" si="16"/>
        <v>0</v>
      </c>
      <c r="AI65" s="6"/>
      <c r="AJ65" s="22"/>
    </row>
    <row r="66" spans="2:36" ht="13.15" customHeight="1" x14ac:dyDescent="0.2">
      <c r="B66" s="18"/>
      <c r="C66" s="31"/>
      <c r="D66" s="117"/>
      <c r="E66" s="117"/>
      <c r="F66" s="119"/>
      <c r="G66" s="33"/>
      <c r="H66" s="209"/>
      <c r="I66" s="33"/>
      <c r="J66" s="33"/>
      <c r="K66" s="3"/>
      <c r="L66" s="32">
        <f t="shared" si="10"/>
        <v>0</v>
      </c>
      <c r="M66" s="767">
        <f t="shared" si="4"/>
        <v>0</v>
      </c>
      <c r="N66" s="767">
        <f t="shared" si="5"/>
        <v>0</v>
      </c>
      <c r="O66" s="1001" t="str">
        <f t="shared" si="6"/>
        <v>-</v>
      </c>
      <c r="P66" s="767">
        <f t="shared" si="7"/>
        <v>0</v>
      </c>
      <c r="Q66" s="3"/>
      <c r="R66" s="767">
        <f t="shared" si="15"/>
        <v>0</v>
      </c>
      <c r="S66" s="767">
        <f t="shared" si="15"/>
        <v>0</v>
      </c>
      <c r="T66" s="767">
        <f t="shared" si="15"/>
        <v>0</v>
      </c>
      <c r="U66" s="767">
        <f t="shared" si="15"/>
        <v>0</v>
      </c>
      <c r="V66" s="767">
        <f t="shared" si="15"/>
        <v>0</v>
      </c>
      <c r="W66" s="767">
        <f t="shared" si="15"/>
        <v>0</v>
      </c>
      <c r="X66" s="767">
        <f t="shared" si="15"/>
        <v>0</v>
      </c>
      <c r="Y66" s="767">
        <f t="shared" si="15"/>
        <v>0</v>
      </c>
      <c r="Z66" s="3"/>
      <c r="AA66" s="767">
        <f t="shared" si="16"/>
        <v>0</v>
      </c>
      <c r="AB66" s="767">
        <f t="shared" si="16"/>
        <v>0</v>
      </c>
      <c r="AC66" s="767">
        <f t="shared" si="16"/>
        <v>0</v>
      </c>
      <c r="AD66" s="767">
        <f t="shared" si="16"/>
        <v>0</v>
      </c>
      <c r="AE66" s="767">
        <f t="shared" si="16"/>
        <v>0</v>
      </c>
      <c r="AF66" s="767">
        <f t="shared" si="16"/>
        <v>0</v>
      </c>
      <c r="AG66" s="767">
        <f t="shared" si="16"/>
        <v>0</v>
      </c>
      <c r="AH66" s="767">
        <f t="shared" si="16"/>
        <v>0</v>
      </c>
      <c r="AI66" s="6"/>
      <c r="AJ66" s="22"/>
    </row>
    <row r="67" spans="2:36" ht="13.15" customHeight="1" x14ac:dyDescent="0.2">
      <c r="B67" s="18"/>
      <c r="C67" s="31"/>
      <c r="D67" s="117"/>
      <c r="E67" s="117"/>
      <c r="F67" s="119"/>
      <c r="G67" s="33"/>
      <c r="H67" s="209"/>
      <c r="I67" s="33"/>
      <c r="J67" s="33"/>
      <c r="K67" s="3"/>
      <c r="L67" s="32">
        <f t="shared" si="10"/>
        <v>0</v>
      </c>
      <c r="M67" s="767">
        <f t="shared" si="4"/>
        <v>0</v>
      </c>
      <c r="N67" s="767">
        <f t="shared" si="5"/>
        <v>0</v>
      </c>
      <c r="O67" s="1001" t="str">
        <f t="shared" si="6"/>
        <v>-</v>
      </c>
      <c r="P67" s="767">
        <f t="shared" si="7"/>
        <v>0</v>
      </c>
      <c r="Q67" s="3"/>
      <c r="R67" s="767">
        <f t="shared" si="15"/>
        <v>0</v>
      </c>
      <c r="S67" s="767">
        <f t="shared" si="15"/>
        <v>0</v>
      </c>
      <c r="T67" s="767">
        <f t="shared" si="15"/>
        <v>0</v>
      </c>
      <c r="U67" s="767">
        <f t="shared" si="15"/>
        <v>0</v>
      </c>
      <c r="V67" s="767">
        <f t="shared" si="15"/>
        <v>0</v>
      </c>
      <c r="W67" s="767">
        <f t="shared" si="15"/>
        <v>0</v>
      </c>
      <c r="X67" s="767">
        <f t="shared" si="15"/>
        <v>0</v>
      </c>
      <c r="Y67" s="767">
        <f t="shared" si="15"/>
        <v>0</v>
      </c>
      <c r="Z67" s="3"/>
      <c r="AA67" s="767">
        <f t="shared" si="16"/>
        <v>0</v>
      </c>
      <c r="AB67" s="767">
        <f t="shared" si="16"/>
        <v>0</v>
      </c>
      <c r="AC67" s="767">
        <f t="shared" si="16"/>
        <v>0</v>
      </c>
      <c r="AD67" s="767">
        <f t="shared" si="16"/>
        <v>0</v>
      </c>
      <c r="AE67" s="767">
        <f t="shared" si="16"/>
        <v>0</v>
      </c>
      <c r="AF67" s="767">
        <f t="shared" si="16"/>
        <v>0</v>
      </c>
      <c r="AG67" s="767">
        <f t="shared" si="16"/>
        <v>0</v>
      </c>
      <c r="AH67" s="767">
        <f t="shared" si="16"/>
        <v>0</v>
      </c>
      <c r="AI67" s="6"/>
      <c r="AJ67" s="22"/>
    </row>
    <row r="68" spans="2:36" ht="13.15" customHeight="1" x14ac:dyDescent="0.2">
      <c r="B68" s="18"/>
      <c r="C68" s="31"/>
      <c r="D68" s="117"/>
      <c r="E68" s="117"/>
      <c r="F68" s="119"/>
      <c r="G68" s="33"/>
      <c r="H68" s="209"/>
      <c r="I68" s="33"/>
      <c r="J68" s="33"/>
      <c r="K68" s="3"/>
      <c r="L68" s="32">
        <f t="shared" si="10"/>
        <v>0</v>
      </c>
      <c r="M68" s="767">
        <f t="shared" si="4"/>
        <v>0</v>
      </c>
      <c r="N68" s="767">
        <f t="shared" si="5"/>
        <v>0</v>
      </c>
      <c r="O68" s="1001" t="str">
        <f t="shared" si="6"/>
        <v>-</v>
      </c>
      <c r="P68" s="767">
        <f t="shared" si="7"/>
        <v>0</v>
      </c>
      <c r="Q68" s="3"/>
      <c r="R68" s="767">
        <f t="shared" si="15"/>
        <v>0</v>
      </c>
      <c r="S68" s="767">
        <f t="shared" si="15"/>
        <v>0</v>
      </c>
      <c r="T68" s="767">
        <f t="shared" si="15"/>
        <v>0</v>
      </c>
      <c r="U68" s="767">
        <f t="shared" si="15"/>
        <v>0</v>
      </c>
      <c r="V68" s="767">
        <f t="shared" si="15"/>
        <v>0</v>
      </c>
      <c r="W68" s="767">
        <f t="shared" si="15"/>
        <v>0</v>
      </c>
      <c r="X68" s="767">
        <f t="shared" si="15"/>
        <v>0</v>
      </c>
      <c r="Y68" s="767">
        <f t="shared" si="15"/>
        <v>0</v>
      </c>
      <c r="Z68" s="3"/>
      <c r="AA68" s="767">
        <f t="shared" si="16"/>
        <v>0</v>
      </c>
      <c r="AB68" s="767">
        <f t="shared" si="16"/>
        <v>0</v>
      </c>
      <c r="AC68" s="767">
        <f t="shared" si="16"/>
        <v>0</v>
      </c>
      <c r="AD68" s="767">
        <f t="shared" si="16"/>
        <v>0</v>
      </c>
      <c r="AE68" s="767">
        <f t="shared" si="16"/>
        <v>0</v>
      </c>
      <c r="AF68" s="767">
        <f t="shared" si="16"/>
        <v>0</v>
      </c>
      <c r="AG68" s="767">
        <f t="shared" si="16"/>
        <v>0</v>
      </c>
      <c r="AH68" s="767">
        <f t="shared" si="16"/>
        <v>0</v>
      </c>
      <c r="AI68" s="6"/>
      <c r="AJ68" s="22"/>
    </row>
    <row r="69" spans="2:36" ht="13.15" customHeight="1" x14ac:dyDescent="0.2">
      <c r="B69" s="18"/>
      <c r="C69" s="31"/>
      <c r="D69" s="117"/>
      <c r="E69" s="117"/>
      <c r="F69" s="119"/>
      <c r="G69" s="33"/>
      <c r="H69" s="209"/>
      <c r="I69" s="33"/>
      <c r="J69" s="33"/>
      <c r="K69" s="3"/>
      <c r="L69" s="32">
        <f t="shared" si="10"/>
        <v>0</v>
      </c>
      <c r="M69" s="767">
        <f t="shared" si="4"/>
        <v>0</v>
      </c>
      <c r="N69" s="767">
        <f t="shared" si="5"/>
        <v>0</v>
      </c>
      <c r="O69" s="1001" t="str">
        <f t="shared" si="6"/>
        <v>-</v>
      </c>
      <c r="P69" s="767">
        <f t="shared" si="7"/>
        <v>0</v>
      </c>
      <c r="Q69" s="3"/>
      <c r="R69" s="767">
        <f t="shared" si="15"/>
        <v>0</v>
      </c>
      <c r="S69" s="767">
        <f t="shared" si="15"/>
        <v>0</v>
      </c>
      <c r="T69" s="767">
        <f t="shared" si="15"/>
        <v>0</v>
      </c>
      <c r="U69" s="767">
        <f t="shared" si="15"/>
        <v>0</v>
      </c>
      <c r="V69" s="767">
        <f t="shared" si="15"/>
        <v>0</v>
      </c>
      <c r="W69" s="767">
        <f t="shared" si="15"/>
        <v>0</v>
      </c>
      <c r="X69" s="767">
        <f t="shared" si="15"/>
        <v>0</v>
      </c>
      <c r="Y69" s="767">
        <f t="shared" si="15"/>
        <v>0</v>
      </c>
      <c r="Z69" s="3"/>
      <c r="AA69" s="767">
        <f t="shared" si="16"/>
        <v>0</v>
      </c>
      <c r="AB69" s="767">
        <f t="shared" si="16"/>
        <v>0</v>
      </c>
      <c r="AC69" s="767">
        <f t="shared" si="16"/>
        <v>0</v>
      </c>
      <c r="AD69" s="767">
        <f t="shared" si="16"/>
        <v>0</v>
      </c>
      <c r="AE69" s="767">
        <f t="shared" si="16"/>
        <v>0</v>
      </c>
      <c r="AF69" s="767">
        <f t="shared" si="16"/>
        <v>0</v>
      </c>
      <c r="AG69" s="767">
        <f t="shared" si="16"/>
        <v>0</v>
      </c>
      <c r="AH69" s="767">
        <f t="shared" si="16"/>
        <v>0</v>
      </c>
      <c r="AI69" s="6"/>
      <c r="AJ69" s="22"/>
    </row>
    <row r="70" spans="2:36" ht="13.15" customHeight="1" x14ac:dyDescent="0.2">
      <c r="B70" s="18"/>
      <c r="C70" s="31"/>
      <c r="D70" s="117"/>
      <c r="E70" s="117"/>
      <c r="F70" s="119"/>
      <c r="G70" s="33"/>
      <c r="H70" s="209"/>
      <c r="I70" s="33"/>
      <c r="J70" s="33"/>
      <c r="K70" s="3"/>
      <c r="L70" s="32">
        <f t="shared" si="10"/>
        <v>0</v>
      </c>
      <c r="M70" s="767">
        <f t="shared" si="4"/>
        <v>0</v>
      </c>
      <c r="N70" s="767">
        <f t="shared" si="5"/>
        <v>0</v>
      </c>
      <c r="O70" s="1001" t="str">
        <f t="shared" si="6"/>
        <v>-</v>
      </c>
      <c r="P70" s="767">
        <f t="shared" si="7"/>
        <v>0</v>
      </c>
      <c r="Q70" s="3"/>
      <c r="R70" s="767">
        <f t="shared" si="15"/>
        <v>0</v>
      </c>
      <c r="S70" s="767">
        <f t="shared" si="15"/>
        <v>0</v>
      </c>
      <c r="T70" s="767">
        <f t="shared" si="15"/>
        <v>0</v>
      </c>
      <c r="U70" s="767">
        <f t="shared" si="15"/>
        <v>0</v>
      </c>
      <c r="V70" s="767">
        <f t="shared" si="15"/>
        <v>0</v>
      </c>
      <c r="W70" s="767">
        <f t="shared" si="15"/>
        <v>0</v>
      </c>
      <c r="X70" s="767">
        <f t="shared" si="15"/>
        <v>0</v>
      </c>
      <c r="Y70" s="767">
        <f t="shared" si="15"/>
        <v>0</v>
      </c>
      <c r="Z70" s="3"/>
      <c r="AA70" s="767">
        <f t="shared" si="16"/>
        <v>0</v>
      </c>
      <c r="AB70" s="767">
        <f t="shared" si="16"/>
        <v>0</v>
      </c>
      <c r="AC70" s="767">
        <f t="shared" si="16"/>
        <v>0</v>
      </c>
      <c r="AD70" s="767">
        <f t="shared" si="16"/>
        <v>0</v>
      </c>
      <c r="AE70" s="767">
        <f t="shared" si="16"/>
        <v>0</v>
      </c>
      <c r="AF70" s="767">
        <f t="shared" si="16"/>
        <v>0</v>
      </c>
      <c r="AG70" s="767">
        <f t="shared" si="16"/>
        <v>0</v>
      </c>
      <c r="AH70" s="767">
        <f t="shared" si="16"/>
        <v>0</v>
      </c>
      <c r="AI70" s="6"/>
      <c r="AJ70" s="22"/>
    </row>
    <row r="71" spans="2:36" ht="13.15" customHeight="1" x14ac:dyDescent="0.2">
      <c r="B71" s="18"/>
      <c r="C71" s="31"/>
      <c r="D71" s="117"/>
      <c r="E71" s="117"/>
      <c r="F71" s="119"/>
      <c r="G71" s="33"/>
      <c r="H71" s="209"/>
      <c r="I71" s="33"/>
      <c r="J71" s="33"/>
      <c r="K71" s="3"/>
      <c r="L71" s="32">
        <f t="shared" si="10"/>
        <v>0</v>
      </c>
      <c r="M71" s="767">
        <f t="shared" si="4"/>
        <v>0</v>
      </c>
      <c r="N71" s="767">
        <f t="shared" si="5"/>
        <v>0</v>
      </c>
      <c r="O71" s="1001" t="str">
        <f t="shared" si="6"/>
        <v>-</v>
      </c>
      <c r="P71" s="767">
        <f t="shared" si="7"/>
        <v>0</v>
      </c>
      <c r="Q71" s="3"/>
      <c r="R71" s="767">
        <f t="shared" si="15"/>
        <v>0</v>
      </c>
      <c r="S71" s="767">
        <f t="shared" si="15"/>
        <v>0</v>
      </c>
      <c r="T71" s="767">
        <f t="shared" si="15"/>
        <v>0</v>
      </c>
      <c r="U71" s="767">
        <f t="shared" si="15"/>
        <v>0</v>
      </c>
      <c r="V71" s="767">
        <f t="shared" si="15"/>
        <v>0</v>
      </c>
      <c r="W71" s="767">
        <f t="shared" si="15"/>
        <v>0</v>
      </c>
      <c r="X71" s="767">
        <f t="shared" si="15"/>
        <v>0</v>
      </c>
      <c r="Y71" s="767">
        <f t="shared" si="15"/>
        <v>0</v>
      </c>
      <c r="Z71" s="3"/>
      <c r="AA71" s="767">
        <f t="shared" si="16"/>
        <v>0</v>
      </c>
      <c r="AB71" s="767">
        <f t="shared" si="16"/>
        <v>0</v>
      </c>
      <c r="AC71" s="767">
        <f t="shared" si="16"/>
        <v>0</v>
      </c>
      <c r="AD71" s="767">
        <f t="shared" si="16"/>
        <v>0</v>
      </c>
      <c r="AE71" s="767">
        <f t="shared" si="16"/>
        <v>0</v>
      </c>
      <c r="AF71" s="767">
        <f t="shared" si="16"/>
        <v>0</v>
      </c>
      <c r="AG71" s="767">
        <f t="shared" si="16"/>
        <v>0</v>
      </c>
      <c r="AH71" s="767">
        <f t="shared" si="16"/>
        <v>0</v>
      </c>
      <c r="AI71" s="6"/>
      <c r="AJ71" s="22"/>
    </row>
    <row r="72" spans="2:36" ht="13.15" customHeight="1" x14ac:dyDescent="0.2">
      <c r="B72" s="18"/>
      <c r="C72" s="31"/>
      <c r="D72" s="117"/>
      <c r="E72" s="117"/>
      <c r="F72" s="119"/>
      <c r="G72" s="33"/>
      <c r="H72" s="209"/>
      <c r="I72" s="33"/>
      <c r="J72" s="33"/>
      <c r="K72" s="3"/>
      <c r="L72" s="32">
        <f t="shared" si="10"/>
        <v>0</v>
      </c>
      <c r="M72" s="767">
        <f t="shared" si="4"/>
        <v>0</v>
      </c>
      <c r="N72" s="767">
        <f t="shared" si="5"/>
        <v>0</v>
      </c>
      <c r="O72" s="1001" t="str">
        <f t="shared" si="6"/>
        <v>-</v>
      </c>
      <c r="P72" s="767">
        <f t="shared" si="7"/>
        <v>0</v>
      </c>
      <c r="Q72" s="3"/>
      <c r="R72" s="767">
        <f t="shared" si="15"/>
        <v>0</v>
      </c>
      <c r="S72" s="767">
        <f t="shared" si="15"/>
        <v>0</v>
      </c>
      <c r="T72" s="767">
        <f t="shared" si="15"/>
        <v>0</v>
      </c>
      <c r="U72" s="767">
        <f t="shared" si="15"/>
        <v>0</v>
      </c>
      <c r="V72" s="767">
        <f t="shared" si="15"/>
        <v>0</v>
      </c>
      <c r="W72" s="767">
        <f t="shared" si="15"/>
        <v>0</v>
      </c>
      <c r="X72" s="767">
        <f t="shared" si="15"/>
        <v>0</v>
      </c>
      <c r="Y72" s="767">
        <f t="shared" si="15"/>
        <v>0</v>
      </c>
      <c r="Z72" s="3"/>
      <c r="AA72" s="767">
        <f t="shared" si="16"/>
        <v>0</v>
      </c>
      <c r="AB72" s="767">
        <f t="shared" si="16"/>
        <v>0</v>
      </c>
      <c r="AC72" s="767">
        <f t="shared" si="16"/>
        <v>0</v>
      </c>
      <c r="AD72" s="767">
        <f t="shared" si="16"/>
        <v>0</v>
      </c>
      <c r="AE72" s="767">
        <f t="shared" si="16"/>
        <v>0</v>
      </c>
      <c r="AF72" s="767">
        <f t="shared" si="16"/>
        <v>0</v>
      </c>
      <c r="AG72" s="767">
        <f t="shared" si="16"/>
        <v>0</v>
      </c>
      <c r="AH72" s="767">
        <f t="shared" si="16"/>
        <v>0</v>
      </c>
      <c r="AI72" s="6"/>
      <c r="AJ72" s="22"/>
    </row>
    <row r="73" spans="2:36" ht="13.15" customHeight="1" x14ac:dyDescent="0.2">
      <c r="B73" s="18"/>
      <c r="C73" s="31"/>
      <c r="D73" s="117"/>
      <c r="E73" s="117"/>
      <c r="F73" s="119"/>
      <c r="G73" s="33"/>
      <c r="H73" s="209"/>
      <c r="I73" s="33"/>
      <c r="J73" s="33"/>
      <c r="K73" s="3"/>
      <c r="L73" s="32">
        <f t="shared" si="10"/>
        <v>0</v>
      </c>
      <c r="M73" s="767">
        <f t="shared" si="4"/>
        <v>0</v>
      </c>
      <c r="N73" s="767">
        <f t="shared" si="5"/>
        <v>0</v>
      </c>
      <c r="O73" s="1001" t="str">
        <f t="shared" si="6"/>
        <v>-</v>
      </c>
      <c r="P73" s="767">
        <f t="shared" si="7"/>
        <v>0</v>
      </c>
      <c r="Q73" s="3"/>
      <c r="R73" s="767">
        <f t="shared" si="15"/>
        <v>0</v>
      </c>
      <c r="S73" s="767">
        <f t="shared" si="15"/>
        <v>0</v>
      </c>
      <c r="T73" s="767">
        <f t="shared" si="15"/>
        <v>0</v>
      </c>
      <c r="U73" s="767">
        <f t="shared" si="15"/>
        <v>0</v>
      </c>
      <c r="V73" s="767">
        <f t="shared" si="15"/>
        <v>0</v>
      </c>
      <c r="W73" s="767">
        <f t="shared" si="15"/>
        <v>0</v>
      </c>
      <c r="X73" s="767">
        <f t="shared" si="15"/>
        <v>0</v>
      </c>
      <c r="Y73" s="767">
        <f t="shared" si="15"/>
        <v>0</v>
      </c>
      <c r="Z73" s="3"/>
      <c r="AA73" s="767">
        <f t="shared" si="16"/>
        <v>0</v>
      </c>
      <c r="AB73" s="767">
        <f t="shared" si="16"/>
        <v>0</v>
      </c>
      <c r="AC73" s="767">
        <f t="shared" si="16"/>
        <v>0</v>
      </c>
      <c r="AD73" s="767">
        <f t="shared" si="16"/>
        <v>0</v>
      </c>
      <c r="AE73" s="767">
        <f t="shared" si="16"/>
        <v>0</v>
      </c>
      <c r="AF73" s="767">
        <f t="shared" si="16"/>
        <v>0</v>
      </c>
      <c r="AG73" s="767">
        <f t="shared" si="16"/>
        <v>0</v>
      </c>
      <c r="AH73" s="767">
        <f t="shared" si="16"/>
        <v>0</v>
      </c>
      <c r="AI73" s="6"/>
      <c r="AJ73" s="22"/>
    </row>
    <row r="74" spans="2:36" ht="13.15" customHeight="1" x14ac:dyDescent="0.2">
      <c r="B74" s="18"/>
      <c r="C74" s="31"/>
      <c r="D74" s="117"/>
      <c r="E74" s="117"/>
      <c r="F74" s="119"/>
      <c r="G74" s="33"/>
      <c r="H74" s="209"/>
      <c r="I74" s="33"/>
      <c r="J74" s="33"/>
      <c r="K74" s="3"/>
      <c r="L74" s="32">
        <f t="shared" si="10"/>
        <v>0</v>
      </c>
      <c r="M74" s="767">
        <f t="shared" si="4"/>
        <v>0</v>
      </c>
      <c r="N74" s="767">
        <f t="shared" si="5"/>
        <v>0</v>
      </c>
      <c r="O74" s="1001" t="str">
        <f t="shared" si="6"/>
        <v>-</v>
      </c>
      <c r="P74" s="767">
        <f t="shared" si="7"/>
        <v>0</v>
      </c>
      <c r="Q74" s="3"/>
      <c r="R74" s="767">
        <f t="shared" si="15"/>
        <v>0</v>
      </c>
      <c r="S74" s="767">
        <f t="shared" si="15"/>
        <v>0</v>
      </c>
      <c r="T74" s="767">
        <f t="shared" si="15"/>
        <v>0</v>
      </c>
      <c r="U74" s="767">
        <f t="shared" si="15"/>
        <v>0</v>
      </c>
      <c r="V74" s="767">
        <f t="shared" si="15"/>
        <v>0</v>
      </c>
      <c r="W74" s="767">
        <f t="shared" si="15"/>
        <v>0</v>
      </c>
      <c r="X74" s="767">
        <f t="shared" si="15"/>
        <v>0</v>
      </c>
      <c r="Y74" s="767">
        <f t="shared" si="15"/>
        <v>0</v>
      </c>
      <c r="Z74" s="3"/>
      <c r="AA74" s="767">
        <f t="shared" si="16"/>
        <v>0</v>
      </c>
      <c r="AB74" s="767">
        <f t="shared" si="16"/>
        <v>0</v>
      </c>
      <c r="AC74" s="767">
        <f t="shared" si="16"/>
        <v>0</v>
      </c>
      <c r="AD74" s="767">
        <f t="shared" si="16"/>
        <v>0</v>
      </c>
      <c r="AE74" s="767">
        <f t="shared" si="16"/>
        <v>0</v>
      </c>
      <c r="AF74" s="767">
        <f t="shared" si="16"/>
        <v>0</v>
      </c>
      <c r="AG74" s="767">
        <f t="shared" si="16"/>
        <v>0</v>
      </c>
      <c r="AH74" s="767">
        <f t="shared" si="16"/>
        <v>0</v>
      </c>
      <c r="AI74" s="6"/>
      <c r="AJ74" s="22"/>
    </row>
    <row r="75" spans="2:36" ht="13.15" customHeight="1" x14ac:dyDescent="0.2">
      <c r="B75" s="18"/>
      <c r="C75" s="31"/>
      <c r="D75" s="117"/>
      <c r="E75" s="117"/>
      <c r="F75" s="119"/>
      <c r="G75" s="33"/>
      <c r="H75" s="209"/>
      <c r="I75" s="33"/>
      <c r="J75" s="33"/>
      <c r="K75" s="3"/>
      <c r="L75" s="32">
        <f t="shared" si="10"/>
        <v>0</v>
      </c>
      <c r="M75" s="767">
        <f t="shared" si="4"/>
        <v>0</v>
      </c>
      <c r="N75" s="767">
        <f t="shared" si="5"/>
        <v>0</v>
      </c>
      <c r="O75" s="1001" t="str">
        <f t="shared" si="6"/>
        <v>-</v>
      </c>
      <c r="P75" s="767">
        <f t="shared" si="7"/>
        <v>0</v>
      </c>
      <c r="Q75" s="3"/>
      <c r="R75" s="767">
        <f t="shared" si="15"/>
        <v>0</v>
      </c>
      <c r="S75" s="767">
        <f t="shared" si="15"/>
        <v>0</v>
      </c>
      <c r="T75" s="767">
        <f t="shared" si="15"/>
        <v>0</v>
      </c>
      <c r="U75" s="767">
        <f t="shared" si="15"/>
        <v>0</v>
      </c>
      <c r="V75" s="767">
        <f t="shared" si="15"/>
        <v>0</v>
      </c>
      <c r="W75" s="767">
        <f t="shared" si="15"/>
        <v>0</v>
      </c>
      <c r="X75" s="767">
        <f t="shared" si="15"/>
        <v>0</v>
      </c>
      <c r="Y75" s="767">
        <f t="shared" si="15"/>
        <v>0</v>
      </c>
      <c r="Z75" s="3"/>
      <c r="AA75" s="767">
        <f t="shared" si="16"/>
        <v>0</v>
      </c>
      <c r="AB75" s="767">
        <f t="shared" si="16"/>
        <v>0</v>
      </c>
      <c r="AC75" s="767">
        <f t="shared" si="16"/>
        <v>0</v>
      </c>
      <c r="AD75" s="767">
        <f t="shared" si="16"/>
        <v>0</v>
      </c>
      <c r="AE75" s="767">
        <f t="shared" si="16"/>
        <v>0</v>
      </c>
      <c r="AF75" s="767">
        <f t="shared" si="16"/>
        <v>0</v>
      </c>
      <c r="AG75" s="767">
        <f t="shared" si="16"/>
        <v>0</v>
      </c>
      <c r="AH75" s="767">
        <f t="shared" si="16"/>
        <v>0</v>
      </c>
      <c r="AI75" s="6"/>
      <c r="AJ75" s="22"/>
    </row>
    <row r="76" spans="2:36" ht="13.15" customHeight="1" x14ac:dyDescent="0.2">
      <c r="B76" s="18"/>
      <c r="C76" s="31"/>
      <c r="D76" s="117"/>
      <c r="E76" s="117"/>
      <c r="F76" s="119"/>
      <c r="G76" s="33"/>
      <c r="H76" s="209"/>
      <c r="I76" s="33"/>
      <c r="J76" s="33"/>
      <c r="K76" s="3"/>
      <c r="L76" s="32">
        <f t="shared" si="10"/>
        <v>0</v>
      </c>
      <c r="M76" s="767">
        <f t="shared" si="4"/>
        <v>0</v>
      </c>
      <c r="N76" s="767">
        <f t="shared" si="5"/>
        <v>0</v>
      </c>
      <c r="O76" s="1001" t="str">
        <f t="shared" si="6"/>
        <v>-</v>
      </c>
      <c r="P76" s="767">
        <f t="shared" si="7"/>
        <v>0</v>
      </c>
      <c r="Q76" s="3"/>
      <c r="R76" s="767">
        <f t="shared" si="15"/>
        <v>0</v>
      </c>
      <c r="S76" s="767">
        <f t="shared" si="15"/>
        <v>0</v>
      </c>
      <c r="T76" s="767">
        <f t="shared" si="15"/>
        <v>0</v>
      </c>
      <c r="U76" s="767">
        <f t="shared" si="15"/>
        <v>0</v>
      </c>
      <c r="V76" s="767">
        <f t="shared" si="15"/>
        <v>0</v>
      </c>
      <c r="W76" s="767">
        <f t="shared" si="15"/>
        <v>0</v>
      </c>
      <c r="X76" s="767">
        <f t="shared" si="15"/>
        <v>0</v>
      </c>
      <c r="Y76" s="767">
        <f t="shared" si="15"/>
        <v>0</v>
      </c>
      <c r="Z76" s="3"/>
      <c r="AA76" s="767">
        <f t="shared" si="16"/>
        <v>0</v>
      </c>
      <c r="AB76" s="767">
        <f t="shared" si="16"/>
        <v>0</v>
      </c>
      <c r="AC76" s="767">
        <f t="shared" si="16"/>
        <v>0</v>
      </c>
      <c r="AD76" s="767">
        <f t="shared" si="16"/>
        <v>0</v>
      </c>
      <c r="AE76" s="767">
        <f t="shared" si="16"/>
        <v>0</v>
      </c>
      <c r="AF76" s="767">
        <f t="shared" si="16"/>
        <v>0</v>
      </c>
      <c r="AG76" s="767">
        <f t="shared" si="16"/>
        <v>0</v>
      </c>
      <c r="AH76" s="767">
        <f t="shared" si="16"/>
        <v>0</v>
      </c>
      <c r="AI76" s="6"/>
      <c r="AJ76" s="22"/>
    </row>
    <row r="77" spans="2:36" ht="13.15" customHeight="1" x14ac:dyDescent="0.2">
      <c r="B77" s="18"/>
      <c r="C77" s="31"/>
      <c r="D77" s="117"/>
      <c r="E77" s="117"/>
      <c r="F77" s="119"/>
      <c r="G77" s="33"/>
      <c r="H77" s="209"/>
      <c r="I77" s="33"/>
      <c r="J77" s="33"/>
      <c r="K77" s="3"/>
      <c r="L77" s="32">
        <f t="shared" si="10"/>
        <v>0</v>
      </c>
      <c r="M77" s="767">
        <f t="shared" si="4"/>
        <v>0</v>
      </c>
      <c r="N77" s="767">
        <f t="shared" si="5"/>
        <v>0</v>
      </c>
      <c r="O77" s="1001" t="str">
        <f t="shared" si="6"/>
        <v>-</v>
      </c>
      <c r="P77" s="767">
        <f t="shared" si="7"/>
        <v>0</v>
      </c>
      <c r="Q77" s="3"/>
      <c r="R77" s="767">
        <f t="shared" si="15"/>
        <v>0</v>
      </c>
      <c r="S77" s="767">
        <f t="shared" si="15"/>
        <v>0</v>
      </c>
      <c r="T77" s="767">
        <f t="shared" si="15"/>
        <v>0</v>
      </c>
      <c r="U77" s="767">
        <f t="shared" si="15"/>
        <v>0</v>
      </c>
      <c r="V77" s="767">
        <f t="shared" si="15"/>
        <v>0</v>
      </c>
      <c r="W77" s="767">
        <f t="shared" si="15"/>
        <v>0</v>
      </c>
      <c r="X77" s="767">
        <f t="shared" si="15"/>
        <v>0</v>
      </c>
      <c r="Y77" s="767">
        <f t="shared" si="15"/>
        <v>0</v>
      </c>
      <c r="Z77" s="3"/>
      <c r="AA77" s="767">
        <f t="shared" si="16"/>
        <v>0</v>
      </c>
      <c r="AB77" s="767">
        <f t="shared" si="16"/>
        <v>0</v>
      </c>
      <c r="AC77" s="767">
        <f t="shared" si="16"/>
        <v>0</v>
      </c>
      <c r="AD77" s="767">
        <f t="shared" si="16"/>
        <v>0</v>
      </c>
      <c r="AE77" s="767">
        <f t="shared" si="16"/>
        <v>0</v>
      </c>
      <c r="AF77" s="767">
        <f t="shared" si="16"/>
        <v>0</v>
      </c>
      <c r="AG77" s="767">
        <f t="shared" si="16"/>
        <v>0</v>
      </c>
      <c r="AH77" s="767">
        <f t="shared" si="16"/>
        <v>0</v>
      </c>
      <c r="AI77" s="6"/>
      <c r="AJ77" s="22"/>
    </row>
    <row r="78" spans="2:36" ht="13.15" customHeight="1" x14ac:dyDescent="0.2">
      <c r="B78" s="18"/>
      <c r="C78" s="31"/>
      <c r="D78" s="117"/>
      <c r="E78" s="117"/>
      <c r="F78" s="119"/>
      <c r="G78" s="33"/>
      <c r="H78" s="209"/>
      <c r="I78" s="33"/>
      <c r="J78" s="33"/>
      <c r="K78" s="3"/>
      <c r="L78" s="32">
        <f t="shared" si="10"/>
        <v>0</v>
      </c>
      <c r="M78" s="767">
        <f t="shared" ref="M78:M168" si="17">G78*H78</f>
        <v>0</v>
      </c>
      <c r="N78" s="767">
        <f t="shared" ref="N78:N168" si="18">IF(G78=0,0,(G78*H78)/L78)</f>
        <v>0</v>
      </c>
      <c r="O78" s="1001" t="str">
        <f t="shared" ref="O78:O168" si="19">IF(L78=0,"-",(IF(L78&gt;3000,"-",I78+L78-1)))</f>
        <v>-</v>
      </c>
      <c r="P78" s="767">
        <f t="shared" ref="P78:P168" si="20">IF(J78="geen",IF(I78&lt;$R$8,G78*H78,0),IF(I78&gt;=$R$8,0,IF((H78*G78-(R$8-I78)*N78)&lt;0,0,H78*G78-(R$8-I78)*N78)))</f>
        <v>0</v>
      </c>
      <c r="Q78" s="3"/>
      <c r="R78" s="767">
        <f t="shared" ref="R78:Y121" si="21">(IF(R$8&lt;$I78,0,IF($O78&lt;=R$8-1,0,$N78)))</f>
        <v>0</v>
      </c>
      <c r="S78" s="767">
        <f t="shared" si="21"/>
        <v>0</v>
      </c>
      <c r="T78" s="767">
        <f t="shared" si="21"/>
        <v>0</v>
      </c>
      <c r="U78" s="767">
        <f t="shared" si="21"/>
        <v>0</v>
      </c>
      <c r="V78" s="767">
        <f t="shared" si="21"/>
        <v>0</v>
      </c>
      <c r="W78" s="767">
        <f t="shared" si="21"/>
        <v>0</v>
      </c>
      <c r="X78" s="767">
        <f t="shared" si="21"/>
        <v>0</v>
      </c>
      <c r="Y78" s="767">
        <f t="shared" si="21"/>
        <v>0</v>
      </c>
      <c r="Z78" s="3"/>
      <c r="AA78" s="767">
        <f t="shared" ref="AA78:AH121" si="22">IF(AA$8=$I78,($G78*$H78),0)</f>
        <v>0</v>
      </c>
      <c r="AB78" s="767">
        <f t="shared" si="22"/>
        <v>0</v>
      </c>
      <c r="AC78" s="767">
        <f t="shared" si="22"/>
        <v>0</v>
      </c>
      <c r="AD78" s="767">
        <f t="shared" si="22"/>
        <v>0</v>
      </c>
      <c r="AE78" s="767">
        <f t="shared" si="22"/>
        <v>0</v>
      </c>
      <c r="AF78" s="767">
        <f t="shared" si="22"/>
        <v>0</v>
      </c>
      <c r="AG78" s="767">
        <f t="shared" si="22"/>
        <v>0</v>
      </c>
      <c r="AH78" s="767">
        <f t="shared" si="22"/>
        <v>0</v>
      </c>
      <c r="AI78" s="6"/>
      <c r="AJ78" s="22"/>
    </row>
    <row r="79" spans="2:36" ht="13.15" customHeight="1" x14ac:dyDescent="0.2">
      <c r="B79" s="18"/>
      <c r="C79" s="31"/>
      <c r="D79" s="117"/>
      <c r="E79" s="117"/>
      <c r="F79" s="119"/>
      <c r="G79" s="33"/>
      <c r="H79" s="209"/>
      <c r="I79" s="33"/>
      <c r="J79" s="33"/>
      <c r="K79" s="3"/>
      <c r="L79" s="32">
        <f t="shared" ref="L79:L169" si="23">IF(J79="geen",9999999999,J79)</f>
        <v>0</v>
      </c>
      <c r="M79" s="767">
        <f t="shared" si="17"/>
        <v>0</v>
      </c>
      <c r="N79" s="767">
        <f t="shared" si="18"/>
        <v>0</v>
      </c>
      <c r="O79" s="1001" t="str">
        <f t="shared" si="19"/>
        <v>-</v>
      </c>
      <c r="P79" s="767">
        <f t="shared" si="20"/>
        <v>0</v>
      </c>
      <c r="Q79" s="3"/>
      <c r="R79" s="767">
        <f t="shared" si="21"/>
        <v>0</v>
      </c>
      <c r="S79" s="767">
        <f t="shared" si="21"/>
        <v>0</v>
      </c>
      <c r="T79" s="767">
        <f t="shared" si="21"/>
        <v>0</v>
      </c>
      <c r="U79" s="767">
        <f t="shared" si="21"/>
        <v>0</v>
      </c>
      <c r="V79" s="767">
        <f t="shared" si="21"/>
        <v>0</v>
      </c>
      <c r="W79" s="767">
        <f t="shared" si="21"/>
        <v>0</v>
      </c>
      <c r="X79" s="767">
        <f t="shared" si="21"/>
        <v>0</v>
      </c>
      <c r="Y79" s="767">
        <f t="shared" si="21"/>
        <v>0</v>
      </c>
      <c r="Z79" s="3"/>
      <c r="AA79" s="767">
        <f t="shared" si="22"/>
        <v>0</v>
      </c>
      <c r="AB79" s="767">
        <f t="shared" si="22"/>
        <v>0</v>
      </c>
      <c r="AC79" s="767">
        <f t="shared" si="22"/>
        <v>0</v>
      </c>
      <c r="AD79" s="767">
        <f t="shared" si="22"/>
        <v>0</v>
      </c>
      <c r="AE79" s="767">
        <f t="shared" si="22"/>
        <v>0</v>
      </c>
      <c r="AF79" s="767">
        <f t="shared" si="22"/>
        <v>0</v>
      </c>
      <c r="AG79" s="767">
        <f t="shared" si="22"/>
        <v>0</v>
      </c>
      <c r="AH79" s="767">
        <f t="shared" si="22"/>
        <v>0</v>
      </c>
      <c r="AI79" s="6"/>
      <c r="AJ79" s="22"/>
    </row>
    <row r="80" spans="2:36" ht="13.15" customHeight="1" x14ac:dyDescent="0.2">
      <c r="B80" s="18"/>
      <c r="C80" s="31"/>
      <c r="D80" s="117"/>
      <c r="E80" s="117"/>
      <c r="F80" s="119"/>
      <c r="G80" s="33"/>
      <c r="H80" s="209"/>
      <c r="I80" s="33"/>
      <c r="J80" s="33"/>
      <c r="K80" s="3"/>
      <c r="L80" s="32">
        <f t="shared" si="23"/>
        <v>0</v>
      </c>
      <c r="M80" s="767">
        <f t="shared" si="17"/>
        <v>0</v>
      </c>
      <c r="N80" s="767">
        <f t="shared" si="18"/>
        <v>0</v>
      </c>
      <c r="O80" s="1001" t="str">
        <f t="shared" si="19"/>
        <v>-</v>
      </c>
      <c r="P80" s="767">
        <f t="shared" si="20"/>
        <v>0</v>
      </c>
      <c r="Q80" s="3"/>
      <c r="R80" s="767">
        <f t="shared" si="21"/>
        <v>0</v>
      </c>
      <c r="S80" s="767">
        <f t="shared" si="21"/>
        <v>0</v>
      </c>
      <c r="T80" s="767">
        <f t="shared" si="21"/>
        <v>0</v>
      </c>
      <c r="U80" s="767">
        <f t="shared" si="21"/>
        <v>0</v>
      </c>
      <c r="V80" s="767">
        <f t="shared" si="21"/>
        <v>0</v>
      </c>
      <c r="W80" s="767">
        <f t="shared" si="21"/>
        <v>0</v>
      </c>
      <c r="X80" s="767">
        <f t="shared" si="21"/>
        <v>0</v>
      </c>
      <c r="Y80" s="767">
        <f t="shared" si="21"/>
        <v>0</v>
      </c>
      <c r="Z80" s="3"/>
      <c r="AA80" s="767">
        <f t="shared" si="22"/>
        <v>0</v>
      </c>
      <c r="AB80" s="767">
        <f t="shared" si="22"/>
        <v>0</v>
      </c>
      <c r="AC80" s="767">
        <f t="shared" si="22"/>
        <v>0</v>
      </c>
      <c r="AD80" s="767">
        <f t="shared" si="22"/>
        <v>0</v>
      </c>
      <c r="AE80" s="767">
        <f t="shared" si="22"/>
        <v>0</v>
      </c>
      <c r="AF80" s="767">
        <f t="shared" si="22"/>
        <v>0</v>
      </c>
      <c r="AG80" s="767">
        <f t="shared" si="22"/>
        <v>0</v>
      </c>
      <c r="AH80" s="767">
        <f t="shared" si="22"/>
        <v>0</v>
      </c>
      <c r="AI80" s="6"/>
      <c r="AJ80" s="22"/>
    </row>
    <row r="81" spans="2:36" ht="13.15" customHeight="1" x14ac:dyDescent="0.2">
      <c r="B81" s="18"/>
      <c r="C81" s="31"/>
      <c r="D81" s="117"/>
      <c r="E81" s="117"/>
      <c r="F81" s="119"/>
      <c r="G81" s="33"/>
      <c r="H81" s="209"/>
      <c r="I81" s="33"/>
      <c r="J81" s="33"/>
      <c r="K81" s="3"/>
      <c r="L81" s="32">
        <f t="shared" si="23"/>
        <v>0</v>
      </c>
      <c r="M81" s="767">
        <f t="shared" si="17"/>
        <v>0</v>
      </c>
      <c r="N81" s="767">
        <f t="shared" si="18"/>
        <v>0</v>
      </c>
      <c r="O81" s="1001" t="str">
        <f t="shared" si="19"/>
        <v>-</v>
      </c>
      <c r="P81" s="767">
        <f t="shared" si="20"/>
        <v>0</v>
      </c>
      <c r="Q81" s="3"/>
      <c r="R81" s="767">
        <f t="shared" si="21"/>
        <v>0</v>
      </c>
      <c r="S81" s="767">
        <f t="shared" si="21"/>
        <v>0</v>
      </c>
      <c r="T81" s="767">
        <f t="shared" si="21"/>
        <v>0</v>
      </c>
      <c r="U81" s="767">
        <f t="shared" si="21"/>
        <v>0</v>
      </c>
      <c r="V81" s="767">
        <f t="shared" si="21"/>
        <v>0</v>
      </c>
      <c r="W81" s="767">
        <f t="shared" si="21"/>
        <v>0</v>
      </c>
      <c r="X81" s="767">
        <f t="shared" si="21"/>
        <v>0</v>
      </c>
      <c r="Y81" s="767">
        <f t="shared" si="21"/>
        <v>0</v>
      </c>
      <c r="Z81" s="3"/>
      <c r="AA81" s="767">
        <f t="shared" si="22"/>
        <v>0</v>
      </c>
      <c r="AB81" s="767">
        <f t="shared" si="22"/>
        <v>0</v>
      </c>
      <c r="AC81" s="767">
        <f t="shared" si="22"/>
        <v>0</v>
      </c>
      <c r="AD81" s="767">
        <f t="shared" si="22"/>
        <v>0</v>
      </c>
      <c r="AE81" s="767">
        <f t="shared" si="22"/>
        <v>0</v>
      </c>
      <c r="AF81" s="767">
        <f t="shared" si="22"/>
        <v>0</v>
      </c>
      <c r="AG81" s="767">
        <f t="shared" si="22"/>
        <v>0</v>
      </c>
      <c r="AH81" s="767">
        <f t="shared" si="22"/>
        <v>0</v>
      </c>
      <c r="AI81" s="6"/>
      <c r="AJ81" s="22"/>
    </row>
    <row r="82" spans="2:36" ht="13.15" customHeight="1" x14ac:dyDescent="0.2">
      <c r="B82" s="18"/>
      <c r="C82" s="31"/>
      <c r="D82" s="117"/>
      <c r="E82" s="117"/>
      <c r="F82" s="119"/>
      <c r="G82" s="33"/>
      <c r="H82" s="209"/>
      <c r="I82" s="33"/>
      <c r="J82" s="33"/>
      <c r="K82" s="3"/>
      <c r="L82" s="32">
        <f t="shared" si="23"/>
        <v>0</v>
      </c>
      <c r="M82" s="767">
        <f t="shared" si="17"/>
        <v>0</v>
      </c>
      <c r="N82" s="767">
        <f t="shared" si="18"/>
        <v>0</v>
      </c>
      <c r="O82" s="1001" t="str">
        <f t="shared" si="19"/>
        <v>-</v>
      </c>
      <c r="P82" s="767">
        <f t="shared" si="20"/>
        <v>0</v>
      </c>
      <c r="Q82" s="3"/>
      <c r="R82" s="767">
        <f t="shared" si="21"/>
        <v>0</v>
      </c>
      <c r="S82" s="767">
        <f t="shared" si="21"/>
        <v>0</v>
      </c>
      <c r="T82" s="767">
        <f t="shared" si="21"/>
        <v>0</v>
      </c>
      <c r="U82" s="767">
        <f t="shared" si="21"/>
        <v>0</v>
      </c>
      <c r="V82" s="767">
        <f t="shared" si="21"/>
        <v>0</v>
      </c>
      <c r="W82" s="767">
        <f t="shared" si="21"/>
        <v>0</v>
      </c>
      <c r="X82" s="767">
        <f t="shared" si="21"/>
        <v>0</v>
      </c>
      <c r="Y82" s="767">
        <f t="shared" si="21"/>
        <v>0</v>
      </c>
      <c r="Z82" s="3"/>
      <c r="AA82" s="767">
        <f t="shared" si="22"/>
        <v>0</v>
      </c>
      <c r="AB82" s="767">
        <f t="shared" si="22"/>
        <v>0</v>
      </c>
      <c r="AC82" s="767">
        <f t="shared" si="22"/>
        <v>0</v>
      </c>
      <c r="AD82" s="767">
        <f t="shared" si="22"/>
        <v>0</v>
      </c>
      <c r="AE82" s="767">
        <f t="shared" si="22"/>
        <v>0</v>
      </c>
      <c r="AF82" s="767">
        <f t="shared" si="22"/>
        <v>0</v>
      </c>
      <c r="AG82" s="767">
        <f t="shared" si="22"/>
        <v>0</v>
      </c>
      <c r="AH82" s="767">
        <f t="shared" si="22"/>
        <v>0</v>
      </c>
      <c r="AI82" s="6"/>
      <c r="AJ82" s="22"/>
    </row>
    <row r="83" spans="2:36" ht="13.15" customHeight="1" x14ac:dyDescent="0.2">
      <c r="B83" s="18"/>
      <c r="C83" s="31"/>
      <c r="D83" s="117"/>
      <c r="E83" s="117"/>
      <c r="F83" s="119"/>
      <c r="G83" s="33"/>
      <c r="H83" s="209"/>
      <c r="I83" s="33"/>
      <c r="J83" s="33"/>
      <c r="K83" s="3"/>
      <c r="L83" s="32">
        <f t="shared" ref="L83:L110" si="24">IF(J83="geen",9999999999,J83)</f>
        <v>0</v>
      </c>
      <c r="M83" s="767">
        <f t="shared" ref="M83:M110" si="25">G83*H83</f>
        <v>0</v>
      </c>
      <c r="N83" s="767">
        <f t="shared" ref="N83:N110" si="26">IF(G83=0,0,(G83*H83)/L83)</f>
        <v>0</v>
      </c>
      <c r="O83" s="1001" t="str">
        <f t="shared" ref="O83:O110" si="27">IF(L83=0,"-",(IF(L83&gt;3000,"-",I83+L83-1)))</f>
        <v>-</v>
      </c>
      <c r="P83" s="767">
        <f t="shared" ref="P83:P110" si="28">IF(J83="geen",IF(I83&lt;$R$8,G83*H83,0),IF(I83&gt;=$R$8,0,IF((H83*G83-(R$8-I83)*N83)&lt;0,0,H83*G83-(R$8-I83)*N83)))</f>
        <v>0</v>
      </c>
      <c r="Q83" s="3"/>
      <c r="R83" s="767">
        <f t="shared" si="21"/>
        <v>0</v>
      </c>
      <c r="S83" s="767">
        <f t="shared" si="21"/>
        <v>0</v>
      </c>
      <c r="T83" s="767">
        <f t="shared" si="21"/>
        <v>0</v>
      </c>
      <c r="U83" s="767">
        <f t="shared" si="21"/>
        <v>0</v>
      </c>
      <c r="V83" s="767">
        <f t="shared" si="21"/>
        <v>0</v>
      </c>
      <c r="W83" s="767">
        <f t="shared" si="21"/>
        <v>0</v>
      </c>
      <c r="X83" s="767">
        <f t="shared" si="21"/>
        <v>0</v>
      </c>
      <c r="Y83" s="767">
        <f t="shared" si="21"/>
        <v>0</v>
      </c>
      <c r="Z83" s="3"/>
      <c r="AA83" s="767">
        <f t="shared" si="22"/>
        <v>0</v>
      </c>
      <c r="AB83" s="767">
        <f t="shared" si="22"/>
        <v>0</v>
      </c>
      <c r="AC83" s="767">
        <f t="shared" si="22"/>
        <v>0</v>
      </c>
      <c r="AD83" s="767">
        <f t="shared" si="22"/>
        <v>0</v>
      </c>
      <c r="AE83" s="767">
        <f t="shared" si="22"/>
        <v>0</v>
      </c>
      <c r="AF83" s="767">
        <f t="shared" si="22"/>
        <v>0</v>
      </c>
      <c r="AG83" s="767">
        <f t="shared" si="22"/>
        <v>0</v>
      </c>
      <c r="AH83" s="767">
        <f t="shared" si="22"/>
        <v>0</v>
      </c>
      <c r="AI83" s="6"/>
      <c r="AJ83" s="22"/>
    </row>
    <row r="84" spans="2:36" ht="13.15" customHeight="1" x14ac:dyDescent="0.2">
      <c r="B84" s="18"/>
      <c r="C84" s="31"/>
      <c r="D84" s="117"/>
      <c r="E84" s="117"/>
      <c r="F84" s="119"/>
      <c r="G84" s="33"/>
      <c r="H84" s="209"/>
      <c r="I84" s="33"/>
      <c r="J84" s="33"/>
      <c r="K84" s="3"/>
      <c r="L84" s="32">
        <f t="shared" si="24"/>
        <v>0</v>
      </c>
      <c r="M84" s="767">
        <f t="shared" si="25"/>
        <v>0</v>
      </c>
      <c r="N84" s="767">
        <f t="shared" si="26"/>
        <v>0</v>
      </c>
      <c r="O84" s="1001" t="str">
        <f t="shared" si="27"/>
        <v>-</v>
      </c>
      <c r="P84" s="767">
        <f t="shared" si="28"/>
        <v>0</v>
      </c>
      <c r="Q84" s="3"/>
      <c r="R84" s="767">
        <f t="shared" si="21"/>
        <v>0</v>
      </c>
      <c r="S84" s="767">
        <f t="shared" si="21"/>
        <v>0</v>
      </c>
      <c r="T84" s="767">
        <f t="shared" si="21"/>
        <v>0</v>
      </c>
      <c r="U84" s="767">
        <f t="shared" si="21"/>
        <v>0</v>
      </c>
      <c r="V84" s="767">
        <f t="shared" si="21"/>
        <v>0</v>
      </c>
      <c r="W84" s="767">
        <f t="shared" si="21"/>
        <v>0</v>
      </c>
      <c r="X84" s="767">
        <f t="shared" si="21"/>
        <v>0</v>
      </c>
      <c r="Y84" s="767">
        <f t="shared" si="21"/>
        <v>0</v>
      </c>
      <c r="Z84" s="3"/>
      <c r="AA84" s="767">
        <f t="shared" si="22"/>
        <v>0</v>
      </c>
      <c r="AB84" s="767">
        <f t="shared" si="22"/>
        <v>0</v>
      </c>
      <c r="AC84" s="767">
        <f t="shared" si="22"/>
        <v>0</v>
      </c>
      <c r="AD84" s="767">
        <f t="shared" si="22"/>
        <v>0</v>
      </c>
      <c r="AE84" s="767">
        <f t="shared" si="22"/>
        <v>0</v>
      </c>
      <c r="AF84" s="767">
        <f t="shared" si="22"/>
        <v>0</v>
      </c>
      <c r="AG84" s="767">
        <f t="shared" si="22"/>
        <v>0</v>
      </c>
      <c r="AH84" s="767">
        <f t="shared" si="22"/>
        <v>0</v>
      </c>
      <c r="AI84" s="6"/>
      <c r="AJ84" s="22"/>
    </row>
    <row r="85" spans="2:36" ht="13.15" customHeight="1" x14ac:dyDescent="0.2">
      <c r="B85" s="18"/>
      <c r="C85" s="31"/>
      <c r="D85" s="117"/>
      <c r="E85" s="117"/>
      <c r="F85" s="119"/>
      <c r="G85" s="33"/>
      <c r="H85" s="209"/>
      <c r="I85" s="33"/>
      <c r="J85" s="33"/>
      <c r="K85" s="3"/>
      <c r="L85" s="32">
        <f t="shared" si="24"/>
        <v>0</v>
      </c>
      <c r="M85" s="767">
        <f t="shared" si="25"/>
        <v>0</v>
      </c>
      <c r="N85" s="767">
        <f t="shared" si="26"/>
        <v>0</v>
      </c>
      <c r="O85" s="1001" t="str">
        <f t="shared" si="27"/>
        <v>-</v>
      </c>
      <c r="P85" s="767">
        <f t="shared" si="28"/>
        <v>0</v>
      </c>
      <c r="Q85" s="3"/>
      <c r="R85" s="767">
        <f t="shared" si="21"/>
        <v>0</v>
      </c>
      <c r="S85" s="767">
        <f t="shared" si="21"/>
        <v>0</v>
      </c>
      <c r="T85" s="767">
        <f t="shared" si="21"/>
        <v>0</v>
      </c>
      <c r="U85" s="767">
        <f t="shared" si="21"/>
        <v>0</v>
      </c>
      <c r="V85" s="767">
        <f t="shared" si="21"/>
        <v>0</v>
      </c>
      <c r="W85" s="767">
        <f t="shared" si="21"/>
        <v>0</v>
      </c>
      <c r="X85" s="767">
        <f t="shared" si="21"/>
        <v>0</v>
      </c>
      <c r="Y85" s="767">
        <f t="shared" si="21"/>
        <v>0</v>
      </c>
      <c r="Z85" s="3"/>
      <c r="AA85" s="767">
        <f t="shared" si="22"/>
        <v>0</v>
      </c>
      <c r="AB85" s="767">
        <f t="shared" si="22"/>
        <v>0</v>
      </c>
      <c r="AC85" s="767">
        <f t="shared" si="22"/>
        <v>0</v>
      </c>
      <c r="AD85" s="767">
        <f t="shared" si="22"/>
        <v>0</v>
      </c>
      <c r="AE85" s="767">
        <f t="shared" si="22"/>
        <v>0</v>
      </c>
      <c r="AF85" s="767">
        <f t="shared" si="22"/>
        <v>0</v>
      </c>
      <c r="AG85" s="767">
        <f t="shared" si="22"/>
        <v>0</v>
      </c>
      <c r="AH85" s="767">
        <f t="shared" si="22"/>
        <v>0</v>
      </c>
      <c r="AI85" s="6"/>
      <c r="AJ85" s="22"/>
    </row>
    <row r="86" spans="2:36" ht="13.15" customHeight="1" x14ac:dyDescent="0.2">
      <c r="B86" s="18"/>
      <c r="C86" s="31"/>
      <c r="D86" s="117"/>
      <c r="E86" s="117"/>
      <c r="F86" s="119"/>
      <c r="G86" s="33"/>
      <c r="H86" s="209"/>
      <c r="I86" s="33"/>
      <c r="J86" s="33"/>
      <c r="K86" s="3"/>
      <c r="L86" s="32">
        <f t="shared" si="24"/>
        <v>0</v>
      </c>
      <c r="M86" s="767">
        <f t="shared" si="25"/>
        <v>0</v>
      </c>
      <c r="N86" s="767">
        <f t="shared" si="26"/>
        <v>0</v>
      </c>
      <c r="O86" s="1001" t="str">
        <f t="shared" si="27"/>
        <v>-</v>
      </c>
      <c r="P86" s="767">
        <f t="shared" si="28"/>
        <v>0</v>
      </c>
      <c r="Q86" s="3"/>
      <c r="R86" s="767">
        <f t="shared" si="21"/>
        <v>0</v>
      </c>
      <c r="S86" s="767">
        <f t="shared" si="21"/>
        <v>0</v>
      </c>
      <c r="T86" s="767">
        <f t="shared" si="21"/>
        <v>0</v>
      </c>
      <c r="U86" s="767">
        <f t="shared" si="21"/>
        <v>0</v>
      </c>
      <c r="V86" s="767">
        <f t="shared" si="21"/>
        <v>0</v>
      </c>
      <c r="W86" s="767">
        <f t="shared" si="21"/>
        <v>0</v>
      </c>
      <c r="X86" s="767">
        <f t="shared" si="21"/>
        <v>0</v>
      </c>
      <c r="Y86" s="767">
        <f t="shared" si="21"/>
        <v>0</v>
      </c>
      <c r="Z86" s="3"/>
      <c r="AA86" s="767">
        <f t="shared" si="22"/>
        <v>0</v>
      </c>
      <c r="AB86" s="767">
        <f t="shared" si="22"/>
        <v>0</v>
      </c>
      <c r="AC86" s="767">
        <f t="shared" si="22"/>
        <v>0</v>
      </c>
      <c r="AD86" s="767">
        <f t="shared" si="22"/>
        <v>0</v>
      </c>
      <c r="AE86" s="767">
        <f t="shared" si="22"/>
        <v>0</v>
      </c>
      <c r="AF86" s="767">
        <f t="shared" si="22"/>
        <v>0</v>
      </c>
      <c r="AG86" s="767">
        <f t="shared" si="22"/>
        <v>0</v>
      </c>
      <c r="AH86" s="767">
        <f t="shared" si="22"/>
        <v>0</v>
      </c>
      <c r="AI86" s="6"/>
      <c r="AJ86" s="22"/>
    </row>
    <row r="87" spans="2:36" ht="13.15" customHeight="1" x14ac:dyDescent="0.2">
      <c r="B87" s="18"/>
      <c r="C87" s="31"/>
      <c r="D87" s="117"/>
      <c r="E87" s="117"/>
      <c r="F87" s="119"/>
      <c r="G87" s="33"/>
      <c r="H87" s="209"/>
      <c r="I87" s="33"/>
      <c r="J87" s="33"/>
      <c r="K87" s="3"/>
      <c r="L87" s="32">
        <f t="shared" si="24"/>
        <v>0</v>
      </c>
      <c r="M87" s="767">
        <f t="shared" si="25"/>
        <v>0</v>
      </c>
      <c r="N87" s="767">
        <f t="shared" si="26"/>
        <v>0</v>
      </c>
      <c r="O87" s="1001" t="str">
        <f t="shared" si="27"/>
        <v>-</v>
      </c>
      <c r="P87" s="767">
        <f t="shared" si="28"/>
        <v>0</v>
      </c>
      <c r="Q87" s="3"/>
      <c r="R87" s="767">
        <f t="shared" si="21"/>
        <v>0</v>
      </c>
      <c r="S87" s="767">
        <f t="shared" si="21"/>
        <v>0</v>
      </c>
      <c r="T87" s="767">
        <f t="shared" si="21"/>
        <v>0</v>
      </c>
      <c r="U87" s="767">
        <f t="shared" si="21"/>
        <v>0</v>
      </c>
      <c r="V87" s="767">
        <f t="shared" si="21"/>
        <v>0</v>
      </c>
      <c r="W87" s="767">
        <f t="shared" si="21"/>
        <v>0</v>
      </c>
      <c r="X87" s="767">
        <f t="shared" si="21"/>
        <v>0</v>
      </c>
      <c r="Y87" s="767">
        <f t="shared" si="21"/>
        <v>0</v>
      </c>
      <c r="Z87" s="3"/>
      <c r="AA87" s="767">
        <f t="shared" si="22"/>
        <v>0</v>
      </c>
      <c r="AB87" s="767">
        <f t="shared" si="22"/>
        <v>0</v>
      </c>
      <c r="AC87" s="767">
        <f t="shared" si="22"/>
        <v>0</v>
      </c>
      <c r="AD87" s="767">
        <f t="shared" si="22"/>
        <v>0</v>
      </c>
      <c r="AE87" s="767">
        <f t="shared" si="22"/>
        <v>0</v>
      </c>
      <c r="AF87" s="767">
        <f t="shared" si="22"/>
        <v>0</v>
      </c>
      <c r="AG87" s="767">
        <f t="shared" si="22"/>
        <v>0</v>
      </c>
      <c r="AH87" s="767">
        <f t="shared" si="22"/>
        <v>0</v>
      </c>
      <c r="AI87" s="6"/>
      <c r="AJ87" s="22"/>
    </row>
    <row r="88" spans="2:36" ht="13.15" customHeight="1" x14ac:dyDescent="0.2">
      <c r="B88" s="18"/>
      <c r="C88" s="31"/>
      <c r="D88" s="117"/>
      <c r="E88" s="117"/>
      <c r="F88" s="119"/>
      <c r="G88" s="33"/>
      <c r="H88" s="209"/>
      <c r="I88" s="33"/>
      <c r="J88" s="33"/>
      <c r="K88" s="3"/>
      <c r="L88" s="32">
        <f t="shared" si="24"/>
        <v>0</v>
      </c>
      <c r="M88" s="767">
        <f t="shared" si="25"/>
        <v>0</v>
      </c>
      <c r="N88" s="767">
        <f t="shared" si="26"/>
        <v>0</v>
      </c>
      <c r="O88" s="1001" t="str">
        <f t="shared" si="27"/>
        <v>-</v>
      </c>
      <c r="P88" s="767">
        <f t="shared" si="28"/>
        <v>0</v>
      </c>
      <c r="Q88" s="3"/>
      <c r="R88" s="767">
        <f t="shared" si="21"/>
        <v>0</v>
      </c>
      <c r="S88" s="767">
        <f t="shared" si="21"/>
        <v>0</v>
      </c>
      <c r="T88" s="767">
        <f t="shared" si="21"/>
        <v>0</v>
      </c>
      <c r="U88" s="767">
        <f t="shared" si="21"/>
        <v>0</v>
      </c>
      <c r="V88" s="767">
        <f t="shared" si="21"/>
        <v>0</v>
      </c>
      <c r="W88" s="767">
        <f t="shared" si="21"/>
        <v>0</v>
      </c>
      <c r="X88" s="767">
        <f t="shared" si="21"/>
        <v>0</v>
      </c>
      <c r="Y88" s="767">
        <f t="shared" si="21"/>
        <v>0</v>
      </c>
      <c r="Z88" s="3"/>
      <c r="AA88" s="767">
        <f t="shared" si="22"/>
        <v>0</v>
      </c>
      <c r="AB88" s="767">
        <f t="shared" si="22"/>
        <v>0</v>
      </c>
      <c r="AC88" s="767">
        <f t="shared" si="22"/>
        <v>0</v>
      </c>
      <c r="AD88" s="767">
        <f t="shared" si="22"/>
        <v>0</v>
      </c>
      <c r="AE88" s="767">
        <f t="shared" si="22"/>
        <v>0</v>
      </c>
      <c r="AF88" s="767">
        <f t="shared" si="22"/>
        <v>0</v>
      </c>
      <c r="AG88" s="767">
        <f t="shared" si="22"/>
        <v>0</v>
      </c>
      <c r="AH88" s="767">
        <f t="shared" si="22"/>
        <v>0</v>
      </c>
      <c r="AI88" s="6"/>
      <c r="AJ88" s="22"/>
    </row>
    <row r="89" spans="2:36" ht="13.15" customHeight="1" x14ac:dyDescent="0.2">
      <c r="B89" s="18"/>
      <c r="C89" s="31"/>
      <c r="D89" s="117"/>
      <c r="E89" s="117"/>
      <c r="F89" s="119"/>
      <c r="G89" s="33"/>
      <c r="H89" s="209"/>
      <c r="I89" s="33"/>
      <c r="J89" s="33"/>
      <c r="K89" s="3"/>
      <c r="L89" s="32">
        <f t="shared" si="24"/>
        <v>0</v>
      </c>
      <c r="M89" s="767">
        <f t="shared" si="25"/>
        <v>0</v>
      </c>
      <c r="N89" s="767">
        <f t="shared" si="26"/>
        <v>0</v>
      </c>
      <c r="O89" s="1001" t="str">
        <f t="shared" si="27"/>
        <v>-</v>
      </c>
      <c r="P89" s="767">
        <f t="shared" si="28"/>
        <v>0</v>
      </c>
      <c r="Q89" s="3"/>
      <c r="R89" s="767">
        <f t="shared" si="21"/>
        <v>0</v>
      </c>
      <c r="S89" s="767">
        <f t="shared" si="21"/>
        <v>0</v>
      </c>
      <c r="T89" s="767">
        <f t="shared" si="21"/>
        <v>0</v>
      </c>
      <c r="U89" s="767">
        <f t="shared" si="21"/>
        <v>0</v>
      </c>
      <c r="V89" s="767">
        <f t="shared" si="21"/>
        <v>0</v>
      </c>
      <c r="W89" s="767">
        <f t="shared" si="21"/>
        <v>0</v>
      </c>
      <c r="X89" s="767">
        <f t="shared" si="21"/>
        <v>0</v>
      </c>
      <c r="Y89" s="767">
        <f t="shared" si="21"/>
        <v>0</v>
      </c>
      <c r="Z89" s="3"/>
      <c r="AA89" s="767">
        <f t="shared" si="22"/>
        <v>0</v>
      </c>
      <c r="AB89" s="767">
        <f t="shared" si="22"/>
        <v>0</v>
      </c>
      <c r="AC89" s="767">
        <f t="shared" si="22"/>
        <v>0</v>
      </c>
      <c r="AD89" s="767">
        <f t="shared" si="22"/>
        <v>0</v>
      </c>
      <c r="AE89" s="767">
        <f t="shared" si="22"/>
        <v>0</v>
      </c>
      <c r="AF89" s="767">
        <f t="shared" si="22"/>
        <v>0</v>
      </c>
      <c r="AG89" s="767">
        <f t="shared" si="22"/>
        <v>0</v>
      </c>
      <c r="AH89" s="767">
        <f t="shared" si="22"/>
        <v>0</v>
      </c>
      <c r="AI89" s="6"/>
      <c r="AJ89" s="22"/>
    </row>
    <row r="90" spans="2:36" ht="13.15" customHeight="1" x14ac:dyDescent="0.2">
      <c r="B90" s="18"/>
      <c r="C90" s="31"/>
      <c r="D90" s="117"/>
      <c r="E90" s="117"/>
      <c r="F90" s="119"/>
      <c r="G90" s="33"/>
      <c r="H90" s="209"/>
      <c r="I90" s="33"/>
      <c r="J90" s="33"/>
      <c r="K90" s="3"/>
      <c r="L90" s="32">
        <f t="shared" si="24"/>
        <v>0</v>
      </c>
      <c r="M90" s="767">
        <f t="shared" si="25"/>
        <v>0</v>
      </c>
      <c r="N90" s="767">
        <f t="shared" si="26"/>
        <v>0</v>
      </c>
      <c r="O90" s="1001" t="str">
        <f t="shared" si="27"/>
        <v>-</v>
      </c>
      <c r="P90" s="767">
        <f t="shared" si="28"/>
        <v>0</v>
      </c>
      <c r="Q90" s="3"/>
      <c r="R90" s="767">
        <f t="shared" si="21"/>
        <v>0</v>
      </c>
      <c r="S90" s="767">
        <f t="shared" si="21"/>
        <v>0</v>
      </c>
      <c r="T90" s="767">
        <f t="shared" si="21"/>
        <v>0</v>
      </c>
      <c r="U90" s="767">
        <f t="shared" si="21"/>
        <v>0</v>
      </c>
      <c r="V90" s="767">
        <f t="shared" si="21"/>
        <v>0</v>
      </c>
      <c r="W90" s="767">
        <f t="shared" si="21"/>
        <v>0</v>
      </c>
      <c r="X90" s="767">
        <f t="shared" si="21"/>
        <v>0</v>
      </c>
      <c r="Y90" s="767">
        <f t="shared" si="21"/>
        <v>0</v>
      </c>
      <c r="Z90" s="3"/>
      <c r="AA90" s="767">
        <f t="shared" si="22"/>
        <v>0</v>
      </c>
      <c r="AB90" s="767">
        <f t="shared" si="22"/>
        <v>0</v>
      </c>
      <c r="AC90" s="767">
        <f t="shared" si="22"/>
        <v>0</v>
      </c>
      <c r="AD90" s="767">
        <f t="shared" si="22"/>
        <v>0</v>
      </c>
      <c r="AE90" s="767">
        <f t="shared" si="22"/>
        <v>0</v>
      </c>
      <c r="AF90" s="767">
        <f t="shared" si="22"/>
        <v>0</v>
      </c>
      <c r="AG90" s="767">
        <f t="shared" si="22"/>
        <v>0</v>
      </c>
      <c r="AH90" s="767">
        <f t="shared" si="22"/>
        <v>0</v>
      </c>
      <c r="AI90" s="6"/>
      <c r="AJ90" s="22"/>
    </row>
    <row r="91" spans="2:36" ht="13.15" customHeight="1" x14ac:dyDescent="0.2">
      <c r="B91" s="18"/>
      <c r="C91" s="31"/>
      <c r="D91" s="117"/>
      <c r="E91" s="117"/>
      <c r="F91" s="119"/>
      <c r="G91" s="33"/>
      <c r="H91" s="209"/>
      <c r="I91" s="33"/>
      <c r="J91" s="33"/>
      <c r="K91" s="3"/>
      <c r="L91" s="32">
        <f t="shared" si="24"/>
        <v>0</v>
      </c>
      <c r="M91" s="767">
        <f t="shared" si="25"/>
        <v>0</v>
      </c>
      <c r="N91" s="767">
        <f t="shared" si="26"/>
        <v>0</v>
      </c>
      <c r="O91" s="1001" t="str">
        <f t="shared" si="27"/>
        <v>-</v>
      </c>
      <c r="P91" s="767">
        <f t="shared" si="28"/>
        <v>0</v>
      </c>
      <c r="Q91" s="3"/>
      <c r="R91" s="767">
        <f t="shared" si="21"/>
        <v>0</v>
      </c>
      <c r="S91" s="767">
        <f t="shared" si="21"/>
        <v>0</v>
      </c>
      <c r="T91" s="767">
        <f t="shared" si="21"/>
        <v>0</v>
      </c>
      <c r="U91" s="767">
        <f t="shared" si="21"/>
        <v>0</v>
      </c>
      <c r="V91" s="767">
        <f t="shared" si="21"/>
        <v>0</v>
      </c>
      <c r="W91" s="767">
        <f t="shared" si="21"/>
        <v>0</v>
      </c>
      <c r="X91" s="767">
        <f t="shared" si="21"/>
        <v>0</v>
      </c>
      <c r="Y91" s="767">
        <f t="shared" si="21"/>
        <v>0</v>
      </c>
      <c r="Z91" s="3"/>
      <c r="AA91" s="767">
        <f t="shared" si="22"/>
        <v>0</v>
      </c>
      <c r="AB91" s="767">
        <f t="shared" si="22"/>
        <v>0</v>
      </c>
      <c r="AC91" s="767">
        <f t="shared" si="22"/>
        <v>0</v>
      </c>
      <c r="AD91" s="767">
        <f t="shared" si="22"/>
        <v>0</v>
      </c>
      <c r="AE91" s="767">
        <f t="shared" si="22"/>
        <v>0</v>
      </c>
      <c r="AF91" s="767">
        <f t="shared" si="22"/>
        <v>0</v>
      </c>
      <c r="AG91" s="767">
        <f t="shared" si="22"/>
        <v>0</v>
      </c>
      <c r="AH91" s="767">
        <f t="shared" si="22"/>
        <v>0</v>
      </c>
      <c r="AI91" s="6"/>
      <c r="AJ91" s="22"/>
    </row>
    <row r="92" spans="2:36" ht="13.15" customHeight="1" x14ac:dyDescent="0.2">
      <c r="B92" s="18"/>
      <c r="C92" s="31"/>
      <c r="D92" s="117"/>
      <c r="E92" s="117"/>
      <c r="F92" s="119"/>
      <c r="G92" s="33"/>
      <c r="H92" s="209"/>
      <c r="I92" s="33"/>
      <c r="J92" s="33"/>
      <c r="K92" s="3"/>
      <c r="L92" s="32">
        <f t="shared" si="24"/>
        <v>0</v>
      </c>
      <c r="M92" s="767">
        <f t="shared" si="25"/>
        <v>0</v>
      </c>
      <c r="N92" s="767">
        <f t="shared" si="26"/>
        <v>0</v>
      </c>
      <c r="O92" s="1001" t="str">
        <f t="shared" si="27"/>
        <v>-</v>
      </c>
      <c r="P92" s="767">
        <f t="shared" si="28"/>
        <v>0</v>
      </c>
      <c r="Q92" s="3"/>
      <c r="R92" s="767">
        <f t="shared" si="21"/>
        <v>0</v>
      </c>
      <c r="S92" s="767">
        <f t="shared" si="21"/>
        <v>0</v>
      </c>
      <c r="T92" s="767">
        <f t="shared" si="21"/>
        <v>0</v>
      </c>
      <c r="U92" s="767">
        <f t="shared" si="21"/>
        <v>0</v>
      </c>
      <c r="V92" s="767">
        <f t="shared" si="21"/>
        <v>0</v>
      </c>
      <c r="W92" s="767">
        <f t="shared" si="21"/>
        <v>0</v>
      </c>
      <c r="X92" s="767">
        <f t="shared" si="21"/>
        <v>0</v>
      </c>
      <c r="Y92" s="767">
        <f t="shared" si="21"/>
        <v>0</v>
      </c>
      <c r="Z92" s="3"/>
      <c r="AA92" s="767">
        <f t="shared" si="22"/>
        <v>0</v>
      </c>
      <c r="AB92" s="767">
        <f t="shared" si="22"/>
        <v>0</v>
      </c>
      <c r="AC92" s="767">
        <f t="shared" si="22"/>
        <v>0</v>
      </c>
      <c r="AD92" s="767">
        <f t="shared" si="22"/>
        <v>0</v>
      </c>
      <c r="AE92" s="767">
        <f t="shared" si="22"/>
        <v>0</v>
      </c>
      <c r="AF92" s="767">
        <f t="shared" si="22"/>
        <v>0</v>
      </c>
      <c r="AG92" s="767">
        <f t="shared" si="22"/>
        <v>0</v>
      </c>
      <c r="AH92" s="767">
        <f t="shared" si="22"/>
        <v>0</v>
      </c>
      <c r="AI92" s="6"/>
      <c r="AJ92" s="22"/>
    </row>
    <row r="93" spans="2:36" ht="13.15" customHeight="1" x14ac:dyDescent="0.2">
      <c r="B93" s="18"/>
      <c r="C93" s="31"/>
      <c r="D93" s="117"/>
      <c r="E93" s="117"/>
      <c r="F93" s="119"/>
      <c r="G93" s="33"/>
      <c r="H93" s="209"/>
      <c r="I93" s="33"/>
      <c r="J93" s="33"/>
      <c r="K93" s="3"/>
      <c r="L93" s="32">
        <f t="shared" si="24"/>
        <v>0</v>
      </c>
      <c r="M93" s="767">
        <f t="shared" si="25"/>
        <v>0</v>
      </c>
      <c r="N93" s="767">
        <f t="shared" si="26"/>
        <v>0</v>
      </c>
      <c r="O93" s="1001" t="str">
        <f t="shared" si="27"/>
        <v>-</v>
      </c>
      <c r="P93" s="767">
        <f t="shared" si="28"/>
        <v>0</v>
      </c>
      <c r="Q93" s="3"/>
      <c r="R93" s="767">
        <f t="shared" si="21"/>
        <v>0</v>
      </c>
      <c r="S93" s="767">
        <f t="shared" si="21"/>
        <v>0</v>
      </c>
      <c r="T93" s="767">
        <f t="shared" si="21"/>
        <v>0</v>
      </c>
      <c r="U93" s="767">
        <f t="shared" si="21"/>
        <v>0</v>
      </c>
      <c r="V93" s="767">
        <f t="shared" si="21"/>
        <v>0</v>
      </c>
      <c r="W93" s="767">
        <f t="shared" si="21"/>
        <v>0</v>
      </c>
      <c r="X93" s="767">
        <f t="shared" si="21"/>
        <v>0</v>
      </c>
      <c r="Y93" s="767">
        <f t="shared" si="21"/>
        <v>0</v>
      </c>
      <c r="Z93" s="3"/>
      <c r="AA93" s="767">
        <f t="shared" si="22"/>
        <v>0</v>
      </c>
      <c r="AB93" s="767">
        <f t="shared" si="22"/>
        <v>0</v>
      </c>
      <c r="AC93" s="767">
        <f t="shared" si="22"/>
        <v>0</v>
      </c>
      <c r="AD93" s="767">
        <f t="shared" si="22"/>
        <v>0</v>
      </c>
      <c r="AE93" s="767">
        <f t="shared" si="22"/>
        <v>0</v>
      </c>
      <c r="AF93" s="767">
        <f t="shared" si="22"/>
        <v>0</v>
      </c>
      <c r="AG93" s="767">
        <f t="shared" si="22"/>
        <v>0</v>
      </c>
      <c r="AH93" s="767">
        <f t="shared" si="22"/>
        <v>0</v>
      </c>
      <c r="AI93" s="6"/>
      <c r="AJ93" s="22"/>
    </row>
    <row r="94" spans="2:36" ht="13.15" customHeight="1" x14ac:dyDescent="0.2">
      <c r="B94" s="18"/>
      <c r="C94" s="31"/>
      <c r="D94" s="117"/>
      <c r="E94" s="117"/>
      <c r="F94" s="119"/>
      <c r="G94" s="33"/>
      <c r="H94" s="209"/>
      <c r="I94" s="33"/>
      <c r="J94" s="33"/>
      <c r="K94" s="3"/>
      <c r="L94" s="32">
        <f t="shared" si="24"/>
        <v>0</v>
      </c>
      <c r="M94" s="767">
        <f t="shared" si="25"/>
        <v>0</v>
      </c>
      <c r="N94" s="767">
        <f t="shared" si="26"/>
        <v>0</v>
      </c>
      <c r="O94" s="1001" t="str">
        <f t="shared" si="27"/>
        <v>-</v>
      </c>
      <c r="P94" s="767">
        <f t="shared" si="28"/>
        <v>0</v>
      </c>
      <c r="Q94" s="3"/>
      <c r="R94" s="767">
        <f t="shared" si="21"/>
        <v>0</v>
      </c>
      <c r="S94" s="767">
        <f t="shared" si="21"/>
        <v>0</v>
      </c>
      <c r="T94" s="767">
        <f t="shared" si="21"/>
        <v>0</v>
      </c>
      <c r="U94" s="767">
        <f t="shared" si="21"/>
        <v>0</v>
      </c>
      <c r="V94" s="767">
        <f t="shared" si="21"/>
        <v>0</v>
      </c>
      <c r="W94" s="767">
        <f t="shared" si="21"/>
        <v>0</v>
      </c>
      <c r="X94" s="767">
        <f t="shared" si="21"/>
        <v>0</v>
      </c>
      <c r="Y94" s="767">
        <f t="shared" si="21"/>
        <v>0</v>
      </c>
      <c r="Z94" s="3"/>
      <c r="AA94" s="767">
        <f t="shared" si="22"/>
        <v>0</v>
      </c>
      <c r="AB94" s="767">
        <f t="shared" si="22"/>
        <v>0</v>
      </c>
      <c r="AC94" s="767">
        <f t="shared" si="22"/>
        <v>0</v>
      </c>
      <c r="AD94" s="767">
        <f t="shared" si="22"/>
        <v>0</v>
      </c>
      <c r="AE94" s="767">
        <f t="shared" si="22"/>
        <v>0</v>
      </c>
      <c r="AF94" s="767">
        <f t="shared" si="22"/>
        <v>0</v>
      </c>
      <c r="AG94" s="767">
        <f t="shared" si="22"/>
        <v>0</v>
      </c>
      <c r="AH94" s="767">
        <f t="shared" si="22"/>
        <v>0</v>
      </c>
      <c r="AI94" s="6"/>
      <c r="AJ94" s="22"/>
    </row>
    <row r="95" spans="2:36" ht="13.15" customHeight="1" x14ac:dyDescent="0.2">
      <c r="B95" s="18"/>
      <c r="C95" s="31"/>
      <c r="D95" s="117"/>
      <c r="E95" s="117"/>
      <c r="F95" s="119"/>
      <c r="G95" s="33"/>
      <c r="H95" s="209"/>
      <c r="I95" s="33"/>
      <c r="J95" s="33"/>
      <c r="K95" s="3"/>
      <c r="L95" s="32">
        <f t="shared" si="24"/>
        <v>0</v>
      </c>
      <c r="M95" s="767">
        <f t="shared" si="25"/>
        <v>0</v>
      </c>
      <c r="N95" s="767">
        <f t="shared" si="26"/>
        <v>0</v>
      </c>
      <c r="O95" s="1001" t="str">
        <f t="shared" si="27"/>
        <v>-</v>
      </c>
      <c r="P95" s="767">
        <f t="shared" si="28"/>
        <v>0</v>
      </c>
      <c r="Q95" s="3"/>
      <c r="R95" s="767">
        <f t="shared" si="21"/>
        <v>0</v>
      </c>
      <c r="S95" s="767">
        <f t="shared" si="21"/>
        <v>0</v>
      </c>
      <c r="T95" s="767">
        <f t="shared" si="21"/>
        <v>0</v>
      </c>
      <c r="U95" s="767">
        <f t="shared" si="21"/>
        <v>0</v>
      </c>
      <c r="V95" s="767">
        <f t="shared" si="21"/>
        <v>0</v>
      </c>
      <c r="W95" s="767">
        <f t="shared" si="21"/>
        <v>0</v>
      </c>
      <c r="X95" s="767">
        <f t="shared" si="21"/>
        <v>0</v>
      </c>
      <c r="Y95" s="767">
        <f t="shared" si="21"/>
        <v>0</v>
      </c>
      <c r="Z95" s="3"/>
      <c r="AA95" s="767">
        <f t="shared" si="22"/>
        <v>0</v>
      </c>
      <c r="AB95" s="767">
        <f t="shared" si="22"/>
        <v>0</v>
      </c>
      <c r="AC95" s="767">
        <f t="shared" si="22"/>
        <v>0</v>
      </c>
      <c r="AD95" s="767">
        <f t="shared" si="22"/>
        <v>0</v>
      </c>
      <c r="AE95" s="767">
        <f t="shared" si="22"/>
        <v>0</v>
      </c>
      <c r="AF95" s="767">
        <f t="shared" si="22"/>
        <v>0</v>
      </c>
      <c r="AG95" s="767">
        <f t="shared" si="22"/>
        <v>0</v>
      </c>
      <c r="AH95" s="767">
        <f t="shared" si="22"/>
        <v>0</v>
      </c>
      <c r="AI95" s="6"/>
      <c r="AJ95" s="22"/>
    </row>
    <row r="96" spans="2:36" ht="13.15" customHeight="1" x14ac:dyDescent="0.2">
      <c r="B96" s="18"/>
      <c r="C96" s="31"/>
      <c r="D96" s="117"/>
      <c r="E96" s="117"/>
      <c r="F96" s="119"/>
      <c r="G96" s="33"/>
      <c r="H96" s="209"/>
      <c r="I96" s="33"/>
      <c r="J96" s="33"/>
      <c r="K96" s="3"/>
      <c r="L96" s="32">
        <f t="shared" si="24"/>
        <v>0</v>
      </c>
      <c r="M96" s="767">
        <f t="shared" si="25"/>
        <v>0</v>
      </c>
      <c r="N96" s="767">
        <f t="shared" si="26"/>
        <v>0</v>
      </c>
      <c r="O96" s="1001" t="str">
        <f t="shared" si="27"/>
        <v>-</v>
      </c>
      <c r="P96" s="767">
        <f t="shared" si="28"/>
        <v>0</v>
      </c>
      <c r="Q96" s="3"/>
      <c r="R96" s="767">
        <f t="shared" si="21"/>
        <v>0</v>
      </c>
      <c r="S96" s="767">
        <f t="shared" si="21"/>
        <v>0</v>
      </c>
      <c r="T96" s="767">
        <f t="shared" si="21"/>
        <v>0</v>
      </c>
      <c r="U96" s="767">
        <f t="shared" si="21"/>
        <v>0</v>
      </c>
      <c r="V96" s="767">
        <f t="shared" si="21"/>
        <v>0</v>
      </c>
      <c r="W96" s="767">
        <f t="shared" si="21"/>
        <v>0</v>
      </c>
      <c r="X96" s="767">
        <f t="shared" si="21"/>
        <v>0</v>
      </c>
      <c r="Y96" s="767">
        <f t="shared" si="21"/>
        <v>0</v>
      </c>
      <c r="Z96" s="3"/>
      <c r="AA96" s="767">
        <f t="shared" si="22"/>
        <v>0</v>
      </c>
      <c r="AB96" s="767">
        <f t="shared" si="22"/>
        <v>0</v>
      </c>
      <c r="AC96" s="767">
        <f t="shared" si="22"/>
        <v>0</v>
      </c>
      <c r="AD96" s="767">
        <f t="shared" si="22"/>
        <v>0</v>
      </c>
      <c r="AE96" s="767">
        <f t="shared" si="22"/>
        <v>0</v>
      </c>
      <c r="AF96" s="767">
        <f t="shared" si="22"/>
        <v>0</v>
      </c>
      <c r="AG96" s="767">
        <f t="shared" si="22"/>
        <v>0</v>
      </c>
      <c r="AH96" s="767">
        <f t="shared" si="22"/>
        <v>0</v>
      </c>
      <c r="AI96" s="6"/>
      <c r="AJ96" s="22"/>
    </row>
    <row r="97" spans="2:36" ht="13.15" customHeight="1" x14ac:dyDescent="0.2">
      <c r="B97" s="18"/>
      <c r="C97" s="31"/>
      <c r="D97" s="117"/>
      <c r="E97" s="117"/>
      <c r="F97" s="119"/>
      <c r="G97" s="33"/>
      <c r="H97" s="209"/>
      <c r="I97" s="33"/>
      <c r="J97" s="33"/>
      <c r="K97" s="3"/>
      <c r="L97" s="32">
        <f t="shared" si="24"/>
        <v>0</v>
      </c>
      <c r="M97" s="767">
        <f t="shared" si="25"/>
        <v>0</v>
      </c>
      <c r="N97" s="767">
        <f t="shared" si="26"/>
        <v>0</v>
      </c>
      <c r="O97" s="1001" t="str">
        <f t="shared" si="27"/>
        <v>-</v>
      </c>
      <c r="P97" s="767">
        <f t="shared" si="28"/>
        <v>0</v>
      </c>
      <c r="Q97" s="3"/>
      <c r="R97" s="767">
        <f t="shared" si="21"/>
        <v>0</v>
      </c>
      <c r="S97" s="767">
        <f t="shared" si="21"/>
        <v>0</v>
      </c>
      <c r="T97" s="767">
        <f t="shared" si="21"/>
        <v>0</v>
      </c>
      <c r="U97" s="767">
        <f t="shared" si="21"/>
        <v>0</v>
      </c>
      <c r="V97" s="767">
        <f t="shared" si="21"/>
        <v>0</v>
      </c>
      <c r="W97" s="767">
        <f t="shared" si="21"/>
        <v>0</v>
      </c>
      <c r="X97" s="767">
        <f t="shared" si="21"/>
        <v>0</v>
      </c>
      <c r="Y97" s="767">
        <f t="shared" si="21"/>
        <v>0</v>
      </c>
      <c r="Z97" s="3"/>
      <c r="AA97" s="767">
        <f t="shared" si="22"/>
        <v>0</v>
      </c>
      <c r="AB97" s="767">
        <f t="shared" si="22"/>
        <v>0</v>
      </c>
      <c r="AC97" s="767">
        <f t="shared" si="22"/>
        <v>0</v>
      </c>
      <c r="AD97" s="767">
        <f t="shared" si="22"/>
        <v>0</v>
      </c>
      <c r="AE97" s="767">
        <f t="shared" si="22"/>
        <v>0</v>
      </c>
      <c r="AF97" s="767">
        <f t="shared" si="22"/>
        <v>0</v>
      </c>
      <c r="AG97" s="767">
        <f t="shared" si="22"/>
        <v>0</v>
      </c>
      <c r="AH97" s="767">
        <f t="shared" si="22"/>
        <v>0</v>
      </c>
      <c r="AI97" s="6"/>
      <c r="AJ97" s="22"/>
    </row>
    <row r="98" spans="2:36" ht="13.15" customHeight="1" x14ac:dyDescent="0.2">
      <c r="B98" s="18"/>
      <c r="C98" s="31"/>
      <c r="D98" s="117"/>
      <c r="E98" s="117"/>
      <c r="F98" s="119"/>
      <c r="G98" s="33"/>
      <c r="H98" s="209"/>
      <c r="I98" s="33"/>
      <c r="J98" s="33"/>
      <c r="K98" s="3"/>
      <c r="L98" s="32">
        <f t="shared" si="24"/>
        <v>0</v>
      </c>
      <c r="M98" s="767">
        <f t="shared" si="25"/>
        <v>0</v>
      </c>
      <c r="N98" s="767">
        <f t="shared" si="26"/>
        <v>0</v>
      </c>
      <c r="O98" s="1001" t="str">
        <f t="shared" si="27"/>
        <v>-</v>
      </c>
      <c r="P98" s="767">
        <f t="shared" si="28"/>
        <v>0</v>
      </c>
      <c r="Q98" s="3"/>
      <c r="R98" s="767">
        <f t="shared" si="21"/>
        <v>0</v>
      </c>
      <c r="S98" s="767">
        <f t="shared" si="21"/>
        <v>0</v>
      </c>
      <c r="T98" s="767">
        <f t="shared" si="21"/>
        <v>0</v>
      </c>
      <c r="U98" s="767">
        <f t="shared" si="21"/>
        <v>0</v>
      </c>
      <c r="V98" s="767">
        <f t="shared" si="21"/>
        <v>0</v>
      </c>
      <c r="W98" s="767">
        <f t="shared" si="21"/>
        <v>0</v>
      </c>
      <c r="X98" s="767">
        <f t="shared" si="21"/>
        <v>0</v>
      </c>
      <c r="Y98" s="767">
        <f t="shared" ref="R98:Y110" si="29">(IF(Y$8&lt;$I98,0,IF($O98&lt;=Y$8-1,0,$N98)))</f>
        <v>0</v>
      </c>
      <c r="Z98" s="3"/>
      <c r="AA98" s="767">
        <f t="shared" si="22"/>
        <v>0</v>
      </c>
      <c r="AB98" s="767">
        <f t="shared" si="22"/>
        <v>0</v>
      </c>
      <c r="AC98" s="767">
        <f t="shared" si="22"/>
        <v>0</v>
      </c>
      <c r="AD98" s="767">
        <f t="shared" si="22"/>
        <v>0</v>
      </c>
      <c r="AE98" s="767">
        <f t="shared" si="22"/>
        <v>0</v>
      </c>
      <c r="AF98" s="767">
        <f t="shared" si="22"/>
        <v>0</v>
      </c>
      <c r="AG98" s="767">
        <f t="shared" si="22"/>
        <v>0</v>
      </c>
      <c r="AH98" s="767">
        <f t="shared" ref="AA98:AH110" si="30">IF(AH$8=$I98,($G98*$H98),0)</f>
        <v>0</v>
      </c>
      <c r="AI98" s="6"/>
      <c r="AJ98" s="22"/>
    </row>
    <row r="99" spans="2:36" ht="13.15" customHeight="1" x14ac:dyDescent="0.2">
      <c r="B99" s="18"/>
      <c r="C99" s="31"/>
      <c r="D99" s="117"/>
      <c r="E99" s="117"/>
      <c r="F99" s="119"/>
      <c r="G99" s="33"/>
      <c r="H99" s="209"/>
      <c r="I99" s="33"/>
      <c r="J99" s="33"/>
      <c r="K99" s="3"/>
      <c r="L99" s="32">
        <f t="shared" si="24"/>
        <v>0</v>
      </c>
      <c r="M99" s="767">
        <f t="shared" si="25"/>
        <v>0</v>
      </c>
      <c r="N99" s="767">
        <f t="shared" si="26"/>
        <v>0</v>
      </c>
      <c r="O99" s="1001" t="str">
        <f t="shared" si="27"/>
        <v>-</v>
      </c>
      <c r="P99" s="767">
        <f t="shared" si="28"/>
        <v>0</v>
      </c>
      <c r="Q99" s="3"/>
      <c r="R99" s="767">
        <f t="shared" si="29"/>
        <v>0</v>
      </c>
      <c r="S99" s="767">
        <f t="shared" si="29"/>
        <v>0</v>
      </c>
      <c r="T99" s="767">
        <f t="shared" si="29"/>
        <v>0</v>
      </c>
      <c r="U99" s="767">
        <f t="shared" si="29"/>
        <v>0</v>
      </c>
      <c r="V99" s="767">
        <f t="shared" si="29"/>
        <v>0</v>
      </c>
      <c r="W99" s="767">
        <f t="shared" si="29"/>
        <v>0</v>
      </c>
      <c r="X99" s="767">
        <f t="shared" si="29"/>
        <v>0</v>
      </c>
      <c r="Y99" s="767">
        <f t="shared" si="29"/>
        <v>0</v>
      </c>
      <c r="Z99" s="3"/>
      <c r="AA99" s="767">
        <f t="shared" si="30"/>
        <v>0</v>
      </c>
      <c r="AB99" s="767">
        <f t="shared" si="30"/>
        <v>0</v>
      </c>
      <c r="AC99" s="767">
        <f t="shared" si="30"/>
        <v>0</v>
      </c>
      <c r="AD99" s="767">
        <f t="shared" si="30"/>
        <v>0</v>
      </c>
      <c r="AE99" s="767">
        <f t="shared" si="30"/>
        <v>0</v>
      </c>
      <c r="AF99" s="767">
        <f t="shared" si="30"/>
        <v>0</v>
      </c>
      <c r="AG99" s="767">
        <f t="shared" si="30"/>
        <v>0</v>
      </c>
      <c r="AH99" s="767">
        <f t="shared" si="30"/>
        <v>0</v>
      </c>
      <c r="AI99" s="6"/>
      <c r="AJ99" s="22"/>
    </row>
    <row r="100" spans="2:36" ht="13.15" customHeight="1" x14ac:dyDescent="0.2">
      <c r="B100" s="18"/>
      <c r="C100" s="31"/>
      <c r="D100" s="117"/>
      <c r="E100" s="117"/>
      <c r="F100" s="119"/>
      <c r="G100" s="33"/>
      <c r="H100" s="209"/>
      <c r="I100" s="33"/>
      <c r="J100" s="33"/>
      <c r="K100" s="3"/>
      <c r="L100" s="32">
        <f t="shared" si="24"/>
        <v>0</v>
      </c>
      <c r="M100" s="767">
        <f t="shared" si="25"/>
        <v>0</v>
      </c>
      <c r="N100" s="767">
        <f t="shared" si="26"/>
        <v>0</v>
      </c>
      <c r="O100" s="1001" t="str">
        <f t="shared" si="27"/>
        <v>-</v>
      </c>
      <c r="P100" s="767">
        <f t="shared" si="28"/>
        <v>0</v>
      </c>
      <c r="Q100" s="3"/>
      <c r="R100" s="767">
        <f t="shared" si="29"/>
        <v>0</v>
      </c>
      <c r="S100" s="767">
        <f t="shared" si="29"/>
        <v>0</v>
      </c>
      <c r="T100" s="767">
        <f t="shared" si="29"/>
        <v>0</v>
      </c>
      <c r="U100" s="767">
        <f t="shared" si="29"/>
        <v>0</v>
      </c>
      <c r="V100" s="767">
        <f t="shared" si="29"/>
        <v>0</v>
      </c>
      <c r="W100" s="767">
        <f t="shared" si="29"/>
        <v>0</v>
      </c>
      <c r="X100" s="767">
        <f t="shared" si="29"/>
        <v>0</v>
      </c>
      <c r="Y100" s="767">
        <f t="shared" si="29"/>
        <v>0</v>
      </c>
      <c r="Z100" s="3"/>
      <c r="AA100" s="767">
        <f t="shared" si="30"/>
        <v>0</v>
      </c>
      <c r="AB100" s="767">
        <f t="shared" si="30"/>
        <v>0</v>
      </c>
      <c r="AC100" s="767">
        <f t="shared" si="30"/>
        <v>0</v>
      </c>
      <c r="AD100" s="767">
        <f t="shared" si="30"/>
        <v>0</v>
      </c>
      <c r="AE100" s="767">
        <f t="shared" si="30"/>
        <v>0</v>
      </c>
      <c r="AF100" s="767">
        <f t="shared" si="30"/>
        <v>0</v>
      </c>
      <c r="AG100" s="767">
        <f t="shared" si="30"/>
        <v>0</v>
      </c>
      <c r="AH100" s="767">
        <f t="shared" si="30"/>
        <v>0</v>
      </c>
      <c r="AI100" s="6"/>
      <c r="AJ100" s="22"/>
    </row>
    <row r="101" spans="2:36" ht="13.15" customHeight="1" x14ac:dyDescent="0.2">
      <c r="B101" s="18"/>
      <c r="C101" s="31"/>
      <c r="D101" s="117"/>
      <c r="E101" s="117"/>
      <c r="F101" s="119"/>
      <c r="G101" s="33"/>
      <c r="H101" s="209"/>
      <c r="I101" s="33"/>
      <c r="J101" s="33"/>
      <c r="K101" s="3"/>
      <c r="L101" s="32">
        <f t="shared" si="24"/>
        <v>0</v>
      </c>
      <c r="M101" s="767">
        <f t="shared" si="25"/>
        <v>0</v>
      </c>
      <c r="N101" s="767">
        <f t="shared" si="26"/>
        <v>0</v>
      </c>
      <c r="O101" s="1001" t="str">
        <f t="shared" si="27"/>
        <v>-</v>
      </c>
      <c r="P101" s="767">
        <f t="shared" si="28"/>
        <v>0</v>
      </c>
      <c r="Q101" s="3"/>
      <c r="R101" s="767">
        <f t="shared" si="29"/>
        <v>0</v>
      </c>
      <c r="S101" s="767">
        <f t="shared" si="29"/>
        <v>0</v>
      </c>
      <c r="T101" s="767">
        <f t="shared" si="29"/>
        <v>0</v>
      </c>
      <c r="U101" s="767">
        <f t="shared" si="29"/>
        <v>0</v>
      </c>
      <c r="V101" s="767">
        <f t="shared" si="29"/>
        <v>0</v>
      </c>
      <c r="W101" s="767">
        <f t="shared" si="29"/>
        <v>0</v>
      </c>
      <c r="X101" s="767">
        <f t="shared" si="29"/>
        <v>0</v>
      </c>
      <c r="Y101" s="767">
        <f t="shared" si="29"/>
        <v>0</v>
      </c>
      <c r="Z101" s="3"/>
      <c r="AA101" s="767">
        <f t="shared" si="30"/>
        <v>0</v>
      </c>
      <c r="AB101" s="767">
        <f t="shared" si="30"/>
        <v>0</v>
      </c>
      <c r="AC101" s="767">
        <f t="shared" si="30"/>
        <v>0</v>
      </c>
      <c r="AD101" s="767">
        <f t="shared" si="30"/>
        <v>0</v>
      </c>
      <c r="AE101" s="767">
        <f t="shared" si="30"/>
        <v>0</v>
      </c>
      <c r="AF101" s="767">
        <f t="shared" si="30"/>
        <v>0</v>
      </c>
      <c r="AG101" s="767">
        <f t="shared" si="30"/>
        <v>0</v>
      </c>
      <c r="AH101" s="767">
        <f t="shared" si="30"/>
        <v>0</v>
      </c>
      <c r="AI101" s="6"/>
      <c r="AJ101" s="22"/>
    </row>
    <row r="102" spans="2:36" ht="13.15" customHeight="1" x14ac:dyDescent="0.2">
      <c r="B102" s="18"/>
      <c r="C102" s="31"/>
      <c r="D102" s="117"/>
      <c r="E102" s="117"/>
      <c r="F102" s="119"/>
      <c r="G102" s="33"/>
      <c r="H102" s="209"/>
      <c r="I102" s="33"/>
      <c r="J102" s="33"/>
      <c r="K102" s="3"/>
      <c r="L102" s="32">
        <f t="shared" si="24"/>
        <v>0</v>
      </c>
      <c r="M102" s="767">
        <f t="shared" si="25"/>
        <v>0</v>
      </c>
      <c r="N102" s="767">
        <f t="shared" si="26"/>
        <v>0</v>
      </c>
      <c r="O102" s="1001" t="str">
        <f t="shared" si="27"/>
        <v>-</v>
      </c>
      <c r="P102" s="767">
        <f t="shared" si="28"/>
        <v>0</v>
      </c>
      <c r="Q102" s="3"/>
      <c r="R102" s="767">
        <f t="shared" si="29"/>
        <v>0</v>
      </c>
      <c r="S102" s="767">
        <f t="shared" si="29"/>
        <v>0</v>
      </c>
      <c r="T102" s="767">
        <f t="shared" si="29"/>
        <v>0</v>
      </c>
      <c r="U102" s="767">
        <f t="shared" si="29"/>
        <v>0</v>
      </c>
      <c r="V102" s="767">
        <f t="shared" si="29"/>
        <v>0</v>
      </c>
      <c r="W102" s="767">
        <f t="shared" si="29"/>
        <v>0</v>
      </c>
      <c r="X102" s="767">
        <f t="shared" si="29"/>
        <v>0</v>
      </c>
      <c r="Y102" s="767">
        <f t="shared" si="29"/>
        <v>0</v>
      </c>
      <c r="Z102" s="3"/>
      <c r="AA102" s="767">
        <f t="shared" si="30"/>
        <v>0</v>
      </c>
      <c r="AB102" s="767">
        <f t="shared" si="30"/>
        <v>0</v>
      </c>
      <c r="AC102" s="767">
        <f t="shared" si="30"/>
        <v>0</v>
      </c>
      <c r="AD102" s="767">
        <f t="shared" si="30"/>
        <v>0</v>
      </c>
      <c r="AE102" s="767">
        <f t="shared" si="30"/>
        <v>0</v>
      </c>
      <c r="AF102" s="767">
        <f t="shared" si="30"/>
        <v>0</v>
      </c>
      <c r="AG102" s="767">
        <f t="shared" si="30"/>
        <v>0</v>
      </c>
      <c r="AH102" s="767">
        <f t="shared" si="30"/>
        <v>0</v>
      </c>
      <c r="AI102" s="6"/>
      <c r="AJ102" s="22"/>
    </row>
    <row r="103" spans="2:36" ht="13.15" customHeight="1" x14ac:dyDescent="0.2">
      <c r="B103" s="18"/>
      <c r="C103" s="31"/>
      <c r="D103" s="117"/>
      <c r="E103" s="117"/>
      <c r="F103" s="119"/>
      <c r="G103" s="33"/>
      <c r="H103" s="209"/>
      <c r="I103" s="33"/>
      <c r="J103" s="33"/>
      <c r="K103" s="3"/>
      <c r="L103" s="32">
        <f t="shared" si="24"/>
        <v>0</v>
      </c>
      <c r="M103" s="767">
        <f t="shared" si="25"/>
        <v>0</v>
      </c>
      <c r="N103" s="767">
        <f t="shared" si="26"/>
        <v>0</v>
      </c>
      <c r="O103" s="1001" t="str">
        <f t="shared" si="27"/>
        <v>-</v>
      </c>
      <c r="P103" s="767">
        <f t="shared" si="28"/>
        <v>0</v>
      </c>
      <c r="Q103" s="3"/>
      <c r="R103" s="767">
        <f t="shared" si="29"/>
        <v>0</v>
      </c>
      <c r="S103" s="767">
        <f t="shared" si="29"/>
        <v>0</v>
      </c>
      <c r="T103" s="767">
        <f t="shared" si="29"/>
        <v>0</v>
      </c>
      <c r="U103" s="767">
        <f t="shared" si="29"/>
        <v>0</v>
      </c>
      <c r="V103" s="767">
        <f t="shared" si="29"/>
        <v>0</v>
      </c>
      <c r="W103" s="767">
        <f t="shared" si="29"/>
        <v>0</v>
      </c>
      <c r="X103" s="767">
        <f t="shared" si="29"/>
        <v>0</v>
      </c>
      <c r="Y103" s="767">
        <f t="shared" si="29"/>
        <v>0</v>
      </c>
      <c r="Z103" s="3"/>
      <c r="AA103" s="767">
        <f t="shared" si="30"/>
        <v>0</v>
      </c>
      <c r="AB103" s="767">
        <f t="shared" si="30"/>
        <v>0</v>
      </c>
      <c r="AC103" s="767">
        <f t="shared" si="30"/>
        <v>0</v>
      </c>
      <c r="AD103" s="767">
        <f t="shared" si="30"/>
        <v>0</v>
      </c>
      <c r="AE103" s="767">
        <f t="shared" si="30"/>
        <v>0</v>
      </c>
      <c r="AF103" s="767">
        <f t="shared" si="30"/>
        <v>0</v>
      </c>
      <c r="AG103" s="767">
        <f t="shared" si="30"/>
        <v>0</v>
      </c>
      <c r="AH103" s="767">
        <f t="shared" si="30"/>
        <v>0</v>
      </c>
      <c r="AI103" s="6"/>
      <c r="AJ103" s="22"/>
    </row>
    <row r="104" spans="2:36" ht="13.15" customHeight="1" x14ac:dyDescent="0.2">
      <c r="B104" s="18"/>
      <c r="C104" s="31"/>
      <c r="D104" s="117"/>
      <c r="E104" s="117"/>
      <c r="F104" s="119"/>
      <c r="G104" s="33"/>
      <c r="H104" s="209"/>
      <c r="I104" s="33"/>
      <c r="J104" s="33"/>
      <c r="K104" s="3"/>
      <c r="L104" s="32">
        <f t="shared" si="24"/>
        <v>0</v>
      </c>
      <c r="M104" s="767">
        <f t="shared" si="25"/>
        <v>0</v>
      </c>
      <c r="N104" s="767">
        <f t="shared" si="26"/>
        <v>0</v>
      </c>
      <c r="O104" s="1001" t="str">
        <f t="shared" si="27"/>
        <v>-</v>
      </c>
      <c r="P104" s="767">
        <f t="shared" si="28"/>
        <v>0</v>
      </c>
      <c r="Q104" s="3"/>
      <c r="R104" s="767">
        <f t="shared" si="29"/>
        <v>0</v>
      </c>
      <c r="S104" s="767">
        <f t="shared" si="29"/>
        <v>0</v>
      </c>
      <c r="T104" s="767">
        <f t="shared" si="29"/>
        <v>0</v>
      </c>
      <c r="U104" s="767">
        <f t="shared" si="29"/>
        <v>0</v>
      </c>
      <c r="V104" s="767">
        <f t="shared" si="29"/>
        <v>0</v>
      </c>
      <c r="W104" s="767">
        <f t="shared" si="29"/>
        <v>0</v>
      </c>
      <c r="X104" s="767">
        <f t="shared" si="29"/>
        <v>0</v>
      </c>
      <c r="Y104" s="767">
        <f t="shared" si="29"/>
        <v>0</v>
      </c>
      <c r="Z104" s="3"/>
      <c r="AA104" s="767">
        <f t="shared" si="30"/>
        <v>0</v>
      </c>
      <c r="AB104" s="767">
        <f t="shared" si="30"/>
        <v>0</v>
      </c>
      <c r="AC104" s="767">
        <f t="shared" si="30"/>
        <v>0</v>
      </c>
      <c r="AD104" s="767">
        <f t="shared" si="30"/>
        <v>0</v>
      </c>
      <c r="AE104" s="767">
        <f t="shared" si="30"/>
        <v>0</v>
      </c>
      <c r="AF104" s="767">
        <f t="shared" si="30"/>
        <v>0</v>
      </c>
      <c r="AG104" s="767">
        <f t="shared" si="30"/>
        <v>0</v>
      </c>
      <c r="AH104" s="767">
        <f t="shared" si="30"/>
        <v>0</v>
      </c>
      <c r="AI104" s="6"/>
      <c r="AJ104" s="22"/>
    </row>
    <row r="105" spans="2:36" ht="13.15" customHeight="1" x14ac:dyDescent="0.2">
      <c r="B105" s="18"/>
      <c r="C105" s="31"/>
      <c r="D105" s="117"/>
      <c r="E105" s="117"/>
      <c r="F105" s="119"/>
      <c r="G105" s="33"/>
      <c r="H105" s="209"/>
      <c r="I105" s="33"/>
      <c r="J105" s="33"/>
      <c r="K105" s="3"/>
      <c r="L105" s="32">
        <f t="shared" si="24"/>
        <v>0</v>
      </c>
      <c r="M105" s="767">
        <f t="shared" si="25"/>
        <v>0</v>
      </c>
      <c r="N105" s="767">
        <f t="shared" si="26"/>
        <v>0</v>
      </c>
      <c r="O105" s="1001" t="str">
        <f t="shared" si="27"/>
        <v>-</v>
      </c>
      <c r="P105" s="767">
        <f t="shared" si="28"/>
        <v>0</v>
      </c>
      <c r="Q105" s="3"/>
      <c r="R105" s="767">
        <f t="shared" si="29"/>
        <v>0</v>
      </c>
      <c r="S105" s="767">
        <f t="shared" si="29"/>
        <v>0</v>
      </c>
      <c r="T105" s="767">
        <f t="shared" si="29"/>
        <v>0</v>
      </c>
      <c r="U105" s="767">
        <f t="shared" si="29"/>
        <v>0</v>
      </c>
      <c r="V105" s="767">
        <f t="shared" si="29"/>
        <v>0</v>
      </c>
      <c r="W105" s="767">
        <f t="shared" si="29"/>
        <v>0</v>
      </c>
      <c r="X105" s="767">
        <f t="shared" si="29"/>
        <v>0</v>
      </c>
      <c r="Y105" s="767">
        <f t="shared" si="29"/>
        <v>0</v>
      </c>
      <c r="Z105" s="3"/>
      <c r="AA105" s="767">
        <f t="shared" si="30"/>
        <v>0</v>
      </c>
      <c r="AB105" s="767">
        <f t="shared" si="30"/>
        <v>0</v>
      </c>
      <c r="AC105" s="767">
        <f t="shared" si="30"/>
        <v>0</v>
      </c>
      <c r="AD105" s="767">
        <f t="shared" si="30"/>
        <v>0</v>
      </c>
      <c r="AE105" s="767">
        <f t="shared" si="30"/>
        <v>0</v>
      </c>
      <c r="AF105" s="767">
        <f t="shared" si="30"/>
        <v>0</v>
      </c>
      <c r="AG105" s="767">
        <f t="shared" si="30"/>
        <v>0</v>
      </c>
      <c r="AH105" s="767">
        <f t="shared" si="30"/>
        <v>0</v>
      </c>
      <c r="AI105" s="6"/>
      <c r="AJ105" s="22"/>
    </row>
    <row r="106" spans="2:36" ht="13.15" customHeight="1" x14ac:dyDescent="0.2">
      <c r="B106" s="18"/>
      <c r="C106" s="31"/>
      <c r="D106" s="117"/>
      <c r="E106" s="117"/>
      <c r="F106" s="119"/>
      <c r="G106" s="33"/>
      <c r="H106" s="209"/>
      <c r="I106" s="33"/>
      <c r="J106" s="33"/>
      <c r="K106" s="3"/>
      <c r="L106" s="32">
        <f t="shared" si="24"/>
        <v>0</v>
      </c>
      <c r="M106" s="767">
        <f t="shared" si="25"/>
        <v>0</v>
      </c>
      <c r="N106" s="767">
        <f t="shared" si="26"/>
        <v>0</v>
      </c>
      <c r="O106" s="1001" t="str">
        <f t="shared" si="27"/>
        <v>-</v>
      </c>
      <c r="P106" s="767">
        <f t="shared" si="28"/>
        <v>0</v>
      </c>
      <c r="Q106" s="3"/>
      <c r="R106" s="767">
        <f t="shared" si="29"/>
        <v>0</v>
      </c>
      <c r="S106" s="767">
        <f t="shared" si="29"/>
        <v>0</v>
      </c>
      <c r="T106" s="767">
        <f t="shared" si="29"/>
        <v>0</v>
      </c>
      <c r="U106" s="767">
        <f t="shared" si="29"/>
        <v>0</v>
      </c>
      <c r="V106" s="767">
        <f t="shared" si="29"/>
        <v>0</v>
      </c>
      <c r="W106" s="767">
        <f t="shared" si="29"/>
        <v>0</v>
      </c>
      <c r="X106" s="767">
        <f t="shared" si="29"/>
        <v>0</v>
      </c>
      <c r="Y106" s="767">
        <f t="shared" si="29"/>
        <v>0</v>
      </c>
      <c r="Z106" s="3"/>
      <c r="AA106" s="767">
        <f t="shared" si="30"/>
        <v>0</v>
      </c>
      <c r="AB106" s="767">
        <f t="shared" si="30"/>
        <v>0</v>
      </c>
      <c r="AC106" s="767">
        <f t="shared" si="30"/>
        <v>0</v>
      </c>
      <c r="AD106" s="767">
        <f t="shared" si="30"/>
        <v>0</v>
      </c>
      <c r="AE106" s="767">
        <f t="shared" si="30"/>
        <v>0</v>
      </c>
      <c r="AF106" s="767">
        <f t="shared" si="30"/>
        <v>0</v>
      </c>
      <c r="AG106" s="767">
        <f t="shared" si="30"/>
        <v>0</v>
      </c>
      <c r="AH106" s="767">
        <f t="shared" si="30"/>
        <v>0</v>
      </c>
      <c r="AI106" s="6"/>
      <c r="AJ106" s="22"/>
    </row>
    <row r="107" spans="2:36" ht="13.15" customHeight="1" x14ac:dyDescent="0.2">
      <c r="B107" s="18"/>
      <c r="C107" s="31"/>
      <c r="D107" s="117"/>
      <c r="E107" s="117"/>
      <c r="F107" s="119"/>
      <c r="G107" s="33"/>
      <c r="H107" s="209"/>
      <c r="I107" s="33"/>
      <c r="J107" s="33"/>
      <c r="K107" s="3"/>
      <c r="L107" s="32">
        <f t="shared" si="24"/>
        <v>0</v>
      </c>
      <c r="M107" s="767">
        <f t="shared" si="25"/>
        <v>0</v>
      </c>
      <c r="N107" s="767">
        <f t="shared" si="26"/>
        <v>0</v>
      </c>
      <c r="O107" s="1001" t="str">
        <f t="shared" si="27"/>
        <v>-</v>
      </c>
      <c r="P107" s="767">
        <f t="shared" si="28"/>
        <v>0</v>
      </c>
      <c r="Q107" s="3"/>
      <c r="R107" s="767">
        <f t="shared" si="29"/>
        <v>0</v>
      </c>
      <c r="S107" s="767">
        <f t="shared" si="29"/>
        <v>0</v>
      </c>
      <c r="T107" s="767">
        <f t="shared" si="29"/>
        <v>0</v>
      </c>
      <c r="U107" s="767">
        <f t="shared" si="29"/>
        <v>0</v>
      </c>
      <c r="V107" s="767">
        <f t="shared" si="29"/>
        <v>0</v>
      </c>
      <c r="W107" s="767">
        <f t="shared" si="29"/>
        <v>0</v>
      </c>
      <c r="X107" s="767">
        <f t="shared" si="29"/>
        <v>0</v>
      </c>
      <c r="Y107" s="767">
        <f t="shared" si="29"/>
        <v>0</v>
      </c>
      <c r="Z107" s="3"/>
      <c r="AA107" s="767">
        <f t="shared" si="30"/>
        <v>0</v>
      </c>
      <c r="AB107" s="767">
        <f t="shared" si="30"/>
        <v>0</v>
      </c>
      <c r="AC107" s="767">
        <f t="shared" si="30"/>
        <v>0</v>
      </c>
      <c r="AD107" s="767">
        <f t="shared" si="30"/>
        <v>0</v>
      </c>
      <c r="AE107" s="767">
        <f t="shared" si="30"/>
        <v>0</v>
      </c>
      <c r="AF107" s="767">
        <f t="shared" si="30"/>
        <v>0</v>
      </c>
      <c r="AG107" s="767">
        <f t="shared" si="30"/>
        <v>0</v>
      </c>
      <c r="AH107" s="767">
        <f t="shared" si="30"/>
        <v>0</v>
      </c>
      <c r="AI107" s="6"/>
      <c r="AJ107" s="22"/>
    </row>
    <row r="108" spans="2:36" ht="13.15" customHeight="1" x14ac:dyDescent="0.2">
      <c r="B108" s="18"/>
      <c r="C108" s="31"/>
      <c r="D108" s="117"/>
      <c r="E108" s="117"/>
      <c r="F108" s="119"/>
      <c r="G108" s="33"/>
      <c r="H108" s="209"/>
      <c r="I108" s="33"/>
      <c r="J108" s="33"/>
      <c r="K108" s="3"/>
      <c r="L108" s="32">
        <f t="shared" si="24"/>
        <v>0</v>
      </c>
      <c r="M108" s="767">
        <f t="shared" si="25"/>
        <v>0</v>
      </c>
      <c r="N108" s="767">
        <f t="shared" si="26"/>
        <v>0</v>
      </c>
      <c r="O108" s="1001" t="str">
        <f t="shared" si="27"/>
        <v>-</v>
      </c>
      <c r="P108" s="767">
        <f t="shared" si="28"/>
        <v>0</v>
      </c>
      <c r="Q108" s="3"/>
      <c r="R108" s="767">
        <f t="shared" si="29"/>
        <v>0</v>
      </c>
      <c r="S108" s="767">
        <f t="shared" si="29"/>
        <v>0</v>
      </c>
      <c r="T108" s="767">
        <f t="shared" si="29"/>
        <v>0</v>
      </c>
      <c r="U108" s="767">
        <f t="shared" si="29"/>
        <v>0</v>
      </c>
      <c r="V108" s="767">
        <f t="shared" si="29"/>
        <v>0</v>
      </c>
      <c r="W108" s="767">
        <f t="shared" si="29"/>
        <v>0</v>
      </c>
      <c r="X108" s="767">
        <f t="shared" si="29"/>
        <v>0</v>
      </c>
      <c r="Y108" s="767">
        <f t="shared" si="29"/>
        <v>0</v>
      </c>
      <c r="Z108" s="3"/>
      <c r="AA108" s="767">
        <f t="shared" si="30"/>
        <v>0</v>
      </c>
      <c r="AB108" s="767">
        <f t="shared" si="30"/>
        <v>0</v>
      </c>
      <c r="AC108" s="767">
        <f t="shared" si="30"/>
        <v>0</v>
      </c>
      <c r="AD108" s="767">
        <f t="shared" si="30"/>
        <v>0</v>
      </c>
      <c r="AE108" s="767">
        <f t="shared" si="30"/>
        <v>0</v>
      </c>
      <c r="AF108" s="767">
        <f t="shared" si="30"/>
        <v>0</v>
      </c>
      <c r="AG108" s="767">
        <f t="shared" si="30"/>
        <v>0</v>
      </c>
      <c r="AH108" s="767">
        <f t="shared" si="30"/>
        <v>0</v>
      </c>
      <c r="AI108" s="6"/>
      <c r="AJ108" s="22"/>
    </row>
    <row r="109" spans="2:36" ht="13.15" customHeight="1" x14ac:dyDescent="0.2">
      <c r="B109" s="18"/>
      <c r="C109" s="31"/>
      <c r="D109" s="117"/>
      <c r="E109" s="117"/>
      <c r="F109" s="119"/>
      <c r="G109" s="33"/>
      <c r="H109" s="209"/>
      <c r="I109" s="33"/>
      <c r="J109" s="33"/>
      <c r="K109" s="3"/>
      <c r="L109" s="32">
        <f t="shared" si="24"/>
        <v>0</v>
      </c>
      <c r="M109" s="767">
        <f t="shared" si="25"/>
        <v>0</v>
      </c>
      <c r="N109" s="767">
        <f t="shared" si="26"/>
        <v>0</v>
      </c>
      <c r="O109" s="1001" t="str">
        <f t="shared" si="27"/>
        <v>-</v>
      </c>
      <c r="P109" s="767">
        <f t="shared" si="28"/>
        <v>0</v>
      </c>
      <c r="Q109" s="3"/>
      <c r="R109" s="767">
        <f t="shared" si="29"/>
        <v>0</v>
      </c>
      <c r="S109" s="767">
        <f t="shared" si="29"/>
        <v>0</v>
      </c>
      <c r="T109" s="767">
        <f t="shared" si="29"/>
        <v>0</v>
      </c>
      <c r="U109" s="767">
        <f t="shared" si="29"/>
        <v>0</v>
      </c>
      <c r="V109" s="767">
        <f t="shared" si="29"/>
        <v>0</v>
      </c>
      <c r="W109" s="767">
        <f t="shared" si="29"/>
        <v>0</v>
      </c>
      <c r="X109" s="767">
        <f t="shared" si="29"/>
        <v>0</v>
      </c>
      <c r="Y109" s="767">
        <f t="shared" si="29"/>
        <v>0</v>
      </c>
      <c r="Z109" s="3"/>
      <c r="AA109" s="767">
        <f t="shared" si="30"/>
        <v>0</v>
      </c>
      <c r="AB109" s="767">
        <f t="shared" si="30"/>
        <v>0</v>
      </c>
      <c r="AC109" s="767">
        <f t="shared" si="30"/>
        <v>0</v>
      </c>
      <c r="AD109" s="767">
        <f t="shared" si="30"/>
        <v>0</v>
      </c>
      <c r="AE109" s="767">
        <f t="shared" si="30"/>
        <v>0</v>
      </c>
      <c r="AF109" s="767">
        <f t="shared" si="30"/>
        <v>0</v>
      </c>
      <c r="AG109" s="767">
        <f t="shared" si="30"/>
        <v>0</v>
      </c>
      <c r="AH109" s="767">
        <f t="shared" si="30"/>
        <v>0</v>
      </c>
      <c r="AI109" s="6"/>
      <c r="AJ109" s="22"/>
    </row>
    <row r="110" spans="2:36" ht="13.15" customHeight="1" x14ac:dyDescent="0.2">
      <c r="B110" s="18"/>
      <c r="C110" s="31"/>
      <c r="D110" s="117"/>
      <c r="E110" s="117"/>
      <c r="F110" s="119"/>
      <c r="G110" s="33"/>
      <c r="H110" s="209"/>
      <c r="I110" s="33"/>
      <c r="J110" s="33"/>
      <c r="K110" s="3"/>
      <c r="L110" s="32">
        <f t="shared" si="24"/>
        <v>0</v>
      </c>
      <c r="M110" s="767">
        <f t="shared" si="25"/>
        <v>0</v>
      </c>
      <c r="N110" s="767">
        <f t="shared" si="26"/>
        <v>0</v>
      </c>
      <c r="O110" s="1001" t="str">
        <f t="shared" si="27"/>
        <v>-</v>
      </c>
      <c r="P110" s="767">
        <f t="shared" si="28"/>
        <v>0</v>
      </c>
      <c r="Q110" s="3"/>
      <c r="R110" s="767">
        <f t="shared" si="29"/>
        <v>0</v>
      </c>
      <c r="S110" s="767">
        <f t="shared" si="29"/>
        <v>0</v>
      </c>
      <c r="T110" s="767">
        <f t="shared" si="29"/>
        <v>0</v>
      </c>
      <c r="U110" s="767">
        <f t="shared" si="29"/>
        <v>0</v>
      </c>
      <c r="V110" s="767">
        <f t="shared" si="29"/>
        <v>0</v>
      </c>
      <c r="W110" s="767">
        <f t="shared" si="29"/>
        <v>0</v>
      </c>
      <c r="X110" s="767">
        <f t="shared" si="29"/>
        <v>0</v>
      </c>
      <c r="Y110" s="767">
        <f t="shared" si="29"/>
        <v>0</v>
      </c>
      <c r="Z110" s="3"/>
      <c r="AA110" s="767">
        <f t="shared" si="30"/>
        <v>0</v>
      </c>
      <c r="AB110" s="767">
        <f t="shared" si="30"/>
        <v>0</v>
      </c>
      <c r="AC110" s="767">
        <f t="shared" si="30"/>
        <v>0</v>
      </c>
      <c r="AD110" s="767">
        <f t="shared" si="30"/>
        <v>0</v>
      </c>
      <c r="AE110" s="767">
        <f t="shared" si="30"/>
        <v>0</v>
      </c>
      <c r="AF110" s="767">
        <f t="shared" si="30"/>
        <v>0</v>
      </c>
      <c r="AG110" s="767">
        <f t="shared" si="30"/>
        <v>0</v>
      </c>
      <c r="AH110" s="767">
        <f t="shared" si="30"/>
        <v>0</v>
      </c>
      <c r="AI110" s="6"/>
      <c r="AJ110" s="22"/>
    </row>
    <row r="111" spans="2:36" ht="13.15" customHeight="1" x14ac:dyDescent="0.2">
      <c r="B111" s="18"/>
      <c r="C111" s="31"/>
      <c r="D111" s="117"/>
      <c r="E111" s="117"/>
      <c r="F111" s="119"/>
      <c r="G111" s="33"/>
      <c r="H111" s="209"/>
      <c r="I111" s="33"/>
      <c r="J111" s="33"/>
      <c r="K111" s="3"/>
      <c r="L111" s="32">
        <f t="shared" si="23"/>
        <v>0</v>
      </c>
      <c r="M111" s="767">
        <f t="shared" si="17"/>
        <v>0</v>
      </c>
      <c r="N111" s="767">
        <f t="shared" si="18"/>
        <v>0</v>
      </c>
      <c r="O111" s="1001" t="str">
        <f t="shared" si="19"/>
        <v>-</v>
      </c>
      <c r="P111" s="767">
        <f t="shared" si="20"/>
        <v>0</v>
      </c>
      <c r="Q111" s="3"/>
      <c r="R111" s="767">
        <f t="shared" si="21"/>
        <v>0</v>
      </c>
      <c r="S111" s="767">
        <f t="shared" si="21"/>
        <v>0</v>
      </c>
      <c r="T111" s="767">
        <f t="shared" si="21"/>
        <v>0</v>
      </c>
      <c r="U111" s="767">
        <f t="shared" si="21"/>
        <v>0</v>
      </c>
      <c r="V111" s="767">
        <f t="shared" si="21"/>
        <v>0</v>
      </c>
      <c r="W111" s="767">
        <f t="shared" si="21"/>
        <v>0</v>
      </c>
      <c r="X111" s="767">
        <f t="shared" si="21"/>
        <v>0</v>
      </c>
      <c r="Y111" s="767">
        <f t="shared" si="21"/>
        <v>0</v>
      </c>
      <c r="Z111" s="3"/>
      <c r="AA111" s="767">
        <f t="shared" si="22"/>
        <v>0</v>
      </c>
      <c r="AB111" s="767">
        <f t="shared" si="22"/>
        <v>0</v>
      </c>
      <c r="AC111" s="767">
        <f t="shared" si="22"/>
        <v>0</v>
      </c>
      <c r="AD111" s="767">
        <f t="shared" si="22"/>
        <v>0</v>
      </c>
      <c r="AE111" s="767">
        <f t="shared" si="22"/>
        <v>0</v>
      </c>
      <c r="AF111" s="767">
        <f t="shared" si="22"/>
        <v>0</v>
      </c>
      <c r="AG111" s="767">
        <f t="shared" si="22"/>
        <v>0</v>
      </c>
      <c r="AH111" s="767">
        <f t="shared" si="22"/>
        <v>0</v>
      </c>
      <c r="AI111" s="6"/>
      <c r="AJ111" s="22"/>
    </row>
    <row r="112" spans="2:36" ht="13.15" customHeight="1" x14ac:dyDescent="0.2">
      <c r="B112" s="18"/>
      <c r="C112" s="31"/>
      <c r="D112" s="117"/>
      <c r="E112" s="117"/>
      <c r="F112" s="119"/>
      <c r="G112" s="33"/>
      <c r="H112" s="209"/>
      <c r="I112" s="33"/>
      <c r="J112" s="33"/>
      <c r="K112" s="3"/>
      <c r="L112" s="32">
        <f t="shared" si="23"/>
        <v>0</v>
      </c>
      <c r="M112" s="767">
        <f t="shared" si="17"/>
        <v>0</v>
      </c>
      <c r="N112" s="767">
        <f t="shared" si="18"/>
        <v>0</v>
      </c>
      <c r="O112" s="1001" t="str">
        <f t="shared" si="19"/>
        <v>-</v>
      </c>
      <c r="P112" s="767">
        <f t="shared" si="20"/>
        <v>0</v>
      </c>
      <c r="Q112" s="3"/>
      <c r="R112" s="767">
        <f t="shared" si="21"/>
        <v>0</v>
      </c>
      <c r="S112" s="767">
        <f t="shared" si="21"/>
        <v>0</v>
      </c>
      <c r="T112" s="767">
        <f t="shared" si="21"/>
        <v>0</v>
      </c>
      <c r="U112" s="767">
        <f t="shared" si="21"/>
        <v>0</v>
      </c>
      <c r="V112" s="767">
        <f t="shared" si="21"/>
        <v>0</v>
      </c>
      <c r="W112" s="767">
        <f t="shared" si="21"/>
        <v>0</v>
      </c>
      <c r="X112" s="767">
        <f t="shared" si="21"/>
        <v>0</v>
      </c>
      <c r="Y112" s="767">
        <f t="shared" si="21"/>
        <v>0</v>
      </c>
      <c r="Z112" s="3"/>
      <c r="AA112" s="767">
        <f t="shared" si="22"/>
        <v>0</v>
      </c>
      <c r="AB112" s="767">
        <f t="shared" si="22"/>
        <v>0</v>
      </c>
      <c r="AC112" s="767">
        <f t="shared" si="22"/>
        <v>0</v>
      </c>
      <c r="AD112" s="767">
        <f t="shared" si="22"/>
        <v>0</v>
      </c>
      <c r="AE112" s="767">
        <f t="shared" si="22"/>
        <v>0</v>
      </c>
      <c r="AF112" s="767">
        <f t="shared" si="22"/>
        <v>0</v>
      </c>
      <c r="AG112" s="767">
        <f t="shared" si="22"/>
        <v>0</v>
      </c>
      <c r="AH112" s="767">
        <f t="shared" si="22"/>
        <v>0</v>
      </c>
      <c r="AI112" s="6"/>
      <c r="AJ112" s="22"/>
    </row>
    <row r="113" spans="2:36" ht="13.15" customHeight="1" x14ac:dyDescent="0.2">
      <c r="B113" s="18"/>
      <c r="C113" s="31"/>
      <c r="D113" s="117"/>
      <c r="E113" s="117"/>
      <c r="F113" s="119"/>
      <c r="G113" s="33"/>
      <c r="H113" s="209"/>
      <c r="I113" s="33"/>
      <c r="J113" s="33"/>
      <c r="K113" s="3"/>
      <c r="L113" s="32">
        <f t="shared" si="23"/>
        <v>0</v>
      </c>
      <c r="M113" s="767">
        <f t="shared" si="17"/>
        <v>0</v>
      </c>
      <c r="N113" s="767">
        <f t="shared" si="18"/>
        <v>0</v>
      </c>
      <c r="O113" s="1001" t="str">
        <f t="shared" si="19"/>
        <v>-</v>
      </c>
      <c r="P113" s="767">
        <f t="shared" si="20"/>
        <v>0</v>
      </c>
      <c r="Q113" s="3"/>
      <c r="R113" s="767">
        <f t="shared" si="21"/>
        <v>0</v>
      </c>
      <c r="S113" s="767">
        <f t="shared" si="21"/>
        <v>0</v>
      </c>
      <c r="T113" s="767">
        <f t="shared" si="21"/>
        <v>0</v>
      </c>
      <c r="U113" s="767">
        <f t="shared" si="21"/>
        <v>0</v>
      </c>
      <c r="V113" s="767">
        <f t="shared" si="21"/>
        <v>0</v>
      </c>
      <c r="W113" s="767">
        <f t="shared" si="21"/>
        <v>0</v>
      </c>
      <c r="X113" s="767">
        <f t="shared" si="21"/>
        <v>0</v>
      </c>
      <c r="Y113" s="767">
        <f t="shared" si="21"/>
        <v>0</v>
      </c>
      <c r="Z113" s="3"/>
      <c r="AA113" s="767">
        <f t="shared" si="22"/>
        <v>0</v>
      </c>
      <c r="AB113" s="767">
        <f t="shared" si="22"/>
        <v>0</v>
      </c>
      <c r="AC113" s="767">
        <f t="shared" si="22"/>
        <v>0</v>
      </c>
      <c r="AD113" s="767">
        <f t="shared" si="22"/>
        <v>0</v>
      </c>
      <c r="AE113" s="767">
        <f t="shared" si="22"/>
        <v>0</v>
      </c>
      <c r="AF113" s="767">
        <f t="shared" si="22"/>
        <v>0</v>
      </c>
      <c r="AG113" s="767">
        <f t="shared" si="22"/>
        <v>0</v>
      </c>
      <c r="AH113" s="767">
        <f t="shared" si="22"/>
        <v>0</v>
      </c>
      <c r="AI113" s="6"/>
      <c r="AJ113" s="22"/>
    </row>
    <row r="114" spans="2:36" ht="13.15" customHeight="1" x14ac:dyDescent="0.2">
      <c r="B114" s="18"/>
      <c r="C114" s="31"/>
      <c r="D114" s="117"/>
      <c r="E114" s="117"/>
      <c r="F114" s="119"/>
      <c r="G114" s="33"/>
      <c r="H114" s="209"/>
      <c r="I114" s="33"/>
      <c r="J114" s="33"/>
      <c r="K114" s="3"/>
      <c r="L114" s="32">
        <f t="shared" si="23"/>
        <v>0</v>
      </c>
      <c r="M114" s="767">
        <f t="shared" si="17"/>
        <v>0</v>
      </c>
      <c r="N114" s="767">
        <f t="shared" si="18"/>
        <v>0</v>
      </c>
      <c r="O114" s="1001" t="str">
        <f t="shared" si="19"/>
        <v>-</v>
      </c>
      <c r="P114" s="767">
        <f t="shared" si="20"/>
        <v>0</v>
      </c>
      <c r="Q114" s="3"/>
      <c r="R114" s="767">
        <f t="shared" si="21"/>
        <v>0</v>
      </c>
      <c r="S114" s="767">
        <f t="shared" si="21"/>
        <v>0</v>
      </c>
      <c r="T114" s="767">
        <f t="shared" si="21"/>
        <v>0</v>
      </c>
      <c r="U114" s="767">
        <f t="shared" si="21"/>
        <v>0</v>
      </c>
      <c r="V114" s="767">
        <f t="shared" si="21"/>
        <v>0</v>
      </c>
      <c r="W114" s="767">
        <f t="shared" si="21"/>
        <v>0</v>
      </c>
      <c r="X114" s="767">
        <f t="shared" si="21"/>
        <v>0</v>
      </c>
      <c r="Y114" s="767">
        <f t="shared" si="21"/>
        <v>0</v>
      </c>
      <c r="Z114" s="3"/>
      <c r="AA114" s="767">
        <f t="shared" si="22"/>
        <v>0</v>
      </c>
      <c r="AB114" s="767">
        <f t="shared" si="22"/>
        <v>0</v>
      </c>
      <c r="AC114" s="767">
        <f t="shared" si="22"/>
        <v>0</v>
      </c>
      <c r="AD114" s="767">
        <f t="shared" si="22"/>
        <v>0</v>
      </c>
      <c r="AE114" s="767">
        <f t="shared" si="22"/>
        <v>0</v>
      </c>
      <c r="AF114" s="767">
        <f t="shared" si="22"/>
        <v>0</v>
      </c>
      <c r="AG114" s="767">
        <f t="shared" si="22"/>
        <v>0</v>
      </c>
      <c r="AH114" s="767">
        <f t="shared" si="22"/>
        <v>0</v>
      </c>
      <c r="AI114" s="6"/>
      <c r="AJ114" s="22"/>
    </row>
    <row r="115" spans="2:36" ht="13.15" customHeight="1" x14ac:dyDescent="0.2">
      <c r="B115" s="18"/>
      <c r="C115" s="31"/>
      <c r="D115" s="117"/>
      <c r="E115" s="117"/>
      <c r="F115" s="119"/>
      <c r="G115" s="33"/>
      <c r="H115" s="209"/>
      <c r="I115" s="33"/>
      <c r="J115" s="33"/>
      <c r="K115" s="3"/>
      <c r="L115" s="32">
        <f t="shared" si="23"/>
        <v>0</v>
      </c>
      <c r="M115" s="767">
        <f t="shared" si="17"/>
        <v>0</v>
      </c>
      <c r="N115" s="767">
        <f t="shared" si="18"/>
        <v>0</v>
      </c>
      <c r="O115" s="1001" t="str">
        <f t="shared" si="19"/>
        <v>-</v>
      </c>
      <c r="P115" s="767">
        <f t="shared" si="20"/>
        <v>0</v>
      </c>
      <c r="Q115" s="3"/>
      <c r="R115" s="767">
        <f t="shared" si="21"/>
        <v>0</v>
      </c>
      <c r="S115" s="767">
        <f t="shared" si="21"/>
        <v>0</v>
      </c>
      <c r="T115" s="767">
        <f t="shared" si="21"/>
        <v>0</v>
      </c>
      <c r="U115" s="767">
        <f t="shared" si="21"/>
        <v>0</v>
      </c>
      <c r="V115" s="767">
        <f t="shared" si="21"/>
        <v>0</v>
      </c>
      <c r="W115" s="767">
        <f t="shared" si="21"/>
        <v>0</v>
      </c>
      <c r="X115" s="767">
        <f t="shared" si="21"/>
        <v>0</v>
      </c>
      <c r="Y115" s="767">
        <f t="shared" si="21"/>
        <v>0</v>
      </c>
      <c r="Z115" s="3"/>
      <c r="AA115" s="767">
        <f t="shared" si="22"/>
        <v>0</v>
      </c>
      <c r="AB115" s="767">
        <f t="shared" si="22"/>
        <v>0</v>
      </c>
      <c r="AC115" s="767">
        <f t="shared" si="22"/>
        <v>0</v>
      </c>
      <c r="AD115" s="767">
        <f t="shared" si="22"/>
        <v>0</v>
      </c>
      <c r="AE115" s="767">
        <f t="shared" si="22"/>
        <v>0</v>
      </c>
      <c r="AF115" s="767">
        <f t="shared" si="22"/>
        <v>0</v>
      </c>
      <c r="AG115" s="767">
        <f t="shared" si="22"/>
        <v>0</v>
      </c>
      <c r="AH115" s="767">
        <f t="shared" si="22"/>
        <v>0</v>
      </c>
      <c r="AI115" s="6"/>
      <c r="AJ115" s="22"/>
    </row>
    <row r="116" spans="2:36" ht="13.15" customHeight="1" x14ac:dyDescent="0.2">
      <c r="B116" s="18"/>
      <c r="C116" s="31"/>
      <c r="D116" s="117"/>
      <c r="E116" s="117"/>
      <c r="F116" s="119"/>
      <c r="G116" s="33"/>
      <c r="H116" s="209"/>
      <c r="I116" s="33"/>
      <c r="J116" s="33"/>
      <c r="K116" s="3"/>
      <c r="L116" s="32">
        <f t="shared" si="23"/>
        <v>0</v>
      </c>
      <c r="M116" s="767">
        <f t="shared" si="17"/>
        <v>0</v>
      </c>
      <c r="N116" s="767">
        <f t="shared" si="18"/>
        <v>0</v>
      </c>
      <c r="O116" s="1001" t="str">
        <f t="shared" si="19"/>
        <v>-</v>
      </c>
      <c r="P116" s="767">
        <f t="shared" si="20"/>
        <v>0</v>
      </c>
      <c r="Q116" s="3"/>
      <c r="R116" s="767">
        <f t="shared" si="21"/>
        <v>0</v>
      </c>
      <c r="S116" s="767">
        <f t="shared" si="21"/>
        <v>0</v>
      </c>
      <c r="T116" s="767">
        <f t="shared" si="21"/>
        <v>0</v>
      </c>
      <c r="U116" s="767">
        <f t="shared" si="21"/>
        <v>0</v>
      </c>
      <c r="V116" s="767">
        <f t="shared" si="21"/>
        <v>0</v>
      </c>
      <c r="W116" s="767">
        <f t="shared" si="21"/>
        <v>0</v>
      </c>
      <c r="X116" s="767">
        <f t="shared" si="21"/>
        <v>0</v>
      </c>
      <c r="Y116" s="767">
        <f t="shared" si="21"/>
        <v>0</v>
      </c>
      <c r="Z116" s="3"/>
      <c r="AA116" s="767">
        <f t="shared" si="22"/>
        <v>0</v>
      </c>
      <c r="AB116" s="767">
        <f t="shared" si="22"/>
        <v>0</v>
      </c>
      <c r="AC116" s="767">
        <f t="shared" si="22"/>
        <v>0</v>
      </c>
      <c r="AD116" s="767">
        <f t="shared" si="22"/>
        <v>0</v>
      </c>
      <c r="AE116" s="767">
        <f t="shared" si="22"/>
        <v>0</v>
      </c>
      <c r="AF116" s="767">
        <f t="shared" si="22"/>
        <v>0</v>
      </c>
      <c r="AG116" s="767">
        <f t="shared" si="22"/>
        <v>0</v>
      </c>
      <c r="AH116" s="767">
        <f t="shared" si="22"/>
        <v>0</v>
      </c>
      <c r="AI116" s="6"/>
      <c r="AJ116" s="22"/>
    </row>
    <row r="117" spans="2:36" ht="13.15" customHeight="1" x14ac:dyDescent="0.2">
      <c r="B117" s="18"/>
      <c r="C117" s="31"/>
      <c r="D117" s="117"/>
      <c r="E117" s="117"/>
      <c r="F117" s="119"/>
      <c r="G117" s="33"/>
      <c r="H117" s="209"/>
      <c r="I117" s="33"/>
      <c r="J117" s="33"/>
      <c r="K117" s="3"/>
      <c r="L117" s="32">
        <f t="shared" si="23"/>
        <v>0</v>
      </c>
      <c r="M117" s="767">
        <f t="shared" si="17"/>
        <v>0</v>
      </c>
      <c r="N117" s="767">
        <f t="shared" si="18"/>
        <v>0</v>
      </c>
      <c r="O117" s="1001" t="str">
        <f t="shared" si="19"/>
        <v>-</v>
      </c>
      <c r="P117" s="767">
        <f t="shared" si="20"/>
        <v>0</v>
      </c>
      <c r="Q117" s="3"/>
      <c r="R117" s="767">
        <f t="shared" si="21"/>
        <v>0</v>
      </c>
      <c r="S117" s="767">
        <f t="shared" si="21"/>
        <v>0</v>
      </c>
      <c r="T117" s="767">
        <f t="shared" si="21"/>
        <v>0</v>
      </c>
      <c r="U117" s="767">
        <f t="shared" si="21"/>
        <v>0</v>
      </c>
      <c r="V117" s="767">
        <f t="shared" si="21"/>
        <v>0</v>
      </c>
      <c r="W117" s="767">
        <f t="shared" si="21"/>
        <v>0</v>
      </c>
      <c r="X117" s="767">
        <f t="shared" si="21"/>
        <v>0</v>
      </c>
      <c r="Y117" s="767">
        <f t="shared" si="21"/>
        <v>0</v>
      </c>
      <c r="Z117" s="3"/>
      <c r="AA117" s="767">
        <f t="shared" si="22"/>
        <v>0</v>
      </c>
      <c r="AB117" s="767">
        <f t="shared" si="22"/>
        <v>0</v>
      </c>
      <c r="AC117" s="767">
        <f t="shared" si="22"/>
        <v>0</v>
      </c>
      <c r="AD117" s="767">
        <f t="shared" si="22"/>
        <v>0</v>
      </c>
      <c r="AE117" s="767">
        <f t="shared" si="22"/>
        <v>0</v>
      </c>
      <c r="AF117" s="767">
        <f t="shared" si="22"/>
        <v>0</v>
      </c>
      <c r="AG117" s="767">
        <f t="shared" si="22"/>
        <v>0</v>
      </c>
      <c r="AH117" s="767">
        <f t="shared" si="22"/>
        <v>0</v>
      </c>
      <c r="AI117" s="6"/>
      <c r="AJ117" s="22"/>
    </row>
    <row r="118" spans="2:36" ht="13.15" customHeight="1" x14ac:dyDescent="0.2">
      <c r="B118" s="18"/>
      <c r="C118" s="31"/>
      <c r="D118" s="117"/>
      <c r="E118" s="117"/>
      <c r="F118" s="119"/>
      <c r="G118" s="33"/>
      <c r="H118" s="209"/>
      <c r="I118" s="33"/>
      <c r="J118" s="33"/>
      <c r="K118" s="3"/>
      <c r="L118" s="32">
        <f t="shared" si="23"/>
        <v>0</v>
      </c>
      <c r="M118" s="767">
        <f t="shared" si="17"/>
        <v>0</v>
      </c>
      <c r="N118" s="767">
        <f t="shared" si="18"/>
        <v>0</v>
      </c>
      <c r="O118" s="1001" t="str">
        <f t="shared" si="19"/>
        <v>-</v>
      </c>
      <c r="P118" s="767">
        <f t="shared" si="20"/>
        <v>0</v>
      </c>
      <c r="Q118" s="3"/>
      <c r="R118" s="767">
        <f t="shared" si="21"/>
        <v>0</v>
      </c>
      <c r="S118" s="767">
        <f t="shared" si="21"/>
        <v>0</v>
      </c>
      <c r="T118" s="767">
        <f t="shared" si="21"/>
        <v>0</v>
      </c>
      <c r="U118" s="767">
        <f t="shared" si="21"/>
        <v>0</v>
      </c>
      <c r="V118" s="767">
        <f t="shared" si="21"/>
        <v>0</v>
      </c>
      <c r="W118" s="767">
        <f t="shared" si="21"/>
        <v>0</v>
      </c>
      <c r="X118" s="767">
        <f t="shared" si="21"/>
        <v>0</v>
      </c>
      <c r="Y118" s="767">
        <f t="shared" si="21"/>
        <v>0</v>
      </c>
      <c r="Z118" s="3"/>
      <c r="AA118" s="767">
        <f t="shared" si="22"/>
        <v>0</v>
      </c>
      <c r="AB118" s="767">
        <f t="shared" si="22"/>
        <v>0</v>
      </c>
      <c r="AC118" s="767">
        <f t="shared" si="22"/>
        <v>0</v>
      </c>
      <c r="AD118" s="767">
        <f t="shared" si="22"/>
        <v>0</v>
      </c>
      <c r="AE118" s="767">
        <f t="shared" si="22"/>
        <v>0</v>
      </c>
      <c r="AF118" s="767">
        <f t="shared" si="22"/>
        <v>0</v>
      </c>
      <c r="AG118" s="767">
        <f t="shared" si="22"/>
        <v>0</v>
      </c>
      <c r="AH118" s="767">
        <f t="shared" si="22"/>
        <v>0</v>
      </c>
      <c r="AI118" s="6"/>
      <c r="AJ118" s="22"/>
    </row>
    <row r="119" spans="2:36" ht="13.15" customHeight="1" x14ac:dyDescent="0.2">
      <c r="B119" s="18"/>
      <c r="C119" s="31"/>
      <c r="D119" s="117"/>
      <c r="E119" s="117"/>
      <c r="F119" s="119"/>
      <c r="G119" s="33"/>
      <c r="H119" s="209"/>
      <c r="I119" s="33"/>
      <c r="J119" s="33"/>
      <c r="K119" s="3"/>
      <c r="L119" s="32">
        <f>IF(J119="geen",9999999999,J119)</f>
        <v>0</v>
      </c>
      <c r="M119" s="767">
        <f>G119*H119</f>
        <v>0</v>
      </c>
      <c r="N119" s="767">
        <f>IF(G119=0,0,(G119*H119)/L119)</f>
        <v>0</v>
      </c>
      <c r="O119" s="1001" t="str">
        <f>IF(L119=0,"-",(IF(L119&gt;3000,"-",I119+L119-1)))</f>
        <v>-</v>
      </c>
      <c r="P119" s="767">
        <f t="shared" si="20"/>
        <v>0</v>
      </c>
      <c r="Q119" s="3"/>
      <c r="R119" s="767">
        <f t="shared" si="21"/>
        <v>0</v>
      </c>
      <c r="S119" s="767">
        <f t="shared" si="21"/>
        <v>0</v>
      </c>
      <c r="T119" s="767">
        <f t="shared" si="21"/>
        <v>0</v>
      </c>
      <c r="U119" s="767">
        <f t="shared" si="21"/>
        <v>0</v>
      </c>
      <c r="V119" s="767">
        <f t="shared" si="21"/>
        <v>0</v>
      </c>
      <c r="W119" s="767">
        <f t="shared" si="21"/>
        <v>0</v>
      </c>
      <c r="X119" s="767">
        <f t="shared" si="21"/>
        <v>0</v>
      </c>
      <c r="Y119" s="767">
        <f t="shared" si="21"/>
        <v>0</v>
      </c>
      <c r="Z119" s="3"/>
      <c r="AA119" s="767">
        <f t="shared" si="22"/>
        <v>0</v>
      </c>
      <c r="AB119" s="767">
        <f t="shared" si="22"/>
        <v>0</v>
      </c>
      <c r="AC119" s="767">
        <f t="shared" si="22"/>
        <v>0</v>
      </c>
      <c r="AD119" s="767">
        <f t="shared" si="22"/>
        <v>0</v>
      </c>
      <c r="AE119" s="767">
        <f t="shared" si="22"/>
        <v>0</v>
      </c>
      <c r="AF119" s="767">
        <f t="shared" si="22"/>
        <v>0</v>
      </c>
      <c r="AG119" s="767">
        <f t="shared" si="22"/>
        <v>0</v>
      </c>
      <c r="AH119" s="767">
        <f t="shared" si="22"/>
        <v>0</v>
      </c>
      <c r="AI119" s="6"/>
      <c r="AJ119" s="22"/>
    </row>
    <row r="120" spans="2:36" ht="13.15" customHeight="1" x14ac:dyDescent="0.2">
      <c r="B120" s="18"/>
      <c r="C120" s="31"/>
      <c r="D120" s="117"/>
      <c r="E120" s="117"/>
      <c r="F120" s="119"/>
      <c r="G120" s="33"/>
      <c r="H120" s="209"/>
      <c r="I120" s="33"/>
      <c r="J120" s="33"/>
      <c r="K120" s="3"/>
      <c r="L120" s="32">
        <f t="shared" si="23"/>
        <v>0</v>
      </c>
      <c r="M120" s="767">
        <f t="shared" si="17"/>
        <v>0</v>
      </c>
      <c r="N120" s="767">
        <f t="shared" si="18"/>
        <v>0</v>
      </c>
      <c r="O120" s="1001" t="str">
        <f t="shared" si="19"/>
        <v>-</v>
      </c>
      <c r="P120" s="767">
        <f t="shared" si="20"/>
        <v>0</v>
      </c>
      <c r="Q120" s="3"/>
      <c r="R120" s="767">
        <f t="shared" si="21"/>
        <v>0</v>
      </c>
      <c r="S120" s="767">
        <f t="shared" si="21"/>
        <v>0</v>
      </c>
      <c r="T120" s="767">
        <f t="shared" si="21"/>
        <v>0</v>
      </c>
      <c r="U120" s="767">
        <f t="shared" si="21"/>
        <v>0</v>
      </c>
      <c r="V120" s="767">
        <f t="shared" si="21"/>
        <v>0</v>
      </c>
      <c r="W120" s="767">
        <f t="shared" si="21"/>
        <v>0</v>
      </c>
      <c r="X120" s="767">
        <f t="shared" si="21"/>
        <v>0</v>
      </c>
      <c r="Y120" s="767">
        <f t="shared" si="21"/>
        <v>0</v>
      </c>
      <c r="Z120" s="3"/>
      <c r="AA120" s="767">
        <f t="shared" si="22"/>
        <v>0</v>
      </c>
      <c r="AB120" s="767">
        <f t="shared" si="22"/>
        <v>0</v>
      </c>
      <c r="AC120" s="767">
        <f t="shared" si="22"/>
        <v>0</v>
      </c>
      <c r="AD120" s="767">
        <f t="shared" si="22"/>
        <v>0</v>
      </c>
      <c r="AE120" s="767">
        <f t="shared" si="22"/>
        <v>0</v>
      </c>
      <c r="AF120" s="767">
        <f t="shared" si="22"/>
        <v>0</v>
      </c>
      <c r="AG120" s="767">
        <f t="shared" si="22"/>
        <v>0</v>
      </c>
      <c r="AH120" s="767">
        <f t="shared" si="22"/>
        <v>0</v>
      </c>
      <c r="AI120" s="6"/>
      <c r="AJ120" s="22"/>
    </row>
    <row r="121" spans="2:36" ht="13.15" customHeight="1" x14ac:dyDescent="0.2">
      <c r="B121" s="18"/>
      <c r="C121" s="31"/>
      <c r="D121" s="117"/>
      <c r="E121" s="117"/>
      <c r="F121" s="119"/>
      <c r="G121" s="33"/>
      <c r="H121" s="209"/>
      <c r="I121" s="33"/>
      <c r="J121" s="33"/>
      <c r="K121" s="3"/>
      <c r="L121" s="32">
        <f t="shared" si="23"/>
        <v>0</v>
      </c>
      <c r="M121" s="767">
        <f t="shared" si="17"/>
        <v>0</v>
      </c>
      <c r="N121" s="767">
        <f t="shared" si="18"/>
        <v>0</v>
      </c>
      <c r="O121" s="1001" t="str">
        <f t="shared" si="19"/>
        <v>-</v>
      </c>
      <c r="P121" s="767">
        <f t="shared" si="20"/>
        <v>0</v>
      </c>
      <c r="Q121" s="3"/>
      <c r="R121" s="767">
        <f t="shared" si="21"/>
        <v>0</v>
      </c>
      <c r="S121" s="767">
        <f t="shared" si="21"/>
        <v>0</v>
      </c>
      <c r="T121" s="767">
        <f t="shared" si="21"/>
        <v>0</v>
      </c>
      <c r="U121" s="767">
        <f t="shared" si="21"/>
        <v>0</v>
      </c>
      <c r="V121" s="767">
        <f t="shared" si="21"/>
        <v>0</v>
      </c>
      <c r="W121" s="767">
        <f t="shared" si="21"/>
        <v>0</v>
      </c>
      <c r="X121" s="767">
        <f t="shared" si="21"/>
        <v>0</v>
      </c>
      <c r="Y121" s="767">
        <f t="shared" si="21"/>
        <v>0</v>
      </c>
      <c r="Z121" s="3"/>
      <c r="AA121" s="767">
        <f t="shared" si="22"/>
        <v>0</v>
      </c>
      <c r="AB121" s="767">
        <f t="shared" si="22"/>
        <v>0</v>
      </c>
      <c r="AC121" s="767">
        <f t="shared" si="22"/>
        <v>0</v>
      </c>
      <c r="AD121" s="767">
        <f t="shared" si="22"/>
        <v>0</v>
      </c>
      <c r="AE121" s="767">
        <f t="shared" si="22"/>
        <v>0</v>
      </c>
      <c r="AF121" s="767">
        <f t="shared" si="22"/>
        <v>0</v>
      </c>
      <c r="AG121" s="767">
        <f t="shared" si="22"/>
        <v>0</v>
      </c>
      <c r="AH121" s="767">
        <f t="shared" si="22"/>
        <v>0</v>
      </c>
      <c r="AI121" s="6"/>
      <c r="AJ121" s="22"/>
    </row>
    <row r="122" spans="2:36" ht="13.15" customHeight="1" x14ac:dyDescent="0.2">
      <c r="B122" s="18"/>
      <c r="C122" s="31"/>
      <c r="D122" s="117"/>
      <c r="E122" s="117"/>
      <c r="F122" s="119"/>
      <c r="G122" s="33"/>
      <c r="H122" s="209"/>
      <c r="I122" s="33"/>
      <c r="J122" s="33"/>
      <c r="K122" s="3"/>
      <c r="L122" s="32">
        <f t="shared" si="23"/>
        <v>0</v>
      </c>
      <c r="M122" s="767">
        <f t="shared" si="17"/>
        <v>0</v>
      </c>
      <c r="N122" s="767">
        <f t="shared" si="18"/>
        <v>0</v>
      </c>
      <c r="O122" s="1001" t="str">
        <f t="shared" si="19"/>
        <v>-</v>
      </c>
      <c r="P122" s="767">
        <f t="shared" si="20"/>
        <v>0</v>
      </c>
      <c r="Q122" s="3"/>
      <c r="R122" s="767">
        <f t="shared" ref="R122:Y137" si="31">(IF(R$8&lt;$I122,0,IF($O122&lt;=R$8-1,0,$N122)))</f>
        <v>0</v>
      </c>
      <c r="S122" s="767">
        <f t="shared" si="31"/>
        <v>0</v>
      </c>
      <c r="T122" s="767">
        <f t="shared" si="31"/>
        <v>0</v>
      </c>
      <c r="U122" s="767">
        <f t="shared" si="31"/>
        <v>0</v>
      </c>
      <c r="V122" s="767">
        <f t="shared" si="31"/>
        <v>0</v>
      </c>
      <c r="W122" s="767">
        <f t="shared" si="31"/>
        <v>0</v>
      </c>
      <c r="X122" s="767">
        <f t="shared" si="31"/>
        <v>0</v>
      </c>
      <c r="Y122" s="767">
        <f t="shared" si="31"/>
        <v>0</v>
      </c>
      <c r="Z122" s="3"/>
      <c r="AA122" s="767">
        <f t="shared" ref="AA122:AH137" si="32">IF(AA$8=$I122,($G122*$H122),0)</f>
        <v>0</v>
      </c>
      <c r="AB122" s="767">
        <f t="shared" si="32"/>
        <v>0</v>
      </c>
      <c r="AC122" s="767">
        <f t="shared" si="32"/>
        <v>0</v>
      </c>
      <c r="AD122" s="767">
        <f t="shared" si="32"/>
        <v>0</v>
      </c>
      <c r="AE122" s="767">
        <f t="shared" si="32"/>
        <v>0</v>
      </c>
      <c r="AF122" s="767">
        <f t="shared" si="32"/>
        <v>0</v>
      </c>
      <c r="AG122" s="767">
        <f t="shared" si="32"/>
        <v>0</v>
      </c>
      <c r="AH122" s="767">
        <f t="shared" si="32"/>
        <v>0</v>
      </c>
      <c r="AI122" s="6"/>
      <c r="AJ122" s="22"/>
    </row>
    <row r="123" spans="2:36" ht="13.15" customHeight="1" x14ac:dyDescent="0.2">
      <c r="B123" s="18"/>
      <c r="C123" s="31"/>
      <c r="D123" s="117"/>
      <c r="E123" s="117"/>
      <c r="F123" s="119"/>
      <c r="G123" s="33"/>
      <c r="H123" s="209"/>
      <c r="I123" s="33"/>
      <c r="J123" s="33"/>
      <c r="K123" s="3"/>
      <c r="L123" s="32">
        <f t="shared" si="23"/>
        <v>0</v>
      </c>
      <c r="M123" s="767">
        <f t="shared" si="17"/>
        <v>0</v>
      </c>
      <c r="N123" s="767">
        <f t="shared" si="18"/>
        <v>0</v>
      </c>
      <c r="O123" s="1001" t="str">
        <f t="shared" si="19"/>
        <v>-</v>
      </c>
      <c r="P123" s="767">
        <f t="shared" si="20"/>
        <v>0</v>
      </c>
      <c r="Q123" s="3"/>
      <c r="R123" s="767">
        <f t="shared" si="31"/>
        <v>0</v>
      </c>
      <c r="S123" s="767">
        <f t="shared" si="31"/>
        <v>0</v>
      </c>
      <c r="T123" s="767">
        <f t="shared" si="31"/>
        <v>0</v>
      </c>
      <c r="U123" s="767">
        <f t="shared" si="31"/>
        <v>0</v>
      </c>
      <c r="V123" s="767">
        <f t="shared" si="31"/>
        <v>0</v>
      </c>
      <c r="W123" s="767">
        <f t="shared" si="31"/>
        <v>0</v>
      </c>
      <c r="X123" s="767">
        <f t="shared" si="31"/>
        <v>0</v>
      </c>
      <c r="Y123" s="767">
        <f t="shared" si="31"/>
        <v>0</v>
      </c>
      <c r="Z123" s="3"/>
      <c r="AA123" s="767">
        <f t="shared" si="32"/>
        <v>0</v>
      </c>
      <c r="AB123" s="767">
        <f t="shared" si="32"/>
        <v>0</v>
      </c>
      <c r="AC123" s="767">
        <f t="shared" si="32"/>
        <v>0</v>
      </c>
      <c r="AD123" s="767">
        <f t="shared" si="32"/>
        <v>0</v>
      </c>
      <c r="AE123" s="767">
        <f t="shared" si="32"/>
        <v>0</v>
      </c>
      <c r="AF123" s="767">
        <f t="shared" si="32"/>
        <v>0</v>
      </c>
      <c r="AG123" s="767">
        <f t="shared" si="32"/>
        <v>0</v>
      </c>
      <c r="AH123" s="767">
        <f t="shared" si="32"/>
        <v>0</v>
      </c>
      <c r="AI123" s="6"/>
      <c r="AJ123" s="22"/>
    </row>
    <row r="124" spans="2:36" ht="13.15" customHeight="1" x14ac:dyDescent="0.2">
      <c r="B124" s="18"/>
      <c r="C124" s="31"/>
      <c r="D124" s="117"/>
      <c r="E124" s="117"/>
      <c r="F124" s="119"/>
      <c r="G124" s="33"/>
      <c r="H124" s="209"/>
      <c r="I124" s="33"/>
      <c r="J124" s="33"/>
      <c r="K124" s="3"/>
      <c r="L124" s="32">
        <f t="shared" si="23"/>
        <v>0</v>
      </c>
      <c r="M124" s="767">
        <f t="shared" si="17"/>
        <v>0</v>
      </c>
      <c r="N124" s="767">
        <f t="shared" si="18"/>
        <v>0</v>
      </c>
      <c r="O124" s="1001" t="str">
        <f t="shared" si="19"/>
        <v>-</v>
      </c>
      <c r="P124" s="767">
        <f t="shared" si="20"/>
        <v>0</v>
      </c>
      <c r="Q124" s="3"/>
      <c r="R124" s="767">
        <f t="shared" si="31"/>
        <v>0</v>
      </c>
      <c r="S124" s="767">
        <f t="shared" si="31"/>
        <v>0</v>
      </c>
      <c r="T124" s="767">
        <f t="shared" si="31"/>
        <v>0</v>
      </c>
      <c r="U124" s="767">
        <f t="shared" si="31"/>
        <v>0</v>
      </c>
      <c r="V124" s="767">
        <f t="shared" si="31"/>
        <v>0</v>
      </c>
      <c r="W124" s="767">
        <f t="shared" si="31"/>
        <v>0</v>
      </c>
      <c r="X124" s="767">
        <f t="shared" si="31"/>
        <v>0</v>
      </c>
      <c r="Y124" s="767">
        <f t="shared" si="31"/>
        <v>0</v>
      </c>
      <c r="Z124" s="3"/>
      <c r="AA124" s="767">
        <f t="shared" si="32"/>
        <v>0</v>
      </c>
      <c r="AB124" s="767">
        <f t="shared" si="32"/>
        <v>0</v>
      </c>
      <c r="AC124" s="767">
        <f t="shared" si="32"/>
        <v>0</v>
      </c>
      <c r="AD124" s="767">
        <f t="shared" si="32"/>
        <v>0</v>
      </c>
      <c r="AE124" s="767">
        <f t="shared" si="32"/>
        <v>0</v>
      </c>
      <c r="AF124" s="767">
        <f t="shared" si="32"/>
        <v>0</v>
      </c>
      <c r="AG124" s="767">
        <f t="shared" si="32"/>
        <v>0</v>
      </c>
      <c r="AH124" s="767">
        <f t="shared" si="32"/>
        <v>0</v>
      </c>
      <c r="AI124" s="6"/>
      <c r="AJ124" s="22"/>
    </row>
    <row r="125" spans="2:36" ht="13.15" customHeight="1" x14ac:dyDescent="0.2">
      <c r="B125" s="18"/>
      <c r="C125" s="31"/>
      <c r="D125" s="117"/>
      <c r="E125" s="117"/>
      <c r="F125" s="119"/>
      <c r="G125" s="33"/>
      <c r="H125" s="209"/>
      <c r="I125" s="33"/>
      <c r="J125" s="33"/>
      <c r="K125" s="3"/>
      <c r="L125" s="32">
        <f t="shared" si="23"/>
        <v>0</v>
      </c>
      <c r="M125" s="767">
        <f t="shared" si="17"/>
        <v>0</v>
      </c>
      <c r="N125" s="767">
        <f t="shared" si="18"/>
        <v>0</v>
      </c>
      <c r="O125" s="1001" t="str">
        <f t="shared" si="19"/>
        <v>-</v>
      </c>
      <c r="P125" s="767">
        <f t="shared" si="20"/>
        <v>0</v>
      </c>
      <c r="Q125" s="3"/>
      <c r="R125" s="767">
        <f t="shared" si="31"/>
        <v>0</v>
      </c>
      <c r="S125" s="767">
        <f t="shared" si="31"/>
        <v>0</v>
      </c>
      <c r="T125" s="767">
        <f t="shared" si="31"/>
        <v>0</v>
      </c>
      <c r="U125" s="767">
        <f t="shared" si="31"/>
        <v>0</v>
      </c>
      <c r="V125" s="767">
        <f t="shared" si="31"/>
        <v>0</v>
      </c>
      <c r="W125" s="767">
        <f t="shared" si="31"/>
        <v>0</v>
      </c>
      <c r="X125" s="767">
        <f t="shared" si="31"/>
        <v>0</v>
      </c>
      <c r="Y125" s="767">
        <f t="shared" si="31"/>
        <v>0</v>
      </c>
      <c r="Z125" s="3"/>
      <c r="AA125" s="767">
        <f t="shared" si="32"/>
        <v>0</v>
      </c>
      <c r="AB125" s="767">
        <f t="shared" si="32"/>
        <v>0</v>
      </c>
      <c r="AC125" s="767">
        <f t="shared" si="32"/>
        <v>0</v>
      </c>
      <c r="AD125" s="767">
        <f t="shared" si="32"/>
        <v>0</v>
      </c>
      <c r="AE125" s="767">
        <f t="shared" si="32"/>
        <v>0</v>
      </c>
      <c r="AF125" s="767">
        <f t="shared" si="32"/>
        <v>0</v>
      </c>
      <c r="AG125" s="767">
        <f t="shared" si="32"/>
        <v>0</v>
      </c>
      <c r="AH125" s="767">
        <f t="shared" si="32"/>
        <v>0</v>
      </c>
      <c r="AI125" s="6"/>
      <c r="AJ125" s="22"/>
    </row>
    <row r="126" spans="2:36" ht="13.15" customHeight="1" x14ac:dyDescent="0.2">
      <c r="B126" s="18"/>
      <c r="C126" s="31"/>
      <c r="D126" s="117"/>
      <c r="E126" s="117"/>
      <c r="F126" s="119"/>
      <c r="G126" s="33"/>
      <c r="H126" s="209"/>
      <c r="I126" s="33"/>
      <c r="J126" s="33"/>
      <c r="K126" s="3"/>
      <c r="L126" s="32">
        <f t="shared" si="23"/>
        <v>0</v>
      </c>
      <c r="M126" s="767">
        <f t="shared" si="17"/>
        <v>0</v>
      </c>
      <c r="N126" s="767">
        <f t="shared" si="18"/>
        <v>0</v>
      </c>
      <c r="O126" s="1001" t="str">
        <f t="shared" si="19"/>
        <v>-</v>
      </c>
      <c r="P126" s="767">
        <f t="shared" si="20"/>
        <v>0</v>
      </c>
      <c r="Q126" s="3"/>
      <c r="R126" s="767">
        <f t="shared" si="31"/>
        <v>0</v>
      </c>
      <c r="S126" s="767">
        <f t="shared" si="31"/>
        <v>0</v>
      </c>
      <c r="T126" s="767">
        <f t="shared" si="31"/>
        <v>0</v>
      </c>
      <c r="U126" s="767">
        <f t="shared" si="31"/>
        <v>0</v>
      </c>
      <c r="V126" s="767">
        <f t="shared" si="31"/>
        <v>0</v>
      </c>
      <c r="W126" s="767">
        <f t="shared" si="31"/>
        <v>0</v>
      </c>
      <c r="X126" s="767">
        <f t="shared" si="31"/>
        <v>0</v>
      </c>
      <c r="Y126" s="767">
        <f t="shared" si="31"/>
        <v>0</v>
      </c>
      <c r="Z126" s="3"/>
      <c r="AA126" s="767">
        <f t="shared" si="32"/>
        <v>0</v>
      </c>
      <c r="AB126" s="767">
        <f t="shared" si="32"/>
        <v>0</v>
      </c>
      <c r="AC126" s="767">
        <f t="shared" si="32"/>
        <v>0</v>
      </c>
      <c r="AD126" s="767">
        <f t="shared" si="32"/>
        <v>0</v>
      </c>
      <c r="AE126" s="767">
        <f t="shared" si="32"/>
        <v>0</v>
      </c>
      <c r="AF126" s="767">
        <f t="shared" si="32"/>
        <v>0</v>
      </c>
      <c r="AG126" s="767">
        <f t="shared" si="32"/>
        <v>0</v>
      </c>
      <c r="AH126" s="767">
        <f t="shared" si="32"/>
        <v>0</v>
      </c>
      <c r="AI126" s="6"/>
      <c r="AJ126" s="22"/>
    </row>
    <row r="127" spans="2:36" ht="13.15" customHeight="1" x14ac:dyDescent="0.2">
      <c r="B127" s="18"/>
      <c r="C127" s="31"/>
      <c r="D127" s="117"/>
      <c r="E127" s="117"/>
      <c r="F127" s="119"/>
      <c r="G127" s="33"/>
      <c r="H127" s="209"/>
      <c r="I127" s="33"/>
      <c r="J127" s="33"/>
      <c r="K127" s="3"/>
      <c r="L127" s="32">
        <f t="shared" si="23"/>
        <v>0</v>
      </c>
      <c r="M127" s="767">
        <f t="shared" si="17"/>
        <v>0</v>
      </c>
      <c r="N127" s="767">
        <f t="shared" si="18"/>
        <v>0</v>
      </c>
      <c r="O127" s="1001" t="str">
        <f t="shared" si="19"/>
        <v>-</v>
      </c>
      <c r="P127" s="767">
        <f t="shared" si="20"/>
        <v>0</v>
      </c>
      <c r="Q127" s="3"/>
      <c r="R127" s="767">
        <f t="shared" si="31"/>
        <v>0</v>
      </c>
      <c r="S127" s="767">
        <f t="shared" si="31"/>
        <v>0</v>
      </c>
      <c r="T127" s="767">
        <f t="shared" si="31"/>
        <v>0</v>
      </c>
      <c r="U127" s="767">
        <f t="shared" si="31"/>
        <v>0</v>
      </c>
      <c r="V127" s="767">
        <f t="shared" si="31"/>
        <v>0</v>
      </c>
      <c r="W127" s="767">
        <f t="shared" si="31"/>
        <v>0</v>
      </c>
      <c r="X127" s="767">
        <f t="shared" si="31"/>
        <v>0</v>
      </c>
      <c r="Y127" s="767">
        <f t="shared" si="31"/>
        <v>0</v>
      </c>
      <c r="Z127" s="3"/>
      <c r="AA127" s="767">
        <f t="shared" si="32"/>
        <v>0</v>
      </c>
      <c r="AB127" s="767">
        <f t="shared" si="32"/>
        <v>0</v>
      </c>
      <c r="AC127" s="767">
        <f t="shared" si="32"/>
        <v>0</v>
      </c>
      <c r="AD127" s="767">
        <f t="shared" si="32"/>
        <v>0</v>
      </c>
      <c r="AE127" s="767">
        <f t="shared" si="32"/>
        <v>0</v>
      </c>
      <c r="AF127" s="767">
        <f t="shared" si="32"/>
        <v>0</v>
      </c>
      <c r="AG127" s="767">
        <f t="shared" si="32"/>
        <v>0</v>
      </c>
      <c r="AH127" s="767">
        <f t="shared" si="32"/>
        <v>0</v>
      </c>
      <c r="AI127" s="6"/>
      <c r="AJ127" s="22"/>
    </row>
    <row r="128" spans="2:36" ht="13.15" customHeight="1" x14ac:dyDescent="0.2">
      <c r="B128" s="18"/>
      <c r="C128" s="31"/>
      <c r="D128" s="117"/>
      <c r="E128" s="117"/>
      <c r="F128" s="119"/>
      <c r="G128" s="33"/>
      <c r="H128" s="209"/>
      <c r="I128" s="33"/>
      <c r="J128" s="33"/>
      <c r="K128" s="3"/>
      <c r="L128" s="32">
        <f t="shared" si="23"/>
        <v>0</v>
      </c>
      <c r="M128" s="767">
        <f t="shared" si="17"/>
        <v>0</v>
      </c>
      <c r="N128" s="767">
        <f t="shared" si="18"/>
        <v>0</v>
      </c>
      <c r="O128" s="1001" t="str">
        <f t="shared" si="19"/>
        <v>-</v>
      </c>
      <c r="P128" s="767">
        <f t="shared" si="20"/>
        <v>0</v>
      </c>
      <c r="Q128" s="3"/>
      <c r="R128" s="767">
        <f t="shared" si="31"/>
        <v>0</v>
      </c>
      <c r="S128" s="767">
        <f t="shared" si="31"/>
        <v>0</v>
      </c>
      <c r="T128" s="767">
        <f t="shared" si="31"/>
        <v>0</v>
      </c>
      <c r="U128" s="767">
        <f t="shared" si="31"/>
        <v>0</v>
      </c>
      <c r="V128" s="767">
        <f t="shared" si="31"/>
        <v>0</v>
      </c>
      <c r="W128" s="767">
        <f t="shared" si="31"/>
        <v>0</v>
      </c>
      <c r="X128" s="767">
        <f t="shared" si="31"/>
        <v>0</v>
      </c>
      <c r="Y128" s="767">
        <f t="shared" si="31"/>
        <v>0</v>
      </c>
      <c r="Z128" s="3"/>
      <c r="AA128" s="767">
        <f t="shared" si="32"/>
        <v>0</v>
      </c>
      <c r="AB128" s="767">
        <f t="shared" si="32"/>
        <v>0</v>
      </c>
      <c r="AC128" s="767">
        <f t="shared" si="32"/>
        <v>0</v>
      </c>
      <c r="AD128" s="767">
        <f t="shared" si="32"/>
        <v>0</v>
      </c>
      <c r="AE128" s="767">
        <f t="shared" si="32"/>
        <v>0</v>
      </c>
      <c r="AF128" s="767">
        <f t="shared" si="32"/>
        <v>0</v>
      </c>
      <c r="AG128" s="767">
        <f t="shared" si="32"/>
        <v>0</v>
      </c>
      <c r="AH128" s="767">
        <f t="shared" si="32"/>
        <v>0</v>
      </c>
      <c r="AI128" s="6"/>
      <c r="AJ128" s="22"/>
    </row>
    <row r="129" spans="2:36" ht="13.15" customHeight="1" x14ac:dyDescent="0.2">
      <c r="B129" s="18"/>
      <c r="C129" s="31"/>
      <c r="D129" s="117"/>
      <c r="E129" s="117"/>
      <c r="F129" s="119"/>
      <c r="G129" s="33"/>
      <c r="H129" s="209"/>
      <c r="I129" s="33"/>
      <c r="J129" s="33"/>
      <c r="K129" s="3"/>
      <c r="L129" s="32">
        <f t="shared" si="23"/>
        <v>0</v>
      </c>
      <c r="M129" s="767">
        <f t="shared" si="17"/>
        <v>0</v>
      </c>
      <c r="N129" s="767">
        <f t="shared" si="18"/>
        <v>0</v>
      </c>
      <c r="O129" s="1001" t="str">
        <f t="shared" si="19"/>
        <v>-</v>
      </c>
      <c r="P129" s="767">
        <f t="shared" si="20"/>
        <v>0</v>
      </c>
      <c r="Q129" s="3"/>
      <c r="R129" s="767">
        <f t="shared" si="31"/>
        <v>0</v>
      </c>
      <c r="S129" s="767">
        <f t="shared" si="31"/>
        <v>0</v>
      </c>
      <c r="T129" s="767">
        <f t="shared" si="31"/>
        <v>0</v>
      </c>
      <c r="U129" s="767">
        <f t="shared" si="31"/>
        <v>0</v>
      </c>
      <c r="V129" s="767">
        <f t="shared" si="31"/>
        <v>0</v>
      </c>
      <c r="W129" s="767">
        <f t="shared" si="31"/>
        <v>0</v>
      </c>
      <c r="X129" s="767">
        <f t="shared" si="31"/>
        <v>0</v>
      </c>
      <c r="Y129" s="767">
        <f t="shared" si="31"/>
        <v>0</v>
      </c>
      <c r="Z129" s="3"/>
      <c r="AA129" s="767">
        <f t="shared" si="32"/>
        <v>0</v>
      </c>
      <c r="AB129" s="767">
        <f t="shared" si="32"/>
        <v>0</v>
      </c>
      <c r="AC129" s="767">
        <f t="shared" si="32"/>
        <v>0</v>
      </c>
      <c r="AD129" s="767">
        <f t="shared" si="32"/>
        <v>0</v>
      </c>
      <c r="AE129" s="767">
        <f t="shared" si="32"/>
        <v>0</v>
      </c>
      <c r="AF129" s="767">
        <f t="shared" si="32"/>
        <v>0</v>
      </c>
      <c r="AG129" s="767">
        <f t="shared" si="32"/>
        <v>0</v>
      </c>
      <c r="AH129" s="767">
        <f t="shared" si="32"/>
        <v>0</v>
      </c>
      <c r="AI129" s="6"/>
      <c r="AJ129" s="22"/>
    </row>
    <row r="130" spans="2:36" ht="13.15" customHeight="1" x14ac:dyDescent="0.2">
      <c r="B130" s="18"/>
      <c r="C130" s="31"/>
      <c r="D130" s="117"/>
      <c r="E130" s="117"/>
      <c r="F130" s="119"/>
      <c r="G130" s="33"/>
      <c r="H130" s="209"/>
      <c r="I130" s="33"/>
      <c r="J130" s="33"/>
      <c r="K130" s="3"/>
      <c r="L130" s="32">
        <f t="shared" si="23"/>
        <v>0</v>
      </c>
      <c r="M130" s="767">
        <f t="shared" si="17"/>
        <v>0</v>
      </c>
      <c r="N130" s="767">
        <f t="shared" si="18"/>
        <v>0</v>
      </c>
      <c r="O130" s="1001" t="str">
        <f t="shared" si="19"/>
        <v>-</v>
      </c>
      <c r="P130" s="767">
        <f t="shared" si="20"/>
        <v>0</v>
      </c>
      <c r="Q130" s="3"/>
      <c r="R130" s="767">
        <f t="shared" si="31"/>
        <v>0</v>
      </c>
      <c r="S130" s="767">
        <f t="shared" si="31"/>
        <v>0</v>
      </c>
      <c r="T130" s="767">
        <f t="shared" si="31"/>
        <v>0</v>
      </c>
      <c r="U130" s="767">
        <f t="shared" si="31"/>
        <v>0</v>
      </c>
      <c r="V130" s="767">
        <f t="shared" si="31"/>
        <v>0</v>
      </c>
      <c r="W130" s="767">
        <f t="shared" si="31"/>
        <v>0</v>
      </c>
      <c r="X130" s="767">
        <f t="shared" si="31"/>
        <v>0</v>
      </c>
      <c r="Y130" s="767">
        <f t="shared" si="31"/>
        <v>0</v>
      </c>
      <c r="Z130" s="3"/>
      <c r="AA130" s="767">
        <f t="shared" si="32"/>
        <v>0</v>
      </c>
      <c r="AB130" s="767">
        <f t="shared" si="32"/>
        <v>0</v>
      </c>
      <c r="AC130" s="767">
        <f t="shared" si="32"/>
        <v>0</v>
      </c>
      <c r="AD130" s="767">
        <f t="shared" si="32"/>
        <v>0</v>
      </c>
      <c r="AE130" s="767">
        <f t="shared" si="32"/>
        <v>0</v>
      </c>
      <c r="AF130" s="767">
        <f t="shared" si="32"/>
        <v>0</v>
      </c>
      <c r="AG130" s="767">
        <f t="shared" si="32"/>
        <v>0</v>
      </c>
      <c r="AH130" s="767">
        <f t="shared" si="32"/>
        <v>0</v>
      </c>
      <c r="AI130" s="6"/>
      <c r="AJ130" s="22"/>
    </row>
    <row r="131" spans="2:36" ht="13.15" customHeight="1" x14ac:dyDescent="0.2">
      <c r="B131" s="18"/>
      <c r="C131" s="31"/>
      <c r="D131" s="117"/>
      <c r="E131" s="117"/>
      <c r="F131" s="119"/>
      <c r="G131" s="33"/>
      <c r="H131" s="209"/>
      <c r="I131" s="33"/>
      <c r="J131" s="33"/>
      <c r="K131" s="3"/>
      <c r="L131" s="32">
        <f t="shared" si="23"/>
        <v>0</v>
      </c>
      <c r="M131" s="767">
        <f t="shared" si="17"/>
        <v>0</v>
      </c>
      <c r="N131" s="767">
        <f t="shared" si="18"/>
        <v>0</v>
      </c>
      <c r="O131" s="1001" t="str">
        <f t="shared" si="19"/>
        <v>-</v>
      </c>
      <c r="P131" s="767">
        <f t="shared" si="20"/>
        <v>0</v>
      </c>
      <c r="Q131" s="3"/>
      <c r="R131" s="767">
        <f t="shared" si="31"/>
        <v>0</v>
      </c>
      <c r="S131" s="767">
        <f t="shared" si="31"/>
        <v>0</v>
      </c>
      <c r="T131" s="767">
        <f t="shared" si="31"/>
        <v>0</v>
      </c>
      <c r="U131" s="767">
        <f t="shared" si="31"/>
        <v>0</v>
      </c>
      <c r="V131" s="767">
        <f t="shared" si="31"/>
        <v>0</v>
      </c>
      <c r="W131" s="767">
        <f t="shared" si="31"/>
        <v>0</v>
      </c>
      <c r="X131" s="767">
        <f t="shared" si="31"/>
        <v>0</v>
      </c>
      <c r="Y131" s="767">
        <f t="shared" si="31"/>
        <v>0</v>
      </c>
      <c r="Z131" s="3"/>
      <c r="AA131" s="767">
        <f t="shared" si="32"/>
        <v>0</v>
      </c>
      <c r="AB131" s="767">
        <f t="shared" si="32"/>
        <v>0</v>
      </c>
      <c r="AC131" s="767">
        <f t="shared" si="32"/>
        <v>0</v>
      </c>
      <c r="AD131" s="767">
        <f t="shared" si="32"/>
        <v>0</v>
      </c>
      <c r="AE131" s="767">
        <f t="shared" si="32"/>
        <v>0</v>
      </c>
      <c r="AF131" s="767">
        <f t="shared" si="32"/>
        <v>0</v>
      </c>
      <c r="AG131" s="767">
        <f t="shared" si="32"/>
        <v>0</v>
      </c>
      <c r="AH131" s="767">
        <f t="shared" si="32"/>
        <v>0</v>
      </c>
      <c r="AI131" s="6"/>
      <c r="AJ131" s="22"/>
    </row>
    <row r="132" spans="2:36" ht="13.15" customHeight="1" x14ac:dyDescent="0.2">
      <c r="B132" s="18"/>
      <c r="C132" s="31"/>
      <c r="D132" s="117"/>
      <c r="E132" s="117"/>
      <c r="F132" s="119"/>
      <c r="G132" s="33"/>
      <c r="H132" s="209"/>
      <c r="I132" s="33"/>
      <c r="J132" s="33"/>
      <c r="K132" s="3"/>
      <c r="L132" s="32">
        <f t="shared" si="23"/>
        <v>0</v>
      </c>
      <c r="M132" s="767">
        <f t="shared" si="17"/>
        <v>0</v>
      </c>
      <c r="N132" s="767">
        <f t="shared" si="18"/>
        <v>0</v>
      </c>
      <c r="O132" s="1001" t="str">
        <f t="shared" si="19"/>
        <v>-</v>
      </c>
      <c r="P132" s="767">
        <f t="shared" si="20"/>
        <v>0</v>
      </c>
      <c r="Q132" s="3"/>
      <c r="R132" s="767">
        <f t="shared" si="31"/>
        <v>0</v>
      </c>
      <c r="S132" s="767">
        <f t="shared" si="31"/>
        <v>0</v>
      </c>
      <c r="T132" s="767">
        <f t="shared" si="31"/>
        <v>0</v>
      </c>
      <c r="U132" s="767">
        <f t="shared" si="31"/>
        <v>0</v>
      </c>
      <c r="V132" s="767">
        <f t="shared" si="31"/>
        <v>0</v>
      </c>
      <c r="W132" s="767">
        <f t="shared" si="31"/>
        <v>0</v>
      </c>
      <c r="X132" s="767">
        <f t="shared" si="31"/>
        <v>0</v>
      </c>
      <c r="Y132" s="767">
        <f t="shared" si="31"/>
        <v>0</v>
      </c>
      <c r="Z132" s="3"/>
      <c r="AA132" s="767">
        <f t="shared" si="32"/>
        <v>0</v>
      </c>
      <c r="AB132" s="767">
        <f t="shared" si="32"/>
        <v>0</v>
      </c>
      <c r="AC132" s="767">
        <f t="shared" si="32"/>
        <v>0</v>
      </c>
      <c r="AD132" s="767">
        <f t="shared" si="32"/>
        <v>0</v>
      </c>
      <c r="AE132" s="767">
        <f t="shared" si="32"/>
        <v>0</v>
      </c>
      <c r="AF132" s="767">
        <f t="shared" si="32"/>
        <v>0</v>
      </c>
      <c r="AG132" s="767">
        <f t="shared" si="32"/>
        <v>0</v>
      </c>
      <c r="AH132" s="767">
        <f t="shared" si="32"/>
        <v>0</v>
      </c>
      <c r="AI132" s="6"/>
      <c r="AJ132" s="22"/>
    </row>
    <row r="133" spans="2:36" ht="13.15" customHeight="1" x14ac:dyDescent="0.2">
      <c r="B133" s="18"/>
      <c r="C133" s="31"/>
      <c r="D133" s="117"/>
      <c r="E133" s="117"/>
      <c r="F133" s="119"/>
      <c r="G133" s="33"/>
      <c r="H133" s="209"/>
      <c r="I133" s="33"/>
      <c r="J133" s="33"/>
      <c r="K133" s="3"/>
      <c r="L133" s="32">
        <f t="shared" si="23"/>
        <v>0</v>
      </c>
      <c r="M133" s="767">
        <f t="shared" si="17"/>
        <v>0</v>
      </c>
      <c r="N133" s="767">
        <f t="shared" si="18"/>
        <v>0</v>
      </c>
      <c r="O133" s="1001" t="str">
        <f t="shared" si="19"/>
        <v>-</v>
      </c>
      <c r="P133" s="767">
        <f t="shared" si="20"/>
        <v>0</v>
      </c>
      <c r="Q133" s="3"/>
      <c r="R133" s="767">
        <f t="shared" si="31"/>
        <v>0</v>
      </c>
      <c r="S133" s="767">
        <f t="shared" si="31"/>
        <v>0</v>
      </c>
      <c r="T133" s="767">
        <f t="shared" si="31"/>
        <v>0</v>
      </c>
      <c r="U133" s="767">
        <f t="shared" si="31"/>
        <v>0</v>
      </c>
      <c r="V133" s="767">
        <f t="shared" si="31"/>
        <v>0</v>
      </c>
      <c r="W133" s="767">
        <f t="shared" si="31"/>
        <v>0</v>
      </c>
      <c r="X133" s="767">
        <f t="shared" si="31"/>
        <v>0</v>
      </c>
      <c r="Y133" s="767">
        <f t="shared" si="31"/>
        <v>0</v>
      </c>
      <c r="Z133" s="3"/>
      <c r="AA133" s="767">
        <f t="shared" si="32"/>
        <v>0</v>
      </c>
      <c r="AB133" s="767">
        <f t="shared" si="32"/>
        <v>0</v>
      </c>
      <c r="AC133" s="767">
        <f t="shared" si="32"/>
        <v>0</v>
      </c>
      <c r="AD133" s="767">
        <f t="shared" si="32"/>
        <v>0</v>
      </c>
      <c r="AE133" s="767">
        <f t="shared" si="32"/>
        <v>0</v>
      </c>
      <c r="AF133" s="767">
        <f t="shared" si="32"/>
        <v>0</v>
      </c>
      <c r="AG133" s="767">
        <f t="shared" si="32"/>
        <v>0</v>
      </c>
      <c r="AH133" s="767">
        <f t="shared" si="32"/>
        <v>0</v>
      </c>
      <c r="AI133" s="6"/>
      <c r="AJ133" s="22"/>
    </row>
    <row r="134" spans="2:36" ht="13.15" customHeight="1" x14ac:dyDescent="0.2">
      <c r="B134" s="18"/>
      <c r="C134" s="31"/>
      <c r="D134" s="117"/>
      <c r="E134" s="117"/>
      <c r="F134" s="119"/>
      <c r="G134" s="33"/>
      <c r="H134" s="209"/>
      <c r="I134" s="33"/>
      <c r="J134" s="33"/>
      <c r="K134" s="3"/>
      <c r="L134" s="32">
        <f t="shared" si="23"/>
        <v>0</v>
      </c>
      <c r="M134" s="767">
        <f t="shared" si="17"/>
        <v>0</v>
      </c>
      <c r="N134" s="767">
        <f t="shared" si="18"/>
        <v>0</v>
      </c>
      <c r="O134" s="1001" t="str">
        <f t="shared" si="19"/>
        <v>-</v>
      </c>
      <c r="P134" s="767">
        <f t="shared" si="20"/>
        <v>0</v>
      </c>
      <c r="Q134" s="3"/>
      <c r="R134" s="767">
        <f t="shared" si="31"/>
        <v>0</v>
      </c>
      <c r="S134" s="767">
        <f t="shared" si="31"/>
        <v>0</v>
      </c>
      <c r="T134" s="767">
        <f t="shared" si="31"/>
        <v>0</v>
      </c>
      <c r="U134" s="767">
        <f t="shared" si="31"/>
        <v>0</v>
      </c>
      <c r="V134" s="767">
        <f t="shared" si="31"/>
        <v>0</v>
      </c>
      <c r="W134" s="767">
        <f t="shared" si="31"/>
        <v>0</v>
      </c>
      <c r="X134" s="767">
        <f t="shared" si="31"/>
        <v>0</v>
      </c>
      <c r="Y134" s="767">
        <f t="shared" si="31"/>
        <v>0</v>
      </c>
      <c r="Z134" s="3"/>
      <c r="AA134" s="767">
        <f t="shared" si="32"/>
        <v>0</v>
      </c>
      <c r="AB134" s="767">
        <f t="shared" si="32"/>
        <v>0</v>
      </c>
      <c r="AC134" s="767">
        <f t="shared" si="32"/>
        <v>0</v>
      </c>
      <c r="AD134" s="767">
        <f t="shared" si="32"/>
        <v>0</v>
      </c>
      <c r="AE134" s="767">
        <f t="shared" si="32"/>
        <v>0</v>
      </c>
      <c r="AF134" s="767">
        <f t="shared" si="32"/>
        <v>0</v>
      </c>
      <c r="AG134" s="767">
        <f t="shared" si="32"/>
        <v>0</v>
      </c>
      <c r="AH134" s="767">
        <f t="shared" si="32"/>
        <v>0</v>
      </c>
      <c r="AI134" s="6"/>
      <c r="AJ134" s="22"/>
    </row>
    <row r="135" spans="2:36" ht="13.15" customHeight="1" x14ac:dyDescent="0.2">
      <c r="B135" s="18"/>
      <c r="C135" s="31"/>
      <c r="D135" s="117"/>
      <c r="E135" s="117"/>
      <c r="F135" s="119"/>
      <c r="G135" s="33"/>
      <c r="H135" s="209"/>
      <c r="I135" s="33"/>
      <c r="J135" s="33"/>
      <c r="K135" s="3"/>
      <c r="L135" s="32">
        <f t="shared" si="23"/>
        <v>0</v>
      </c>
      <c r="M135" s="767">
        <f t="shared" si="17"/>
        <v>0</v>
      </c>
      <c r="N135" s="767">
        <f t="shared" si="18"/>
        <v>0</v>
      </c>
      <c r="O135" s="1001" t="str">
        <f t="shared" si="19"/>
        <v>-</v>
      </c>
      <c r="P135" s="767">
        <f t="shared" si="20"/>
        <v>0</v>
      </c>
      <c r="Q135" s="3"/>
      <c r="R135" s="767">
        <f t="shared" si="31"/>
        <v>0</v>
      </c>
      <c r="S135" s="767">
        <f t="shared" si="31"/>
        <v>0</v>
      </c>
      <c r="T135" s="767">
        <f t="shared" si="31"/>
        <v>0</v>
      </c>
      <c r="U135" s="767">
        <f t="shared" si="31"/>
        <v>0</v>
      </c>
      <c r="V135" s="767">
        <f t="shared" si="31"/>
        <v>0</v>
      </c>
      <c r="W135" s="767">
        <f t="shared" si="31"/>
        <v>0</v>
      </c>
      <c r="X135" s="767">
        <f t="shared" si="31"/>
        <v>0</v>
      </c>
      <c r="Y135" s="767">
        <f t="shared" si="31"/>
        <v>0</v>
      </c>
      <c r="Z135" s="3"/>
      <c r="AA135" s="767">
        <f t="shared" si="32"/>
        <v>0</v>
      </c>
      <c r="AB135" s="767">
        <f t="shared" si="32"/>
        <v>0</v>
      </c>
      <c r="AC135" s="767">
        <f t="shared" si="32"/>
        <v>0</v>
      </c>
      <c r="AD135" s="767">
        <f t="shared" si="32"/>
        <v>0</v>
      </c>
      <c r="AE135" s="767">
        <f t="shared" si="32"/>
        <v>0</v>
      </c>
      <c r="AF135" s="767">
        <f t="shared" si="32"/>
        <v>0</v>
      </c>
      <c r="AG135" s="767">
        <f t="shared" si="32"/>
        <v>0</v>
      </c>
      <c r="AH135" s="767">
        <f t="shared" si="32"/>
        <v>0</v>
      </c>
      <c r="AI135" s="6"/>
      <c r="AJ135" s="22"/>
    </row>
    <row r="136" spans="2:36" ht="13.15" customHeight="1" x14ac:dyDescent="0.2">
      <c r="B136" s="18"/>
      <c r="C136" s="31"/>
      <c r="D136" s="117"/>
      <c r="E136" s="117"/>
      <c r="F136" s="119"/>
      <c r="G136" s="33"/>
      <c r="H136" s="209"/>
      <c r="I136" s="33"/>
      <c r="J136" s="33"/>
      <c r="K136" s="3"/>
      <c r="L136" s="32">
        <f t="shared" si="23"/>
        <v>0</v>
      </c>
      <c r="M136" s="767">
        <f t="shared" si="17"/>
        <v>0</v>
      </c>
      <c r="N136" s="767">
        <f t="shared" si="18"/>
        <v>0</v>
      </c>
      <c r="O136" s="1001" t="str">
        <f t="shared" si="19"/>
        <v>-</v>
      </c>
      <c r="P136" s="767">
        <f t="shared" si="20"/>
        <v>0</v>
      </c>
      <c r="Q136" s="3"/>
      <c r="R136" s="767">
        <f t="shared" si="31"/>
        <v>0</v>
      </c>
      <c r="S136" s="767">
        <f t="shared" si="31"/>
        <v>0</v>
      </c>
      <c r="T136" s="767">
        <f t="shared" si="31"/>
        <v>0</v>
      </c>
      <c r="U136" s="767">
        <f t="shared" si="31"/>
        <v>0</v>
      </c>
      <c r="V136" s="767">
        <f t="shared" si="31"/>
        <v>0</v>
      </c>
      <c r="W136" s="767">
        <f t="shared" si="31"/>
        <v>0</v>
      </c>
      <c r="X136" s="767">
        <f t="shared" si="31"/>
        <v>0</v>
      </c>
      <c r="Y136" s="767">
        <f t="shared" si="31"/>
        <v>0</v>
      </c>
      <c r="Z136" s="3"/>
      <c r="AA136" s="767">
        <f t="shared" si="32"/>
        <v>0</v>
      </c>
      <c r="AB136" s="767">
        <f t="shared" si="32"/>
        <v>0</v>
      </c>
      <c r="AC136" s="767">
        <f t="shared" si="32"/>
        <v>0</v>
      </c>
      <c r="AD136" s="767">
        <f t="shared" si="32"/>
        <v>0</v>
      </c>
      <c r="AE136" s="767">
        <f t="shared" si="32"/>
        <v>0</v>
      </c>
      <c r="AF136" s="767">
        <f t="shared" si="32"/>
        <v>0</v>
      </c>
      <c r="AG136" s="767">
        <f t="shared" si="32"/>
        <v>0</v>
      </c>
      <c r="AH136" s="767">
        <f t="shared" si="32"/>
        <v>0</v>
      </c>
      <c r="AI136" s="6"/>
      <c r="AJ136" s="22"/>
    </row>
    <row r="137" spans="2:36" ht="13.15" customHeight="1" x14ac:dyDescent="0.2">
      <c r="B137" s="18"/>
      <c r="C137" s="31"/>
      <c r="D137" s="117"/>
      <c r="E137" s="117"/>
      <c r="F137" s="119"/>
      <c r="G137" s="33"/>
      <c r="H137" s="209"/>
      <c r="I137" s="33"/>
      <c r="J137" s="33"/>
      <c r="K137" s="3"/>
      <c r="L137" s="32">
        <f t="shared" si="23"/>
        <v>0</v>
      </c>
      <c r="M137" s="767">
        <f t="shared" si="17"/>
        <v>0</v>
      </c>
      <c r="N137" s="767">
        <f t="shared" si="18"/>
        <v>0</v>
      </c>
      <c r="O137" s="1001" t="str">
        <f t="shared" si="19"/>
        <v>-</v>
      </c>
      <c r="P137" s="767">
        <f t="shared" si="20"/>
        <v>0</v>
      </c>
      <c r="Q137" s="3"/>
      <c r="R137" s="767">
        <f t="shared" si="31"/>
        <v>0</v>
      </c>
      <c r="S137" s="767">
        <f t="shared" si="31"/>
        <v>0</v>
      </c>
      <c r="T137" s="767">
        <f t="shared" si="31"/>
        <v>0</v>
      </c>
      <c r="U137" s="767">
        <f t="shared" si="31"/>
        <v>0</v>
      </c>
      <c r="V137" s="767">
        <f t="shared" si="31"/>
        <v>0</v>
      </c>
      <c r="W137" s="767">
        <f t="shared" si="31"/>
        <v>0</v>
      </c>
      <c r="X137" s="767">
        <f t="shared" si="31"/>
        <v>0</v>
      </c>
      <c r="Y137" s="767">
        <f t="shared" si="31"/>
        <v>0</v>
      </c>
      <c r="Z137" s="3"/>
      <c r="AA137" s="767">
        <f t="shared" si="32"/>
        <v>0</v>
      </c>
      <c r="AB137" s="767">
        <f t="shared" si="32"/>
        <v>0</v>
      </c>
      <c r="AC137" s="767">
        <f t="shared" si="32"/>
        <v>0</v>
      </c>
      <c r="AD137" s="767">
        <f t="shared" si="32"/>
        <v>0</v>
      </c>
      <c r="AE137" s="767">
        <f t="shared" si="32"/>
        <v>0</v>
      </c>
      <c r="AF137" s="767">
        <f t="shared" si="32"/>
        <v>0</v>
      </c>
      <c r="AG137" s="767">
        <f t="shared" si="32"/>
        <v>0</v>
      </c>
      <c r="AH137" s="767">
        <f t="shared" si="32"/>
        <v>0</v>
      </c>
      <c r="AI137" s="6"/>
      <c r="AJ137" s="22"/>
    </row>
    <row r="138" spans="2:36" ht="13.15" customHeight="1" x14ac:dyDescent="0.2">
      <c r="B138" s="18"/>
      <c r="C138" s="31"/>
      <c r="D138" s="117"/>
      <c r="E138" s="117"/>
      <c r="F138" s="119"/>
      <c r="G138" s="33"/>
      <c r="H138" s="209"/>
      <c r="I138" s="33"/>
      <c r="J138" s="33"/>
      <c r="K138" s="3"/>
      <c r="L138" s="32">
        <f t="shared" si="23"/>
        <v>0</v>
      </c>
      <c r="M138" s="767">
        <f t="shared" si="17"/>
        <v>0</v>
      </c>
      <c r="N138" s="767">
        <f t="shared" si="18"/>
        <v>0</v>
      </c>
      <c r="O138" s="1001" t="str">
        <f t="shared" si="19"/>
        <v>-</v>
      </c>
      <c r="P138" s="767">
        <f t="shared" si="20"/>
        <v>0</v>
      </c>
      <c r="Q138" s="3"/>
      <c r="R138" s="767">
        <f t="shared" ref="R138:Y153" si="33">(IF(R$8&lt;$I138,0,IF($O138&lt;=R$8-1,0,$N138)))</f>
        <v>0</v>
      </c>
      <c r="S138" s="767">
        <f t="shared" si="33"/>
        <v>0</v>
      </c>
      <c r="T138" s="767">
        <f t="shared" si="33"/>
        <v>0</v>
      </c>
      <c r="U138" s="767">
        <f t="shared" si="33"/>
        <v>0</v>
      </c>
      <c r="V138" s="767">
        <f t="shared" si="33"/>
        <v>0</v>
      </c>
      <c r="W138" s="767">
        <f t="shared" si="33"/>
        <v>0</v>
      </c>
      <c r="X138" s="767">
        <f t="shared" si="33"/>
        <v>0</v>
      </c>
      <c r="Y138" s="767">
        <f t="shared" si="33"/>
        <v>0</v>
      </c>
      <c r="Z138" s="3"/>
      <c r="AA138" s="767">
        <f t="shared" ref="AA138:AH153" si="34">IF(AA$8=$I138,($G138*$H138),0)</f>
        <v>0</v>
      </c>
      <c r="AB138" s="767">
        <f t="shared" si="34"/>
        <v>0</v>
      </c>
      <c r="AC138" s="767">
        <f t="shared" si="34"/>
        <v>0</v>
      </c>
      <c r="AD138" s="767">
        <f t="shared" si="34"/>
        <v>0</v>
      </c>
      <c r="AE138" s="767">
        <f t="shared" si="34"/>
        <v>0</v>
      </c>
      <c r="AF138" s="767">
        <f t="shared" si="34"/>
        <v>0</v>
      </c>
      <c r="AG138" s="767">
        <f t="shared" si="34"/>
        <v>0</v>
      </c>
      <c r="AH138" s="767">
        <f t="shared" si="34"/>
        <v>0</v>
      </c>
      <c r="AI138" s="6"/>
      <c r="AJ138" s="22"/>
    </row>
    <row r="139" spans="2:36" ht="13.15" customHeight="1" x14ac:dyDescent="0.2">
      <c r="B139" s="18"/>
      <c r="C139" s="31"/>
      <c r="D139" s="117"/>
      <c r="E139" s="117"/>
      <c r="F139" s="119"/>
      <c r="G139" s="33"/>
      <c r="H139" s="209"/>
      <c r="I139" s="33"/>
      <c r="J139" s="33"/>
      <c r="K139" s="3"/>
      <c r="L139" s="32">
        <f t="shared" si="23"/>
        <v>0</v>
      </c>
      <c r="M139" s="767">
        <f t="shared" si="17"/>
        <v>0</v>
      </c>
      <c r="N139" s="767">
        <f t="shared" si="18"/>
        <v>0</v>
      </c>
      <c r="O139" s="1001" t="str">
        <f t="shared" si="19"/>
        <v>-</v>
      </c>
      <c r="P139" s="767">
        <f t="shared" si="20"/>
        <v>0</v>
      </c>
      <c r="Q139" s="3"/>
      <c r="R139" s="767">
        <f t="shared" si="33"/>
        <v>0</v>
      </c>
      <c r="S139" s="767">
        <f t="shared" si="33"/>
        <v>0</v>
      </c>
      <c r="T139" s="767">
        <f t="shared" si="33"/>
        <v>0</v>
      </c>
      <c r="U139" s="767">
        <f t="shared" si="33"/>
        <v>0</v>
      </c>
      <c r="V139" s="767">
        <f t="shared" si="33"/>
        <v>0</v>
      </c>
      <c r="W139" s="767">
        <f t="shared" si="33"/>
        <v>0</v>
      </c>
      <c r="X139" s="767">
        <f t="shared" si="33"/>
        <v>0</v>
      </c>
      <c r="Y139" s="767">
        <f t="shared" si="33"/>
        <v>0</v>
      </c>
      <c r="Z139" s="3"/>
      <c r="AA139" s="767">
        <f t="shared" si="34"/>
        <v>0</v>
      </c>
      <c r="AB139" s="767">
        <f t="shared" si="34"/>
        <v>0</v>
      </c>
      <c r="AC139" s="767">
        <f t="shared" si="34"/>
        <v>0</v>
      </c>
      <c r="AD139" s="767">
        <f t="shared" si="34"/>
        <v>0</v>
      </c>
      <c r="AE139" s="767">
        <f t="shared" si="34"/>
        <v>0</v>
      </c>
      <c r="AF139" s="767">
        <f t="shared" si="34"/>
        <v>0</v>
      </c>
      <c r="AG139" s="767">
        <f t="shared" si="34"/>
        <v>0</v>
      </c>
      <c r="AH139" s="767">
        <f t="shared" si="34"/>
        <v>0</v>
      </c>
      <c r="AI139" s="6"/>
      <c r="AJ139" s="22"/>
    </row>
    <row r="140" spans="2:36" ht="13.15" customHeight="1" x14ac:dyDescent="0.2">
      <c r="B140" s="18"/>
      <c r="C140" s="31"/>
      <c r="D140" s="117"/>
      <c r="E140" s="117"/>
      <c r="F140" s="119"/>
      <c r="G140" s="33"/>
      <c r="H140" s="209"/>
      <c r="I140" s="33"/>
      <c r="J140" s="33"/>
      <c r="K140" s="3"/>
      <c r="L140" s="32">
        <f t="shared" si="23"/>
        <v>0</v>
      </c>
      <c r="M140" s="767">
        <f t="shared" si="17"/>
        <v>0</v>
      </c>
      <c r="N140" s="767">
        <f t="shared" si="18"/>
        <v>0</v>
      </c>
      <c r="O140" s="1001" t="str">
        <f t="shared" si="19"/>
        <v>-</v>
      </c>
      <c r="P140" s="767">
        <f t="shared" si="20"/>
        <v>0</v>
      </c>
      <c r="Q140" s="3"/>
      <c r="R140" s="767">
        <f t="shared" si="33"/>
        <v>0</v>
      </c>
      <c r="S140" s="767">
        <f t="shared" si="33"/>
        <v>0</v>
      </c>
      <c r="T140" s="767">
        <f t="shared" si="33"/>
        <v>0</v>
      </c>
      <c r="U140" s="767">
        <f t="shared" si="33"/>
        <v>0</v>
      </c>
      <c r="V140" s="767">
        <f t="shared" si="33"/>
        <v>0</v>
      </c>
      <c r="W140" s="767">
        <f t="shared" si="33"/>
        <v>0</v>
      </c>
      <c r="X140" s="767">
        <f t="shared" si="33"/>
        <v>0</v>
      </c>
      <c r="Y140" s="767">
        <f t="shared" si="33"/>
        <v>0</v>
      </c>
      <c r="Z140" s="3"/>
      <c r="AA140" s="767">
        <f t="shared" si="34"/>
        <v>0</v>
      </c>
      <c r="AB140" s="767">
        <f t="shared" si="34"/>
        <v>0</v>
      </c>
      <c r="AC140" s="767">
        <f t="shared" si="34"/>
        <v>0</v>
      </c>
      <c r="AD140" s="767">
        <f t="shared" si="34"/>
        <v>0</v>
      </c>
      <c r="AE140" s="767">
        <f t="shared" si="34"/>
        <v>0</v>
      </c>
      <c r="AF140" s="767">
        <f t="shared" si="34"/>
        <v>0</v>
      </c>
      <c r="AG140" s="767">
        <f t="shared" si="34"/>
        <v>0</v>
      </c>
      <c r="AH140" s="767">
        <f t="shared" si="34"/>
        <v>0</v>
      </c>
      <c r="AI140" s="6"/>
      <c r="AJ140" s="22"/>
    </row>
    <row r="141" spans="2:36" ht="13.15" customHeight="1" x14ac:dyDescent="0.2">
      <c r="B141" s="18"/>
      <c r="C141" s="31"/>
      <c r="D141" s="117"/>
      <c r="E141" s="117"/>
      <c r="F141" s="119"/>
      <c r="G141" s="33"/>
      <c r="H141" s="209"/>
      <c r="I141" s="33"/>
      <c r="J141" s="33"/>
      <c r="K141" s="3"/>
      <c r="L141" s="32">
        <f t="shared" si="23"/>
        <v>0</v>
      </c>
      <c r="M141" s="767">
        <f t="shared" si="17"/>
        <v>0</v>
      </c>
      <c r="N141" s="767">
        <f t="shared" si="18"/>
        <v>0</v>
      </c>
      <c r="O141" s="1001" t="str">
        <f t="shared" si="19"/>
        <v>-</v>
      </c>
      <c r="P141" s="767">
        <f t="shared" si="20"/>
        <v>0</v>
      </c>
      <c r="Q141" s="3"/>
      <c r="R141" s="767">
        <f t="shared" si="33"/>
        <v>0</v>
      </c>
      <c r="S141" s="767">
        <f t="shared" si="33"/>
        <v>0</v>
      </c>
      <c r="T141" s="767">
        <f t="shared" si="33"/>
        <v>0</v>
      </c>
      <c r="U141" s="767">
        <f t="shared" si="33"/>
        <v>0</v>
      </c>
      <c r="V141" s="767">
        <f t="shared" si="33"/>
        <v>0</v>
      </c>
      <c r="W141" s="767">
        <f t="shared" si="33"/>
        <v>0</v>
      </c>
      <c r="X141" s="767">
        <f t="shared" si="33"/>
        <v>0</v>
      </c>
      <c r="Y141" s="767">
        <f t="shared" si="33"/>
        <v>0</v>
      </c>
      <c r="Z141" s="3"/>
      <c r="AA141" s="767">
        <f t="shared" si="34"/>
        <v>0</v>
      </c>
      <c r="AB141" s="767">
        <f t="shared" si="34"/>
        <v>0</v>
      </c>
      <c r="AC141" s="767">
        <f t="shared" si="34"/>
        <v>0</v>
      </c>
      <c r="AD141" s="767">
        <f t="shared" si="34"/>
        <v>0</v>
      </c>
      <c r="AE141" s="767">
        <f t="shared" si="34"/>
        <v>0</v>
      </c>
      <c r="AF141" s="767">
        <f t="shared" si="34"/>
        <v>0</v>
      </c>
      <c r="AG141" s="767">
        <f t="shared" si="34"/>
        <v>0</v>
      </c>
      <c r="AH141" s="767">
        <f t="shared" si="34"/>
        <v>0</v>
      </c>
      <c r="AI141" s="6"/>
      <c r="AJ141" s="22"/>
    </row>
    <row r="142" spans="2:36" ht="13.15" customHeight="1" x14ac:dyDescent="0.2">
      <c r="B142" s="18"/>
      <c r="C142" s="31"/>
      <c r="D142" s="117"/>
      <c r="E142" s="117"/>
      <c r="F142" s="119"/>
      <c r="G142" s="33"/>
      <c r="H142" s="209"/>
      <c r="I142" s="33"/>
      <c r="J142" s="33"/>
      <c r="K142" s="3"/>
      <c r="L142" s="32">
        <f t="shared" si="23"/>
        <v>0</v>
      </c>
      <c r="M142" s="767">
        <f t="shared" si="17"/>
        <v>0</v>
      </c>
      <c r="N142" s="767">
        <f t="shared" si="18"/>
        <v>0</v>
      </c>
      <c r="O142" s="1001" t="str">
        <f t="shared" si="19"/>
        <v>-</v>
      </c>
      <c r="P142" s="767">
        <f t="shared" si="20"/>
        <v>0</v>
      </c>
      <c r="Q142" s="3"/>
      <c r="R142" s="767">
        <f t="shared" si="33"/>
        <v>0</v>
      </c>
      <c r="S142" s="767">
        <f t="shared" si="33"/>
        <v>0</v>
      </c>
      <c r="T142" s="767">
        <f t="shared" si="33"/>
        <v>0</v>
      </c>
      <c r="U142" s="767">
        <f t="shared" si="33"/>
        <v>0</v>
      </c>
      <c r="V142" s="767">
        <f t="shared" si="33"/>
        <v>0</v>
      </c>
      <c r="W142" s="767">
        <f t="shared" si="33"/>
        <v>0</v>
      </c>
      <c r="X142" s="767">
        <f t="shared" si="33"/>
        <v>0</v>
      </c>
      <c r="Y142" s="767">
        <f t="shared" si="33"/>
        <v>0</v>
      </c>
      <c r="Z142" s="3"/>
      <c r="AA142" s="767">
        <f t="shared" si="34"/>
        <v>0</v>
      </c>
      <c r="AB142" s="767">
        <f t="shared" si="34"/>
        <v>0</v>
      </c>
      <c r="AC142" s="767">
        <f t="shared" si="34"/>
        <v>0</v>
      </c>
      <c r="AD142" s="767">
        <f t="shared" si="34"/>
        <v>0</v>
      </c>
      <c r="AE142" s="767">
        <f t="shared" si="34"/>
        <v>0</v>
      </c>
      <c r="AF142" s="767">
        <f t="shared" si="34"/>
        <v>0</v>
      </c>
      <c r="AG142" s="767">
        <f t="shared" si="34"/>
        <v>0</v>
      </c>
      <c r="AH142" s="767">
        <f t="shared" si="34"/>
        <v>0</v>
      </c>
      <c r="AI142" s="6"/>
      <c r="AJ142" s="22"/>
    </row>
    <row r="143" spans="2:36" ht="13.15" customHeight="1" x14ac:dyDescent="0.2">
      <c r="B143" s="18"/>
      <c r="C143" s="31"/>
      <c r="D143" s="117"/>
      <c r="E143" s="117"/>
      <c r="F143" s="119"/>
      <c r="G143" s="33"/>
      <c r="H143" s="209"/>
      <c r="I143" s="33"/>
      <c r="J143" s="33"/>
      <c r="K143" s="3"/>
      <c r="L143" s="32">
        <f t="shared" si="23"/>
        <v>0</v>
      </c>
      <c r="M143" s="767">
        <f t="shared" si="17"/>
        <v>0</v>
      </c>
      <c r="N143" s="767">
        <f t="shared" si="18"/>
        <v>0</v>
      </c>
      <c r="O143" s="1001" t="str">
        <f t="shared" si="19"/>
        <v>-</v>
      </c>
      <c r="P143" s="767">
        <f t="shared" si="20"/>
        <v>0</v>
      </c>
      <c r="Q143" s="3"/>
      <c r="R143" s="767">
        <f t="shared" si="33"/>
        <v>0</v>
      </c>
      <c r="S143" s="767">
        <f t="shared" si="33"/>
        <v>0</v>
      </c>
      <c r="T143" s="767">
        <f t="shared" si="33"/>
        <v>0</v>
      </c>
      <c r="U143" s="767">
        <f t="shared" si="33"/>
        <v>0</v>
      </c>
      <c r="V143" s="767">
        <f t="shared" si="33"/>
        <v>0</v>
      </c>
      <c r="W143" s="767">
        <f t="shared" si="33"/>
        <v>0</v>
      </c>
      <c r="X143" s="767">
        <f t="shared" si="33"/>
        <v>0</v>
      </c>
      <c r="Y143" s="767">
        <f t="shared" si="33"/>
        <v>0</v>
      </c>
      <c r="Z143" s="3"/>
      <c r="AA143" s="767">
        <f t="shared" si="34"/>
        <v>0</v>
      </c>
      <c r="AB143" s="767">
        <f t="shared" si="34"/>
        <v>0</v>
      </c>
      <c r="AC143" s="767">
        <f t="shared" si="34"/>
        <v>0</v>
      </c>
      <c r="AD143" s="767">
        <f t="shared" si="34"/>
        <v>0</v>
      </c>
      <c r="AE143" s="767">
        <f t="shared" si="34"/>
        <v>0</v>
      </c>
      <c r="AF143" s="767">
        <f t="shared" si="34"/>
        <v>0</v>
      </c>
      <c r="AG143" s="767">
        <f t="shared" si="34"/>
        <v>0</v>
      </c>
      <c r="AH143" s="767">
        <f t="shared" si="34"/>
        <v>0</v>
      </c>
      <c r="AI143" s="6"/>
      <c r="AJ143" s="22"/>
    </row>
    <row r="144" spans="2:36" ht="13.15" customHeight="1" x14ac:dyDescent="0.2">
      <c r="B144" s="18"/>
      <c r="C144" s="31"/>
      <c r="D144" s="117"/>
      <c r="E144" s="117"/>
      <c r="F144" s="119"/>
      <c r="G144" s="33"/>
      <c r="H144" s="209"/>
      <c r="I144" s="33"/>
      <c r="J144" s="33"/>
      <c r="K144" s="3"/>
      <c r="L144" s="32">
        <f t="shared" si="23"/>
        <v>0</v>
      </c>
      <c r="M144" s="767">
        <f t="shared" si="17"/>
        <v>0</v>
      </c>
      <c r="N144" s="767">
        <f t="shared" si="18"/>
        <v>0</v>
      </c>
      <c r="O144" s="1001" t="str">
        <f t="shared" si="19"/>
        <v>-</v>
      </c>
      <c r="P144" s="767">
        <f t="shared" si="20"/>
        <v>0</v>
      </c>
      <c r="Q144" s="3"/>
      <c r="R144" s="767">
        <f t="shared" si="33"/>
        <v>0</v>
      </c>
      <c r="S144" s="767">
        <f t="shared" si="33"/>
        <v>0</v>
      </c>
      <c r="T144" s="767">
        <f t="shared" si="33"/>
        <v>0</v>
      </c>
      <c r="U144" s="767">
        <f t="shared" si="33"/>
        <v>0</v>
      </c>
      <c r="V144" s="767">
        <f t="shared" si="33"/>
        <v>0</v>
      </c>
      <c r="W144" s="767">
        <f t="shared" si="33"/>
        <v>0</v>
      </c>
      <c r="X144" s="767">
        <f t="shared" si="33"/>
        <v>0</v>
      </c>
      <c r="Y144" s="767">
        <f t="shared" si="33"/>
        <v>0</v>
      </c>
      <c r="Z144" s="3"/>
      <c r="AA144" s="767">
        <f t="shared" si="34"/>
        <v>0</v>
      </c>
      <c r="AB144" s="767">
        <f t="shared" si="34"/>
        <v>0</v>
      </c>
      <c r="AC144" s="767">
        <f t="shared" si="34"/>
        <v>0</v>
      </c>
      <c r="AD144" s="767">
        <f t="shared" si="34"/>
        <v>0</v>
      </c>
      <c r="AE144" s="767">
        <f t="shared" si="34"/>
        <v>0</v>
      </c>
      <c r="AF144" s="767">
        <f t="shared" si="34"/>
        <v>0</v>
      </c>
      <c r="AG144" s="767">
        <f t="shared" si="34"/>
        <v>0</v>
      </c>
      <c r="AH144" s="767">
        <f t="shared" si="34"/>
        <v>0</v>
      </c>
      <c r="AI144" s="6"/>
      <c r="AJ144" s="22"/>
    </row>
    <row r="145" spans="2:36" ht="13.15" customHeight="1" x14ac:dyDescent="0.2">
      <c r="B145" s="18"/>
      <c r="C145" s="31"/>
      <c r="D145" s="117"/>
      <c r="E145" s="117"/>
      <c r="F145" s="119"/>
      <c r="G145" s="33"/>
      <c r="H145" s="209"/>
      <c r="I145" s="33"/>
      <c r="J145" s="33"/>
      <c r="K145" s="3"/>
      <c r="L145" s="32">
        <f t="shared" si="23"/>
        <v>0</v>
      </c>
      <c r="M145" s="767">
        <f t="shared" si="17"/>
        <v>0</v>
      </c>
      <c r="N145" s="767">
        <f t="shared" si="18"/>
        <v>0</v>
      </c>
      <c r="O145" s="1001" t="str">
        <f t="shared" si="19"/>
        <v>-</v>
      </c>
      <c r="P145" s="767">
        <f t="shared" si="20"/>
        <v>0</v>
      </c>
      <c r="Q145" s="3"/>
      <c r="R145" s="767">
        <f t="shared" si="33"/>
        <v>0</v>
      </c>
      <c r="S145" s="767">
        <f t="shared" si="33"/>
        <v>0</v>
      </c>
      <c r="T145" s="767">
        <f t="shared" si="33"/>
        <v>0</v>
      </c>
      <c r="U145" s="767">
        <f t="shared" si="33"/>
        <v>0</v>
      </c>
      <c r="V145" s="767">
        <f t="shared" si="33"/>
        <v>0</v>
      </c>
      <c r="W145" s="767">
        <f t="shared" si="33"/>
        <v>0</v>
      </c>
      <c r="X145" s="767">
        <f t="shared" si="33"/>
        <v>0</v>
      </c>
      <c r="Y145" s="767">
        <f t="shared" si="33"/>
        <v>0</v>
      </c>
      <c r="Z145" s="3"/>
      <c r="AA145" s="767">
        <f t="shared" si="34"/>
        <v>0</v>
      </c>
      <c r="AB145" s="767">
        <f t="shared" si="34"/>
        <v>0</v>
      </c>
      <c r="AC145" s="767">
        <f t="shared" si="34"/>
        <v>0</v>
      </c>
      <c r="AD145" s="767">
        <f t="shared" si="34"/>
        <v>0</v>
      </c>
      <c r="AE145" s="767">
        <f t="shared" si="34"/>
        <v>0</v>
      </c>
      <c r="AF145" s="767">
        <f t="shared" si="34"/>
        <v>0</v>
      </c>
      <c r="AG145" s="767">
        <f t="shared" si="34"/>
        <v>0</v>
      </c>
      <c r="AH145" s="767">
        <f t="shared" si="34"/>
        <v>0</v>
      </c>
      <c r="AI145" s="6"/>
      <c r="AJ145" s="22"/>
    </row>
    <row r="146" spans="2:36" ht="13.15" customHeight="1" x14ac:dyDescent="0.2">
      <c r="B146" s="18"/>
      <c r="C146" s="31"/>
      <c r="D146" s="117"/>
      <c r="E146" s="117"/>
      <c r="F146" s="119"/>
      <c r="G146" s="33"/>
      <c r="H146" s="209"/>
      <c r="I146" s="33"/>
      <c r="J146" s="33"/>
      <c r="K146" s="3"/>
      <c r="L146" s="32">
        <f t="shared" si="23"/>
        <v>0</v>
      </c>
      <c r="M146" s="767">
        <f t="shared" si="17"/>
        <v>0</v>
      </c>
      <c r="N146" s="767">
        <f t="shared" si="18"/>
        <v>0</v>
      </c>
      <c r="O146" s="1001" t="str">
        <f t="shared" si="19"/>
        <v>-</v>
      </c>
      <c r="P146" s="767">
        <f t="shared" si="20"/>
        <v>0</v>
      </c>
      <c r="Q146" s="3"/>
      <c r="R146" s="767">
        <f t="shared" si="33"/>
        <v>0</v>
      </c>
      <c r="S146" s="767">
        <f t="shared" si="33"/>
        <v>0</v>
      </c>
      <c r="T146" s="767">
        <f t="shared" si="33"/>
        <v>0</v>
      </c>
      <c r="U146" s="767">
        <f t="shared" si="33"/>
        <v>0</v>
      </c>
      <c r="V146" s="767">
        <f t="shared" si="33"/>
        <v>0</v>
      </c>
      <c r="W146" s="767">
        <f t="shared" si="33"/>
        <v>0</v>
      </c>
      <c r="X146" s="767">
        <f t="shared" si="33"/>
        <v>0</v>
      </c>
      <c r="Y146" s="767">
        <f t="shared" si="33"/>
        <v>0</v>
      </c>
      <c r="Z146" s="3"/>
      <c r="AA146" s="767">
        <f t="shared" si="34"/>
        <v>0</v>
      </c>
      <c r="AB146" s="767">
        <f t="shared" si="34"/>
        <v>0</v>
      </c>
      <c r="AC146" s="767">
        <f t="shared" si="34"/>
        <v>0</v>
      </c>
      <c r="AD146" s="767">
        <f t="shared" si="34"/>
        <v>0</v>
      </c>
      <c r="AE146" s="767">
        <f t="shared" si="34"/>
        <v>0</v>
      </c>
      <c r="AF146" s="767">
        <f t="shared" si="34"/>
        <v>0</v>
      </c>
      <c r="AG146" s="767">
        <f t="shared" si="34"/>
        <v>0</v>
      </c>
      <c r="AH146" s="767">
        <f t="shared" si="34"/>
        <v>0</v>
      </c>
      <c r="AI146" s="6"/>
      <c r="AJ146" s="22"/>
    </row>
    <row r="147" spans="2:36" ht="13.15" customHeight="1" x14ac:dyDescent="0.2">
      <c r="B147" s="18"/>
      <c r="C147" s="31"/>
      <c r="D147" s="117"/>
      <c r="E147" s="117"/>
      <c r="F147" s="119"/>
      <c r="G147" s="33"/>
      <c r="H147" s="209"/>
      <c r="I147" s="33"/>
      <c r="J147" s="33"/>
      <c r="K147" s="3"/>
      <c r="L147" s="32">
        <f t="shared" si="23"/>
        <v>0</v>
      </c>
      <c r="M147" s="767">
        <f t="shared" si="17"/>
        <v>0</v>
      </c>
      <c r="N147" s="767">
        <f t="shared" si="18"/>
        <v>0</v>
      </c>
      <c r="O147" s="1001" t="str">
        <f t="shared" si="19"/>
        <v>-</v>
      </c>
      <c r="P147" s="767">
        <f t="shared" si="20"/>
        <v>0</v>
      </c>
      <c r="Q147" s="3"/>
      <c r="R147" s="767">
        <f t="shared" si="33"/>
        <v>0</v>
      </c>
      <c r="S147" s="767">
        <f t="shared" si="33"/>
        <v>0</v>
      </c>
      <c r="T147" s="767">
        <f t="shared" si="33"/>
        <v>0</v>
      </c>
      <c r="U147" s="767">
        <f t="shared" si="33"/>
        <v>0</v>
      </c>
      <c r="V147" s="767">
        <f t="shared" si="33"/>
        <v>0</v>
      </c>
      <c r="W147" s="767">
        <f t="shared" si="33"/>
        <v>0</v>
      </c>
      <c r="X147" s="767">
        <f t="shared" si="33"/>
        <v>0</v>
      </c>
      <c r="Y147" s="767">
        <f t="shared" si="33"/>
        <v>0</v>
      </c>
      <c r="Z147" s="3"/>
      <c r="AA147" s="767">
        <f t="shared" si="34"/>
        <v>0</v>
      </c>
      <c r="AB147" s="767">
        <f t="shared" si="34"/>
        <v>0</v>
      </c>
      <c r="AC147" s="767">
        <f t="shared" si="34"/>
        <v>0</v>
      </c>
      <c r="AD147" s="767">
        <f t="shared" si="34"/>
        <v>0</v>
      </c>
      <c r="AE147" s="767">
        <f t="shared" si="34"/>
        <v>0</v>
      </c>
      <c r="AF147" s="767">
        <f t="shared" si="34"/>
        <v>0</v>
      </c>
      <c r="AG147" s="767">
        <f t="shared" si="34"/>
        <v>0</v>
      </c>
      <c r="AH147" s="767">
        <f t="shared" si="34"/>
        <v>0</v>
      </c>
      <c r="AI147" s="6"/>
      <c r="AJ147" s="22"/>
    </row>
    <row r="148" spans="2:36" ht="13.15" customHeight="1" x14ac:dyDescent="0.2">
      <c r="B148" s="18"/>
      <c r="C148" s="31"/>
      <c r="D148" s="117"/>
      <c r="E148" s="117"/>
      <c r="F148" s="119"/>
      <c r="G148" s="33"/>
      <c r="H148" s="209"/>
      <c r="I148" s="33"/>
      <c r="J148" s="33"/>
      <c r="K148" s="3"/>
      <c r="L148" s="32">
        <f t="shared" si="23"/>
        <v>0</v>
      </c>
      <c r="M148" s="767">
        <f t="shared" si="17"/>
        <v>0</v>
      </c>
      <c r="N148" s="767">
        <f t="shared" si="18"/>
        <v>0</v>
      </c>
      <c r="O148" s="1001" t="str">
        <f t="shared" si="19"/>
        <v>-</v>
      </c>
      <c r="P148" s="767">
        <f t="shared" si="20"/>
        <v>0</v>
      </c>
      <c r="Q148" s="3"/>
      <c r="R148" s="767">
        <f t="shared" si="33"/>
        <v>0</v>
      </c>
      <c r="S148" s="767">
        <f t="shared" si="33"/>
        <v>0</v>
      </c>
      <c r="T148" s="767">
        <f t="shared" si="33"/>
        <v>0</v>
      </c>
      <c r="U148" s="767">
        <f t="shared" si="33"/>
        <v>0</v>
      </c>
      <c r="V148" s="767">
        <f t="shared" si="33"/>
        <v>0</v>
      </c>
      <c r="W148" s="767">
        <f t="shared" si="33"/>
        <v>0</v>
      </c>
      <c r="X148" s="767">
        <f t="shared" si="33"/>
        <v>0</v>
      </c>
      <c r="Y148" s="767">
        <f t="shared" si="33"/>
        <v>0</v>
      </c>
      <c r="Z148" s="3"/>
      <c r="AA148" s="767">
        <f t="shared" si="34"/>
        <v>0</v>
      </c>
      <c r="AB148" s="767">
        <f t="shared" si="34"/>
        <v>0</v>
      </c>
      <c r="AC148" s="767">
        <f t="shared" si="34"/>
        <v>0</v>
      </c>
      <c r="AD148" s="767">
        <f t="shared" si="34"/>
        <v>0</v>
      </c>
      <c r="AE148" s="767">
        <f t="shared" si="34"/>
        <v>0</v>
      </c>
      <c r="AF148" s="767">
        <f t="shared" si="34"/>
        <v>0</v>
      </c>
      <c r="AG148" s="767">
        <f t="shared" si="34"/>
        <v>0</v>
      </c>
      <c r="AH148" s="767">
        <f t="shared" si="34"/>
        <v>0</v>
      </c>
      <c r="AI148" s="6"/>
      <c r="AJ148" s="22"/>
    </row>
    <row r="149" spans="2:36" ht="13.15" customHeight="1" x14ac:dyDescent="0.2">
      <c r="B149" s="18"/>
      <c r="C149" s="31"/>
      <c r="D149" s="117"/>
      <c r="E149" s="117"/>
      <c r="F149" s="119"/>
      <c r="G149" s="33"/>
      <c r="H149" s="209"/>
      <c r="I149" s="33"/>
      <c r="J149" s="33"/>
      <c r="K149" s="3"/>
      <c r="L149" s="32">
        <f t="shared" si="23"/>
        <v>0</v>
      </c>
      <c r="M149" s="767">
        <f t="shared" si="17"/>
        <v>0</v>
      </c>
      <c r="N149" s="767">
        <f t="shared" si="18"/>
        <v>0</v>
      </c>
      <c r="O149" s="1001" t="str">
        <f t="shared" si="19"/>
        <v>-</v>
      </c>
      <c r="P149" s="767">
        <f t="shared" si="20"/>
        <v>0</v>
      </c>
      <c r="Q149" s="3"/>
      <c r="R149" s="767">
        <f t="shared" si="33"/>
        <v>0</v>
      </c>
      <c r="S149" s="767">
        <f t="shared" si="33"/>
        <v>0</v>
      </c>
      <c r="T149" s="767">
        <f t="shared" si="33"/>
        <v>0</v>
      </c>
      <c r="U149" s="767">
        <f t="shared" si="33"/>
        <v>0</v>
      </c>
      <c r="V149" s="767">
        <f t="shared" si="33"/>
        <v>0</v>
      </c>
      <c r="W149" s="767">
        <f t="shared" si="33"/>
        <v>0</v>
      </c>
      <c r="X149" s="767">
        <f t="shared" si="33"/>
        <v>0</v>
      </c>
      <c r="Y149" s="767">
        <f t="shared" si="33"/>
        <v>0</v>
      </c>
      <c r="Z149" s="3"/>
      <c r="AA149" s="767">
        <f t="shared" si="34"/>
        <v>0</v>
      </c>
      <c r="AB149" s="767">
        <f t="shared" si="34"/>
        <v>0</v>
      </c>
      <c r="AC149" s="767">
        <f t="shared" si="34"/>
        <v>0</v>
      </c>
      <c r="AD149" s="767">
        <f t="shared" si="34"/>
        <v>0</v>
      </c>
      <c r="AE149" s="767">
        <f t="shared" si="34"/>
        <v>0</v>
      </c>
      <c r="AF149" s="767">
        <f t="shared" si="34"/>
        <v>0</v>
      </c>
      <c r="AG149" s="767">
        <f t="shared" si="34"/>
        <v>0</v>
      </c>
      <c r="AH149" s="767">
        <f t="shared" si="34"/>
        <v>0</v>
      </c>
      <c r="AI149" s="6"/>
      <c r="AJ149" s="22"/>
    </row>
    <row r="150" spans="2:36" ht="13.15" customHeight="1" x14ac:dyDescent="0.2">
      <c r="B150" s="18"/>
      <c r="C150" s="31"/>
      <c r="D150" s="117"/>
      <c r="E150" s="117"/>
      <c r="F150" s="119"/>
      <c r="G150" s="33"/>
      <c r="H150" s="209"/>
      <c r="I150" s="33"/>
      <c r="J150" s="33"/>
      <c r="K150" s="3"/>
      <c r="L150" s="32">
        <f t="shared" si="23"/>
        <v>0</v>
      </c>
      <c r="M150" s="767">
        <f t="shared" si="17"/>
        <v>0</v>
      </c>
      <c r="N150" s="767">
        <f t="shared" si="18"/>
        <v>0</v>
      </c>
      <c r="O150" s="1001" t="str">
        <f t="shared" si="19"/>
        <v>-</v>
      </c>
      <c r="P150" s="767">
        <f t="shared" si="20"/>
        <v>0</v>
      </c>
      <c r="Q150" s="3"/>
      <c r="R150" s="767">
        <f t="shared" si="33"/>
        <v>0</v>
      </c>
      <c r="S150" s="767">
        <f t="shared" si="33"/>
        <v>0</v>
      </c>
      <c r="T150" s="767">
        <f t="shared" si="33"/>
        <v>0</v>
      </c>
      <c r="U150" s="767">
        <f t="shared" si="33"/>
        <v>0</v>
      </c>
      <c r="V150" s="767">
        <f t="shared" si="33"/>
        <v>0</v>
      </c>
      <c r="W150" s="767">
        <f t="shared" si="33"/>
        <v>0</v>
      </c>
      <c r="X150" s="767">
        <f t="shared" si="33"/>
        <v>0</v>
      </c>
      <c r="Y150" s="767">
        <f t="shared" si="33"/>
        <v>0</v>
      </c>
      <c r="Z150" s="3"/>
      <c r="AA150" s="767">
        <f t="shared" si="34"/>
        <v>0</v>
      </c>
      <c r="AB150" s="767">
        <f t="shared" si="34"/>
        <v>0</v>
      </c>
      <c r="AC150" s="767">
        <f t="shared" si="34"/>
        <v>0</v>
      </c>
      <c r="AD150" s="767">
        <f t="shared" si="34"/>
        <v>0</v>
      </c>
      <c r="AE150" s="767">
        <f t="shared" si="34"/>
        <v>0</v>
      </c>
      <c r="AF150" s="767">
        <f t="shared" si="34"/>
        <v>0</v>
      </c>
      <c r="AG150" s="767">
        <f t="shared" si="34"/>
        <v>0</v>
      </c>
      <c r="AH150" s="767">
        <f t="shared" si="34"/>
        <v>0</v>
      </c>
      <c r="AI150" s="6"/>
      <c r="AJ150" s="22"/>
    </row>
    <row r="151" spans="2:36" ht="13.15" customHeight="1" x14ac:dyDescent="0.2">
      <c r="B151" s="18"/>
      <c r="C151" s="31"/>
      <c r="D151" s="117"/>
      <c r="E151" s="117"/>
      <c r="F151" s="119"/>
      <c r="G151" s="33"/>
      <c r="H151" s="209"/>
      <c r="I151" s="33"/>
      <c r="J151" s="33"/>
      <c r="K151" s="3"/>
      <c r="L151" s="32">
        <f t="shared" si="23"/>
        <v>0</v>
      </c>
      <c r="M151" s="767">
        <f t="shared" si="17"/>
        <v>0</v>
      </c>
      <c r="N151" s="767">
        <f t="shared" si="18"/>
        <v>0</v>
      </c>
      <c r="O151" s="1001" t="str">
        <f t="shared" si="19"/>
        <v>-</v>
      </c>
      <c r="P151" s="767">
        <f t="shared" si="20"/>
        <v>0</v>
      </c>
      <c r="Q151" s="3"/>
      <c r="R151" s="767">
        <f t="shared" si="33"/>
        <v>0</v>
      </c>
      <c r="S151" s="767">
        <f t="shared" si="33"/>
        <v>0</v>
      </c>
      <c r="T151" s="767">
        <f t="shared" si="33"/>
        <v>0</v>
      </c>
      <c r="U151" s="767">
        <f t="shared" si="33"/>
        <v>0</v>
      </c>
      <c r="V151" s="767">
        <f t="shared" si="33"/>
        <v>0</v>
      </c>
      <c r="W151" s="767">
        <f t="shared" si="33"/>
        <v>0</v>
      </c>
      <c r="X151" s="767">
        <f t="shared" si="33"/>
        <v>0</v>
      </c>
      <c r="Y151" s="767">
        <f t="shared" si="33"/>
        <v>0</v>
      </c>
      <c r="Z151" s="3"/>
      <c r="AA151" s="767">
        <f t="shared" si="34"/>
        <v>0</v>
      </c>
      <c r="AB151" s="767">
        <f t="shared" si="34"/>
        <v>0</v>
      </c>
      <c r="AC151" s="767">
        <f t="shared" si="34"/>
        <v>0</v>
      </c>
      <c r="AD151" s="767">
        <f t="shared" si="34"/>
        <v>0</v>
      </c>
      <c r="AE151" s="767">
        <f t="shared" si="34"/>
        <v>0</v>
      </c>
      <c r="AF151" s="767">
        <f t="shared" si="34"/>
        <v>0</v>
      </c>
      <c r="AG151" s="767">
        <f t="shared" si="34"/>
        <v>0</v>
      </c>
      <c r="AH151" s="767">
        <f t="shared" si="34"/>
        <v>0</v>
      </c>
      <c r="AI151" s="6"/>
      <c r="AJ151" s="22"/>
    </row>
    <row r="152" spans="2:36" ht="13.15" customHeight="1" x14ac:dyDescent="0.2">
      <c r="B152" s="18"/>
      <c r="C152" s="31"/>
      <c r="D152" s="117"/>
      <c r="E152" s="117"/>
      <c r="F152" s="119"/>
      <c r="G152" s="33"/>
      <c r="H152" s="209"/>
      <c r="I152" s="33"/>
      <c r="J152" s="33"/>
      <c r="K152" s="3"/>
      <c r="L152" s="32">
        <f t="shared" si="23"/>
        <v>0</v>
      </c>
      <c r="M152" s="767">
        <f t="shared" si="17"/>
        <v>0</v>
      </c>
      <c r="N152" s="767">
        <f t="shared" si="18"/>
        <v>0</v>
      </c>
      <c r="O152" s="1001" t="str">
        <f t="shared" si="19"/>
        <v>-</v>
      </c>
      <c r="P152" s="767">
        <f t="shared" si="20"/>
        <v>0</v>
      </c>
      <c r="Q152" s="3"/>
      <c r="R152" s="767">
        <f t="shared" si="33"/>
        <v>0</v>
      </c>
      <c r="S152" s="767">
        <f t="shared" si="33"/>
        <v>0</v>
      </c>
      <c r="T152" s="767">
        <f t="shared" si="33"/>
        <v>0</v>
      </c>
      <c r="U152" s="767">
        <f t="shared" si="33"/>
        <v>0</v>
      </c>
      <c r="V152" s="767">
        <f t="shared" si="33"/>
        <v>0</v>
      </c>
      <c r="W152" s="767">
        <f t="shared" si="33"/>
        <v>0</v>
      </c>
      <c r="X152" s="767">
        <f t="shared" si="33"/>
        <v>0</v>
      </c>
      <c r="Y152" s="767">
        <f t="shared" si="33"/>
        <v>0</v>
      </c>
      <c r="Z152" s="3"/>
      <c r="AA152" s="767">
        <f t="shared" si="34"/>
        <v>0</v>
      </c>
      <c r="AB152" s="767">
        <f t="shared" si="34"/>
        <v>0</v>
      </c>
      <c r="AC152" s="767">
        <f t="shared" si="34"/>
        <v>0</v>
      </c>
      <c r="AD152" s="767">
        <f t="shared" si="34"/>
        <v>0</v>
      </c>
      <c r="AE152" s="767">
        <f t="shared" si="34"/>
        <v>0</v>
      </c>
      <c r="AF152" s="767">
        <f t="shared" si="34"/>
        <v>0</v>
      </c>
      <c r="AG152" s="767">
        <f t="shared" si="34"/>
        <v>0</v>
      </c>
      <c r="AH152" s="767">
        <f t="shared" si="34"/>
        <v>0</v>
      </c>
      <c r="AI152" s="6"/>
      <c r="AJ152" s="22"/>
    </row>
    <row r="153" spans="2:36" ht="13.15" customHeight="1" x14ac:dyDescent="0.2">
      <c r="B153" s="18"/>
      <c r="C153" s="31"/>
      <c r="D153" s="117"/>
      <c r="E153" s="117"/>
      <c r="F153" s="119"/>
      <c r="G153" s="33"/>
      <c r="H153" s="209"/>
      <c r="I153" s="33"/>
      <c r="J153" s="33"/>
      <c r="K153" s="3"/>
      <c r="L153" s="32">
        <f t="shared" si="23"/>
        <v>0</v>
      </c>
      <c r="M153" s="767">
        <f t="shared" si="17"/>
        <v>0</v>
      </c>
      <c r="N153" s="767">
        <f t="shared" si="18"/>
        <v>0</v>
      </c>
      <c r="O153" s="1001" t="str">
        <f t="shared" si="19"/>
        <v>-</v>
      </c>
      <c r="P153" s="767">
        <f t="shared" si="20"/>
        <v>0</v>
      </c>
      <c r="Q153" s="3"/>
      <c r="R153" s="767">
        <f t="shared" si="33"/>
        <v>0</v>
      </c>
      <c r="S153" s="767">
        <f t="shared" si="33"/>
        <v>0</v>
      </c>
      <c r="T153" s="767">
        <f t="shared" si="33"/>
        <v>0</v>
      </c>
      <c r="U153" s="767">
        <f t="shared" si="33"/>
        <v>0</v>
      </c>
      <c r="V153" s="767">
        <f t="shared" si="33"/>
        <v>0</v>
      </c>
      <c r="W153" s="767">
        <f t="shared" si="33"/>
        <v>0</v>
      </c>
      <c r="X153" s="767">
        <f t="shared" si="33"/>
        <v>0</v>
      </c>
      <c r="Y153" s="767">
        <f t="shared" si="33"/>
        <v>0</v>
      </c>
      <c r="Z153" s="3"/>
      <c r="AA153" s="767">
        <f t="shared" si="34"/>
        <v>0</v>
      </c>
      <c r="AB153" s="767">
        <f t="shared" si="34"/>
        <v>0</v>
      </c>
      <c r="AC153" s="767">
        <f t="shared" si="34"/>
        <v>0</v>
      </c>
      <c r="AD153" s="767">
        <f t="shared" si="34"/>
        <v>0</v>
      </c>
      <c r="AE153" s="767">
        <f t="shared" si="34"/>
        <v>0</v>
      </c>
      <c r="AF153" s="767">
        <f t="shared" si="34"/>
        <v>0</v>
      </c>
      <c r="AG153" s="767">
        <f t="shared" si="34"/>
        <v>0</v>
      </c>
      <c r="AH153" s="767">
        <f t="shared" si="34"/>
        <v>0</v>
      </c>
      <c r="AI153" s="6"/>
      <c r="AJ153" s="22"/>
    </row>
    <row r="154" spans="2:36" ht="13.15" customHeight="1" x14ac:dyDescent="0.2">
      <c r="B154" s="18"/>
      <c r="C154" s="31"/>
      <c r="D154" s="117"/>
      <c r="E154" s="117"/>
      <c r="F154" s="119"/>
      <c r="G154" s="33"/>
      <c r="H154" s="209"/>
      <c r="I154" s="33"/>
      <c r="J154" s="33"/>
      <c r="K154" s="3"/>
      <c r="L154" s="32">
        <f t="shared" si="23"/>
        <v>0</v>
      </c>
      <c r="M154" s="767">
        <f t="shared" si="17"/>
        <v>0</v>
      </c>
      <c r="N154" s="767">
        <f t="shared" si="18"/>
        <v>0</v>
      </c>
      <c r="O154" s="1001" t="str">
        <f t="shared" si="19"/>
        <v>-</v>
      </c>
      <c r="P154" s="767">
        <f t="shared" si="20"/>
        <v>0</v>
      </c>
      <c r="Q154" s="3"/>
      <c r="R154" s="767">
        <f t="shared" ref="R154:Y169" si="35">(IF(R$8&lt;$I154,0,IF($O154&lt;=R$8-1,0,$N154)))</f>
        <v>0</v>
      </c>
      <c r="S154" s="767">
        <f t="shared" si="35"/>
        <v>0</v>
      </c>
      <c r="T154" s="767">
        <f t="shared" si="35"/>
        <v>0</v>
      </c>
      <c r="U154" s="767">
        <f t="shared" si="35"/>
        <v>0</v>
      </c>
      <c r="V154" s="767">
        <f t="shared" si="35"/>
        <v>0</v>
      </c>
      <c r="W154" s="767">
        <f t="shared" si="35"/>
        <v>0</v>
      </c>
      <c r="X154" s="767">
        <f t="shared" si="35"/>
        <v>0</v>
      </c>
      <c r="Y154" s="767">
        <f t="shared" si="35"/>
        <v>0</v>
      </c>
      <c r="Z154" s="3"/>
      <c r="AA154" s="767">
        <f t="shared" ref="AA154:AH169" si="36">IF(AA$8=$I154,($G154*$H154),0)</f>
        <v>0</v>
      </c>
      <c r="AB154" s="767">
        <f t="shared" si="36"/>
        <v>0</v>
      </c>
      <c r="AC154" s="767">
        <f t="shared" si="36"/>
        <v>0</v>
      </c>
      <c r="AD154" s="767">
        <f t="shared" si="36"/>
        <v>0</v>
      </c>
      <c r="AE154" s="767">
        <f t="shared" si="36"/>
        <v>0</v>
      </c>
      <c r="AF154" s="767">
        <f t="shared" si="36"/>
        <v>0</v>
      </c>
      <c r="AG154" s="767">
        <f t="shared" si="36"/>
        <v>0</v>
      </c>
      <c r="AH154" s="767">
        <f t="shared" si="36"/>
        <v>0</v>
      </c>
      <c r="AI154" s="6"/>
      <c r="AJ154" s="22"/>
    </row>
    <row r="155" spans="2:36" ht="13.15" customHeight="1" x14ac:dyDescent="0.2">
      <c r="B155" s="18"/>
      <c r="C155" s="31"/>
      <c r="D155" s="117"/>
      <c r="E155" s="117"/>
      <c r="F155" s="119"/>
      <c r="G155" s="33"/>
      <c r="H155" s="209"/>
      <c r="I155" s="33"/>
      <c r="J155" s="33"/>
      <c r="K155" s="3"/>
      <c r="L155" s="32">
        <f t="shared" si="23"/>
        <v>0</v>
      </c>
      <c r="M155" s="767">
        <f t="shared" si="17"/>
        <v>0</v>
      </c>
      <c r="N155" s="767">
        <f t="shared" si="18"/>
        <v>0</v>
      </c>
      <c r="O155" s="1001" t="str">
        <f t="shared" si="19"/>
        <v>-</v>
      </c>
      <c r="P155" s="767">
        <f t="shared" si="20"/>
        <v>0</v>
      </c>
      <c r="Q155" s="3"/>
      <c r="R155" s="767">
        <f t="shared" si="35"/>
        <v>0</v>
      </c>
      <c r="S155" s="767">
        <f t="shared" si="35"/>
        <v>0</v>
      </c>
      <c r="T155" s="767">
        <f t="shared" si="35"/>
        <v>0</v>
      </c>
      <c r="U155" s="767">
        <f t="shared" si="35"/>
        <v>0</v>
      </c>
      <c r="V155" s="767">
        <f t="shared" si="35"/>
        <v>0</v>
      </c>
      <c r="W155" s="767">
        <f t="shared" si="35"/>
        <v>0</v>
      </c>
      <c r="X155" s="767">
        <f t="shared" si="35"/>
        <v>0</v>
      </c>
      <c r="Y155" s="767">
        <f t="shared" si="35"/>
        <v>0</v>
      </c>
      <c r="Z155" s="3"/>
      <c r="AA155" s="767">
        <f t="shared" si="36"/>
        <v>0</v>
      </c>
      <c r="AB155" s="767">
        <f t="shared" si="36"/>
        <v>0</v>
      </c>
      <c r="AC155" s="767">
        <f t="shared" si="36"/>
        <v>0</v>
      </c>
      <c r="AD155" s="767">
        <f t="shared" si="36"/>
        <v>0</v>
      </c>
      <c r="AE155" s="767">
        <f t="shared" si="36"/>
        <v>0</v>
      </c>
      <c r="AF155" s="767">
        <f t="shared" si="36"/>
        <v>0</v>
      </c>
      <c r="AG155" s="767">
        <f t="shared" si="36"/>
        <v>0</v>
      </c>
      <c r="AH155" s="767">
        <f t="shared" si="36"/>
        <v>0</v>
      </c>
      <c r="AI155" s="6"/>
      <c r="AJ155" s="22"/>
    </row>
    <row r="156" spans="2:36" ht="13.15" customHeight="1" x14ac:dyDescent="0.2">
      <c r="B156" s="18"/>
      <c r="C156" s="31"/>
      <c r="D156" s="117"/>
      <c r="E156" s="117"/>
      <c r="F156" s="119"/>
      <c r="G156" s="33"/>
      <c r="H156" s="209"/>
      <c r="I156" s="33"/>
      <c r="J156" s="33"/>
      <c r="K156" s="3"/>
      <c r="L156" s="32">
        <f t="shared" si="23"/>
        <v>0</v>
      </c>
      <c r="M156" s="767">
        <f t="shared" si="17"/>
        <v>0</v>
      </c>
      <c r="N156" s="767">
        <f t="shared" si="18"/>
        <v>0</v>
      </c>
      <c r="O156" s="1001" t="str">
        <f t="shared" si="19"/>
        <v>-</v>
      </c>
      <c r="P156" s="767">
        <f t="shared" si="20"/>
        <v>0</v>
      </c>
      <c r="Q156" s="3"/>
      <c r="R156" s="767">
        <f t="shared" si="35"/>
        <v>0</v>
      </c>
      <c r="S156" s="767">
        <f t="shared" si="35"/>
        <v>0</v>
      </c>
      <c r="T156" s="767">
        <f t="shared" si="35"/>
        <v>0</v>
      </c>
      <c r="U156" s="767">
        <f t="shared" si="35"/>
        <v>0</v>
      </c>
      <c r="V156" s="767">
        <f t="shared" si="35"/>
        <v>0</v>
      </c>
      <c r="W156" s="767">
        <f t="shared" si="35"/>
        <v>0</v>
      </c>
      <c r="X156" s="767">
        <f t="shared" si="35"/>
        <v>0</v>
      </c>
      <c r="Y156" s="767">
        <f t="shared" si="35"/>
        <v>0</v>
      </c>
      <c r="Z156" s="3"/>
      <c r="AA156" s="767">
        <f t="shared" si="36"/>
        <v>0</v>
      </c>
      <c r="AB156" s="767">
        <f t="shared" si="36"/>
        <v>0</v>
      </c>
      <c r="AC156" s="767">
        <f t="shared" si="36"/>
        <v>0</v>
      </c>
      <c r="AD156" s="767">
        <f t="shared" si="36"/>
        <v>0</v>
      </c>
      <c r="AE156" s="767">
        <f t="shared" si="36"/>
        <v>0</v>
      </c>
      <c r="AF156" s="767">
        <f t="shared" si="36"/>
        <v>0</v>
      </c>
      <c r="AG156" s="767">
        <f t="shared" si="36"/>
        <v>0</v>
      </c>
      <c r="AH156" s="767">
        <f t="shared" si="36"/>
        <v>0</v>
      </c>
      <c r="AI156" s="6"/>
      <c r="AJ156" s="22"/>
    </row>
    <row r="157" spans="2:36" ht="13.15" customHeight="1" x14ac:dyDescent="0.2">
      <c r="B157" s="18"/>
      <c r="C157" s="31"/>
      <c r="D157" s="117"/>
      <c r="E157" s="117"/>
      <c r="F157" s="119"/>
      <c r="G157" s="33"/>
      <c r="H157" s="209"/>
      <c r="I157" s="33"/>
      <c r="J157" s="33"/>
      <c r="K157" s="3"/>
      <c r="L157" s="32">
        <f t="shared" si="23"/>
        <v>0</v>
      </c>
      <c r="M157" s="767">
        <f t="shared" si="17"/>
        <v>0</v>
      </c>
      <c r="N157" s="767">
        <f t="shared" si="18"/>
        <v>0</v>
      </c>
      <c r="O157" s="1001" t="str">
        <f t="shared" si="19"/>
        <v>-</v>
      </c>
      <c r="P157" s="767">
        <f t="shared" si="20"/>
        <v>0</v>
      </c>
      <c r="Q157" s="3"/>
      <c r="R157" s="767">
        <f t="shared" si="35"/>
        <v>0</v>
      </c>
      <c r="S157" s="767">
        <f t="shared" si="35"/>
        <v>0</v>
      </c>
      <c r="T157" s="767">
        <f t="shared" si="35"/>
        <v>0</v>
      </c>
      <c r="U157" s="767">
        <f t="shared" si="35"/>
        <v>0</v>
      </c>
      <c r="V157" s="767">
        <f t="shared" si="35"/>
        <v>0</v>
      </c>
      <c r="W157" s="767">
        <f t="shared" si="35"/>
        <v>0</v>
      </c>
      <c r="X157" s="767">
        <f t="shared" si="35"/>
        <v>0</v>
      </c>
      <c r="Y157" s="767">
        <f t="shared" si="35"/>
        <v>0</v>
      </c>
      <c r="Z157" s="3"/>
      <c r="AA157" s="767">
        <f t="shared" si="36"/>
        <v>0</v>
      </c>
      <c r="AB157" s="767">
        <f t="shared" si="36"/>
        <v>0</v>
      </c>
      <c r="AC157" s="767">
        <f t="shared" si="36"/>
        <v>0</v>
      </c>
      <c r="AD157" s="767">
        <f t="shared" si="36"/>
        <v>0</v>
      </c>
      <c r="AE157" s="767">
        <f t="shared" si="36"/>
        <v>0</v>
      </c>
      <c r="AF157" s="767">
        <f t="shared" si="36"/>
        <v>0</v>
      </c>
      <c r="AG157" s="767">
        <f t="shared" si="36"/>
        <v>0</v>
      </c>
      <c r="AH157" s="767">
        <f t="shared" si="36"/>
        <v>0</v>
      </c>
      <c r="AI157" s="6"/>
      <c r="AJ157" s="22"/>
    </row>
    <row r="158" spans="2:36" ht="13.15" customHeight="1" x14ac:dyDescent="0.2">
      <c r="B158" s="18"/>
      <c r="C158" s="31"/>
      <c r="D158" s="117"/>
      <c r="E158" s="117"/>
      <c r="F158" s="119"/>
      <c r="G158" s="33"/>
      <c r="H158" s="209"/>
      <c r="I158" s="33"/>
      <c r="J158" s="33"/>
      <c r="K158" s="3"/>
      <c r="L158" s="32">
        <f t="shared" si="23"/>
        <v>0</v>
      </c>
      <c r="M158" s="767">
        <f t="shared" si="17"/>
        <v>0</v>
      </c>
      <c r="N158" s="767">
        <f t="shared" si="18"/>
        <v>0</v>
      </c>
      <c r="O158" s="1001" t="str">
        <f t="shared" si="19"/>
        <v>-</v>
      </c>
      <c r="P158" s="767">
        <f t="shared" si="20"/>
        <v>0</v>
      </c>
      <c r="Q158" s="3"/>
      <c r="R158" s="767">
        <f t="shared" si="35"/>
        <v>0</v>
      </c>
      <c r="S158" s="767">
        <f t="shared" si="35"/>
        <v>0</v>
      </c>
      <c r="T158" s="767">
        <f t="shared" si="35"/>
        <v>0</v>
      </c>
      <c r="U158" s="767">
        <f t="shared" si="35"/>
        <v>0</v>
      </c>
      <c r="V158" s="767">
        <f t="shared" si="35"/>
        <v>0</v>
      </c>
      <c r="W158" s="767">
        <f t="shared" si="35"/>
        <v>0</v>
      </c>
      <c r="X158" s="767">
        <f t="shared" si="35"/>
        <v>0</v>
      </c>
      <c r="Y158" s="767">
        <f t="shared" si="35"/>
        <v>0</v>
      </c>
      <c r="Z158" s="3"/>
      <c r="AA158" s="767">
        <f t="shared" si="36"/>
        <v>0</v>
      </c>
      <c r="AB158" s="767">
        <f t="shared" si="36"/>
        <v>0</v>
      </c>
      <c r="AC158" s="767">
        <f t="shared" si="36"/>
        <v>0</v>
      </c>
      <c r="AD158" s="767">
        <f t="shared" si="36"/>
        <v>0</v>
      </c>
      <c r="AE158" s="767">
        <f t="shared" si="36"/>
        <v>0</v>
      </c>
      <c r="AF158" s="767">
        <f t="shared" si="36"/>
        <v>0</v>
      </c>
      <c r="AG158" s="767">
        <f t="shared" si="36"/>
        <v>0</v>
      </c>
      <c r="AH158" s="767">
        <f t="shared" si="36"/>
        <v>0</v>
      </c>
      <c r="AI158" s="6"/>
      <c r="AJ158" s="22"/>
    </row>
    <row r="159" spans="2:36" ht="13.15" customHeight="1" x14ac:dyDescent="0.2">
      <c r="B159" s="18"/>
      <c r="C159" s="31"/>
      <c r="D159" s="117"/>
      <c r="E159" s="117"/>
      <c r="F159" s="119"/>
      <c r="G159" s="33"/>
      <c r="H159" s="209"/>
      <c r="I159" s="33"/>
      <c r="J159" s="33"/>
      <c r="K159" s="3"/>
      <c r="L159" s="32">
        <f t="shared" si="23"/>
        <v>0</v>
      </c>
      <c r="M159" s="767">
        <f t="shared" si="17"/>
        <v>0</v>
      </c>
      <c r="N159" s="767">
        <f t="shared" si="18"/>
        <v>0</v>
      </c>
      <c r="O159" s="1001" t="str">
        <f t="shared" si="19"/>
        <v>-</v>
      </c>
      <c r="P159" s="767">
        <f t="shared" si="20"/>
        <v>0</v>
      </c>
      <c r="Q159" s="3"/>
      <c r="R159" s="767">
        <f t="shared" si="35"/>
        <v>0</v>
      </c>
      <c r="S159" s="767">
        <f t="shared" si="35"/>
        <v>0</v>
      </c>
      <c r="T159" s="767">
        <f t="shared" si="35"/>
        <v>0</v>
      </c>
      <c r="U159" s="767">
        <f t="shared" si="35"/>
        <v>0</v>
      </c>
      <c r="V159" s="767">
        <f t="shared" si="35"/>
        <v>0</v>
      </c>
      <c r="W159" s="767">
        <f t="shared" si="35"/>
        <v>0</v>
      </c>
      <c r="X159" s="767">
        <f t="shared" si="35"/>
        <v>0</v>
      </c>
      <c r="Y159" s="767">
        <f t="shared" si="35"/>
        <v>0</v>
      </c>
      <c r="Z159" s="3"/>
      <c r="AA159" s="767">
        <f t="shared" si="36"/>
        <v>0</v>
      </c>
      <c r="AB159" s="767">
        <f t="shared" si="36"/>
        <v>0</v>
      </c>
      <c r="AC159" s="767">
        <f t="shared" si="36"/>
        <v>0</v>
      </c>
      <c r="AD159" s="767">
        <f t="shared" si="36"/>
        <v>0</v>
      </c>
      <c r="AE159" s="767">
        <f t="shared" si="36"/>
        <v>0</v>
      </c>
      <c r="AF159" s="767">
        <f t="shared" si="36"/>
        <v>0</v>
      </c>
      <c r="AG159" s="767">
        <f t="shared" si="36"/>
        <v>0</v>
      </c>
      <c r="AH159" s="767">
        <f t="shared" si="36"/>
        <v>0</v>
      </c>
      <c r="AI159" s="6"/>
      <c r="AJ159" s="22"/>
    </row>
    <row r="160" spans="2:36" ht="13.15" customHeight="1" x14ac:dyDescent="0.2">
      <c r="B160" s="18"/>
      <c r="C160" s="31"/>
      <c r="D160" s="117"/>
      <c r="E160" s="117"/>
      <c r="F160" s="119"/>
      <c r="G160" s="33"/>
      <c r="H160" s="209"/>
      <c r="I160" s="33"/>
      <c r="J160" s="33"/>
      <c r="K160" s="3"/>
      <c r="L160" s="32">
        <f t="shared" si="23"/>
        <v>0</v>
      </c>
      <c r="M160" s="767">
        <f t="shared" si="17"/>
        <v>0</v>
      </c>
      <c r="N160" s="767">
        <f t="shared" si="18"/>
        <v>0</v>
      </c>
      <c r="O160" s="1001" t="str">
        <f t="shared" si="19"/>
        <v>-</v>
      </c>
      <c r="P160" s="767">
        <f t="shared" si="20"/>
        <v>0</v>
      </c>
      <c r="Q160" s="3"/>
      <c r="R160" s="767">
        <f t="shared" si="35"/>
        <v>0</v>
      </c>
      <c r="S160" s="767">
        <f t="shared" si="35"/>
        <v>0</v>
      </c>
      <c r="T160" s="767">
        <f t="shared" si="35"/>
        <v>0</v>
      </c>
      <c r="U160" s="767">
        <f t="shared" si="35"/>
        <v>0</v>
      </c>
      <c r="V160" s="767">
        <f t="shared" si="35"/>
        <v>0</v>
      </c>
      <c r="W160" s="767">
        <f t="shared" si="35"/>
        <v>0</v>
      </c>
      <c r="X160" s="767">
        <f t="shared" si="35"/>
        <v>0</v>
      </c>
      <c r="Y160" s="767">
        <f t="shared" si="35"/>
        <v>0</v>
      </c>
      <c r="Z160" s="3"/>
      <c r="AA160" s="767">
        <f t="shared" si="36"/>
        <v>0</v>
      </c>
      <c r="AB160" s="767">
        <f t="shared" si="36"/>
        <v>0</v>
      </c>
      <c r="AC160" s="767">
        <f t="shared" si="36"/>
        <v>0</v>
      </c>
      <c r="AD160" s="767">
        <f t="shared" si="36"/>
        <v>0</v>
      </c>
      <c r="AE160" s="767">
        <f t="shared" si="36"/>
        <v>0</v>
      </c>
      <c r="AF160" s="767">
        <f t="shared" si="36"/>
        <v>0</v>
      </c>
      <c r="AG160" s="767">
        <f t="shared" si="36"/>
        <v>0</v>
      </c>
      <c r="AH160" s="767">
        <f t="shared" si="36"/>
        <v>0</v>
      </c>
      <c r="AI160" s="6"/>
      <c r="AJ160" s="22"/>
    </row>
    <row r="161" spans="2:36" ht="13.15" customHeight="1" x14ac:dyDescent="0.2">
      <c r="B161" s="18"/>
      <c r="C161" s="31"/>
      <c r="D161" s="117"/>
      <c r="E161" s="117"/>
      <c r="F161" s="119"/>
      <c r="G161" s="33"/>
      <c r="H161" s="209"/>
      <c r="I161" s="33"/>
      <c r="J161" s="33"/>
      <c r="K161" s="3"/>
      <c r="L161" s="32">
        <f t="shared" si="23"/>
        <v>0</v>
      </c>
      <c r="M161" s="767">
        <f t="shared" si="17"/>
        <v>0</v>
      </c>
      <c r="N161" s="767">
        <f t="shared" si="18"/>
        <v>0</v>
      </c>
      <c r="O161" s="1001" t="str">
        <f t="shared" si="19"/>
        <v>-</v>
      </c>
      <c r="P161" s="767">
        <f t="shared" si="20"/>
        <v>0</v>
      </c>
      <c r="Q161" s="3"/>
      <c r="R161" s="767">
        <f t="shared" si="35"/>
        <v>0</v>
      </c>
      <c r="S161" s="767">
        <f t="shared" si="35"/>
        <v>0</v>
      </c>
      <c r="T161" s="767">
        <f t="shared" si="35"/>
        <v>0</v>
      </c>
      <c r="U161" s="767">
        <f t="shared" si="35"/>
        <v>0</v>
      </c>
      <c r="V161" s="767">
        <f t="shared" si="35"/>
        <v>0</v>
      </c>
      <c r="W161" s="767">
        <f t="shared" si="35"/>
        <v>0</v>
      </c>
      <c r="X161" s="767">
        <f t="shared" si="35"/>
        <v>0</v>
      </c>
      <c r="Y161" s="767">
        <f t="shared" si="35"/>
        <v>0</v>
      </c>
      <c r="Z161" s="3"/>
      <c r="AA161" s="767">
        <f t="shared" si="36"/>
        <v>0</v>
      </c>
      <c r="AB161" s="767">
        <f t="shared" si="36"/>
        <v>0</v>
      </c>
      <c r="AC161" s="767">
        <f t="shared" si="36"/>
        <v>0</v>
      </c>
      <c r="AD161" s="767">
        <f t="shared" si="36"/>
        <v>0</v>
      </c>
      <c r="AE161" s="767">
        <f t="shared" si="36"/>
        <v>0</v>
      </c>
      <c r="AF161" s="767">
        <f t="shared" si="36"/>
        <v>0</v>
      </c>
      <c r="AG161" s="767">
        <f t="shared" si="36"/>
        <v>0</v>
      </c>
      <c r="AH161" s="767">
        <f t="shared" si="36"/>
        <v>0</v>
      </c>
      <c r="AI161" s="6"/>
      <c r="AJ161" s="22"/>
    </row>
    <row r="162" spans="2:36" ht="13.15" customHeight="1" x14ac:dyDescent="0.2">
      <c r="B162" s="18"/>
      <c r="C162" s="31"/>
      <c r="D162" s="117"/>
      <c r="E162" s="117"/>
      <c r="F162" s="119"/>
      <c r="G162" s="33"/>
      <c r="H162" s="209"/>
      <c r="I162" s="33"/>
      <c r="J162" s="33"/>
      <c r="K162" s="3"/>
      <c r="L162" s="32">
        <f t="shared" si="23"/>
        <v>0</v>
      </c>
      <c r="M162" s="767">
        <f t="shared" si="17"/>
        <v>0</v>
      </c>
      <c r="N162" s="767">
        <f t="shared" si="18"/>
        <v>0</v>
      </c>
      <c r="O162" s="1001" t="str">
        <f t="shared" si="19"/>
        <v>-</v>
      </c>
      <c r="P162" s="767">
        <f t="shared" si="20"/>
        <v>0</v>
      </c>
      <c r="Q162" s="3"/>
      <c r="R162" s="767">
        <f t="shared" si="35"/>
        <v>0</v>
      </c>
      <c r="S162" s="767">
        <f t="shared" si="35"/>
        <v>0</v>
      </c>
      <c r="T162" s="767">
        <f t="shared" si="35"/>
        <v>0</v>
      </c>
      <c r="U162" s="767">
        <f t="shared" si="35"/>
        <v>0</v>
      </c>
      <c r="V162" s="767">
        <f t="shared" si="35"/>
        <v>0</v>
      </c>
      <c r="W162" s="767">
        <f t="shared" si="35"/>
        <v>0</v>
      </c>
      <c r="X162" s="767">
        <f t="shared" si="35"/>
        <v>0</v>
      </c>
      <c r="Y162" s="767">
        <f t="shared" si="35"/>
        <v>0</v>
      </c>
      <c r="Z162" s="3"/>
      <c r="AA162" s="767">
        <f t="shared" si="36"/>
        <v>0</v>
      </c>
      <c r="AB162" s="767">
        <f t="shared" si="36"/>
        <v>0</v>
      </c>
      <c r="AC162" s="767">
        <f t="shared" si="36"/>
        <v>0</v>
      </c>
      <c r="AD162" s="767">
        <f t="shared" si="36"/>
        <v>0</v>
      </c>
      <c r="AE162" s="767">
        <f t="shared" si="36"/>
        <v>0</v>
      </c>
      <c r="AF162" s="767">
        <f t="shared" si="36"/>
        <v>0</v>
      </c>
      <c r="AG162" s="767">
        <f t="shared" si="36"/>
        <v>0</v>
      </c>
      <c r="AH162" s="767">
        <f t="shared" si="36"/>
        <v>0</v>
      </c>
      <c r="AI162" s="6"/>
      <c r="AJ162" s="22"/>
    </row>
    <row r="163" spans="2:36" ht="13.15" customHeight="1" x14ac:dyDescent="0.2">
      <c r="B163" s="18"/>
      <c r="C163" s="31"/>
      <c r="D163" s="117"/>
      <c r="E163" s="117"/>
      <c r="F163" s="119"/>
      <c r="G163" s="33"/>
      <c r="H163" s="209"/>
      <c r="I163" s="33"/>
      <c r="J163" s="33"/>
      <c r="K163" s="3"/>
      <c r="L163" s="32">
        <f t="shared" si="23"/>
        <v>0</v>
      </c>
      <c r="M163" s="767">
        <f t="shared" si="17"/>
        <v>0</v>
      </c>
      <c r="N163" s="767">
        <f t="shared" si="18"/>
        <v>0</v>
      </c>
      <c r="O163" s="1001" t="str">
        <f t="shared" si="19"/>
        <v>-</v>
      </c>
      <c r="P163" s="767">
        <f t="shared" si="20"/>
        <v>0</v>
      </c>
      <c r="Q163" s="3"/>
      <c r="R163" s="767">
        <f t="shared" si="35"/>
        <v>0</v>
      </c>
      <c r="S163" s="767">
        <f t="shared" si="35"/>
        <v>0</v>
      </c>
      <c r="T163" s="767">
        <f t="shared" si="35"/>
        <v>0</v>
      </c>
      <c r="U163" s="767">
        <f t="shared" si="35"/>
        <v>0</v>
      </c>
      <c r="V163" s="767">
        <f t="shared" si="35"/>
        <v>0</v>
      </c>
      <c r="W163" s="767">
        <f t="shared" si="35"/>
        <v>0</v>
      </c>
      <c r="X163" s="767">
        <f t="shared" si="35"/>
        <v>0</v>
      </c>
      <c r="Y163" s="767">
        <f t="shared" si="35"/>
        <v>0</v>
      </c>
      <c r="Z163" s="3"/>
      <c r="AA163" s="767">
        <f t="shared" si="36"/>
        <v>0</v>
      </c>
      <c r="AB163" s="767">
        <f t="shared" si="36"/>
        <v>0</v>
      </c>
      <c r="AC163" s="767">
        <f t="shared" si="36"/>
        <v>0</v>
      </c>
      <c r="AD163" s="767">
        <f t="shared" si="36"/>
        <v>0</v>
      </c>
      <c r="AE163" s="767">
        <f t="shared" si="36"/>
        <v>0</v>
      </c>
      <c r="AF163" s="767">
        <f t="shared" si="36"/>
        <v>0</v>
      </c>
      <c r="AG163" s="767">
        <f t="shared" si="36"/>
        <v>0</v>
      </c>
      <c r="AH163" s="767">
        <f t="shared" si="36"/>
        <v>0</v>
      </c>
      <c r="AI163" s="6"/>
      <c r="AJ163" s="22"/>
    </row>
    <row r="164" spans="2:36" ht="13.15" customHeight="1" x14ac:dyDescent="0.2">
      <c r="B164" s="18"/>
      <c r="C164" s="31"/>
      <c r="D164" s="117"/>
      <c r="E164" s="117"/>
      <c r="F164" s="119"/>
      <c r="G164" s="33"/>
      <c r="H164" s="209"/>
      <c r="I164" s="33"/>
      <c r="J164" s="33"/>
      <c r="K164" s="3"/>
      <c r="L164" s="32">
        <f t="shared" si="23"/>
        <v>0</v>
      </c>
      <c r="M164" s="767">
        <f t="shared" si="17"/>
        <v>0</v>
      </c>
      <c r="N164" s="767">
        <f t="shared" si="18"/>
        <v>0</v>
      </c>
      <c r="O164" s="1001" t="str">
        <f t="shared" si="19"/>
        <v>-</v>
      </c>
      <c r="P164" s="767">
        <f t="shared" si="20"/>
        <v>0</v>
      </c>
      <c r="Q164" s="3"/>
      <c r="R164" s="767">
        <f t="shared" si="35"/>
        <v>0</v>
      </c>
      <c r="S164" s="767">
        <f t="shared" si="35"/>
        <v>0</v>
      </c>
      <c r="T164" s="767">
        <f t="shared" si="35"/>
        <v>0</v>
      </c>
      <c r="U164" s="767">
        <f t="shared" si="35"/>
        <v>0</v>
      </c>
      <c r="V164" s="767">
        <f t="shared" si="35"/>
        <v>0</v>
      </c>
      <c r="W164" s="767">
        <f t="shared" si="35"/>
        <v>0</v>
      </c>
      <c r="X164" s="767">
        <f t="shared" si="35"/>
        <v>0</v>
      </c>
      <c r="Y164" s="767">
        <f t="shared" si="35"/>
        <v>0</v>
      </c>
      <c r="Z164" s="3"/>
      <c r="AA164" s="767">
        <f t="shared" si="36"/>
        <v>0</v>
      </c>
      <c r="AB164" s="767">
        <f t="shared" si="36"/>
        <v>0</v>
      </c>
      <c r="AC164" s="767">
        <f t="shared" si="36"/>
        <v>0</v>
      </c>
      <c r="AD164" s="767">
        <f t="shared" si="36"/>
        <v>0</v>
      </c>
      <c r="AE164" s="767">
        <f t="shared" si="36"/>
        <v>0</v>
      </c>
      <c r="AF164" s="767">
        <f t="shared" si="36"/>
        <v>0</v>
      </c>
      <c r="AG164" s="767">
        <f t="shared" si="36"/>
        <v>0</v>
      </c>
      <c r="AH164" s="767">
        <f t="shared" si="36"/>
        <v>0</v>
      </c>
      <c r="AI164" s="6"/>
      <c r="AJ164" s="22"/>
    </row>
    <row r="165" spans="2:36" ht="13.15" customHeight="1" x14ac:dyDescent="0.2">
      <c r="B165" s="18"/>
      <c r="C165" s="31"/>
      <c r="D165" s="117"/>
      <c r="E165" s="117"/>
      <c r="F165" s="119"/>
      <c r="G165" s="33"/>
      <c r="H165" s="209"/>
      <c r="I165" s="33"/>
      <c r="J165" s="33"/>
      <c r="K165" s="3"/>
      <c r="L165" s="32">
        <f t="shared" si="23"/>
        <v>0</v>
      </c>
      <c r="M165" s="767">
        <f t="shared" si="17"/>
        <v>0</v>
      </c>
      <c r="N165" s="767">
        <f t="shared" si="18"/>
        <v>0</v>
      </c>
      <c r="O165" s="1001" t="str">
        <f t="shared" si="19"/>
        <v>-</v>
      </c>
      <c r="P165" s="767">
        <f t="shared" si="20"/>
        <v>0</v>
      </c>
      <c r="Q165" s="3"/>
      <c r="R165" s="767">
        <f t="shared" si="35"/>
        <v>0</v>
      </c>
      <c r="S165" s="767">
        <f t="shared" si="35"/>
        <v>0</v>
      </c>
      <c r="T165" s="767">
        <f t="shared" si="35"/>
        <v>0</v>
      </c>
      <c r="U165" s="767">
        <f t="shared" si="35"/>
        <v>0</v>
      </c>
      <c r="V165" s="767">
        <f t="shared" si="35"/>
        <v>0</v>
      </c>
      <c r="W165" s="767">
        <f t="shared" si="35"/>
        <v>0</v>
      </c>
      <c r="X165" s="767">
        <f t="shared" si="35"/>
        <v>0</v>
      </c>
      <c r="Y165" s="767">
        <f t="shared" si="35"/>
        <v>0</v>
      </c>
      <c r="Z165" s="3"/>
      <c r="AA165" s="767">
        <f t="shared" si="36"/>
        <v>0</v>
      </c>
      <c r="AB165" s="767">
        <f t="shared" si="36"/>
        <v>0</v>
      </c>
      <c r="AC165" s="767">
        <f t="shared" si="36"/>
        <v>0</v>
      </c>
      <c r="AD165" s="767">
        <f t="shared" si="36"/>
        <v>0</v>
      </c>
      <c r="AE165" s="767">
        <f t="shared" si="36"/>
        <v>0</v>
      </c>
      <c r="AF165" s="767">
        <f t="shared" si="36"/>
        <v>0</v>
      </c>
      <c r="AG165" s="767">
        <f t="shared" si="36"/>
        <v>0</v>
      </c>
      <c r="AH165" s="767">
        <f t="shared" si="36"/>
        <v>0</v>
      </c>
      <c r="AI165" s="6"/>
      <c r="AJ165" s="22"/>
    </row>
    <row r="166" spans="2:36" ht="13.15" customHeight="1" x14ac:dyDescent="0.2">
      <c r="B166" s="18"/>
      <c r="C166" s="31"/>
      <c r="D166" s="117"/>
      <c r="E166" s="117"/>
      <c r="F166" s="119"/>
      <c r="G166" s="33"/>
      <c r="H166" s="209"/>
      <c r="I166" s="33"/>
      <c r="J166" s="33"/>
      <c r="K166" s="3"/>
      <c r="L166" s="32">
        <f t="shared" si="23"/>
        <v>0</v>
      </c>
      <c r="M166" s="767">
        <f t="shared" si="17"/>
        <v>0</v>
      </c>
      <c r="N166" s="767">
        <f t="shared" si="18"/>
        <v>0</v>
      </c>
      <c r="O166" s="1001" t="str">
        <f t="shared" si="19"/>
        <v>-</v>
      </c>
      <c r="P166" s="767">
        <f t="shared" si="20"/>
        <v>0</v>
      </c>
      <c r="Q166" s="3"/>
      <c r="R166" s="767">
        <f t="shared" si="35"/>
        <v>0</v>
      </c>
      <c r="S166" s="767">
        <f t="shared" si="35"/>
        <v>0</v>
      </c>
      <c r="T166" s="767">
        <f t="shared" si="35"/>
        <v>0</v>
      </c>
      <c r="U166" s="767">
        <f t="shared" si="35"/>
        <v>0</v>
      </c>
      <c r="V166" s="767">
        <f t="shared" si="35"/>
        <v>0</v>
      </c>
      <c r="W166" s="767">
        <f t="shared" si="35"/>
        <v>0</v>
      </c>
      <c r="X166" s="767">
        <f t="shared" si="35"/>
        <v>0</v>
      </c>
      <c r="Y166" s="767">
        <f t="shared" si="35"/>
        <v>0</v>
      </c>
      <c r="Z166" s="3"/>
      <c r="AA166" s="767">
        <f t="shared" si="36"/>
        <v>0</v>
      </c>
      <c r="AB166" s="767">
        <f t="shared" si="36"/>
        <v>0</v>
      </c>
      <c r="AC166" s="767">
        <f t="shared" si="36"/>
        <v>0</v>
      </c>
      <c r="AD166" s="767">
        <f t="shared" si="36"/>
        <v>0</v>
      </c>
      <c r="AE166" s="767">
        <f t="shared" si="36"/>
        <v>0</v>
      </c>
      <c r="AF166" s="767">
        <f t="shared" si="36"/>
        <v>0</v>
      </c>
      <c r="AG166" s="767">
        <f t="shared" si="36"/>
        <v>0</v>
      </c>
      <c r="AH166" s="767">
        <f t="shared" si="36"/>
        <v>0</v>
      </c>
      <c r="AI166" s="6"/>
      <c r="AJ166" s="22"/>
    </row>
    <row r="167" spans="2:36" ht="13.15" customHeight="1" x14ac:dyDescent="0.2">
      <c r="B167" s="18"/>
      <c r="C167" s="31"/>
      <c r="D167" s="117"/>
      <c r="E167" s="117"/>
      <c r="F167" s="119"/>
      <c r="G167" s="33"/>
      <c r="H167" s="209"/>
      <c r="I167" s="33"/>
      <c r="J167" s="33"/>
      <c r="K167" s="3"/>
      <c r="L167" s="32">
        <f t="shared" si="23"/>
        <v>0</v>
      </c>
      <c r="M167" s="767">
        <f t="shared" si="17"/>
        <v>0</v>
      </c>
      <c r="N167" s="767">
        <f t="shared" si="18"/>
        <v>0</v>
      </c>
      <c r="O167" s="1001" t="str">
        <f t="shared" si="19"/>
        <v>-</v>
      </c>
      <c r="P167" s="767">
        <f t="shared" si="20"/>
        <v>0</v>
      </c>
      <c r="Q167" s="3"/>
      <c r="R167" s="767">
        <f t="shared" si="35"/>
        <v>0</v>
      </c>
      <c r="S167" s="767">
        <f t="shared" si="35"/>
        <v>0</v>
      </c>
      <c r="T167" s="767">
        <f t="shared" si="35"/>
        <v>0</v>
      </c>
      <c r="U167" s="767">
        <f t="shared" si="35"/>
        <v>0</v>
      </c>
      <c r="V167" s="767">
        <f t="shared" si="35"/>
        <v>0</v>
      </c>
      <c r="W167" s="767">
        <f t="shared" si="35"/>
        <v>0</v>
      </c>
      <c r="X167" s="767">
        <f t="shared" si="35"/>
        <v>0</v>
      </c>
      <c r="Y167" s="767">
        <f t="shared" si="35"/>
        <v>0</v>
      </c>
      <c r="Z167" s="3"/>
      <c r="AA167" s="767">
        <f t="shared" si="36"/>
        <v>0</v>
      </c>
      <c r="AB167" s="767">
        <f t="shared" si="36"/>
        <v>0</v>
      </c>
      <c r="AC167" s="767">
        <f t="shared" si="36"/>
        <v>0</v>
      </c>
      <c r="AD167" s="767">
        <f t="shared" si="36"/>
        <v>0</v>
      </c>
      <c r="AE167" s="767">
        <f t="shared" si="36"/>
        <v>0</v>
      </c>
      <c r="AF167" s="767">
        <f t="shared" si="36"/>
        <v>0</v>
      </c>
      <c r="AG167" s="767">
        <f t="shared" si="36"/>
        <v>0</v>
      </c>
      <c r="AH167" s="767">
        <f t="shared" si="36"/>
        <v>0</v>
      </c>
      <c r="AI167" s="6"/>
      <c r="AJ167" s="22"/>
    </row>
    <row r="168" spans="2:36" ht="13.15" customHeight="1" x14ac:dyDescent="0.2">
      <c r="B168" s="18"/>
      <c r="C168" s="31"/>
      <c r="D168" s="117"/>
      <c r="E168" s="117"/>
      <c r="F168" s="119"/>
      <c r="G168" s="33"/>
      <c r="H168" s="209"/>
      <c r="I168" s="33"/>
      <c r="J168" s="33"/>
      <c r="K168" s="3"/>
      <c r="L168" s="32">
        <f t="shared" si="23"/>
        <v>0</v>
      </c>
      <c r="M168" s="767">
        <f t="shared" si="17"/>
        <v>0</v>
      </c>
      <c r="N168" s="767">
        <f t="shared" si="18"/>
        <v>0</v>
      </c>
      <c r="O168" s="1001" t="str">
        <f t="shared" si="19"/>
        <v>-</v>
      </c>
      <c r="P168" s="767">
        <f t="shared" si="20"/>
        <v>0</v>
      </c>
      <c r="Q168" s="3"/>
      <c r="R168" s="767">
        <f t="shared" si="35"/>
        <v>0</v>
      </c>
      <c r="S168" s="767">
        <f t="shared" si="35"/>
        <v>0</v>
      </c>
      <c r="T168" s="767">
        <f t="shared" si="35"/>
        <v>0</v>
      </c>
      <c r="U168" s="767">
        <f t="shared" si="35"/>
        <v>0</v>
      </c>
      <c r="V168" s="767">
        <f t="shared" si="35"/>
        <v>0</v>
      </c>
      <c r="W168" s="767">
        <f t="shared" si="35"/>
        <v>0</v>
      </c>
      <c r="X168" s="767">
        <f t="shared" si="35"/>
        <v>0</v>
      </c>
      <c r="Y168" s="767">
        <f t="shared" si="35"/>
        <v>0</v>
      </c>
      <c r="Z168" s="3"/>
      <c r="AA168" s="767">
        <f t="shared" si="36"/>
        <v>0</v>
      </c>
      <c r="AB168" s="767">
        <f t="shared" si="36"/>
        <v>0</v>
      </c>
      <c r="AC168" s="767">
        <f t="shared" si="36"/>
        <v>0</v>
      </c>
      <c r="AD168" s="767">
        <f t="shared" si="36"/>
        <v>0</v>
      </c>
      <c r="AE168" s="767">
        <f t="shared" si="36"/>
        <v>0</v>
      </c>
      <c r="AF168" s="767">
        <f t="shared" si="36"/>
        <v>0</v>
      </c>
      <c r="AG168" s="767">
        <f t="shared" si="36"/>
        <v>0</v>
      </c>
      <c r="AH168" s="767">
        <f t="shared" si="36"/>
        <v>0</v>
      </c>
      <c r="AI168" s="6"/>
      <c r="AJ168" s="22"/>
    </row>
    <row r="169" spans="2:36" ht="13.15" customHeight="1" x14ac:dyDescent="0.2">
      <c r="B169" s="18"/>
      <c r="C169" s="31"/>
      <c r="D169" s="117"/>
      <c r="E169" s="117"/>
      <c r="F169" s="119"/>
      <c r="G169" s="33"/>
      <c r="H169" s="209"/>
      <c r="I169" s="33"/>
      <c r="J169" s="33"/>
      <c r="K169" s="3"/>
      <c r="L169" s="32">
        <f t="shared" si="23"/>
        <v>0</v>
      </c>
      <c r="M169" s="767">
        <f>G169*H169</f>
        <v>0</v>
      </c>
      <c r="N169" s="767">
        <f>IF(G169=0,0,(G169*H169)/L169)</f>
        <v>0</v>
      </c>
      <c r="O169" s="1001" t="str">
        <f>IF(L169=0,"-",(IF(L169&gt;3000,"-",I169+L169-1)))</f>
        <v>-</v>
      </c>
      <c r="P169" s="767">
        <f>IF(J169="geen",IF(I169&lt;$R$8,G169*H169,0),IF(I169&gt;=$R$8,0,IF((H169*G169-(R$8-I169)*N169)&lt;0,0,H169*G169-(R$8-I169)*N169)))</f>
        <v>0</v>
      </c>
      <c r="Q169" s="3"/>
      <c r="R169" s="767">
        <f t="shared" si="35"/>
        <v>0</v>
      </c>
      <c r="S169" s="767">
        <f t="shared" si="35"/>
        <v>0</v>
      </c>
      <c r="T169" s="767">
        <f t="shared" si="35"/>
        <v>0</v>
      </c>
      <c r="U169" s="767">
        <f t="shared" si="35"/>
        <v>0</v>
      </c>
      <c r="V169" s="767">
        <f t="shared" si="35"/>
        <v>0</v>
      </c>
      <c r="W169" s="767">
        <f t="shared" si="35"/>
        <v>0</v>
      </c>
      <c r="X169" s="767">
        <f t="shared" si="35"/>
        <v>0</v>
      </c>
      <c r="Y169" s="767">
        <f t="shared" si="35"/>
        <v>0</v>
      </c>
      <c r="Z169" s="3"/>
      <c r="AA169" s="767">
        <f t="shared" si="36"/>
        <v>0</v>
      </c>
      <c r="AB169" s="767">
        <f t="shared" si="36"/>
        <v>0</v>
      </c>
      <c r="AC169" s="767">
        <f t="shared" si="36"/>
        <v>0</v>
      </c>
      <c r="AD169" s="767">
        <f t="shared" si="36"/>
        <v>0</v>
      </c>
      <c r="AE169" s="767">
        <f t="shared" si="36"/>
        <v>0</v>
      </c>
      <c r="AF169" s="767">
        <f t="shared" si="36"/>
        <v>0</v>
      </c>
      <c r="AG169" s="767">
        <f t="shared" si="36"/>
        <v>0</v>
      </c>
      <c r="AH169" s="767">
        <f t="shared" si="36"/>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zuptC+N9hmrrXGO8+PnX4+lZfXl24DGOJZN9cRh5JDlw03xxVDDmSYNz49Ah5URfSePSw0SN3wKZNJGB1UYieQ==" saltValue="NYGtYgg/uit7IpzbnQcaKQ==" spinCount="100000" sheet="1" objects="1" scenarios="1"/>
  <dataValidations count="2">
    <dataValidation type="list" allowBlank="1" showInputMessage="1" showErrorMessage="1" sqref="D14:D169" xr:uid="{00000000-0002-0000-0800-000000000000}">
      <formula1>"gebouwen en terreinen, inventaris en apparatuur, leermiddelen PO, overige materiële vaste activa,meubilair, ICT"</formula1>
    </dataValidation>
    <dataValidation type="list" allowBlank="1" showInputMessage="1" showErrorMessage="1" sqref="J14:J169" xr:uid="{00000000-0002-0000-0800-000001000000}">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32</vt:i4>
      </vt:variant>
    </vt:vector>
  </HeadingPairs>
  <TitlesOfParts>
    <vt:vector size="50"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baden2019</vt:lpstr>
      <vt:lpstr>baden2020</vt:lpstr>
      <vt:lpstr>baden2021</vt:lpstr>
      <vt:lpstr>MIvast2019</vt:lpstr>
      <vt:lpstr>MIvast2020</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2021-07-10T16:08:43Z</cp:lastPrinted>
  <dcterms:created xsi:type="dcterms:W3CDTF">2012-10-29T13:09:26Z</dcterms:created>
  <dcterms:modified xsi:type="dcterms:W3CDTF">2021-08-02T16:09:46Z</dcterms:modified>
</cp:coreProperties>
</file>