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2\basisschool\"/>
    </mc:Choice>
  </mc:AlternateContent>
  <xr:revisionPtr revIDLastSave="0" documentId="8_{13FA7D9F-A9D5-4AAC-B7B1-F383EE6EA5B0}" xr6:coauthVersionLast="47" xr6:coauthVersionMax="47" xr10:uidLastSave="{00000000-0000-0000-0000-000000000000}"/>
  <bookViews>
    <workbookView xWindow="-120" yWindow="-120" windowWidth="19440" windowHeight="15000" tabRatio="681" xr2:uid="{00000000-000D-0000-FFFF-FFFF00000000}"/>
  </bookViews>
  <sheets>
    <sheet name="toelichting" sheetId="4" r:id="rId1"/>
    <sheet name="bekostiging materieel" sheetId="1" r:id="rId2"/>
    <sheet name="tab" sheetId="2" r:id="rId3"/>
    <sheet name="Blad2" sheetId="8" state="hidden" r:id="rId4"/>
    <sheet name="Module1" sheetId="3" state="veryHidden" r:id="rId5"/>
  </sheets>
  <definedNames>
    <definedName name="_xlnm.Print_Area" localSheetId="1">'bekostiging materieel'!$B$2:$S$68</definedName>
    <definedName name="_xlnm.Print_Area" localSheetId="2">tab!$A$2:$M$51</definedName>
    <definedName name="_xlnm.Print_Area" localSheetId="0">toelichting!$A$1:$K$70</definedName>
    <definedName name="groepenleerlingennu">tab!$E$55:$E$104</definedName>
    <definedName name="vloeroppervlaknu">tab!$D$55:$D$104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7" i="2" l="1"/>
  <c r="I47" i="2"/>
  <c r="J45" i="2"/>
  <c r="I45" i="2"/>
  <c r="J40" i="2"/>
  <c r="I40" i="2"/>
  <c r="J24" i="2"/>
  <c r="I24" i="2"/>
  <c r="J20" i="2"/>
  <c r="I20" i="2"/>
  <c r="J15" i="2"/>
  <c r="I15" i="2"/>
  <c r="F38" i="2" l="1"/>
  <c r="G12" i="2" l="1"/>
  <c r="G59" i="2" l="1"/>
  <c r="I10" i="2"/>
  <c r="G58" i="2" l="1"/>
  <c r="H45" i="1" l="1"/>
  <c r="H44" i="1"/>
  <c r="H55" i="1"/>
  <c r="H54" i="1"/>
  <c r="H50" i="1"/>
  <c r="H49" i="1"/>
  <c r="H17" i="1"/>
  <c r="H12" i="1"/>
  <c r="H11" i="1"/>
  <c r="G46" i="1"/>
  <c r="G25" i="1" s="1"/>
  <c r="G51" i="1"/>
  <c r="G56" i="1"/>
  <c r="G13" i="1"/>
  <c r="G23" i="1" s="1"/>
  <c r="P54" i="1"/>
  <c r="H9" i="1"/>
  <c r="Q11" i="1" s="1"/>
  <c r="G9" i="1"/>
  <c r="P11" i="1" s="1"/>
  <c r="C5" i="1"/>
  <c r="P10" i="1"/>
  <c r="G4" i="1"/>
  <c r="F61" i="2"/>
  <c r="G61" i="2" s="1"/>
  <c r="H62" i="2"/>
  <c r="H63" i="2" s="1"/>
  <c r="D24" i="1"/>
  <c r="D31" i="1" s="1"/>
  <c r="D30" i="1"/>
  <c r="D27" i="1"/>
  <c r="D34" i="1" s="1"/>
  <c r="D26" i="1"/>
  <c r="D33" i="1" s="1"/>
  <c r="D25" i="1"/>
  <c r="D32" i="1" s="1"/>
  <c r="G60" i="2"/>
  <c r="G27" i="1" l="1"/>
  <c r="G34" i="1" s="1"/>
  <c r="G26" i="1"/>
  <c r="G33" i="1" s="1"/>
  <c r="G32" i="1"/>
  <c r="H51" i="1"/>
  <c r="H56" i="1"/>
  <c r="H46" i="1"/>
  <c r="H25" i="1" s="1"/>
  <c r="G40" i="1"/>
  <c r="G39" i="1"/>
  <c r="H64" i="2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3" i="1"/>
  <c r="H23" i="1" s="1"/>
  <c r="F62" i="2"/>
  <c r="H27" i="1" l="1"/>
  <c r="H34" i="1" s="1"/>
  <c r="H26" i="1"/>
  <c r="H33" i="1" s="1"/>
  <c r="H40" i="1"/>
  <c r="H32" i="1"/>
  <c r="H39" i="1"/>
  <c r="G41" i="1"/>
  <c r="G24" i="1" s="1"/>
  <c r="F63" i="2"/>
  <c r="G62" i="2"/>
  <c r="G31" i="1" l="1"/>
  <c r="G15" i="1"/>
  <c r="H18" i="1" s="1"/>
  <c r="Q54" i="1" s="1"/>
  <c r="H41" i="1"/>
  <c r="G58" i="1"/>
  <c r="F64" i="2"/>
  <c r="G63" i="2"/>
  <c r="H24" i="1" l="1"/>
  <c r="H58" i="1" s="1"/>
  <c r="F65" i="2"/>
  <c r="G64" i="2"/>
  <c r="H31" i="1" l="1"/>
  <c r="P25" i="1"/>
  <c r="Q25" i="1" s="1"/>
  <c r="H30" i="1"/>
  <c r="G65" i="2"/>
  <c r="F66" i="2"/>
  <c r="G30" i="1" l="1"/>
  <c r="F67" i="2"/>
  <c r="G66" i="2"/>
  <c r="F68" i="2" l="1"/>
  <c r="G67" i="2"/>
  <c r="G68" i="2" l="1"/>
  <c r="F69" i="2"/>
  <c r="F70" i="2" l="1"/>
  <c r="G69" i="2"/>
  <c r="G70" i="2" l="1"/>
  <c r="F71" i="2"/>
  <c r="G71" i="2" l="1"/>
  <c r="F72" i="2"/>
  <c r="G72" i="2" l="1"/>
  <c r="F73" i="2"/>
  <c r="G73" i="2" l="1"/>
  <c r="F74" i="2"/>
  <c r="G74" i="2" l="1"/>
  <c r="F75" i="2"/>
  <c r="G75" i="2" l="1"/>
  <c r="F76" i="2"/>
  <c r="G76" i="2" l="1"/>
  <c r="F77" i="2"/>
  <c r="F78" i="2" l="1"/>
  <c r="G77" i="2"/>
  <c r="G78" i="2" l="1"/>
  <c r="F79" i="2"/>
  <c r="F80" i="2" l="1"/>
  <c r="G79" i="2"/>
  <c r="G80" i="2" l="1"/>
  <c r="F81" i="2"/>
  <c r="F82" i="2" l="1"/>
  <c r="G81" i="2"/>
  <c r="G82" i="2" l="1"/>
  <c r="F83" i="2"/>
  <c r="F84" i="2" l="1"/>
  <c r="G83" i="2"/>
  <c r="G84" i="2" l="1"/>
  <c r="F85" i="2"/>
  <c r="F86" i="2" l="1"/>
  <c r="G85" i="2"/>
  <c r="F87" i="2" l="1"/>
  <c r="G86" i="2"/>
  <c r="G87" i="2" l="1"/>
  <c r="F88" i="2"/>
  <c r="G88" i="2" l="1"/>
  <c r="F89" i="2"/>
  <c r="G89" i="2" l="1"/>
  <c r="F90" i="2"/>
  <c r="F91" i="2" l="1"/>
  <c r="G90" i="2"/>
  <c r="G91" i="2" l="1"/>
  <c r="F92" i="2"/>
  <c r="G92" i="2" l="1"/>
  <c r="F93" i="2"/>
  <c r="G93" i="2" l="1"/>
  <c r="F94" i="2"/>
  <c r="G94" i="2" l="1"/>
  <c r="F95" i="2"/>
  <c r="F96" i="2" l="1"/>
  <c r="G95" i="2"/>
  <c r="G96" i="2" l="1"/>
  <c r="F97" i="2"/>
  <c r="G97" i="2" l="1"/>
  <c r="F98" i="2"/>
  <c r="F99" i="2" l="1"/>
  <c r="G98" i="2"/>
  <c r="G99" i="2" l="1"/>
  <c r="F100" i="2"/>
  <c r="G100" i="2" l="1"/>
  <c r="F101" i="2"/>
  <c r="F102" i="2" l="1"/>
  <c r="G101" i="2"/>
  <c r="G102" i="2" l="1"/>
  <c r="F103" i="2"/>
  <c r="F104" i="2" l="1"/>
  <c r="G104" i="2" s="1"/>
  <c r="G103" i="2"/>
  <c r="P22" i="2"/>
  <c r="P50" i="2"/>
  <c r="P31" i="2"/>
  <c r="P19" i="2"/>
  <c r="P43" i="2"/>
  <c r="P13" i="2"/>
  <c r="P39" i="2"/>
  <c r="P44" i="2"/>
  <c r="P29" i="2"/>
  <c r="P18" i="2"/>
  <c r="P30" i="2"/>
  <c r="P35" i="2"/>
  <c r="P14" i="2"/>
  <c r="O45" i="2"/>
  <c r="P45" i="2"/>
  <c r="P42" i="2"/>
  <c r="P44" i="1"/>
  <c r="P34" i="2"/>
  <c r="E49" i="4"/>
  <c r="P33" i="2"/>
  <c r="E53" i="4"/>
  <c r="O47" i="2"/>
  <c r="O50" i="2"/>
  <c r="P15" i="2"/>
  <c r="O24" i="2"/>
  <c r="P24" i="2"/>
  <c r="O19" i="2"/>
  <c r="P38" i="2"/>
  <c r="O44" i="2"/>
  <c r="O38" i="2"/>
  <c r="P37" i="2"/>
  <c r="P36" i="2"/>
  <c r="G38" i="2"/>
  <c r="O20" i="2"/>
  <c r="P17" i="2"/>
  <c r="S17" i="2" s="1"/>
  <c r="P20" i="2"/>
  <c r="O40" i="2"/>
  <c r="P47" i="2"/>
  <c r="O34" i="2"/>
  <c r="O31" i="2"/>
  <c r="P32" i="1"/>
  <c r="Q32" i="1" s="1"/>
  <c r="O43" i="2"/>
  <c r="O39" i="2"/>
  <c r="P40" i="1"/>
  <c r="Q40" i="1" s="1"/>
  <c r="O14" i="2"/>
  <c r="O42" i="2"/>
  <c r="O18" i="2"/>
  <c r="O13" i="2"/>
  <c r="P32" i="2"/>
  <c r="O37" i="2"/>
  <c r="O36" i="2"/>
  <c r="O33" i="2"/>
  <c r="O22" i="2"/>
  <c r="O17" i="2"/>
  <c r="O30" i="2"/>
  <c r="O29" i="2"/>
  <c r="O32" i="2"/>
  <c r="F34" i="2"/>
  <c r="P28" i="2"/>
  <c r="P40" i="2"/>
  <c r="O28" i="2"/>
  <c r="O15" i="2"/>
  <c r="O35" i="2"/>
  <c r="P12" i="2"/>
  <c r="G34" i="2" l="1"/>
  <c r="S13" i="2"/>
  <c r="P30" i="1"/>
  <c r="Q30" i="1" s="1"/>
  <c r="P20" i="1"/>
  <c r="Q20" i="1" s="1"/>
  <c r="P34" i="1"/>
  <c r="Q34" i="1" s="1"/>
  <c r="S42" i="2"/>
  <c r="S15" i="2"/>
  <c r="S19" i="2"/>
  <c r="P14" i="1"/>
  <c r="Q14" i="1" s="1"/>
  <c r="R35" i="2"/>
  <c r="R28" i="2"/>
  <c r="R32" i="2"/>
  <c r="P23" i="1"/>
  <c r="Q23" i="1" s="1"/>
  <c r="P36" i="1"/>
  <c r="Q36" i="1" s="1"/>
  <c r="R14" i="2"/>
  <c r="S31" i="2"/>
  <c r="S32" i="2"/>
  <c r="R39" i="2"/>
  <c r="R38" i="2"/>
  <c r="R22" i="2"/>
  <c r="R31" i="2"/>
  <c r="R20" i="2"/>
  <c r="R50" i="2"/>
  <c r="P46" i="1"/>
  <c r="Q46" i="1" s="1"/>
  <c r="S44" i="2"/>
  <c r="P35" i="1"/>
  <c r="Q35" i="1" s="1"/>
  <c r="P29" i="1"/>
  <c r="Q29" i="1" s="1"/>
  <c r="P33" i="1"/>
  <c r="Q33" i="1" s="1"/>
  <c r="P31" i="1"/>
  <c r="Q31" i="1" s="1"/>
  <c r="R33" i="2"/>
  <c r="S33" i="2"/>
  <c r="P39" i="1"/>
  <c r="Q39" i="1" s="1"/>
  <c r="S35" i="2"/>
  <c r="R18" i="2"/>
  <c r="S18" i="2"/>
  <c r="S12" i="2"/>
  <c r="R30" i="2"/>
  <c r="R37" i="2"/>
  <c r="R42" i="2"/>
  <c r="P45" i="1"/>
  <c r="Q45" i="1" s="1"/>
  <c r="R19" i="2"/>
  <c r="S22" i="2"/>
  <c r="S28" i="2"/>
  <c r="R29" i="2"/>
  <c r="R36" i="2"/>
  <c r="R13" i="2"/>
  <c r="R43" i="2"/>
  <c r="R34" i="2"/>
  <c r="R44" i="2"/>
  <c r="P19" i="1"/>
  <c r="Q19" i="1" s="1"/>
  <c r="P52" i="1"/>
  <c r="Q52" i="1" s="1"/>
  <c r="Q55" i="1" s="1"/>
  <c r="S34" i="2"/>
  <c r="S43" i="2"/>
  <c r="S50" i="2"/>
  <c r="R17" i="2"/>
  <c r="S36" i="2"/>
  <c r="P18" i="1"/>
  <c r="P38" i="1"/>
  <c r="Q38" i="1" s="1"/>
  <c r="S37" i="2"/>
  <c r="S38" i="2"/>
  <c r="P15" i="1"/>
  <c r="Q15" i="1" s="1"/>
  <c r="S45" i="2"/>
  <c r="S14" i="2"/>
  <c r="S30" i="2"/>
  <c r="S29" i="2"/>
  <c r="S39" i="2"/>
  <c r="Q44" i="1"/>
  <c r="R45" i="2"/>
  <c r="C49" i="4"/>
  <c r="P37" i="1"/>
  <c r="Q37" i="1" s="1"/>
  <c r="S40" i="2" l="1"/>
  <c r="P21" i="1"/>
  <c r="S24" i="2"/>
  <c r="Q18" i="1"/>
  <c r="Q21" i="1" s="1"/>
  <c r="P47" i="1"/>
  <c r="P55" i="1"/>
  <c r="Q47" i="1"/>
  <c r="Q41" i="1"/>
  <c r="P41" i="1"/>
  <c r="S20" i="2"/>
  <c r="R40" i="2"/>
  <c r="P49" i="1" l="1"/>
  <c r="P58" i="1" s="1"/>
  <c r="R47" i="2"/>
  <c r="S47" i="2"/>
  <c r="Q49" i="1"/>
  <c r="Q58" i="1" s="1"/>
  <c r="P62" i="1" l="1"/>
  <c r="P13" i="1"/>
  <c r="O12" i="2"/>
  <c r="R12" i="2" l="1"/>
  <c r="Q13" i="1"/>
  <c r="Q16" i="1" s="1"/>
  <c r="N58" i="1"/>
  <c r="P61" i="1" s="1"/>
  <c r="P64" i="1" s="1"/>
  <c r="P16" i="1"/>
  <c r="R24" i="2" l="1"/>
  <c r="R15" i="2"/>
  <c r="G57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Een tevreden gebruiker van Microsoft Office</author>
  </authors>
  <commentList>
    <comment ref="D17" authorId="0" shapeId="0" xr:uid="{00000000-0006-0000-0100-000001000000}">
      <text>
        <r>
          <rPr>
            <sz val="8"/>
            <color indexed="81"/>
            <rFont val="Tahoma"/>
            <family val="2"/>
          </rPr>
          <t xml:space="preserve">Noat-leerlingen: ll. 1 okt. telformulier Cfi vraag 2 behoudens de ll. uit Suriname, de Ned. Antillen en Aruba.
Bij toepassing groeiregeling blijven gegevens van 1 oktober voor NOAT ongewijzigd. </t>
        </r>
      </text>
    </comment>
  </commentList>
</comments>
</file>

<file path=xl/sharedStrings.xml><?xml version="1.0" encoding="utf-8"?>
<sst xmlns="http://schemas.openxmlformats.org/spreadsheetml/2006/main" count="209" uniqueCount="166">
  <si>
    <t>totaal leerlingafhankelijk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</si>
  <si>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</si>
  <si>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</si>
  <si>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</si>
  <si>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</si>
  <si>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</si>
  <si>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</si>
  <si>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</si>
  <si>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e. (1) Overige uitgaven</t>
  </si>
  <si>
    <t>e. (2) tussenschoolse opvang</t>
  </si>
  <si>
    <t xml:space="preserve">Aantal NOAT- leerlingen </t>
  </si>
  <si>
    <t>Aanvullende vergoeding NOAT</t>
  </si>
  <si>
    <t>Nevenvestiging 2</t>
  </si>
  <si>
    <t>Nevenvestiging 3</t>
  </si>
  <si>
    <t>aantal vestigingen (incl. hoofdvestiging)</t>
  </si>
  <si>
    <t>Rijksbijdrage OCW- materieel</t>
  </si>
  <si>
    <t>a. Gebouw</t>
  </si>
  <si>
    <t>b. Tuin</t>
  </si>
  <si>
    <t>c. Schoonmaak</t>
  </si>
  <si>
    <t>School zonder nevenvestiging</t>
  </si>
  <si>
    <t>totaal + 3 %</t>
  </si>
  <si>
    <t>4-7 jaar</t>
  </si>
  <si>
    <t>vanaf 8 jaar</t>
  </si>
  <si>
    <t>Groepsafhankelijke PvE's</t>
  </si>
  <si>
    <t xml:space="preserve"> 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</si>
  <si>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</si>
  <si>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</si>
  <si>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</si>
  <si>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</si>
  <si>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</si>
  <si>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</si>
  <si>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</si>
  <si>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c. Waterverbruik</t>
  </si>
  <si>
    <t>3. Publiekrechtelijke heffingen</t>
  </si>
  <si>
    <t>Leerlingafhankelijke PvE's</t>
  </si>
  <si>
    <t>Middelen</t>
  </si>
  <si>
    <t>a. Medezeggenschap</t>
  </si>
  <si>
    <t>c. WA-verzekering</t>
  </si>
  <si>
    <t>d. Culturele vorming</t>
  </si>
  <si>
    <t>f. Dienstreizen</t>
  </si>
  <si>
    <t>h. Vervanging en aanpassing meubilair</t>
  </si>
  <si>
    <t>Administratie, beheer en bestuur</t>
  </si>
  <si>
    <t>a. Administratie</t>
  </si>
  <si>
    <t>b. Onderhoudsbeheer</t>
  </si>
  <si>
    <t>c. Beheer en bestuur</t>
  </si>
  <si>
    <t>2% leerlingen</t>
  </si>
  <si>
    <t>c.Waterverbruik</t>
  </si>
  <si>
    <t>3. Publiekrechtelijke heffingen (met uitzondering van OZB)</t>
  </si>
  <si>
    <t>Totaal</t>
  </si>
  <si>
    <t>b.Ouderbijdrage ihk medezeggenschap</t>
  </si>
  <si>
    <t>T</t>
  </si>
  <si>
    <t>C</t>
  </si>
  <si>
    <t>1. Middelen</t>
  </si>
  <si>
    <t>2. Administratie, beheer en bestuur</t>
  </si>
  <si>
    <t>2. Energie/ water</t>
  </si>
  <si>
    <t>NOAT</t>
  </si>
  <si>
    <t>totaal middelen</t>
  </si>
  <si>
    <t xml:space="preserve">totaal </t>
  </si>
  <si>
    <t>factor OB</t>
  </si>
  <si>
    <t>factor BB</t>
  </si>
  <si>
    <t>bedrag</t>
  </si>
  <si>
    <t xml:space="preserve">br. grondopp. </t>
  </si>
  <si>
    <t>(A)</t>
  </si>
  <si>
    <t>factor KST</t>
  </si>
  <si>
    <t>correctie KST</t>
  </si>
  <si>
    <t>Hoofdvestiging</t>
  </si>
  <si>
    <t>totaal</t>
  </si>
  <si>
    <t>bij bepalen 'G'</t>
  </si>
  <si>
    <t>nvt</t>
  </si>
  <si>
    <t>e. (3) BGZ</t>
  </si>
  <si>
    <t>Kalenderjaar</t>
  </si>
  <si>
    <t>BUDGET MATERIEEL (LONDO)</t>
  </si>
  <si>
    <t>Genormeerd aantal groepen</t>
  </si>
  <si>
    <t>Genormeerd bruto vloeroppervlak</t>
  </si>
  <si>
    <t>teldatum 1</t>
  </si>
  <si>
    <t>Leerlingtelling</t>
  </si>
  <si>
    <t>versie</t>
  </si>
  <si>
    <t>Desgewenst kunt u het model dus aanpassen, maar kennis van Excel is dan wel vereist.</t>
  </si>
  <si>
    <t xml:space="preserve">De invoer bij de aangegeven cellen spreekt voor zich. </t>
  </si>
  <si>
    <t>Alleen een kanttekening bij die invoer waar dat nodig is.</t>
  </si>
  <si>
    <t>Voor de bepaling van het aantal leerlingen op 1 maart wordt uitgegaan van de leeftijd van de desbe-</t>
  </si>
  <si>
    <t>treffende leerlingen op 1 oktober van het daaraan voorafgaande jaar, waarbij de leerlingen die op</t>
  </si>
  <si>
    <t>1 oktober van dat jaar nog 3 jaar waren, worden meegeteld bij het aantal leerlingen van 4 t/m 7 jaar.</t>
  </si>
  <si>
    <t>op het telformulier van Cfi voorkomen bij vraag 2 onder de categorie ‘Land van herkomst’,</t>
  </si>
  <si>
    <t xml:space="preserve">behoudens de leerlingen uit Suriname, de Nederlandse Antillen en Aruba. </t>
  </si>
  <si>
    <t xml:space="preserve">Voor deze opgave geldt dat bij toepassing van de groeidatum per 1 maart dit aantal leerlingen </t>
  </si>
  <si>
    <t>het aantal van 1 oktober blijft.</t>
  </si>
  <si>
    <t>van</t>
  </si>
  <si>
    <t>en</t>
  </si>
  <si>
    <t>per leerling in het programma van eisen 'Overige uitgaven'.</t>
  </si>
  <si>
    <t xml:space="preserve">en rond </t>
  </si>
  <si>
    <t>Dit is gedaan om meer inzicht te geven in de normering binnen dit programma van eisen.</t>
  </si>
  <si>
    <t>Tevens is in percentages aangegeven hoeveel een onderdeel is van het totaal van dit PvE.</t>
  </si>
  <si>
    <t>kosten van vervanging van ICT materiaal.</t>
  </si>
  <si>
    <t>Hebt u vragen of opmerkingen, adviezen enzovoorts dan zijn we daar nieuwsgierig naar. Neemt u</t>
  </si>
  <si>
    <t>Voor nadere info:</t>
  </si>
  <si>
    <t>Indien de bedragen worden aangepast, zullen we de applicatie aanpassen. U kunt dat desgewenst ook</t>
  </si>
  <si>
    <t>uitgesplitst in meerjaarlijkse kosten, jaarlijkse kosten (vervanging) en ICT (incl. kennisnet).</t>
  </si>
  <si>
    <t xml:space="preserve">De toekenning van middelen voor ICT wordt toegekend als een totaalbedrag. Daarin zitten tevens de </t>
  </si>
  <si>
    <t>www.poraad.nl</t>
  </si>
  <si>
    <t>totaal aanvullende vergoeding</t>
  </si>
  <si>
    <t xml:space="preserve">Aanvullende vergoeding </t>
  </si>
  <si>
    <t>% bovenschools</t>
  </si>
  <si>
    <t xml:space="preserve">Nevenvestiging </t>
  </si>
  <si>
    <t xml:space="preserve">Aanvullende vergoeding: </t>
  </si>
  <si>
    <t>Groeiregeling van toepassing?</t>
  </si>
  <si>
    <t>berekenen. Als de gegevens per vestiging worden ingevoerd wordt de vergoeding van hoofd-</t>
  </si>
  <si>
    <r>
      <t xml:space="preserve">Het model is beveiligd met het wachtwoord: </t>
    </r>
    <r>
      <rPr>
        <b/>
        <sz val="11"/>
        <rFont val="Calibri"/>
        <family val="2"/>
      </rPr>
      <t>poraad</t>
    </r>
    <r>
      <rPr>
        <sz val="11"/>
        <rFont val="Calibri"/>
        <family val="2"/>
      </rPr>
      <t xml:space="preserve"> </t>
    </r>
  </si>
  <si>
    <r>
      <t>Aantal leerlingen NOAT</t>
    </r>
    <r>
      <rPr>
        <sz val="11"/>
        <rFont val="Calibri"/>
        <family val="2"/>
      </rPr>
      <t>: Dit zijn anderstalige op een basisschool ingeschreven leerlingen die</t>
    </r>
  </si>
  <si>
    <r>
      <t xml:space="preserve">Bedrijfsgezondheidszorg: </t>
    </r>
    <r>
      <rPr>
        <sz val="11"/>
        <rFont val="Calibri"/>
        <family val="2"/>
      </rPr>
      <t xml:space="preserve">De bedrijfsgezondheidszorg (BGZ) is met ingang van 1 januari </t>
    </r>
  </si>
  <si>
    <r>
      <t xml:space="preserve">Tussenschoolse opvang: </t>
    </r>
    <r>
      <rPr>
        <sz val="11"/>
        <rFont val="Calibri"/>
        <family val="2"/>
      </rPr>
      <t xml:space="preserve">De tussenschoolse opvang is met ingang van 1 januari </t>
    </r>
  </si>
  <si>
    <r>
      <t>Onderhoud, vervanging en vernieuwing OLP:</t>
    </r>
    <r>
      <rPr>
        <sz val="11"/>
        <rFont val="Calibri"/>
        <family val="2"/>
      </rPr>
      <t xml:space="preserve"> Dit programma van eisen is </t>
    </r>
  </si>
  <si>
    <t>overdracht naar bestuur</t>
  </si>
  <si>
    <t>Naam school</t>
  </si>
  <si>
    <t>Totaal baten materieel</t>
  </si>
  <si>
    <t>extra bekostiging OCW a.g.v. groei</t>
  </si>
  <si>
    <t>en nevenvestiging(en) in één keer berekend en verkrijgt u het totale budget van de school.</t>
  </si>
  <si>
    <t>Alleen de witte cellen kunnen worden ingevuld.</t>
  </si>
  <si>
    <t>totaal administratie, beheer en bestuur</t>
  </si>
  <si>
    <t>Helpdesk</t>
  </si>
  <si>
    <t xml:space="preserve">Reinier Goedhart, e-mail: </t>
  </si>
  <si>
    <r>
      <t>Nevenvestiging</t>
    </r>
    <r>
      <rPr>
        <sz val="11"/>
        <rFont val="Calibri"/>
        <family val="2"/>
      </rPr>
      <t>: Het is ook mogelijk de bekostiging incl. die voor de nevenvestiging(en) te</t>
    </r>
  </si>
  <si>
    <t>Basisschool</t>
  </si>
  <si>
    <t>Stijging t.o.v. vorig jaar</t>
  </si>
  <si>
    <t>teldatum 2</t>
  </si>
  <si>
    <t>- waarvan buitenonderhoud</t>
  </si>
  <si>
    <t xml:space="preserve">2003 opgenomen in de MI-vergoeding. </t>
  </si>
  <si>
    <t xml:space="preserve">2006 opgenomen in de MI-vergoeding. </t>
  </si>
  <si>
    <t>totaal conform afrondingswijze DUO</t>
  </si>
  <si>
    <t>Bé Keizer, e-mail:</t>
  </si>
  <si>
    <t xml:space="preserve">r.goedhart@poraad.nl </t>
  </si>
  <si>
    <t xml:space="preserve">PO-raad: </t>
  </si>
  <si>
    <t xml:space="preserve">Helpdesk@poraad.nl </t>
  </si>
  <si>
    <r>
      <rPr>
        <b/>
        <sz val="11"/>
        <rFont val="Calibri"/>
        <family val="2"/>
      </rPr>
      <t>Waarschuwing</t>
    </r>
    <r>
      <rPr>
        <sz val="11"/>
        <rFont val="Calibri"/>
        <family val="2"/>
      </rPr>
      <t xml:space="preserve">: </t>
    </r>
    <r>
      <rPr>
        <i/>
        <sz val="11"/>
        <rFont val="Calibri"/>
        <family val="2"/>
      </rPr>
      <t>De gedetailleerde weergave van de bekostiging per programma van eisen gaat verdwijnen</t>
    </r>
  </si>
  <si>
    <t>overg reg</t>
  </si>
  <si>
    <r>
      <rPr>
        <b/>
        <sz val="11"/>
        <rFont val="Calibri"/>
        <family val="2"/>
      </rPr>
      <t>NB</t>
    </r>
    <r>
      <rPr>
        <sz val="11"/>
        <rFont val="Calibri"/>
        <family val="2"/>
      </rPr>
      <t xml:space="preserve">.: het bedrag voor buitenonderhoud dat overgegaan is van de gemeente naar het schoolbestuur </t>
    </r>
  </si>
  <si>
    <t>de bekostiging van de onderwijshuisvesting.</t>
  </si>
  <si>
    <t xml:space="preserve">De groeiregeling is van toepassing indien het aantal leerlingen van 1 oktober t-1, verhoogd met 3% en </t>
  </si>
  <si>
    <t>afgerond naar beneden op een geheel getal met tenminste 13 leerlingen is toegenomen.</t>
  </si>
  <si>
    <t>be.keizer@wxs.nl</t>
  </si>
  <si>
    <t>Deskundigenadvies</t>
  </si>
  <si>
    <t>Contributie besturenorganisatie</t>
  </si>
  <si>
    <t>Contributie geschillencommissie</t>
  </si>
  <si>
    <t>Bezwarencommissie functiewaardering</t>
  </si>
  <si>
    <t>Toeslag i.v.m. verzelfstandiging CASO</t>
  </si>
  <si>
    <t>Management</t>
  </si>
  <si>
    <t>Kosten klachtencommissie</t>
  </si>
  <si>
    <t>Arbeidsmarkt en kennisactiviteiten</t>
  </si>
  <si>
    <t>Middelen voor GO en vakbondsactiviteiten</t>
  </si>
  <si>
    <t>Uitvoeringskosten bovenwettelijke uitkeringen</t>
  </si>
  <si>
    <t xml:space="preserve">Totaal </t>
  </si>
  <si>
    <t>Het bedrag per leerling is als volgt opgebouwd:</t>
  </si>
  <si>
    <t xml:space="preserve">en de gehele bekostiging (P+M) wordt vanaf 2023 omgezet in een bedrag per leerling en een vast bedrag per school </t>
  </si>
  <si>
    <t>o.b.v. telling 1 febr. 2022.</t>
  </si>
  <si>
    <t>zelf doen omdat u over het wachtwoord beschikt.</t>
  </si>
  <si>
    <t xml:space="preserve">De gewichtenregeling is afgeschaft en het materiële budget dat hiermee samenhing is overgegaan naar </t>
  </si>
  <si>
    <t xml:space="preserve">het achterstandsbudget voor personeel. </t>
  </si>
  <si>
    <t>Handleiding bij applicatie Londo 2022 bas</t>
  </si>
  <si>
    <r>
      <t xml:space="preserve">In deze applicatie zijn de bedragen van de pve's voor </t>
    </r>
    <r>
      <rPr>
        <b/>
        <sz val="11"/>
        <rFont val="Calibri"/>
        <family val="2"/>
      </rPr>
      <t>2022</t>
    </r>
    <r>
      <rPr>
        <sz val="11"/>
        <rFont val="Calibri"/>
        <family val="2"/>
      </rPr>
      <t xml:space="preserve"> van d.d. ? oktober </t>
    </r>
    <r>
      <rPr>
        <b/>
        <sz val="11"/>
        <rFont val="Calibri"/>
        <family val="2"/>
      </rPr>
      <t>2020 verwerkt.</t>
    </r>
  </si>
  <si>
    <r>
      <t>De indexering is bepaald op een verhoging van 3,01</t>
    </r>
    <r>
      <rPr>
        <b/>
        <sz val="11"/>
        <rFont val="Calibri"/>
        <family val="2"/>
      </rPr>
      <t>%</t>
    </r>
  </si>
  <si>
    <t xml:space="preserve">bedraagt € 17,07 voor 2022. Dit is van belang voor sommige gemeenten die nadere afspraken hebben over </t>
  </si>
  <si>
    <r>
      <t>Teldatum</t>
    </r>
    <r>
      <rPr>
        <sz val="11"/>
        <rFont val="Calibri"/>
        <family val="2"/>
      </rPr>
      <t xml:space="preserve">: De invoer is standaard gesteld op </t>
    </r>
    <r>
      <rPr>
        <b/>
        <sz val="11"/>
        <rFont val="Calibri"/>
        <family val="2"/>
      </rPr>
      <t>1 oktober 2021</t>
    </r>
    <r>
      <rPr>
        <sz val="11"/>
        <rFont val="Calibri"/>
        <family val="2"/>
      </rPr>
      <t>. Bij toepassing van de groeiregeling</t>
    </r>
  </si>
  <si>
    <t>dienen ook de telgegevens van 1 maart 2022 ingevoerd te worden.</t>
  </si>
  <si>
    <t xml:space="preserve">17,37 som van </t>
  </si>
  <si>
    <t>Aanpassing vs 22 sept 2021:</t>
  </si>
  <si>
    <t xml:space="preserve"> - Nu met de cijfers van de publicatie van 29 sept. 2021. Iets hogere bedragen.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</si>
</sst>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 &quot;€&quot;\ * #,##0.00_ ;_ &quot;€&quot;\ * \-#,##0.00_ ;_ &quot;€&quot;\ * &quot;-&quot;??_ ;_ @_ "/>
    <numFmt numFmtId="164" formatCode="&quot;€&quot;\ #,##0.00_-;[Red]&quot;€&quot;\ #,##0.00\-"/>
    <numFmt numFmtId="165" formatCode="_-&quot;€&quot;\ * #,##0_-;_-&quot;€&quot;\ * #,##0\-;_-&quot;€&quot;\ * &quot;-&quot;_-;_-@_-"/>
    <numFmt numFmtId="166" formatCode="_-&quot;€&quot;\ * #,##0.00_-;_-&quot;€&quot;\ * #,##0.00\-;_-&quot;€&quot;\ * &quot;-&quot;??_-;_-@_-"/>
    <numFmt numFmtId="167" formatCode="_-&quot;€&quot;\ * #,##0_-;_-&quot;€&quot;\ * #,##0\-;_-&quot;€&quot;\ * &quot;-&quot;??_-;_-@_-"/>
    <numFmt numFmtId="168" formatCode="&quot;€&quot;\ #,##0.00_-"/>
    <numFmt numFmtId="169" formatCode="&quot;€&quot;\ #,##0_-"/>
    <numFmt numFmtId="170" formatCode="0.0%"/>
    <numFmt numFmtId="171" formatCode="0.000"/>
    <numFmt numFmtId="172" formatCode="_ &quot;€&quot;\ * #,##0.000_ ;_ &quot;€&quot;\ * \-#,##0.000_ ;_ &quot;€&quot;\ * &quot;-&quot;??_ ;_ @_ "/>
    <numFmt numFmtId="173" formatCode="[$-413]d\ mmmm\ yyyy;@"/>
    <numFmt numFmtId="174" formatCode="0.000%"/>
  </numFmts>
  <fonts count="40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4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b/>
      <i/>
      <sz val="10"/>
      <color indexed="53"/>
      <name val="Calibri"/>
      <family val="2"/>
    </font>
    <font>
      <b/>
      <sz val="10"/>
      <color indexed="53"/>
      <name val="Calibri"/>
      <family val="2"/>
    </font>
    <font>
      <b/>
      <sz val="14"/>
      <color indexed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4"/>
      <name val="Calibri"/>
      <family val="2"/>
    </font>
    <font>
      <sz val="11"/>
      <color indexed="12"/>
      <name val="Calibri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1"/>
      <color indexed="9"/>
      <name val="Calibri"/>
      <family val="2"/>
    </font>
    <font>
      <u/>
      <sz val="11"/>
      <name val="Calibri"/>
      <family val="2"/>
    </font>
    <font>
      <b/>
      <sz val="14"/>
      <color rgb="FFC00000"/>
      <name val="Calibri"/>
      <family val="2"/>
    </font>
    <font>
      <b/>
      <sz val="10"/>
      <color rgb="FFC00000"/>
      <name val="Calibri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b/>
      <sz val="10"/>
      <color theme="0" tint="-0.14999847407452621"/>
      <name val="Calibri"/>
      <family val="2"/>
    </font>
    <font>
      <i/>
      <sz val="10"/>
      <color theme="0" tint="-4.9989318521683403E-2"/>
      <name val="Calibri"/>
      <family val="2"/>
    </font>
    <font>
      <b/>
      <sz val="12"/>
      <color rgb="FFC00000"/>
      <name val="Calibri"/>
      <family val="2"/>
    </font>
    <font>
      <sz val="12"/>
      <color indexed="10"/>
      <name val="Calibri"/>
      <family val="2"/>
    </font>
    <font>
      <sz val="10"/>
      <color rgb="FFFF000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Arial"/>
      <family val="2"/>
    </font>
    <font>
      <sz val="14"/>
      <color rgb="FFC00000"/>
      <name val="Calibri"/>
      <family val="2"/>
    </font>
    <font>
      <b/>
      <sz val="10"/>
      <color rgb="FFFF0000"/>
      <name val="Calibri"/>
      <family val="2"/>
    </font>
    <font>
      <i/>
      <sz val="11"/>
      <name val="Calibri"/>
      <family val="2"/>
    </font>
    <font>
      <b/>
      <sz val="10"/>
      <color theme="1"/>
      <name val="Calibri"/>
      <family val="2"/>
    </font>
    <font>
      <u/>
      <sz val="10"/>
      <name val="Arial"/>
      <family val="2"/>
    </font>
    <font>
      <b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6" fontId="1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254">
    <xf numFmtId="0" fontId="0" fillId="0" borderId="0" xfId="0"/>
    <xf numFmtId="166" fontId="5" fillId="0" borderId="0" xfId="0" applyNumberFormat="1" applyFont="1" applyFill="1" applyBorder="1" applyProtection="1"/>
    <xf numFmtId="165" fontId="5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0" fontId="4" fillId="0" borderId="0" xfId="0" applyFont="1" applyFill="1" applyBorder="1" applyProtection="1"/>
    <xf numFmtId="168" fontId="4" fillId="0" borderId="0" xfId="0" applyNumberFormat="1" applyFont="1" applyFill="1" applyBorder="1" applyProtection="1"/>
    <xf numFmtId="1" fontId="5" fillId="0" borderId="0" xfId="0" applyNumberFormat="1" applyFont="1" applyFill="1" applyBorder="1" applyProtection="1"/>
    <xf numFmtId="169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166" fontId="8" fillId="0" borderId="0" xfId="0" applyNumberFormat="1" applyFont="1" applyFill="1" applyBorder="1" applyAlignment="1" applyProtection="1">
      <alignment horizontal="center"/>
    </xf>
    <xf numFmtId="166" fontId="4" fillId="0" borderId="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 applyBorder="1" applyProtection="1"/>
    <xf numFmtId="166" fontId="4" fillId="0" borderId="0" xfId="0" applyNumberFormat="1" applyFont="1" applyFill="1" applyBorder="1" applyAlignment="1" applyProtection="1">
      <alignment horizontal="center"/>
    </xf>
    <xf numFmtId="168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left" vertical="center"/>
    </xf>
    <xf numFmtId="4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Protection="1">
      <protection locked="0"/>
    </xf>
    <xf numFmtId="0" fontId="13" fillId="3" borderId="0" xfId="0" applyFont="1" applyFill="1"/>
    <xf numFmtId="0" fontId="12" fillId="3" borderId="0" xfId="0" applyFont="1" applyFill="1"/>
    <xf numFmtId="0" fontId="13" fillId="3" borderId="0" xfId="0" applyFont="1" applyFill="1" applyBorder="1"/>
    <xf numFmtId="0" fontId="15" fillId="3" borderId="0" xfId="0" applyFont="1" applyFill="1"/>
    <xf numFmtId="0" fontId="12" fillId="0" borderId="0" xfId="0" applyFont="1" applyFill="1" applyBorder="1" applyAlignment="1" applyProtection="1">
      <alignment horizontal="left"/>
    </xf>
    <xf numFmtId="0" fontId="12" fillId="2" borderId="0" xfId="0" applyFont="1" applyFill="1" applyBorder="1" applyAlignment="1" applyProtection="1">
      <alignment horizontal="left"/>
      <protection locked="0"/>
    </xf>
    <xf numFmtId="0" fontId="12" fillId="0" borderId="0" xfId="0" applyFont="1" applyFill="1" applyBorder="1" applyProtection="1"/>
    <xf numFmtId="0" fontId="13" fillId="0" borderId="0" xfId="0" applyFont="1" applyFill="1" applyBorder="1" applyProtection="1"/>
    <xf numFmtId="168" fontId="13" fillId="0" borderId="0" xfId="0" applyNumberFormat="1" applyFont="1" applyFill="1" applyBorder="1" applyProtection="1"/>
    <xf numFmtId="1" fontId="12" fillId="0" borderId="0" xfId="0" applyNumberFormat="1" applyFont="1" applyFill="1" applyBorder="1" applyProtection="1"/>
    <xf numFmtId="169" fontId="12" fillId="0" borderId="0" xfId="0" applyNumberFormat="1" applyFont="1" applyFill="1" applyBorder="1" applyProtection="1"/>
    <xf numFmtId="164" fontId="12" fillId="3" borderId="0" xfId="0" applyNumberFormat="1" applyFont="1" applyFill="1"/>
    <xf numFmtId="166" fontId="12" fillId="3" borderId="0" xfId="0" applyNumberFormat="1" applyFont="1" applyFill="1"/>
    <xf numFmtId="0" fontId="4" fillId="2" borderId="0" xfId="0" applyFont="1" applyFill="1" applyBorder="1" applyAlignment="1" applyProtection="1">
      <alignment horizontal="center"/>
      <protection locked="0"/>
    </xf>
    <xf numFmtId="15" fontId="5" fillId="2" borderId="0" xfId="0" applyNumberFormat="1" applyFont="1" applyFill="1" applyBorder="1" applyAlignment="1" applyProtection="1">
      <alignment horizontal="center"/>
      <protection locked="0"/>
    </xf>
    <xf numFmtId="165" fontId="5" fillId="2" borderId="0" xfId="0" applyNumberFormat="1" applyFont="1" applyFill="1" applyBorder="1" applyAlignment="1" applyProtection="1">
      <alignment horizontal="center"/>
      <protection locked="0"/>
    </xf>
    <xf numFmtId="0" fontId="12" fillId="3" borderId="0" xfId="0" applyFont="1" applyFill="1" applyBorder="1"/>
    <xf numFmtId="0" fontId="19" fillId="3" borderId="0" xfId="2" applyFont="1" applyFill="1" applyBorder="1" applyAlignment="1" applyProtection="1"/>
    <xf numFmtId="0" fontId="5" fillId="4" borderId="0" xfId="0" applyFont="1" applyFill="1" applyBorder="1" applyProtection="1"/>
    <xf numFmtId="9" fontId="5" fillId="4" borderId="0" xfId="3" applyFont="1" applyFill="1" applyBorder="1" applyAlignment="1" applyProtection="1">
      <alignment horizontal="center"/>
    </xf>
    <xf numFmtId="0" fontId="11" fillId="4" borderId="0" xfId="0" applyFont="1" applyFill="1" applyBorder="1" applyAlignment="1" applyProtection="1">
      <alignment horizontal="left"/>
    </xf>
    <xf numFmtId="0" fontId="8" fillId="4" borderId="0" xfId="0" applyFont="1" applyFill="1" applyBorder="1" applyProtection="1"/>
    <xf numFmtId="0" fontId="6" fillId="4" borderId="0" xfId="0" applyFont="1" applyFill="1" applyBorder="1" applyProtection="1"/>
    <xf numFmtId="9" fontId="8" fillId="4" borderId="0" xfId="3" applyFont="1" applyFill="1" applyBorder="1" applyAlignment="1" applyProtection="1">
      <alignment horizontal="center"/>
    </xf>
    <xf numFmtId="0" fontId="4" fillId="4" borderId="0" xfId="0" quotePrefix="1" applyFont="1" applyFill="1" applyBorder="1" applyAlignment="1" applyProtection="1">
      <alignment horizontal="left"/>
    </xf>
    <xf numFmtId="1" fontId="4" fillId="4" borderId="0" xfId="0" applyNumberFormat="1" applyFont="1" applyFill="1" applyBorder="1" applyProtection="1"/>
    <xf numFmtId="167" fontId="8" fillId="4" borderId="0" xfId="0" applyNumberFormat="1" applyFont="1" applyFill="1" applyBorder="1" applyAlignment="1" applyProtection="1">
      <alignment horizontal="left"/>
    </xf>
    <xf numFmtId="167" fontId="5" fillId="4" borderId="0" xfId="0" applyNumberFormat="1" applyFont="1" applyFill="1" applyBorder="1" applyAlignment="1" applyProtection="1">
      <alignment horizontal="left"/>
    </xf>
    <xf numFmtId="165" fontId="4" fillId="4" borderId="0" xfId="0" applyNumberFormat="1" applyFont="1" applyFill="1" applyBorder="1" applyAlignment="1" applyProtection="1">
      <alignment horizontal="left"/>
    </xf>
    <xf numFmtId="0" fontId="5" fillId="5" borderId="1" xfId="0" applyFont="1" applyFill="1" applyBorder="1" applyProtection="1"/>
    <xf numFmtId="0" fontId="5" fillId="5" borderId="2" xfId="0" applyFont="1" applyFill="1" applyBorder="1" applyProtection="1"/>
    <xf numFmtId="0" fontId="7" fillId="5" borderId="2" xfId="0" applyFont="1" applyFill="1" applyBorder="1" applyAlignment="1" applyProtection="1">
      <alignment horizontal="right"/>
    </xf>
    <xf numFmtId="0" fontId="8" fillId="5" borderId="2" xfId="0" applyFont="1" applyFill="1" applyBorder="1" applyAlignment="1" applyProtection="1">
      <alignment horizontal="center"/>
    </xf>
    <xf numFmtId="9" fontId="5" fillId="5" borderId="2" xfId="3" applyFont="1" applyFill="1" applyBorder="1" applyAlignment="1" applyProtection="1">
      <alignment horizontal="center"/>
    </xf>
    <xf numFmtId="167" fontId="5" fillId="5" borderId="2" xfId="0" applyNumberFormat="1" applyFont="1" applyFill="1" applyBorder="1" applyProtection="1"/>
    <xf numFmtId="0" fontId="5" fillId="5" borderId="3" xfId="0" applyFont="1" applyFill="1" applyBorder="1" applyProtection="1"/>
    <xf numFmtId="0" fontId="5" fillId="5" borderId="4" xfId="0" applyFont="1" applyFill="1" applyBorder="1" applyProtection="1"/>
    <xf numFmtId="0" fontId="5" fillId="5" borderId="0" xfId="0" applyFont="1" applyFill="1" applyBorder="1" applyProtection="1"/>
    <xf numFmtId="0" fontId="7" fillId="5" borderId="0" xfId="0" applyFont="1" applyFill="1" applyBorder="1" applyAlignment="1" applyProtection="1">
      <alignment horizontal="right"/>
    </xf>
    <xf numFmtId="0" fontId="8" fillId="5" borderId="0" xfId="0" applyFont="1" applyFill="1" applyBorder="1" applyAlignment="1" applyProtection="1">
      <alignment horizontal="center"/>
    </xf>
    <xf numFmtId="9" fontId="5" fillId="5" borderId="0" xfId="3" applyFont="1" applyFill="1" applyBorder="1" applyAlignment="1" applyProtection="1">
      <alignment horizontal="center"/>
    </xf>
    <xf numFmtId="167" fontId="5" fillId="5" borderId="0" xfId="0" applyNumberFormat="1" applyFont="1" applyFill="1" applyBorder="1" applyProtection="1"/>
    <xf numFmtId="0" fontId="5" fillId="5" borderId="5" xfId="0" applyFont="1" applyFill="1" applyBorder="1" applyProtection="1"/>
    <xf numFmtId="0" fontId="11" fillId="5" borderId="4" xfId="0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/>
    </xf>
    <xf numFmtId="9" fontId="11" fillId="5" borderId="0" xfId="3" applyFont="1" applyFill="1" applyBorder="1" applyAlignment="1" applyProtection="1">
      <alignment horizontal="left"/>
    </xf>
    <xf numFmtId="167" fontId="11" fillId="5" borderId="0" xfId="0" applyNumberFormat="1" applyFont="1" applyFill="1" applyBorder="1" applyAlignment="1" applyProtection="1">
      <alignment horizontal="left"/>
    </xf>
    <xf numFmtId="0" fontId="11" fillId="5" borderId="5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Protection="1"/>
    <xf numFmtId="0" fontId="9" fillId="5" borderId="0" xfId="0" applyFont="1" applyFill="1" applyBorder="1" applyAlignment="1" applyProtection="1">
      <alignment horizontal="left"/>
    </xf>
    <xf numFmtId="0" fontId="10" fillId="5" borderId="0" xfId="0" applyFont="1" applyFill="1" applyBorder="1" applyProtection="1"/>
    <xf numFmtId="9" fontId="7" fillId="5" borderId="0" xfId="3" applyFont="1" applyFill="1" applyBorder="1" applyAlignment="1" applyProtection="1">
      <alignment horizontal="center"/>
    </xf>
    <xf numFmtId="0" fontId="8" fillId="5" borderId="0" xfId="0" applyFont="1" applyFill="1" applyBorder="1" applyProtection="1"/>
    <xf numFmtId="167" fontId="8" fillId="5" borderId="0" xfId="0" quotePrefix="1" applyNumberFormat="1" applyFont="1" applyFill="1" applyBorder="1" applyAlignment="1" applyProtection="1">
      <alignment horizontal="center"/>
    </xf>
    <xf numFmtId="0" fontId="8" fillId="5" borderId="0" xfId="0" quotePrefix="1" applyNumberFormat="1" applyFont="1" applyFill="1" applyBorder="1" applyAlignment="1" applyProtection="1">
      <alignment horizontal="center"/>
    </xf>
    <xf numFmtId="0" fontId="8" fillId="5" borderId="5" xfId="0" quotePrefix="1" applyNumberFormat="1" applyFont="1" applyFill="1" applyBorder="1" applyAlignment="1" applyProtection="1">
      <alignment horizontal="center"/>
    </xf>
    <xf numFmtId="0" fontId="5" fillId="5" borderId="0" xfId="0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center"/>
    </xf>
    <xf numFmtId="165" fontId="5" fillId="5" borderId="5" xfId="4" applyNumberFormat="1" applyFont="1" applyFill="1" applyBorder="1" applyAlignment="1" applyProtection="1">
      <alignment horizontal="left"/>
    </xf>
    <xf numFmtId="165" fontId="7" fillId="5" borderId="5" xfId="4" applyNumberFormat="1" applyFont="1" applyFill="1" applyBorder="1" applyAlignment="1" applyProtection="1">
      <alignment horizontal="left"/>
    </xf>
    <xf numFmtId="1" fontId="5" fillId="5" borderId="0" xfId="0" applyNumberFormat="1" applyFont="1" applyFill="1" applyBorder="1" applyAlignment="1" applyProtection="1">
      <alignment horizontal="center"/>
    </xf>
    <xf numFmtId="165" fontId="4" fillId="5" borderId="5" xfId="4" applyNumberFormat="1" applyFont="1" applyFill="1" applyBorder="1" applyAlignment="1" applyProtection="1">
      <alignment horizontal="left"/>
    </xf>
    <xf numFmtId="165" fontId="8" fillId="5" borderId="5" xfId="4" applyNumberFormat="1" applyFont="1" applyFill="1" applyBorder="1" applyAlignment="1" applyProtection="1">
      <alignment horizontal="left"/>
    </xf>
    <xf numFmtId="0" fontId="7" fillId="5" borderId="4" xfId="0" applyFont="1" applyFill="1" applyBorder="1" applyProtection="1"/>
    <xf numFmtId="1" fontId="4" fillId="5" borderId="0" xfId="0" applyNumberFormat="1" applyFont="1" applyFill="1" applyBorder="1" applyAlignment="1" applyProtection="1">
      <alignment horizontal="center"/>
    </xf>
    <xf numFmtId="9" fontId="8" fillId="5" borderId="0" xfId="3" applyFont="1" applyFill="1" applyBorder="1" applyAlignment="1" applyProtection="1">
      <alignment horizontal="center"/>
    </xf>
    <xf numFmtId="165" fontId="4" fillId="5" borderId="5" xfId="0" applyNumberFormat="1" applyFont="1" applyFill="1" applyBorder="1" applyAlignment="1" applyProtection="1">
      <alignment horizontal="left"/>
    </xf>
    <xf numFmtId="1" fontId="4" fillId="5" borderId="0" xfId="0" applyNumberFormat="1" applyFont="1" applyFill="1" applyBorder="1" applyProtection="1"/>
    <xf numFmtId="167" fontId="8" fillId="5" borderId="0" xfId="0" applyNumberFormat="1" applyFont="1" applyFill="1" applyBorder="1" applyAlignment="1" applyProtection="1">
      <alignment horizontal="left"/>
    </xf>
    <xf numFmtId="167" fontId="5" fillId="5" borderId="0" xfId="0" applyNumberFormat="1" applyFont="1" applyFill="1" applyBorder="1" applyAlignment="1" applyProtection="1">
      <alignment horizontal="left"/>
    </xf>
    <xf numFmtId="165" fontId="4" fillId="5" borderId="0" xfId="0" applyNumberFormat="1" applyFont="1" applyFill="1" applyBorder="1" applyAlignment="1" applyProtection="1">
      <alignment horizontal="left"/>
    </xf>
    <xf numFmtId="0" fontId="5" fillId="5" borderId="6" xfId="0" applyFont="1" applyFill="1" applyBorder="1" applyProtection="1"/>
    <xf numFmtId="0" fontId="5" fillId="5" borderId="7" xfId="0" applyFont="1" applyFill="1" applyBorder="1" applyProtection="1"/>
    <xf numFmtId="0" fontId="8" fillId="5" borderId="7" xfId="0" applyFont="1" applyFill="1" applyBorder="1" applyProtection="1"/>
    <xf numFmtId="9" fontId="8" fillId="5" borderId="7" xfId="3" applyFont="1" applyFill="1" applyBorder="1" applyAlignment="1" applyProtection="1">
      <alignment horizontal="center"/>
    </xf>
    <xf numFmtId="1" fontId="4" fillId="5" borderId="7" xfId="0" applyNumberFormat="1" applyFont="1" applyFill="1" applyBorder="1" applyProtection="1"/>
    <xf numFmtId="167" fontId="8" fillId="5" borderId="7" xfId="0" applyNumberFormat="1" applyFont="1" applyFill="1" applyBorder="1" applyAlignment="1" applyProtection="1">
      <alignment horizontal="left"/>
    </xf>
    <xf numFmtId="167" fontId="5" fillId="5" borderId="7" xfId="0" applyNumberFormat="1" applyFont="1" applyFill="1" applyBorder="1" applyAlignment="1" applyProtection="1">
      <alignment horizontal="left"/>
    </xf>
    <xf numFmtId="1" fontId="18" fillId="5" borderId="7" xfId="0" applyNumberFormat="1" applyFont="1" applyFill="1" applyBorder="1" applyAlignment="1" applyProtection="1">
      <alignment horizontal="right"/>
    </xf>
    <xf numFmtId="165" fontId="4" fillId="5" borderId="8" xfId="0" applyNumberFormat="1" applyFont="1" applyFill="1" applyBorder="1" applyAlignment="1" applyProtection="1">
      <alignment horizontal="left"/>
    </xf>
    <xf numFmtId="0" fontId="5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5" fillId="4" borderId="9" xfId="0" applyFont="1" applyFill="1" applyBorder="1" applyProtection="1"/>
    <xf numFmtId="0" fontId="5" fillId="4" borderId="10" xfId="0" applyFont="1" applyFill="1" applyBorder="1" applyProtection="1"/>
    <xf numFmtId="0" fontId="8" fillId="4" borderId="10" xfId="0" applyFont="1" applyFill="1" applyBorder="1" applyAlignment="1" applyProtection="1">
      <alignment horizontal="center"/>
    </xf>
    <xf numFmtId="0" fontId="4" fillId="4" borderId="10" xfId="0" applyFont="1" applyFill="1" applyBorder="1" applyProtection="1"/>
    <xf numFmtId="9" fontId="4" fillId="4" borderId="10" xfId="3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left"/>
    </xf>
    <xf numFmtId="167" fontId="5" fillId="4" borderId="10" xfId="0" applyNumberFormat="1" applyFont="1" applyFill="1" applyBorder="1" applyProtection="1"/>
    <xf numFmtId="167" fontId="8" fillId="4" borderId="10" xfId="0" quotePrefix="1" applyNumberFormat="1" applyFont="1" applyFill="1" applyBorder="1" applyAlignment="1" applyProtection="1">
      <alignment horizontal="right"/>
    </xf>
    <xf numFmtId="0" fontId="5" fillId="4" borderId="11" xfId="0" applyFont="1" applyFill="1" applyBorder="1" applyProtection="1"/>
    <xf numFmtId="0" fontId="5" fillId="4" borderId="12" xfId="0" applyFont="1" applyFill="1" applyBorder="1" applyProtection="1"/>
    <xf numFmtId="0" fontId="5" fillId="4" borderId="13" xfId="0" applyFont="1" applyFill="1" applyBorder="1" applyProtection="1"/>
    <xf numFmtId="0" fontId="4" fillId="4" borderId="13" xfId="0" applyFont="1" applyFill="1" applyBorder="1" applyProtection="1"/>
    <xf numFmtId="0" fontId="5" fillId="4" borderId="13" xfId="0" applyFont="1" applyFill="1" applyBorder="1" applyAlignment="1" applyProtection="1">
      <alignment horizontal="left"/>
    </xf>
    <xf numFmtId="0" fontId="5" fillId="4" borderId="14" xfId="0" applyFont="1" applyFill="1" applyBorder="1" applyProtection="1"/>
    <xf numFmtId="9" fontId="5" fillId="4" borderId="13" xfId="3" applyFont="1" applyFill="1" applyBorder="1" applyAlignment="1" applyProtection="1">
      <alignment horizontal="center"/>
    </xf>
    <xf numFmtId="167" fontId="5" fillId="4" borderId="13" xfId="0" applyNumberFormat="1" applyFont="1" applyFill="1" applyBorder="1" applyProtection="1"/>
    <xf numFmtId="0" fontId="4" fillId="4" borderId="13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center"/>
    </xf>
    <xf numFmtId="9" fontId="5" fillId="4" borderId="13" xfId="3" applyFont="1" applyFill="1" applyBorder="1" applyAlignment="1" applyProtection="1">
      <alignment horizontal="center"/>
      <protection locked="0"/>
    </xf>
    <xf numFmtId="166" fontId="5" fillId="4" borderId="13" xfId="4" applyNumberFormat="1" applyFont="1" applyFill="1" applyBorder="1" applyAlignment="1" applyProtection="1">
      <alignment horizontal="left"/>
    </xf>
    <xf numFmtId="165" fontId="5" fillId="4" borderId="14" xfId="4" applyNumberFormat="1" applyFont="1" applyFill="1" applyBorder="1" applyAlignment="1" applyProtection="1">
      <alignment horizontal="left"/>
    </xf>
    <xf numFmtId="0" fontId="7" fillId="4" borderId="13" xfId="0" applyFont="1" applyFill="1" applyBorder="1" applyProtection="1"/>
    <xf numFmtId="166" fontId="7" fillId="4" borderId="13" xfId="4" applyNumberFormat="1" applyFont="1" applyFill="1" applyBorder="1" applyAlignment="1" applyProtection="1">
      <alignment horizontal="left"/>
    </xf>
    <xf numFmtId="165" fontId="7" fillId="4" borderId="14" xfId="4" applyNumberFormat="1" applyFont="1" applyFill="1" applyBorder="1" applyAlignment="1" applyProtection="1">
      <alignment horizontal="left"/>
    </xf>
    <xf numFmtId="165" fontId="4" fillId="4" borderId="14" xfId="4" applyNumberFormat="1" applyFont="1" applyFill="1" applyBorder="1" applyAlignment="1" applyProtection="1">
      <alignment horizontal="left"/>
    </xf>
    <xf numFmtId="165" fontId="8" fillId="4" borderId="14" xfId="4" applyNumberFormat="1" applyFont="1" applyFill="1" applyBorder="1" applyAlignment="1" applyProtection="1">
      <alignment horizontal="left"/>
    </xf>
    <xf numFmtId="0" fontId="7" fillId="4" borderId="12" xfId="0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6" fontId="4" fillId="4" borderId="13" xfId="4" applyNumberFormat="1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right"/>
    </xf>
    <xf numFmtId="9" fontId="4" fillId="4" borderId="13" xfId="3" applyFont="1" applyFill="1" applyBorder="1" applyAlignment="1" applyProtection="1">
      <alignment horizontal="center"/>
      <protection locked="0"/>
    </xf>
    <xf numFmtId="0" fontId="8" fillId="4" borderId="13" xfId="0" applyFont="1" applyFill="1" applyBorder="1" applyProtection="1"/>
    <xf numFmtId="9" fontId="8" fillId="4" borderId="13" xfId="3" applyFont="1" applyFill="1" applyBorder="1" applyAlignment="1" applyProtection="1">
      <alignment horizontal="center"/>
      <protection locked="0"/>
    </xf>
    <xf numFmtId="170" fontId="5" fillId="4" borderId="13" xfId="0" applyNumberFormat="1" applyFont="1" applyFill="1" applyBorder="1" applyProtection="1"/>
    <xf numFmtId="170" fontId="5" fillId="4" borderId="13" xfId="0" applyNumberFormat="1" applyFont="1" applyFill="1" applyBorder="1" applyAlignment="1" applyProtection="1"/>
    <xf numFmtId="170" fontId="5" fillId="4" borderId="14" xfId="0" applyNumberFormat="1" applyFont="1" applyFill="1" applyBorder="1" applyProtection="1"/>
    <xf numFmtId="170" fontId="5" fillId="4" borderId="14" xfId="4" applyNumberFormat="1" applyFont="1" applyFill="1" applyBorder="1" applyAlignment="1" applyProtection="1"/>
    <xf numFmtId="0" fontId="6" fillId="4" borderId="12" xfId="0" applyFont="1" applyFill="1" applyBorder="1" applyProtection="1"/>
    <xf numFmtId="9" fontId="7" fillId="4" borderId="13" xfId="3" applyFont="1" applyFill="1" applyBorder="1" applyAlignment="1" applyProtection="1">
      <alignment horizontal="center"/>
      <protection locked="0"/>
    </xf>
    <xf numFmtId="0" fontId="8" fillId="4" borderId="13" xfId="0" applyFont="1" applyFill="1" applyBorder="1" applyAlignment="1" applyProtection="1">
      <alignment horizontal="left"/>
    </xf>
    <xf numFmtId="0" fontId="4" fillId="4" borderId="13" xfId="0" quotePrefix="1" applyFont="1" applyFill="1" applyBorder="1" applyAlignment="1" applyProtection="1">
      <alignment horizontal="left"/>
    </xf>
    <xf numFmtId="9" fontId="8" fillId="4" borderId="13" xfId="3" applyFont="1" applyFill="1" applyBorder="1" applyAlignment="1" applyProtection="1">
      <alignment horizontal="center"/>
    </xf>
    <xf numFmtId="1" fontId="5" fillId="4" borderId="13" xfId="0" applyNumberFormat="1" applyFont="1" applyFill="1" applyBorder="1" applyProtection="1"/>
    <xf numFmtId="165" fontId="4" fillId="4" borderId="14" xfId="0" applyNumberFormat="1" applyFont="1" applyFill="1" applyBorder="1" applyAlignment="1" applyProtection="1">
      <alignment horizontal="left"/>
    </xf>
    <xf numFmtId="1" fontId="4" fillId="4" borderId="13" xfId="0" applyNumberFormat="1" applyFont="1" applyFill="1" applyBorder="1" applyProtection="1"/>
    <xf numFmtId="167" fontId="5" fillId="4" borderId="13" xfId="0" applyNumberFormat="1" applyFont="1" applyFill="1" applyBorder="1" applyAlignment="1" applyProtection="1">
      <alignment horizontal="left"/>
    </xf>
    <xf numFmtId="0" fontId="5" fillId="4" borderId="15" xfId="0" applyFont="1" applyFill="1" applyBorder="1" applyProtection="1"/>
    <xf numFmtId="0" fontId="4" fillId="4" borderId="16" xfId="0" quotePrefix="1" applyFont="1" applyFill="1" applyBorder="1" applyAlignment="1" applyProtection="1">
      <alignment horizontal="left"/>
    </xf>
    <xf numFmtId="0" fontId="5" fillId="4" borderId="16" xfId="0" applyFont="1" applyFill="1" applyBorder="1" applyProtection="1"/>
    <xf numFmtId="167" fontId="5" fillId="4" borderId="16" xfId="0" applyNumberFormat="1" applyFont="1" applyFill="1" applyBorder="1" applyAlignment="1" applyProtection="1">
      <alignment horizontal="left"/>
    </xf>
    <xf numFmtId="165" fontId="4" fillId="4" borderId="17" xfId="0" applyNumberFormat="1" applyFont="1" applyFill="1" applyBorder="1" applyAlignment="1" applyProtection="1">
      <alignment horizontal="left"/>
    </xf>
    <xf numFmtId="0" fontId="8" fillId="4" borderId="11" xfId="0" applyFont="1" applyFill="1" applyBorder="1" applyAlignment="1" applyProtection="1">
      <alignment horizontal="center"/>
    </xf>
    <xf numFmtId="0" fontId="5" fillId="4" borderId="14" xfId="0" applyFont="1" applyFill="1" applyBorder="1" applyAlignment="1" applyProtection="1">
      <alignment horizontal="center"/>
    </xf>
    <xf numFmtId="0" fontId="4" fillId="4" borderId="14" xfId="0" applyFont="1" applyFill="1" applyBorder="1" applyAlignment="1" applyProtection="1">
      <alignment horizontal="center"/>
    </xf>
    <xf numFmtId="1" fontId="5" fillId="4" borderId="14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Protection="1"/>
    <xf numFmtId="0" fontId="4" fillId="4" borderId="14" xfId="0" quotePrefix="1" applyFont="1" applyFill="1" applyBorder="1" applyAlignment="1" applyProtection="1">
      <alignment horizontal="left"/>
    </xf>
    <xf numFmtId="0" fontId="4" fillId="4" borderId="17" xfId="0" quotePrefix="1" applyFont="1" applyFill="1" applyBorder="1" applyAlignment="1" applyProtection="1">
      <alignment horizontal="left"/>
    </xf>
    <xf numFmtId="0" fontId="4" fillId="4" borderId="9" xfId="0" applyFont="1" applyFill="1" applyBorder="1" applyProtection="1"/>
    <xf numFmtId="0" fontId="4" fillId="4" borderId="12" xfId="0" applyFont="1" applyFill="1" applyBorder="1" applyProtection="1"/>
    <xf numFmtId="0" fontId="8" fillId="4" borderId="12" xfId="0" applyFont="1" applyFill="1" applyBorder="1" applyProtection="1"/>
    <xf numFmtId="0" fontId="20" fillId="5" borderId="4" xfId="0" applyFont="1" applyFill="1" applyBorder="1" applyAlignment="1" applyProtection="1">
      <alignment horizontal="left"/>
    </xf>
    <xf numFmtId="0" fontId="20" fillId="5" borderId="0" xfId="0" applyFont="1" applyFill="1" applyBorder="1" applyAlignment="1" applyProtection="1">
      <alignment horizontal="left"/>
    </xf>
    <xf numFmtId="9" fontId="20" fillId="5" borderId="0" xfId="3" applyFont="1" applyFill="1" applyBorder="1" applyAlignment="1" applyProtection="1">
      <alignment horizontal="left"/>
    </xf>
    <xf numFmtId="167" fontId="20" fillId="5" borderId="0" xfId="0" applyNumberFormat="1" applyFont="1" applyFill="1" applyBorder="1" applyAlignment="1" applyProtection="1">
      <alignment horizontal="left"/>
    </xf>
    <xf numFmtId="0" fontId="20" fillId="5" borderId="5" xfId="0" applyFont="1" applyFill="1" applyBorder="1" applyAlignment="1" applyProtection="1">
      <alignment horizontal="left"/>
    </xf>
    <xf numFmtId="0" fontId="20" fillId="4" borderId="0" xfId="0" applyFont="1" applyFill="1" applyBorder="1" applyAlignment="1" applyProtection="1">
      <alignment horizontal="left"/>
    </xf>
    <xf numFmtId="0" fontId="5" fillId="4" borderId="17" xfId="0" applyFont="1" applyFill="1" applyBorder="1" applyProtection="1"/>
    <xf numFmtId="0" fontId="5" fillId="5" borderId="13" xfId="0" applyFont="1" applyFill="1" applyBorder="1" applyAlignment="1" applyProtection="1">
      <alignment horizontal="center"/>
      <protection locked="0"/>
    </xf>
    <xf numFmtId="0" fontId="21" fillId="4" borderId="13" xfId="0" applyFont="1" applyFill="1" applyBorder="1" applyAlignment="1" applyProtection="1">
      <alignment horizontal="left"/>
    </xf>
    <xf numFmtId="0" fontId="5" fillId="4" borderId="16" xfId="0" applyFont="1" applyFill="1" applyBorder="1" applyAlignment="1" applyProtection="1">
      <alignment horizontal="left"/>
    </xf>
    <xf numFmtId="1" fontId="22" fillId="4" borderId="13" xfId="0" applyNumberFormat="1" applyFont="1" applyFill="1" applyBorder="1" applyAlignment="1" applyProtection="1">
      <alignment horizontal="center"/>
    </xf>
    <xf numFmtId="0" fontId="4" fillId="4" borderId="13" xfId="0" applyFont="1" applyFill="1" applyBorder="1" applyAlignment="1" applyProtection="1">
      <alignment horizontal="left"/>
      <protection locked="0"/>
    </xf>
    <xf numFmtId="0" fontId="5" fillId="5" borderId="2" xfId="0" applyFont="1" applyFill="1" applyBorder="1" applyAlignment="1" applyProtection="1">
      <alignment horizontal="left"/>
    </xf>
    <xf numFmtId="1" fontId="23" fillId="4" borderId="13" xfId="0" applyNumberFormat="1" applyFont="1" applyFill="1" applyBorder="1" applyAlignment="1" applyProtection="1">
      <alignment horizontal="center"/>
    </xf>
    <xf numFmtId="9" fontId="5" fillId="5" borderId="13" xfId="3" applyFont="1" applyFill="1" applyBorder="1" applyAlignment="1" applyProtection="1">
      <alignment horizontal="center"/>
      <protection locked="0"/>
    </xf>
    <xf numFmtId="0" fontId="25" fillId="4" borderId="13" xfId="0" applyFont="1" applyFill="1" applyBorder="1" applyProtection="1"/>
    <xf numFmtId="9" fontId="25" fillId="4" borderId="13" xfId="3" applyFont="1" applyFill="1" applyBorder="1" applyAlignment="1" applyProtection="1">
      <alignment horizontal="center"/>
    </xf>
    <xf numFmtId="166" fontId="25" fillId="4" borderId="13" xfId="4" applyNumberFormat="1" applyFont="1" applyFill="1" applyBorder="1" applyAlignment="1" applyProtection="1">
      <alignment horizontal="center"/>
    </xf>
    <xf numFmtId="164" fontId="13" fillId="3" borderId="0" xfId="0" applyNumberFormat="1" applyFont="1" applyFill="1"/>
    <xf numFmtId="0" fontId="26" fillId="3" borderId="0" xfId="0" applyFont="1" applyFill="1"/>
    <xf numFmtId="0" fontId="27" fillId="3" borderId="0" xfId="0" applyFont="1" applyFill="1"/>
    <xf numFmtId="166" fontId="5" fillId="0" borderId="0" xfId="4" applyFont="1" applyFill="1" applyBorder="1" applyProtection="1"/>
    <xf numFmtId="166" fontId="28" fillId="0" borderId="0" xfId="0" applyNumberFormat="1" applyFont="1" applyFill="1" applyBorder="1" applyProtection="1"/>
    <xf numFmtId="2" fontId="5" fillId="0" borderId="0" xfId="0" applyNumberFormat="1" applyFont="1" applyFill="1" applyBorder="1" applyProtection="1"/>
    <xf numFmtId="44" fontId="5" fillId="0" borderId="0" xfId="0" applyNumberFormat="1" applyFont="1" applyFill="1" applyBorder="1" applyProtection="1"/>
    <xf numFmtId="166" fontId="7" fillId="2" borderId="0" xfId="0" applyNumberFormat="1" applyFont="1" applyFill="1" applyBorder="1" applyProtection="1">
      <protection locked="0"/>
    </xf>
    <xf numFmtId="171" fontId="5" fillId="4" borderId="0" xfId="0" applyNumberFormat="1" applyFont="1" applyFill="1" applyBorder="1" applyProtection="1"/>
    <xf numFmtId="0" fontId="28" fillId="0" borderId="0" xfId="0" applyFont="1" applyFill="1" applyBorder="1" applyProtection="1"/>
    <xf numFmtId="0" fontId="29" fillId="4" borderId="13" xfId="0" applyFont="1" applyFill="1" applyBorder="1" applyProtection="1"/>
    <xf numFmtId="0" fontId="29" fillId="4" borderId="13" xfId="0" applyFont="1" applyFill="1" applyBorder="1" applyAlignment="1" applyProtection="1">
      <alignment horizontal="left"/>
    </xf>
    <xf numFmtId="0" fontId="30" fillId="4" borderId="13" xfId="0" applyFont="1" applyFill="1" applyBorder="1" applyProtection="1"/>
    <xf numFmtId="15" fontId="31" fillId="4" borderId="13" xfId="0" applyNumberFormat="1" applyFont="1" applyFill="1" applyBorder="1" applyAlignment="1" applyProtection="1">
      <alignment horizontal="center"/>
    </xf>
    <xf numFmtId="0" fontId="31" fillId="4" borderId="14" xfId="0" applyFont="1" applyFill="1" applyBorder="1" applyAlignment="1" applyProtection="1">
      <alignment horizontal="center"/>
    </xf>
    <xf numFmtId="0" fontId="31" fillId="5" borderId="0" xfId="0" applyFont="1" applyFill="1" applyBorder="1" applyAlignment="1" applyProtection="1">
      <alignment horizontal="center"/>
    </xf>
    <xf numFmtId="0" fontId="29" fillId="4" borderId="12" xfId="0" applyFont="1" applyFill="1" applyBorder="1" applyProtection="1"/>
    <xf numFmtId="9" fontId="32" fillId="4" borderId="13" xfId="3" applyFont="1" applyFill="1" applyBorder="1" applyAlignment="1" applyProtection="1">
      <alignment horizontal="center"/>
    </xf>
    <xf numFmtId="0" fontId="30" fillId="4" borderId="13" xfId="0" applyFont="1" applyFill="1" applyBorder="1" applyAlignment="1" applyProtection="1">
      <alignment horizontal="left"/>
    </xf>
    <xf numFmtId="0" fontId="31" fillId="4" borderId="13" xfId="0" applyFont="1" applyFill="1" applyBorder="1" applyAlignment="1" applyProtection="1">
      <alignment horizontal="center"/>
    </xf>
    <xf numFmtId="0" fontId="29" fillId="4" borderId="13" xfId="0" applyFont="1" applyFill="1" applyBorder="1" applyProtection="1">
      <protection locked="0"/>
    </xf>
    <xf numFmtId="0" fontId="34" fillId="5" borderId="0" xfId="0" applyFont="1" applyFill="1" applyBorder="1" applyAlignment="1" applyProtection="1">
      <alignment horizontal="left"/>
    </xf>
    <xf numFmtId="0" fontId="4" fillId="6" borderId="13" xfId="0" applyFont="1" applyFill="1" applyBorder="1" applyAlignment="1" applyProtection="1">
      <alignment horizontal="center"/>
    </xf>
    <xf numFmtId="166" fontId="7" fillId="6" borderId="13" xfId="4" applyNumberFormat="1" applyFont="1" applyFill="1" applyBorder="1" applyAlignment="1" applyProtection="1">
      <alignment horizontal="left"/>
    </xf>
    <xf numFmtId="166" fontId="8" fillId="6" borderId="13" xfId="4" applyNumberFormat="1" applyFont="1" applyFill="1" applyBorder="1" applyAlignment="1" applyProtection="1">
      <alignment horizontal="left"/>
    </xf>
    <xf numFmtId="166" fontId="8" fillId="6" borderId="13" xfId="0" applyNumberFormat="1" applyFont="1" applyFill="1" applyBorder="1" applyProtection="1"/>
    <xf numFmtId="166" fontId="4" fillId="6" borderId="13" xfId="4" applyNumberFormat="1" applyFont="1" applyFill="1" applyBorder="1" applyAlignment="1" applyProtection="1">
      <alignment horizontal="left"/>
    </xf>
    <xf numFmtId="166" fontId="4" fillId="6" borderId="13" xfId="0" applyNumberFormat="1" applyFont="1" applyFill="1" applyBorder="1" applyAlignment="1" applyProtection="1">
      <alignment horizontal="left"/>
    </xf>
    <xf numFmtId="1" fontId="5" fillId="7" borderId="13" xfId="0" applyNumberFormat="1" applyFont="1" applyFill="1" applyBorder="1" applyAlignment="1" applyProtection="1">
      <alignment horizontal="center"/>
    </xf>
    <xf numFmtId="0" fontId="5" fillId="7" borderId="13" xfId="0" applyNumberFormat="1" applyFont="1" applyFill="1" applyBorder="1" applyAlignment="1" applyProtection="1">
      <alignment horizontal="center"/>
    </xf>
    <xf numFmtId="166" fontId="5" fillId="7" borderId="13" xfId="4" applyNumberFormat="1" applyFont="1" applyFill="1" applyBorder="1" applyAlignment="1" applyProtection="1">
      <alignment horizontal="left"/>
    </xf>
    <xf numFmtId="0" fontId="5" fillId="7" borderId="13" xfId="0" applyFont="1" applyFill="1" applyBorder="1" applyAlignment="1" applyProtection="1">
      <alignment horizontal="center"/>
    </xf>
    <xf numFmtId="166" fontId="5" fillId="7" borderId="13" xfId="0" applyNumberFormat="1" applyFont="1" applyFill="1" applyBorder="1" applyProtection="1"/>
    <xf numFmtId="166" fontId="5" fillId="7" borderId="13" xfId="0" applyNumberFormat="1" applyFont="1" applyFill="1" applyBorder="1" applyAlignment="1" applyProtection="1">
      <alignment horizontal="left"/>
    </xf>
    <xf numFmtId="9" fontId="4" fillId="7" borderId="13" xfId="3" applyNumberFormat="1" applyFont="1" applyFill="1" applyBorder="1" applyAlignment="1" applyProtection="1">
      <alignment horizontal="center"/>
    </xf>
    <xf numFmtId="166" fontId="35" fillId="0" borderId="0" xfId="0" applyNumberFormat="1" applyFont="1" applyFill="1" applyBorder="1" applyProtection="1"/>
    <xf numFmtId="166" fontId="28" fillId="0" borderId="0" xfId="4" applyNumberFormat="1" applyFont="1" applyFill="1" applyBorder="1" applyProtection="1"/>
    <xf numFmtId="166" fontId="5" fillId="0" borderId="0" xfId="0" quotePrefix="1" applyNumberFormat="1" applyFont="1" applyFill="1" applyBorder="1" applyAlignment="1" applyProtection="1">
      <alignment horizontal="left" indent="2"/>
    </xf>
    <xf numFmtId="166" fontId="7" fillId="0" borderId="0" xfId="0" applyNumberFormat="1" applyFont="1" applyFill="1" applyBorder="1" applyProtection="1"/>
    <xf numFmtId="172" fontId="5" fillId="0" borderId="0" xfId="0" applyNumberFormat="1" applyFont="1" applyFill="1" applyBorder="1" applyProtection="1"/>
    <xf numFmtId="44" fontId="5" fillId="4" borderId="0" xfId="0" applyNumberFormat="1" applyFont="1" applyFill="1" applyBorder="1" applyProtection="1"/>
    <xf numFmtId="0" fontId="8" fillId="5" borderId="13" xfId="0" applyFont="1" applyFill="1" applyBorder="1" applyProtection="1"/>
    <xf numFmtId="173" fontId="13" fillId="3" borderId="0" xfId="0" applyNumberFormat="1" applyFont="1" applyFill="1" applyAlignment="1">
      <alignment horizontal="center"/>
    </xf>
    <xf numFmtId="0" fontId="17" fillId="3" borderId="0" xfId="2" applyFill="1" applyAlignment="1" applyProtection="1"/>
    <xf numFmtId="0" fontId="17" fillId="3" borderId="0" xfId="2" applyFill="1" applyBorder="1" applyAlignment="1" applyProtection="1"/>
    <xf numFmtId="0" fontId="36" fillId="3" borderId="0" xfId="0" applyFont="1" applyFill="1"/>
    <xf numFmtId="166" fontId="5" fillId="0" borderId="0" xfId="0" applyNumberFormat="1" applyFont="1" applyFill="1" applyBorder="1" applyAlignment="1" applyProtection="1">
      <alignment horizontal="center"/>
    </xf>
    <xf numFmtId="0" fontId="5" fillId="5" borderId="7" xfId="0" applyFont="1" applyFill="1" applyBorder="1" applyAlignment="1" applyProtection="1">
      <alignment horizontal="left"/>
    </xf>
    <xf numFmtId="0" fontId="37" fillId="4" borderId="13" xfId="0" applyFont="1" applyFill="1" applyBorder="1" applyProtection="1">
      <protection locked="0"/>
    </xf>
    <xf numFmtId="1" fontId="24" fillId="4" borderId="16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Alignment="1" applyProtection="1">
      <alignment horizontal="left"/>
    </xf>
    <xf numFmtId="0" fontId="7" fillId="4" borderId="0" xfId="0" applyFont="1" applyFill="1" applyBorder="1" applyAlignment="1" applyProtection="1">
      <alignment horizontal="center"/>
    </xf>
    <xf numFmtId="0" fontId="37" fillId="6" borderId="13" xfId="0" applyFont="1" applyFill="1" applyBorder="1" applyAlignment="1" applyProtection="1">
      <alignment horizontal="center"/>
    </xf>
    <xf numFmtId="166" fontId="5" fillId="8" borderId="0" xfId="0" applyNumberFormat="1" applyFont="1" applyFill="1" applyBorder="1" applyProtection="1">
      <protection locked="0"/>
    </xf>
    <xf numFmtId="174" fontId="5" fillId="0" borderId="0" xfId="4" applyNumberFormat="1" applyFont="1" applyFill="1" applyBorder="1" applyProtection="1"/>
    <xf numFmtId="2" fontId="0" fillId="0" borderId="0" xfId="0" applyNumberFormat="1"/>
    <xf numFmtId="0" fontId="1" fillId="0" borderId="0" xfId="0" applyFont="1"/>
    <xf numFmtId="0" fontId="39" fillId="0" borderId="0" xfId="0" applyFont="1"/>
    <xf numFmtId="44" fontId="0" fillId="0" borderId="0" xfId="0" applyNumberFormat="1"/>
    <xf numFmtId="44" fontId="38" fillId="0" borderId="0" xfId="0" applyNumberFormat="1" applyFont="1"/>
    <xf numFmtId="44" fontId="39" fillId="0" borderId="0" xfId="0" applyNumberFormat="1" applyFont="1"/>
    <xf numFmtId="10" fontId="5" fillId="2" borderId="0" xfId="0" applyNumberFormat="1" applyFont="1" applyFill="1" applyBorder="1" applyAlignment="1" applyProtection="1">
      <alignment horizontal="center"/>
      <protection locked="0"/>
    </xf>
    <xf numFmtId="0" fontId="31" fillId="4" borderId="13" xfId="0" applyNumberFormat="1" applyFont="1" applyFill="1" applyBorder="1" applyAlignment="1" applyProtection="1">
      <alignment horizontal="center"/>
    </xf>
    <xf numFmtId="0" fontId="33" fillId="4" borderId="13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0" fontId="0" fillId="0" borderId="0" xfId="0" applyAlignment="1"/>
  </cellXfs>
  <cellStyles count="5">
    <cellStyle name="Euro" xfId="1" xr:uid="{00000000-0005-0000-0000-000000000000}"/>
    <cellStyle name="Hyperlink" xfId="2" builtinId="8"/>
    <cellStyle name="Procent" xfId="3" builtinId="5"/>
    <cellStyle name="Standaard" xfId="0" builtinId="0"/>
    <cellStyle name="Valuta" xfId="4" builtin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.goedhart@poraad.nl" TargetMode="External"/><Relationship Id="rId2" Type="http://schemas.openxmlformats.org/officeDocument/2006/relationships/hyperlink" Target="mailto:be.keizer@wxs.nl" TargetMode="External"/><Relationship Id="rId1" Type="http://schemas.openxmlformats.org/officeDocument/2006/relationships/hyperlink" Target="http://www.poraad.nl/index.php?p=363178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Helpdesk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B3:R70"/>
  <sheetViews>
    <sheetView tabSelected="1" zoomScale="85" zoomScaleNormal="85" workbookViewId="0">
      <selection activeCell="I3" sqref="I3"/>
    </sheetView>
  </sheetViews>
  <sheetFormatPr defaultColWidth="9.140625" defaultRowHeight="12" customHeight="1" x14ac:dyDescent="0.25"/>
  <cols>
    <col min="1" max="1" width="3.7109375" style="26" customWidth="1"/>
    <col min="2" max="2" width="9.140625" style="26"/>
    <col min="3" max="3" width="9.42578125" style="26" bestFit="1" customWidth="1"/>
    <col min="4" max="4" width="9.140625" style="26"/>
    <col min="5" max="5" width="9.28515625" style="26" bestFit="1" customWidth="1"/>
    <col min="6" max="8" width="9.140625" style="26"/>
    <col min="9" max="9" width="17.85546875" style="26" bestFit="1" customWidth="1"/>
    <col min="10" max="12" width="9.140625" style="26"/>
    <col min="13" max="13" width="9.28515625" style="26" bestFit="1" customWidth="1"/>
    <col min="14" max="16384" width="9.140625" style="26"/>
  </cols>
  <sheetData>
    <row r="3" spans="2:18" s="190" customFormat="1" ht="12" customHeight="1" x14ac:dyDescent="0.25">
      <c r="B3" s="189" t="s">
        <v>157</v>
      </c>
      <c r="H3" s="25" t="s">
        <v>76</v>
      </c>
      <c r="I3" s="230">
        <v>44473</v>
      </c>
    </row>
    <row r="4" spans="2:18" ht="12" customHeight="1" x14ac:dyDescent="0.25">
      <c r="B4" s="25"/>
    </row>
    <row r="5" spans="2:18" ht="12" customHeight="1" x14ac:dyDescent="0.25">
      <c r="B5" s="25" t="s">
        <v>164</v>
      </c>
    </row>
    <row r="6" spans="2:18" ht="12" customHeight="1" x14ac:dyDescent="0.25">
      <c r="B6" s="26" t="s">
        <v>165</v>
      </c>
    </row>
    <row r="8" spans="2:18" ht="12" customHeight="1" x14ac:dyDescent="0.25">
      <c r="B8" s="26" t="s">
        <v>133</v>
      </c>
    </row>
    <row r="9" spans="2:18" ht="12" customHeight="1" x14ac:dyDescent="0.25">
      <c r="B9" s="233" t="s">
        <v>152</v>
      </c>
    </row>
    <row r="10" spans="2:18" ht="12" customHeight="1" x14ac:dyDescent="0.25">
      <c r="B10" s="233" t="s">
        <v>153</v>
      </c>
    </row>
    <row r="12" spans="2:18" ht="12" customHeight="1" x14ac:dyDescent="0.25">
      <c r="B12" s="26" t="s">
        <v>107</v>
      </c>
    </row>
    <row r="13" spans="2:18" ht="12" customHeight="1" x14ac:dyDescent="0.25">
      <c r="B13" s="27" t="s">
        <v>117</v>
      </c>
    </row>
    <row r="14" spans="2:18" ht="12" customHeight="1" x14ac:dyDescent="0.25">
      <c r="B14" s="26" t="s">
        <v>77</v>
      </c>
    </row>
    <row r="15" spans="2:18" ht="12" customHeight="1" x14ac:dyDescent="0.25">
      <c r="R15" s="229"/>
    </row>
    <row r="16" spans="2:18" ht="12" customHeight="1" x14ac:dyDescent="0.25">
      <c r="B16" s="26" t="s">
        <v>158</v>
      </c>
    </row>
    <row r="17" spans="2:2" s="28" customFormat="1" ht="12" customHeight="1" x14ac:dyDescent="0.25">
      <c r="B17" s="26" t="s">
        <v>159</v>
      </c>
    </row>
    <row r="19" spans="2:2" ht="12" customHeight="1" x14ac:dyDescent="0.25">
      <c r="B19" s="26" t="s">
        <v>135</v>
      </c>
    </row>
    <row r="20" spans="2:2" ht="12" customHeight="1" x14ac:dyDescent="0.25">
      <c r="B20" s="26" t="s">
        <v>160</v>
      </c>
    </row>
    <row r="21" spans="2:2" ht="12" customHeight="1" x14ac:dyDescent="0.25">
      <c r="B21" s="26" t="s">
        <v>136</v>
      </c>
    </row>
    <row r="23" spans="2:2" ht="12" customHeight="1" x14ac:dyDescent="0.25">
      <c r="B23" s="26" t="s">
        <v>96</v>
      </c>
    </row>
    <row r="24" spans="2:2" ht="12" customHeight="1" x14ac:dyDescent="0.25">
      <c r="B24" s="26" t="s">
        <v>154</v>
      </c>
    </row>
    <row r="26" spans="2:2" ht="12" customHeight="1" x14ac:dyDescent="0.25">
      <c r="B26" s="26" t="s">
        <v>78</v>
      </c>
    </row>
    <row r="27" spans="2:2" ht="12" customHeight="1" x14ac:dyDescent="0.25">
      <c r="B27" s="26" t="s">
        <v>79</v>
      </c>
    </row>
    <row r="29" spans="2:2" ht="12" customHeight="1" x14ac:dyDescent="0.25">
      <c r="B29" s="25" t="s">
        <v>161</v>
      </c>
    </row>
    <row r="30" spans="2:2" ht="12" customHeight="1" x14ac:dyDescent="0.25">
      <c r="B30" s="26" t="s">
        <v>162</v>
      </c>
    </row>
    <row r="31" spans="2:2" ht="12" customHeight="1" x14ac:dyDescent="0.25">
      <c r="B31" s="26" t="s">
        <v>137</v>
      </c>
    </row>
    <row r="32" spans="2:2" ht="12" customHeight="1" x14ac:dyDescent="0.25">
      <c r="B32" s="26" t="s">
        <v>138</v>
      </c>
    </row>
    <row r="34" spans="2:2" ht="12" customHeight="1" x14ac:dyDescent="0.25">
      <c r="B34" s="26" t="s">
        <v>80</v>
      </c>
    </row>
    <row r="35" spans="2:2" ht="12" customHeight="1" x14ac:dyDescent="0.25">
      <c r="B35" s="26" t="s">
        <v>81</v>
      </c>
    </row>
    <row r="36" spans="2:2" ht="12" customHeight="1" x14ac:dyDescent="0.25">
      <c r="B36" s="26" t="s">
        <v>82</v>
      </c>
    </row>
    <row r="38" spans="2:2" ht="12" customHeight="1" x14ac:dyDescent="0.25">
      <c r="B38" s="26" t="s">
        <v>155</v>
      </c>
    </row>
    <row r="39" spans="2:2" ht="12" customHeight="1" x14ac:dyDescent="0.25">
      <c r="B39" s="26" t="s">
        <v>156</v>
      </c>
    </row>
    <row r="41" spans="2:2" ht="12" customHeight="1" x14ac:dyDescent="0.25">
      <c r="B41" s="25" t="s">
        <v>108</v>
      </c>
    </row>
    <row r="42" spans="2:2" ht="12" customHeight="1" x14ac:dyDescent="0.25">
      <c r="B42" s="26" t="s">
        <v>83</v>
      </c>
    </row>
    <row r="43" spans="2:2" ht="12" customHeight="1" x14ac:dyDescent="0.25">
      <c r="B43" s="26" t="s">
        <v>84</v>
      </c>
    </row>
    <row r="44" spans="2:2" ht="12" customHeight="1" x14ac:dyDescent="0.25">
      <c r="B44" s="26" t="s">
        <v>85</v>
      </c>
    </row>
    <row r="45" spans="2:2" ht="12" customHeight="1" x14ac:dyDescent="0.25">
      <c r="B45" s="26" t="s">
        <v>86</v>
      </c>
    </row>
    <row r="47" spans="2:2" ht="12" customHeight="1" x14ac:dyDescent="0.25">
      <c r="B47" s="25" t="s">
        <v>109</v>
      </c>
    </row>
    <row r="48" spans="2:2" ht="12" customHeight="1" x14ac:dyDescent="0.25">
      <c r="B48" s="26" t="s">
        <v>126</v>
      </c>
    </row>
    <row r="49" spans="2:13" ht="12" customHeight="1" x14ac:dyDescent="0.25">
      <c r="B49" s="26" t="s">
        <v>87</v>
      </c>
      <c r="C49" s="188">
        <f>+tab!C34</f>
        <v>561.66</v>
      </c>
      <c r="D49" s="26" t="s">
        <v>88</v>
      </c>
      <c r="E49" s="188">
        <f>+tab!D34</f>
        <v>8.6</v>
      </c>
      <c r="F49" s="26" t="s">
        <v>89</v>
      </c>
      <c r="L49" s="36"/>
      <c r="M49" s="37"/>
    </row>
    <row r="51" spans="2:13" ht="12" customHeight="1" x14ac:dyDescent="0.25">
      <c r="B51" s="25" t="s">
        <v>110</v>
      </c>
    </row>
    <row r="52" spans="2:13" ht="12" customHeight="1" x14ac:dyDescent="0.25">
      <c r="B52" s="26" t="s">
        <v>127</v>
      </c>
    </row>
    <row r="53" spans="2:13" ht="12" customHeight="1" x14ac:dyDescent="0.25">
      <c r="B53" s="26" t="s">
        <v>87</v>
      </c>
      <c r="C53" s="188">
        <v>0</v>
      </c>
      <c r="D53" s="26" t="s">
        <v>90</v>
      </c>
      <c r="E53" s="188">
        <f>+tab!D33</f>
        <v>27.53</v>
      </c>
      <c r="F53" s="26" t="s">
        <v>89</v>
      </c>
    </row>
    <row r="55" spans="2:13" ht="12" customHeight="1" x14ac:dyDescent="0.25">
      <c r="B55" s="25" t="s">
        <v>111</v>
      </c>
    </row>
    <row r="56" spans="2:13" ht="12" customHeight="1" x14ac:dyDescent="0.25">
      <c r="B56" s="26" t="s">
        <v>97</v>
      </c>
    </row>
    <row r="57" spans="2:13" ht="12" customHeight="1" x14ac:dyDescent="0.25">
      <c r="B57" s="26" t="s">
        <v>91</v>
      </c>
    </row>
    <row r="58" spans="2:13" ht="12" customHeight="1" x14ac:dyDescent="0.25">
      <c r="B58" s="26" t="s">
        <v>92</v>
      </c>
    </row>
    <row r="59" spans="2:13" ht="12" customHeight="1" x14ac:dyDescent="0.25">
      <c r="B59" s="26" t="s">
        <v>98</v>
      </c>
    </row>
    <row r="60" spans="2:13" ht="12" customHeight="1" x14ac:dyDescent="0.25">
      <c r="B60" s="26" t="s">
        <v>93</v>
      </c>
    </row>
    <row r="62" spans="2:13" ht="12" customHeight="1" x14ac:dyDescent="0.25">
      <c r="B62" s="25" t="s">
        <v>121</v>
      </c>
    </row>
    <row r="63" spans="2:13" ht="12" customHeight="1" x14ac:dyDescent="0.25">
      <c r="B63" s="26" t="s">
        <v>106</v>
      </c>
    </row>
    <row r="64" spans="2:13" ht="12" customHeight="1" x14ac:dyDescent="0.25">
      <c r="B64" s="26" t="s">
        <v>116</v>
      </c>
    </row>
    <row r="66" spans="2:6" ht="12" customHeight="1" x14ac:dyDescent="0.25">
      <c r="B66" s="26" t="s">
        <v>94</v>
      </c>
    </row>
    <row r="67" spans="2:6" ht="12" customHeight="1" x14ac:dyDescent="0.25">
      <c r="B67" s="26" t="s">
        <v>95</v>
      </c>
    </row>
    <row r="68" spans="2:6" ht="12" customHeight="1" x14ac:dyDescent="0.25">
      <c r="B68" s="41" t="s">
        <v>119</v>
      </c>
      <c r="C68" s="41"/>
      <c r="D68" s="41"/>
      <c r="E68" s="42" t="s">
        <v>131</v>
      </c>
      <c r="F68" s="232" t="s">
        <v>132</v>
      </c>
    </row>
    <row r="69" spans="2:6" ht="12" customHeight="1" x14ac:dyDescent="0.25">
      <c r="B69" s="26" t="s">
        <v>120</v>
      </c>
      <c r="E69" s="231" t="s">
        <v>130</v>
      </c>
    </row>
    <row r="70" spans="2:6" ht="12" customHeight="1" x14ac:dyDescent="0.25">
      <c r="B70" s="26" t="s">
        <v>129</v>
      </c>
      <c r="E70" s="231" t="s">
        <v>139</v>
      </c>
    </row>
  </sheetData>
  <sheetProtection algorithmName="SHA-512" hashValue="BGXcLDfge2qw4JMVqoTbugDZ48OsK6zm4Kbdw1Ot5zQ+/ngkjUMnQ2L8cnWOgTod/nSJu86jSedRi5UVjJwBRQ==" saltValue="l/JtllSXpXqB3/lqTiUpYg==" spinCount="100000" sheet="1" objects="1" scenarios="1"/>
  <phoneticPr fontId="3" type="noConversion"/>
  <hyperlinks>
    <hyperlink ref="E68" r:id="rId1" display="PO-raad: Helpdesk" xr:uid="{00000000-0004-0000-0000-000000000000}"/>
    <hyperlink ref="E70" r:id="rId2" xr:uid="{00000000-0004-0000-0000-000001000000}"/>
    <hyperlink ref="E69" r:id="rId3" xr:uid="{00000000-0004-0000-0000-000002000000}"/>
    <hyperlink ref="F68" r:id="rId4" xr:uid="{00000000-0004-0000-0000-000003000000}"/>
  </hyperlinks>
  <pageMargins left="0.75" right="0.75" top="1" bottom="1" header="0.5" footer="0.5"/>
  <pageSetup paperSize="9" scale="84" orientation="portrait" r:id="rId5"/>
  <headerFooter alignWithMargins="0">
    <oddHeader>&amp;L&amp;"Arial,Vet"&amp;F&amp;R&amp;"Arial,Vet"&amp;A</oddHeader>
    <oddFooter>&amp;L&amp;"Arial,Vet"goedhart/keizer&amp;C&amp;"Arial,Vet"&amp;D&amp;R&amp;"Arial,Vet"Pagina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16"/>
  <dimension ref="B1:X81"/>
  <sheetViews>
    <sheetView showGridLines="0"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43" customWidth="1"/>
    <col min="2" max="3" width="2.7109375" style="43" customWidth="1"/>
    <col min="4" max="4" width="20.7109375" style="43" customWidth="1"/>
    <col min="5" max="5" width="10.85546875" style="108" customWidth="1"/>
    <col min="6" max="6" width="1.7109375" style="43" customWidth="1"/>
    <col min="7" max="8" width="13" style="43" customWidth="1"/>
    <col min="9" max="11" width="1.7109375" style="43" customWidth="1"/>
    <col min="12" max="12" width="40.7109375" style="43" customWidth="1"/>
    <col min="13" max="13" width="1" style="43" customWidth="1"/>
    <col min="14" max="14" width="6.7109375" style="44" customWidth="1"/>
    <col min="15" max="15" width="1.7109375" style="43" customWidth="1"/>
    <col min="16" max="17" width="14.85546875" style="43" customWidth="1"/>
    <col min="18" max="18" width="2.7109375" style="43" customWidth="1"/>
    <col min="19" max="19" width="2.5703125" style="43" customWidth="1"/>
    <col min="20" max="20" width="8.85546875" style="43" customWidth="1"/>
    <col min="21" max="21" width="13.140625" style="43" customWidth="1"/>
    <col min="22" max="35" width="8.85546875" style="43" customWidth="1"/>
    <col min="36" max="16384" width="9.140625" style="43"/>
  </cols>
  <sheetData>
    <row r="1" spans="2:19" ht="12.75" customHeight="1" x14ac:dyDescent="0.2"/>
    <row r="2" spans="2:19" ht="12" customHeight="1" x14ac:dyDescent="0.2">
      <c r="B2" s="54"/>
      <c r="C2" s="55"/>
      <c r="D2" s="56"/>
      <c r="E2" s="182"/>
      <c r="F2" s="56"/>
      <c r="G2" s="57"/>
      <c r="H2" s="57"/>
      <c r="I2" s="57"/>
      <c r="J2" s="57"/>
      <c r="K2" s="55"/>
      <c r="L2" s="55"/>
      <c r="M2" s="55"/>
      <c r="N2" s="58"/>
      <c r="O2" s="55"/>
      <c r="P2" s="59"/>
      <c r="Q2" s="59"/>
      <c r="R2" s="55"/>
      <c r="S2" s="60"/>
    </row>
    <row r="3" spans="2:19" x14ac:dyDescent="0.2">
      <c r="B3" s="61"/>
      <c r="C3" s="62"/>
      <c r="D3" s="63"/>
      <c r="E3" s="106"/>
      <c r="F3" s="63"/>
      <c r="G3" s="64"/>
      <c r="H3" s="64"/>
      <c r="I3" s="64"/>
      <c r="J3" s="64"/>
      <c r="K3" s="62"/>
      <c r="L3" s="62"/>
      <c r="M3" s="62"/>
      <c r="N3" s="65"/>
      <c r="O3" s="62"/>
      <c r="P3" s="66"/>
      <c r="Q3" s="66"/>
      <c r="R3" s="62"/>
      <c r="S3" s="67"/>
    </row>
    <row r="4" spans="2:19" s="175" customFormat="1" ht="18.75" x14ac:dyDescent="0.3">
      <c r="B4" s="170"/>
      <c r="C4" s="209" t="s">
        <v>71</v>
      </c>
      <c r="D4" s="171"/>
      <c r="E4" s="171"/>
      <c r="F4" s="171"/>
      <c r="G4" s="209">
        <f>tab!C4</f>
        <v>2022</v>
      </c>
      <c r="H4" s="171"/>
      <c r="I4" s="171"/>
      <c r="J4" s="171"/>
      <c r="K4" s="171"/>
      <c r="L4" s="171"/>
      <c r="M4" s="171"/>
      <c r="N4" s="172"/>
      <c r="O4" s="171"/>
      <c r="P4" s="173"/>
      <c r="Q4" s="173"/>
      <c r="R4" s="171"/>
      <c r="S4" s="174"/>
    </row>
    <row r="5" spans="2:19" s="45" customFormat="1" ht="18.75" x14ac:dyDescent="0.3">
      <c r="B5" s="68"/>
      <c r="C5" s="73" t="str">
        <f>tab!C2</f>
        <v>Basisschool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70"/>
      <c r="O5" s="69"/>
      <c r="P5" s="71"/>
      <c r="Q5" s="71"/>
      <c r="R5" s="69"/>
      <c r="S5" s="72"/>
    </row>
    <row r="6" spans="2:19" x14ac:dyDescent="0.2">
      <c r="B6" s="61"/>
      <c r="C6" s="62"/>
      <c r="D6" s="74"/>
      <c r="E6" s="107"/>
      <c r="F6" s="74"/>
      <c r="G6" s="75"/>
      <c r="H6" s="76"/>
      <c r="I6" s="62"/>
      <c r="J6" s="62"/>
      <c r="K6" s="62"/>
      <c r="L6" s="62"/>
      <c r="M6" s="62"/>
      <c r="N6" s="65"/>
      <c r="O6" s="62"/>
      <c r="P6" s="66"/>
      <c r="Q6" s="66"/>
      <c r="R6" s="62"/>
      <c r="S6" s="67"/>
    </row>
    <row r="7" spans="2:19" x14ac:dyDescent="0.2">
      <c r="B7" s="61"/>
      <c r="C7" s="62"/>
      <c r="D7" s="63"/>
      <c r="E7" s="106"/>
      <c r="F7" s="63"/>
      <c r="G7" s="64"/>
      <c r="H7" s="64"/>
      <c r="I7" s="64"/>
      <c r="J7" s="64"/>
      <c r="K7" s="62"/>
      <c r="L7" s="63"/>
      <c r="M7" s="63"/>
      <c r="N7" s="77"/>
      <c r="O7" s="78"/>
      <c r="P7" s="79"/>
      <c r="Q7" s="79"/>
      <c r="R7" s="80"/>
      <c r="S7" s="81"/>
    </row>
    <row r="8" spans="2:19" ht="12" customHeight="1" x14ac:dyDescent="0.2">
      <c r="B8" s="61"/>
      <c r="C8" s="109"/>
      <c r="D8" s="110"/>
      <c r="E8" s="114"/>
      <c r="F8" s="110"/>
      <c r="G8" s="111"/>
      <c r="H8" s="111"/>
      <c r="I8" s="160"/>
      <c r="J8" s="64"/>
      <c r="K8" s="167"/>
      <c r="L8" s="112"/>
      <c r="M8" s="112"/>
      <c r="N8" s="113"/>
      <c r="O8" s="114"/>
      <c r="P8" s="115"/>
      <c r="Q8" s="116"/>
      <c r="R8" s="117"/>
      <c r="S8" s="67"/>
    </row>
    <row r="9" spans="2:19" ht="12" customHeight="1" x14ac:dyDescent="0.2">
      <c r="B9" s="61"/>
      <c r="C9" s="118"/>
      <c r="D9" s="198" t="s">
        <v>75</v>
      </c>
      <c r="E9" s="199"/>
      <c r="F9" s="200"/>
      <c r="G9" s="201">
        <f>tab!C6</f>
        <v>44470</v>
      </c>
      <c r="H9" s="201">
        <f>tab!C7</f>
        <v>44621</v>
      </c>
      <c r="I9" s="202"/>
      <c r="J9" s="203"/>
      <c r="K9" s="204"/>
      <c r="L9" s="198" t="s">
        <v>15</v>
      </c>
      <c r="M9" s="198"/>
      <c r="N9" s="205"/>
      <c r="O9" s="206"/>
      <c r="P9" s="250"/>
      <c r="Q9" s="251"/>
      <c r="R9" s="122"/>
      <c r="S9" s="67"/>
    </row>
    <row r="10" spans="2:19" ht="12" customHeight="1" x14ac:dyDescent="0.2">
      <c r="B10" s="61"/>
      <c r="C10" s="118"/>
      <c r="D10" s="200"/>
      <c r="E10" s="206"/>
      <c r="F10" s="200"/>
      <c r="G10" s="207"/>
      <c r="H10" s="207"/>
      <c r="I10" s="202"/>
      <c r="J10" s="203"/>
      <c r="K10" s="204"/>
      <c r="L10" s="198"/>
      <c r="M10" s="198"/>
      <c r="N10" s="205"/>
      <c r="O10" s="206"/>
      <c r="P10" s="250">
        <f>tab!C4</f>
        <v>2022</v>
      </c>
      <c r="Q10" s="251"/>
      <c r="R10" s="122"/>
      <c r="S10" s="67"/>
    </row>
    <row r="11" spans="2:19" ht="12" customHeight="1" x14ac:dyDescent="0.2">
      <c r="B11" s="61"/>
      <c r="C11" s="118"/>
      <c r="D11" s="121" t="s">
        <v>21</v>
      </c>
      <c r="E11" s="121"/>
      <c r="F11" s="121"/>
      <c r="G11" s="177">
        <v>112</v>
      </c>
      <c r="H11" s="177">
        <f>+G11</f>
        <v>112</v>
      </c>
      <c r="I11" s="161"/>
      <c r="J11" s="82"/>
      <c r="K11" s="118"/>
      <c r="L11" s="120" t="s">
        <v>23</v>
      </c>
      <c r="M11" s="120"/>
      <c r="N11" s="205" t="s">
        <v>102</v>
      </c>
      <c r="O11" s="200"/>
      <c r="P11" s="201">
        <f>G9</f>
        <v>44470</v>
      </c>
      <c r="Q11" s="201">
        <f>H9</f>
        <v>44621</v>
      </c>
      <c r="R11" s="122"/>
      <c r="S11" s="67"/>
    </row>
    <row r="12" spans="2:19" ht="12" customHeight="1" x14ac:dyDescent="0.2">
      <c r="B12" s="61"/>
      <c r="C12" s="118"/>
      <c r="D12" s="121" t="s">
        <v>22</v>
      </c>
      <c r="E12" s="121"/>
      <c r="F12" s="121"/>
      <c r="G12" s="177">
        <v>113</v>
      </c>
      <c r="H12" s="177">
        <f>+G12</f>
        <v>113</v>
      </c>
      <c r="I12" s="161"/>
      <c r="J12" s="82"/>
      <c r="K12" s="118"/>
      <c r="L12" s="119" t="s">
        <v>25</v>
      </c>
      <c r="M12" s="119"/>
      <c r="N12" s="123"/>
      <c r="O12" s="119"/>
      <c r="P12" s="124"/>
      <c r="Q12" s="124"/>
      <c r="R12" s="122"/>
      <c r="S12" s="67"/>
    </row>
    <row r="13" spans="2:19" ht="12" customHeight="1" x14ac:dyDescent="0.2">
      <c r="B13" s="61"/>
      <c r="C13" s="118"/>
      <c r="D13" s="125" t="s">
        <v>57</v>
      </c>
      <c r="E13" s="125"/>
      <c r="F13" s="125"/>
      <c r="G13" s="210">
        <f>G11+G12</f>
        <v>225</v>
      </c>
      <c r="H13" s="210">
        <f>H11+H12</f>
        <v>225</v>
      </c>
      <c r="I13" s="162"/>
      <c r="J13" s="83"/>
      <c r="K13" s="118"/>
      <c r="L13" s="119" t="s">
        <v>16</v>
      </c>
      <c r="M13" s="119"/>
      <c r="N13" s="184">
        <v>0</v>
      </c>
      <c r="O13" s="119"/>
      <c r="P13" s="218">
        <f>IF('bekostiging materieel'!G13=0,0,IF('bekostiging materieel'!G$41=0,tab!$C12+(tab!$D12*'bekostiging materieel'!G$30),(+tab!$C12*'bekostiging materieel'!G$58)+(tab!$D12*'bekostiging materieel'!G$31)+(tab!$D12*'bekostiging materieel'!G$32)+(tab!$D12*'bekostiging materieel'!G$33)+(tab!$D12*'bekostiging materieel'!G$34)))</f>
        <v>41433.94</v>
      </c>
      <c r="Q13" s="218">
        <f>IF(H18="nee",P13,IF('bekostiging materieel'!H13=0,0,IF('bekostiging materieel'!H$41=0,tab!$C12+(tab!$D12*'bekostiging materieel'!H$30),(+tab!$C12*'bekostiging materieel'!H$58)+(tab!$D12*'bekostiging materieel'!H$31)+(tab!$D12*'bekostiging materieel'!H$32)+(tab!$D12*'bekostiging materieel'!H$33)+(tab!$D12*'bekostiging materieel'!H$34))))</f>
        <v>41433.94</v>
      </c>
      <c r="R13" s="129"/>
      <c r="S13" s="84"/>
    </row>
    <row r="14" spans="2:19" ht="12" customHeight="1" x14ac:dyDescent="0.2">
      <c r="B14" s="61"/>
      <c r="C14" s="118"/>
      <c r="D14" s="121"/>
      <c r="E14" s="121"/>
      <c r="F14" s="121"/>
      <c r="G14" s="180"/>
      <c r="H14" s="180"/>
      <c r="I14" s="163"/>
      <c r="J14" s="86"/>
      <c r="K14" s="118"/>
      <c r="L14" s="119" t="s">
        <v>17</v>
      </c>
      <c r="M14" s="119"/>
      <c r="N14" s="184">
        <v>0</v>
      </c>
      <c r="O14" s="119"/>
      <c r="P14" s="218">
        <f>IF('bekostiging materieel'!G13=0,0,IF('bekostiging materieel'!G$41=0,tab!$C13+(tab!$D13*'bekostiging materieel'!G$30),(+tab!$C13*'bekostiging materieel'!G$58)+(tab!$D13*'bekostiging materieel'!G$31)+(tab!$D13*'bekostiging materieel'!G$32)+(tab!$D13*'bekostiging materieel'!G$33)+(tab!$D13*'bekostiging materieel'!G$34)))</f>
        <v>658.55</v>
      </c>
      <c r="Q14" s="218">
        <f>IF(H18="nee",P14,IF('bekostiging materieel'!H13=0,0,IF('bekostiging materieel'!H$41=0,tab!$C13+(tab!$D13*'bekostiging materieel'!H$30),(+tab!$C13*'bekostiging materieel'!H$58)+(tab!$D13*'bekostiging materieel'!H$31)+(tab!$D13*'bekostiging materieel'!H$32)+(tab!$D13*'bekostiging materieel'!H$33)+(tab!$D13*'bekostiging materieel'!H$34))))</f>
        <v>658.55</v>
      </c>
      <c r="R14" s="129"/>
      <c r="S14" s="84"/>
    </row>
    <row r="15" spans="2:19" ht="12" customHeight="1" x14ac:dyDescent="0.2">
      <c r="B15" s="61"/>
      <c r="C15" s="118"/>
      <c r="D15" s="120" t="s">
        <v>20</v>
      </c>
      <c r="E15" s="125"/>
      <c r="F15" s="120"/>
      <c r="G15" s="210">
        <f>IF(G46=0,FLOOR(G13*1.03,1),FLOOR(G41*1.03,1)+FLOOR(G46*1.03,1)+FLOOR(G51*1.03,1)+FLOOR(G56*1.03,1))</f>
        <v>231</v>
      </c>
      <c r="H15" s="210" t="s">
        <v>68</v>
      </c>
      <c r="I15" s="163"/>
      <c r="J15" s="86"/>
      <c r="K15" s="118"/>
      <c r="L15" s="119" t="s">
        <v>18</v>
      </c>
      <c r="M15" s="119"/>
      <c r="N15" s="184">
        <v>0</v>
      </c>
      <c r="O15" s="119"/>
      <c r="P15" s="218">
        <f>IF('bekostiging materieel'!G13=0,0,IF('bekostiging materieel'!G$41=0,tab!$C14+(tab!$D14*'bekostiging materieel'!G$30),(+tab!$C14*'bekostiging materieel'!G$58)+(tab!$D14*'bekostiging materieel'!G$31)+(tab!$D14*'bekostiging materieel'!G$32)+(tab!$D14*'bekostiging materieel'!G$33)+(tab!$D14*'bekostiging materieel'!G$34)))</f>
        <v>25596.9</v>
      </c>
      <c r="Q15" s="218">
        <f>IF(H18="nee",P15,IF('bekostiging materieel'!H13=0,0,IF('bekostiging materieel'!H$41=0,tab!$C14+(tab!$D14*'bekostiging materieel'!H$30),(+tab!$C14*'bekostiging materieel'!H$58)+(tab!$D14*'bekostiging materieel'!H$31)+(tab!$D14*'bekostiging materieel'!H$32)+(tab!$D14*'bekostiging materieel'!H$33)+(tab!$D14*'bekostiging materieel'!H$34))))</f>
        <v>25596.9</v>
      </c>
      <c r="R15" s="129"/>
      <c r="S15" s="84"/>
    </row>
    <row r="16" spans="2:19" ht="12" customHeight="1" x14ac:dyDescent="0.2">
      <c r="B16" s="89"/>
      <c r="C16" s="135"/>
      <c r="D16" s="120"/>
      <c r="E16" s="125"/>
      <c r="F16" s="120"/>
      <c r="G16" s="126"/>
      <c r="H16" s="126"/>
      <c r="I16" s="162"/>
      <c r="J16" s="83"/>
      <c r="K16" s="118"/>
      <c r="L16" s="130"/>
      <c r="M16" s="130"/>
      <c r="N16" s="127"/>
      <c r="O16" s="119"/>
      <c r="P16" s="211">
        <f>SUM(P13:P15)</f>
        <v>67689.390000000014</v>
      </c>
      <c r="Q16" s="211">
        <f>SUM(Q13:Q15)</f>
        <v>67689.390000000014</v>
      </c>
      <c r="R16" s="132"/>
      <c r="S16" s="85"/>
    </row>
    <row r="17" spans="2:24" ht="12" customHeight="1" x14ac:dyDescent="0.2">
      <c r="B17" s="89"/>
      <c r="C17" s="135"/>
      <c r="D17" s="121" t="s">
        <v>10</v>
      </c>
      <c r="E17" s="121"/>
      <c r="F17" s="121"/>
      <c r="G17" s="177">
        <v>0</v>
      </c>
      <c r="H17" s="177">
        <f>+G17</f>
        <v>0</v>
      </c>
      <c r="I17" s="162"/>
      <c r="J17" s="83"/>
      <c r="K17" s="118"/>
      <c r="L17" s="119" t="s">
        <v>54</v>
      </c>
      <c r="M17" s="119"/>
      <c r="N17" s="127"/>
      <c r="O17" s="119"/>
      <c r="P17" s="131"/>
      <c r="Q17" s="131"/>
      <c r="R17" s="133"/>
      <c r="S17" s="87"/>
    </row>
    <row r="18" spans="2:24" ht="12" customHeight="1" x14ac:dyDescent="0.2">
      <c r="B18" s="61"/>
      <c r="C18" s="118"/>
      <c r="D18" s="119" t="s">
        <v>105</v>
      </c>
      <c r="E18" s="121"/>
      <c r="F18" s="119"/>
      <c r="G18" s="119"/>
      <c r="H18" s="210" t="str">
        <f>IF(H13&gt;G15+12,"ja","nee")</f>
        <v>nee</v>
      </c>
      <c r="I18" s="122"/>
      <c r="J18" s="62"/>
      <c r="K18" s="118"/>
      <c r="L18" s="119" t="s">
        <v>30</v>
      </c>
      <c r="M18" s="119"/>
      <c r="N18" s="184">
        <v>0</v>
      </c>
      <c r="O18" s="119"/>
      <c r="P18" s="218">
        <f>IF('bekostiging materieel'!G13=0,0,IF('bekostiging materieel'!G$41=0,tab!$C17+(tab!$D17*'bekostiging materieel'!G$30),(+tab!$C17*'bekostiging materieel'!G$58)+(tab!$D17*'bekostiging materieel'!G$31)+(tab!$D17*'bekostiging materieel'!G$32)+(tab!$D17*'bekostiging materieel'!G$33)+(tab!$D17*'bekostiging materieel'!G$34)))</f>
        <v>2157.9399999999996</v>
      </c>
      <c r="Q18" s="218">
        <f>IF(H18="nee",P18,IF('bekostiging materieel'!H13=0,0,IF('bekostiging materieel'!H$41=0,tab!$C17+(tab!$D17*'bekostiging materieel'!H$30),(+tab!$C17*'bekostiging materieel'!H$58)+(tab!$D17*'bekostiging materieel'!H$31)+(tab!$D17*'bekostiging materieel'!H$32)+(tab!$D17*'bekostiging materieel'!H$33)+(tab!$D17*'bekostiging materieel'!H$34))))</f>
        <v>2157.9399999999996</v>
      </c>
      <c r="R18" s="134"/>
      <c r="S18" s="88"/>
    </row>
    <row r="19" spans="2:24" ht="12" customHeight="1" x14ac:dyDescent="0.2">
      <c r="B19" s="61"/>
      <c r="C19" s="135"/>
      <c r="I19" s="162"/>
      <c r="J19" s="62"/>
      <c r="K19" s="118"/>
      <c r="L19" s="119" t="s">
        <v>31</v>
      </c>
      <c r="M19" s="119"/>
      <c r="N19" s="184">
        <v>0</v>
      </c>
      <c r="O19" s="119"/>
      <c r="P19" s="218">
        <f>IF('bekostiging materieel'!G13=0,0,IF('bekostiging materieel'!G$41=0,tab!$C18+(tab!$D18*'bekostiging materieel'!G$30),(+tab!$C18*'bekostiging materieel'!G$58)+(tab!$D18*'bekostiging materieel'!G$31)+(tab!$D18*'bekostiging materieel'!G$32)+(tab!$D18*'bekostiging materieel'!G$33)+(tab!$D18*'bekostiging materieel'!G$34)))</f>
        <v>8626.5999999999985</v>
      </c>
      <c r="Q19" s="218">
        <f>IF(H18="nee",P19,IF('bekostiging materieel'!H13=0,0,IF('bekostiging materieel'!H$41=0,tab!$C18+(tab!$D18*'bekostiging materieel'!H$30),(+tab!$C18*'bekostiging materieel'!H$58)+(tab!$D18*'bekostiging materieel'!H$31)+(tab!$D18*'bekostiging materieel'!H$32)+(tab!$D18*'bekostiging materieel'!H$33)+(tab!$D18*'bekostiging materieel'!H$34))))</f>
        <v>8626.5999999999985</v>
      </c>
      <c r="R19" s="129"/>
      <c r="S19" s="84"/>
    </row>
    <row r="20" spans="2:24" ht="12" customHeight="1" x14ac:dyDescent="0.2">
      <c r="B20" s="61"/>
      <c r="C20" s="62"/>
      <c r="D20" s="62"/>
      <c r="E20" s="106"/>
      <c r="F20" s="62"/>
      <c r="G20" s="62"/>
      <c r="H20" s="62"/>
      <c r="I20" s="62"/>
      <c r="J20" s="62"/>
      <c r="K20" s="168"/>
      <c r="L20" s="119" t="s">
        <v>32</v>
      </c>
      <c r="M20" s="119"/>
      <c r="N20" s="184">
        <v>0</v>
      </c>
      <c r="O20" s="119"/>
      <c r="P20" s="218">
        <f>IF('bekostiging materieel'!G13=0,0,IF('bekostiging materieel'!G$41=0,tab!$C19+(tab!$D19*'bekostiging materieel'!G$30),(+tab!$C19*'bekostiging materieel'!G$58)+(tab!$D19*'bekostiging materieel'!G$31)+(tab!$D19*'bekostiging materieel'!G$32)+(tab!$D19*'bekostiging materieel'!G$33)+(tab!$D19*'bekostiging materieel'!G$34)))</f>
        <v>640.39</v>
      </c>
      <c r="Q20" s="218">
        <f>IF(H18="nee",P20,IF('bekostiging materieel'!H13=0,0,IF('bekostiging materieel'!H$41=0,tab!$C19+(tab!$D19*'bekostiging materieel'!H$30),(+tab!$C19*'bekostiging materieel'!H$58)+(tab!$D19*'bekostiging materieel'!H$31)+(tab!$D19*'bekostiging materieel'!H$32)+(tab!$D19*'bekostiging materieel'!H$33)+(tab!$D19*'bekostiging materieel'!H$34))))</f>
        <v>640.39</v>
      </c>
      <c r="R20" s="129"/>
      <c r="S20" s="84"/>
    </row>
    <row r="21" spans="2:24" ht="12" customHeight="1" x14ac:dyDescent="0.2">
      <c r="B21" s="61"/>
      <c r="C21" s="109"/>
      <c r="D21" s="110"/>
      <c r="E21" s="114"/>
      <c r="F21" s="110"/>
      <c r="G21" s="110"/>
      <c r="H21" s="110"/>
      <c r="I21" s="117"/>
      <c r="J21" s="62"/>
      <c r="K21" s="118"/>
      <c r="L21" s="130"/>
      <c r="M21" s="130"/>
      <c r="N21" s="127"/>
      <c r="O21" s="119"/>
      <c r="P21" s="211">
        <f>SUM(P18:P20)</f>
        <v>11424.929999999997</v>
      </c>
      <c r="Q21" s="211">
        <f>SUM(Q18:Q20)</f>
        <v>11424.929999999997</v>
      </c>
      <c r="R21" s="129"/>
      <c r="S21" s="84"/>
    </row>
    <row r="22" spans="2:24" ht="12" customHeight="1" x14ac:dyDescent="0.2">
      <c r="B22" s="89"/>
      <c r="C22" s="118"/>
      <c r="D22" s="199" t="s">
        <v>72</v>
      </c>
      <c r="E22" s="178"/>
      <c r="F22" s="121"/>
      <c r="G22" s="121"/>
      <c r="H22" s="121"/>
      <c r="I22" s="122"/>
      <c r="J22" s="83"/>
      <c r="K22" s="118"/>
      <c r="L22" s="136"/>
      <c r="M22" s="136"/>
      <c r="N22" s="127"/>
      <c r="O22" s="120"/>
      <c r="P22" s="137"/>
      <c r="Q22" s="137"/>
      <c r="R22" s="132"/>
      <c r="S22" s="85"/>
    </row>
    <row r="23" spans="2:24" ht="12" customHeight="1" x14ac:dyDescent="0.2">
      <c r="B23" s="61"/>
      <c r="C23" s="118"/>
      <c r="D23" s="119" t="s">
        <v>19</v>
      </c>
      <c r="E23" s="121"/>
      <c r="F23" s="119"/>
      <c r="G23" s="216">
        <f>ROUND(((tab!$C$54*G11)+(tab!$C$55*G12)+(IF(tab!$C$56-(G13*tab!$C$57)&lt;0,0,(tab!$C$56-(G13*tab!$C$57))))),0)</f>
        <v>9</v>
      </c>
      <c r="H23" s="216">
        <f>ROUND(((tab!$C$54*H11)+(tab!$C$55*H12)+(IF(tab!$C$56-(H13*tab!$C$57)&lt;0,0,(tab!$C$56-(H13*tab!$C$57))))),0)</f>
        <v>9</v>
      </c>
      <c r="I23" s="122"/>
      <c r="J23" s="62"/>
      <c r="K23" s="118"/>
      <c r="L23" s="119" t="s">
        <v>33</v>
      </c>
      <c r="M23" s="119"/>
      <c r="N23" s="184">
        <v>0</v>
      </c>
      <c r="O23" s="130"/>
      <c r="P23" s="211">
        <f>IF('bekostiging materieel'!G13=0,0,IF('bekostiging materieel'!G$41=0,tab!$C22+(tab!$D22*'bekostiging materieel'!G$30),(+tab!$C22*'bekostiging materieel'!G$58)+(tab!$D22*'bekostiging materieel'!G$31)+(tab!$D22*'bekostiging materieel'!G$32)+(tab!$D22*'bekostiging materieel'!G$33)+(tab!$D22*'bekostiging materieel'!G$34)))</f>
        <v>3064.58</v>
      </c>
      <c r="Q23" s="211">
        <f>IF(H18="nee",P23,IF('bekostiging materieel'!H13=0,0,IF('bekostiging materieel'!H$41=0,tab!$C22+(tab!$D22*'bekostiging materieel'!H$30),(+tab!$C22*'bekostiging materieel'!H$58)+(tab!$D22*'bekostiging materieel'!H$31)+(tab!$D22*'bekostiging materieel'!H$32)+(tab!$D22*'bekostiging materieel'!H$33)+(tab!$D22*'bekostiging materieel'!H$34))))</f>
        <v>3064.58</v>
      </c>
      <c r="R23" s="133"/>
      <c r="S23" s="87"/>
    </row>
    <row r="24" spans="2:24" ht="12" customHeight="1" x14ac:dyDescent="0.2">
      <c r="B24" s="61"/>
      <c r="C24" s="118"/>
      <c r="D24" s="121" t="str">
        <f>D38</f>
        <v>Hoofdvestiging</v>
      </c>
      <c r="E24" s="121"/>
      <c r="F24" s="121"/>
      <c r="G24" s="217">
        <f>IF(G41=0,0,(ROUND(((tab!$C$54*G39)+(tab!$C$55*G40)+(IF(tab!$C$56-(G41*tab!$C$57)&lt;0,0,(tab!$C$56-(G41*tab!$C$57))))),0)))</f>
        <v>0</v>
      </c>
      <c r="H24" s="217">
        <f>IF(H41=0,0,(ROUND(((tab!$C$54*H39)+(tab!$C$55*H40)+(IF(tab!$C$56-(H41*tab!$C$57)&lt;0,0,(tab!$C$56-(H41*tab!$C$57))))),0)))</f>
        <v>0</v>
      </c>
      <c r="I24" s="122"/>
      <c r="J24" s="62"/>
      <c r="K24" s="135"/>
      <c r="L24" s="138"/>
      <c r="M24" s="138"/>
      <c r="N24" s="139"/>
      <c r="O24" s="120"/>
      <c r="P24" s="137"/>
      <c r="Q24" s="137"/>
      <c r="R24" s="132"/>
      <c r="S24" s="85"/>
    </row>
    <row r="25" spans="2:24" ht="12" customHeight="1" x14ac:dyDescent="0.2">
      <c r="B25" s="61"/>
      <c r="C25" s="118"/>
      <c r="D25" s="121" t="str">
        <f>D43</f>
        <v xml:space="preserve">Nevenvestiging </v>
      </c>
      <c r="E25" s="121"/>
      <c r="F25" s="121"/>
      <c r="G25" s="217">
        <f>IF(G46=0,0,(ROUND(((tab!$C$54*G44)+(tab!$C$55*G45)+(IF(tab!$C$56-(G46*tab!$C$57)&lt;0,0,(tab!$C$56-(G46*tab!$C$57))))),0)))</f>
        <v>0</v>
      </c>
      <c r="H25" s="217">
        <f>IF(H46=0,0,(ROUND(((tab!$C$54*H44)+(tab!$C$55*H45)+(IF(tab!$C$56-(H46*tab!$C$57)&lt;0,0,(tab!$C$56-(H46*tab!$C$57))))),0)))</f>
        <v>0</v>
      </c>
      <c r="I25" s="122"/>
      <c r="J25" s="62"/>
      <c r="K25" s="118"/>
      <c r="L25" s="140" t="s">
        <v>128</v>
      </c>
      <c r="M25" s="140"/>
      <c r="N25" s="141"/>
      <c r="O25" s="140"/>
      <c r="P25" s="212">
        <f>IF('bekostiging materieel'!G13=0,0,IF('bekostiging materieel'!G41=0,(VLOOKUP('bekostiging materieel'!G23,tab!E55:F104,2,FALSE)),(VLOOKUP('bekostiging materieel'!G24,tab!E55:F104,2,FALSE)+(VLOOKUP('bekostiging materieel'!G25,tab!E55:F104,2,FALSE)+(VLOOKUP('bekostiging materieel'!G26,tab!E55:F104,2,FALSE)+(VLOOKUP('bekostiging materieel'!G27,tab!E55:F104,2,FALSE)))))))</f>
        <v>82178</v>
      </c>
      <c r="Q25" s="212">
        <f>IF(H18="nee",P25,IF('bekostiging materieel'!H13=0,0,IF('bekostiging materieel'!H41=0,(VLOOKUP('bekostiging materieel'!H23,tab!E55:F104,2,FALSE)),(VLOOKUP('bekostiging materieel'!H24,tab!E55:F104,2,FALSE)+(VLOOKUP('bekostiging materieel'!H25,tab!E55:F104,2,FALSE)+(VLOOKUP('bekostiging materieel'!H26,tab!E55:F104,2,FALSE)+(VLOOKUP('bekostiging materieel'!H27,tab!E55:F104,2,FALSE))))))))</f>
        <v>82178</v>
      </c>
      <c r="R25" s="133"/>
      <c r="S25" s="87"/>
      <c r="U25" s="228"/>
      <c r="V25" s="228"/>
    </row>
    <row r="26" spans="2:24" ht="12" customHeight="1" x14ac:dyDescent="0.2">
      <c r="B26" s="61"/>
      <c r="C26" s="118"/>
      <c r="D26" s="121" t="str">
        <f>D48</f>
        <v>Nevenvestiging 2</v>
      </c>
      <c r="E26" s="121"/>
      <c r="F26" s="121"/>
      <c r="G26" s="217">
        <f>IF(G51=0,0,(ROUND(((tab!$C$54*G49)+(tab!$C$55*G50)+(IF(tab!$C$56-(G51*tab!$C$57)&lt;0,0,(tab!$C$56-(G51*tab!$C$57))))),0)))</f>
        <v>0</v>
      </c>
      <c r="H26" s="217">
        <f>IF(H51=0,0,(ROUND(((tab!$C$54*H49)+(tab!$C$55*H50)+(IF(tab!$C$56-(H51*tab!$C$57)&lt;0,0,(tab!$C$56-(H51*tab!$C$57))))),0)))</f>
        <v>0</v>
      </c>
      <c r="I26" s="122"/>
      <c r="J26" s="62"/>
      <c r="K26" s="118"/>
      <c r="L26" s="138"/>
      <c r="M26" s="138"/>
      <c r="N26" s="139"/>
      <c r="O26" s="120"/>
      <c r="P26" s="137"/>
      <c r="Q26" s="137"/>
      <c r="R26" s="133"/>
      <c r="S26" s="87"/>
      <c r="V26" s="228"/>
    </row>
    <row r="27" spans="2:24" ht="12" customHeight="1" x14ac:dyDescent="0.2">
      <c r="B27" s="61"/>
      <c r="C27" s="118"/>
      <c r="D27" s="121" t="str">
        <f>D53</f>
        <v>Nevenvestiging 3</v>
      </c>
      <c r="E27" s="121"/>
      <c r="F27" s="121"/>
      <c r="G27" s="217">
        <f>IF(G56=0,0,(ROUND(((tab!$C$54*G54)+(tab!$C$55*G55)+(IF(tab!$C$56-(G56*tab!$C$57)&lt;0,0,(tab!$C$56-(G56*tab!$C$57))))),0)))</f>
        <v>0</v>
      </c>
      <c r="H27" s="217">
        <f>IF(H56=0,0,(ROUND(((tab!$C$54*H54)+(tab!$C$55*H55)+(IF(tab!$C$56-(H56*tab!$C$57)&lt;0,0,(tab!$C$56-(H56*tab!$C$57))))),0)))</f>
        <v>0</v>
      </c>
      <c r="I27" s="122"/>
      <c r="J27" s="62"/>
      <c r="K27" s="169"/>
      <c r="L27" s="120" t="s">
        <v>34</v>
      </c>
      <c r="M27" s="120"/>
      <c r="N27" s="139"/>
      <c r="O27" s="119"/>
      <c r="P27" s="128"/>
      <c r="Q27" s="128"/>
      <c r="R27" s="134"/>
      <c r="S27" s="88"/>
      <c r="X27" s="196"/>
    </row>
    <row r="28" spans="2:24" ht="12" customHeight="1" x14ac:dyDescent="0.2">
      <c r="B28" s="61"/>
      <c r="C28" s="118"/>
      <c r="D28" s="121"/>
      <c r="E28" s="121"/>
      <c r="F28" s="121"/>
      <c r="G28" s="121"/>
      <c r="H28" s="121"/>
      <c r="I28" s="122"/>
      <c r="J28" s="62"/>
      <c r="K28" s="118"/>
      <c r="L28" s="119" t="s">
        <v>52</v>
      </c>
      <c r="M28" s="119"/>
      <c r="N28" s="127"/>
      <c r="O28" s="119"/>
      <c r="P28" s="128"/>
      <c r="Q28" s="128"/>
      <c r="R28" s="133"/>
      <c r="S28" s="87"/>
    </row>
    <row r="29" spans="2:24" ht="12" customHeight="1" x14ac:dyDescent="0.2">
      <c r="B29" s="61"/>
      <c r="C29" s="118"/>
      <c r="D29" s="199" t="s">
        <v>73</v>
      </c>
      <c r="E29" s="178"/>
      <c r="F29" s="121"/>
      <c r="G29" s="121"/>
      <c r="H29" s="121"/>
      <c r="I29" s="122"/>
      <c r="J29" s="62"/>
      <c r="K29" s="118"/>
      <c r="L29" s="119" t="s">
        <v>36</v>
      </c>
      <c r="M29" s="119"/>
      <c r="N29" s="184">
        <v>0</v>
      </c>
      <c r="O29" s="119"/>
      <c r="P29" s="218">
        <f>IF('bekostiging materieel'!G15=0,0,(tab!$C$28+(tab!$D$28*'bekostiging materieel'!G15)))</f>
        <v>479.76999999999992</v>
      </c>
      <c r="Q29" s="218">
        <f>IF(H18="nee",P29,IF('bekostiging materieel'!H13=0,0,(tab!$C$28+(tab!$D$28*'bekostiging materieel'!H13))))</f>
        <v>479.76999999999992</v>
      </c>
      <c r="R29" s="129"/>
      <c r="S29" s="84"/>
    </row>
    <row r="30" spans="2:24" ht="12" customHeight="1" x14ac:dyDescent="0.2">
      <c r="B30" s="61"/>
      <c r="C30" s="118"/>
      <c r="D30" s="121" t="str">
        <f>D23</f>
        <v>School zonder nevenvestiging</v>
      </c>
      <c r="E30" s="121"/>
      <c r="F30" s="119"/>
      <c r="G30" s="217">
        <f t="shared" ref="G30:H34" si="0">LOOKUP(G23,groepenleerlingennu,vloeroppervlaknu)</f>
        <v>1190</v>
      </c>
      <c r="H30" s="217">
        <f t="shared" si="0"/>
        <v>1190</v>
      </c>
      <c r="I30" s="122"/>
      <c r="J30" s="62"/>
      <c r="K30" s="118"/>
      <c r="L30" s="119" t="s">
        <v>49</v>
      </c>
      <c r="M30" s="119"/>
      <c r="N30" s="184">
        <v>0</v>
      </c>
      <c r="O30" s="119"/>
      <c r="P30" s="218">
        <f>IF('bekostiging materieel'!G15=0,0,(tab!$C29+(tab!$D29*'bekostiging materieel'!G15)))</f>
        <v>271.86999999999995</v>
      </c>
      <c r="Q30" s="218">
        <f>IF(H18="nee",P30,IF('bekostiging materieel'!H13=0,0,(tab!$C29+(tab!$D29*'bekostiging materieel'!H13))))</f>
        <v>271.86999999999995</v>
      </c>
      <c r="R30" s="129"/>
      <c r="S30" s="84"/>
    </row>
    <row r="31" spans="2:24" ht="12" customHeight="1" x14ac:dyDescent="0.2">
      <c r="B31" s="61"/>
      <c r="C31" s="118"/>
      <c r="D31" s="121" t="str">
        <f>D24</f>
        <v>Hoofdvestiging</v>
      </c>
      <c r="E31" s="121"/>
      <c r="F31" s="121"/>
      <c r="G31" s="217">
        <f t="shared" si="0"/>
        <v>0</v>
      </c>
      <c r="H31" s="217">
        <f t="shared" si="0"/>
        <v>0</v>
      </c>
      <c r="I31" s="122"/>
      <c r="J31" s="62"/>
      <c r="K31" s="118"/>
      <c r="L31" s="119" t="s">
        <v>37</v>
      </c>
      <c r="M31" s="119"/>
      <c r="N31" s="184">
        <v>0</v>
      </c>
      <c r="O31" s="119"/>
      <c r="P31" s="218">
        <f>IF('bekostiging materieel'!G15=0,0,(tab!$C30+(tab!$D30*'bekostiging materieel'!G15)))</f>
        <v>62.56</v>
      </c>
      <c r="Q31" s="218">
        <f>IF(H18="nee",P31,IF('bekostiging materieel'!H13=0,0,(tab!$C30+(tab!$D30*'bekostiging materieel'!H13))))</f>
        <v>62.56</v>
      </c>
      <c r="R31" s="129"/>
      <c r="S31" s="84"/>
    </row>
    <row r="32" spans="2:24" ht="12" customHeight="1" x14ac:dyDescent="0.2">
      <c r="B32" s="61"/>
      <c r="C32" s="118"/>
      <c r="D32" s="121" t="str">
        <f>D25</f>
        <v xml:space="preserve">Nevenvestiging </v>
      </c>
      <c r="E32" s="121"/>
      <c r="F32" s="121"/>
      <c r="G32" s="217">
        <f t="shared" si="0"/>
        <v>0</v>
      </c>
      <c r="H32" s="217">
        <f t="shared" si="0"/>
        <v>0</v>
      </c>
      <c r="I32" s="122"/>
      <c r="J32" s="62"/>
      <c r="K32" s="118"/>
      <c r="L32" s="119" t="s">
        <v>38</v>
      </c>
      <c r="M32" s="119"/>
      <c r="N32" s="184">
        <v>0</v>
      </c>
      <c r="O32" s="119"/>
      <c r="P32" s="218">
        <f>IF('bekostiging materieel'!G15=0,0,(tab!$C31+(tab!$D31*'bekostiging materieel'!G15)))</f>
        <v>1185.68</v>
      </c>
      <c r="Q32" s="218">
        <f>IF(H18="nee",P32,IF('bekostiging materieel'!H13=0,0,(tab!$C31+(tab!$D31*'bekostiging materieel'!H13))))</f>
        <v>1185.68</v>
      </c>
      <c r="R32" s="129"/>
      <c r="S32" s="84"/>
    </row>
    <row r="33" spans="2:19" ht="12" customHeight="1" x14ac:dyDescent="0.2">
      <c r="B33" s="61"/>
      <c r="C33" s="118"/>
      <c r="D33" s="121" t="str">
        <f>D26</f>
        <v>Nevenvestiging 2</v>
      </c>
      <c r="E33" s="121"/>
      <c r="F33" s="121"/>
      <c r="G33" s="217">
        <f>LOOKUP(G26,groepenleerlingennu,vloeroppervlaknu)</f>
        <v>0</v>
      </c>
      <c r="H33" s="217">
        <f>LOOKUP(H26,groepenleerlingennu,vloeroppervlaknu)</f>
        <v>0</v>
      </c>
      <c r="I33" s="122"/>
      <c r="J33" s="62"/>
      <c r="K33" s="118"/>
      <c r="L33" s="119" t="s">
        <v>8</v>
      </c>
      <c r="M33" s="119"/>
      <c r="N33" s="184">
        <v>0</v>
      </c>
      <c r="O33" s="119"/>
      <c r="P33" s="218">
        <f>IF('bekostiging materieel'!G15=0,0,(tab!$C32+(tab!$D32*'bekostiging materieel'!G15)))</f>
        <v>5319.68</v>
      </c>
      <c r="Q33" s="218">
        <f>IF(H18="nee",P33,IF('bekostiging materieel'!H13=0,0,(tab!$C32+(tab!$D32*'bekostiging materieel'!H13))))</f>
        <v>5319.68</v>
      </c>
      <c r="R33" s="129"/>
      <c r="S33" s="84"/>
    </row>
    <row r="34" spans="2:19" ht="12" customHeight="1" x14ac:dyDescent="0.2">
      <c r="B34" s="61"/>
      <c r="C34" s="118"/>
      <c r="D34" s="121" t="str">
        <f>D27</f>
        <v>Nevenvestiging 3</v>
      </c>
      <c r="E34" s="121"/>
      <c r="F34" s="121"/>
      <c r="G34" s="217">
        <f t="shared" si="0"/>
        <v>0</v>
      </c>
      <c r="H34" s="217">
        <f>LOOKUP(H27,groepenleerlingennu,vloeroppervlaknu)</f>
        <v>0</v>
      </c>
      <c r="I34" s="122"/>
      <c r="J34" s="62"/>
      <c r="K34" s="118"/>
      <c r="L34" s="119" t="s">
        <v>9</v>
      </c>
      <c r="M34" s="119"/>
      <c r="N34" s="184">
        <v>0</v>
      </c>
      <c r="O34" s="119"/>
      <c r="P34" s="218">
        <f>IF('bekostiging materieel'!G15=0,0,(tab!$C33+(tab!$D33*'bekostiging materieel'!G15)))</f>
        <v>6359.43</v>
      </c>
      <c r="Q34" s="218">
        <f>IF(H18="nee",P34,IF('bekostiging materieel'!H13=0,0,(tab!$C33+(tab!$D33*'bekostiging materieel'!H13))))</f>
        <v>6359.43</v>
      </c>
      <c r="R34" s="129"/>
      <c r="S34" s="84"/>
    </row>
    <row r="35" spans="2:19" ht="12" customHeight="1" x14ac:dyDescent="0.2">
      <c r="B35" s="61"/>
      <c r="C35" s="155"/>
      <c r="D35" s="179"/>
      <c r="E35" s="179"/>
      <c r="F35" s="179"/>
      <c r="G35" s="179"/>
      <c r="H35" s="179"/>
      <c r="I35" s="176"/>
      <c r="J35" s="62"/>
      <c r="K35" s="118"/>
      <c r="L35" s="119" t="s">
        <v>69</v>
      </c>
      <c r="M35" s="119"/>
      <c r="N35" s="184">
        <v>0</v>
      </c>
      <c r="O35" s="119"/>
      <c r="P35" s="218">
        <f>IF('bekostiging materieel'!G15=0,0,(tab!$C34+(tab!$D34*'bekostiging materieel'!G15)))</f>
        <v>2548.2599999999998</v>
      </c>
      <c r="Q35" s="218">
        <f>IF(H18="nee",P35,IF('bekostiging materieel'!H13=0,0,(tab!$C34+(tab!$D34*'bekostiging materieel'!H13))))</f>
        <v>2548.2599999999998</v>
      </c>
      <c r="R35" s="129"/>
      <c r="S35" s="84"/>
    </row>
    <row r="36" spans="2:19" ht="12" customHeight="1" x14ac:dyDescent="0.2">
      <c r="B36" s="61"/>
      <c r="C36" s="62"/>
      <c r="D36" s="62"/>
      <c r="E36" s="106"/>
      <c r="F36" s="62"/>
      <c r="G36" s="62"/>
      <c r="H36" s="62"/>
      <c r="I36" s="62"/>
      <c r="J36" s="62"/>
      <c r="K36" s="118"/>
      <c r="L36" s="119" t="s">
        <v>39</v>
      </c>
      <c r="M36" s="119"/>
      <c r="N36" s="184">
        <v>0</v>
      </c>
      <c r="O36" s="119"/>
      <c r="P36" s="218">
        <f>IF('bekostiging materieel'!G15=0,0,(tab!$C35+(tab!$D35*'bekostiging materieel'!G15)))</f>
        <v>183.43</v>
      </c>
      <c r="Q36" s="218">
        <f>IF(H18="nee",P36,IF('bekostiging materieel'!H13=0,0,(tab!$C35+(tab!$D35*'bekostiging materieel'!H13))))</f>
        <v>183.43</v>
      </c>
      <c r="R36" s="129"/>
      <c r="S36" s="84"/>
    </row>
    <row r="37" spans="2:19" ht="12" customHeight="1" x14ac:dyDescent="0.2">
      <c r="B37" s="61"/>
      <c r="C37" s="109"/>
      <c r="D37" s="110"/>
      <c r="E37" s="114"/>
      <c r="F37" s="110"/>
      <c r="G37" s="110"/>
      <c r="H37" s="110"/>
      <c r="I37" s="117"/>
      <c r="J37" s="62"/>
      <c r="K37" s="118"/>
      <c r="L37" s="119" t="s">
        <v>5</v>
      </c>
      <c r="M37" s="119"/>
      <c r="N37" s="184">
        <v>0</v>
      </c>
      <c r="O37" s="142"/>
      <c r="P37" s="218">
        <f>IF('bekostiging materieel'!G15=0,0,(tab!$C36+(tab!$D36*'bekostiging materieel'!G15)))</f>
        <v>13599.830000000002</v>
      </c>
      <c r="Q37" s="218">
        <f>IF(H18="nee",P37,IF('bekostiging materieel'!H13=0,0,(tab!$C36+(tab!$D36*'bekostiging materieel'!H13))))</f>
        <v>13599.830000000002</v>
      </c>
      <c r="R37" s="129"/>
      <c r="S37" s="84"/>
    </row>
    <row r="38" spans="2:19" ht="12" customHeight="1" x14ac:dyDescent="0.2">
      <c r="B38" s="89"/>
      <c r="C38" s="118"/>
      <c r="D38" s="208" t="s">
        <v>65</v>
      </c>
      <c r="E38" s="181"/>
      <c r="F38" s="119"/>
      <c r="G38" s="119"/>
      <c r="H38" s="119"/>
      <c r="I38" s="122"/>
      <c r="J38" s="90"/>
      <c r="K38" s="118"/>
      <c r="L38" s="119" t="s">
        <v>7</v>
      </c>
      <c r="M38" s="119"/>
      <c r="N38" s="184">
        <v>0</v>
      </c>
      <c r="O38" s="143"/>
      <c r="P38" s="218">
        <f>IF('bekostiging materieel'!G15=0,0,(tab!$C37+(tab!$D37*'bekostiging materieel'!G15)))</f>
        <v>17530.099999999999</v>
      </c>
      <c r="Q38" s="218">
        <f>IF(H18="nee",P38,IF('bekostiging materieel'!H13=0,0,(tab!$C37+(tab!$D37*'bekostiging materieel'!H13))))</f>
        <v>17530.099999999999</v>
      </c>
      <c r="R38" s="129"/>
      <c r="S38" s="84"/>
    </row>
    <row r="39" spans="2:19" ht="12" customHeight="1" x14ac:dyDescent="0.3">
      <c r="B39" s="89"/>
      <c r="C39" s="118"/>
      <c r="D39" s="121" t="s">
        <v>21</v>
      </c>
      <c r="E39" s="121"/>
      <c r="F39" s="119"/>
      <c r="G39" s="219">
        <f>IF(G46=0,0,G11-(G44+G49+G54))</f>
        <v>0</v>
      </c>
      <c r="H39" s="219">
        <f>IF(H46=0,0,H11-(H44+H49+H54))</f>
        <v>0</v>
      </c>
      <c r="I39" s="164"/>
      <c r="J39" s="90"/>
      <c r="K39" s="118"/>
      <c r="L39" s="119" t="s">
        <v>6</v>
      </c>
      <c r="M39" s="119"/>
      <c r="N39" s="184">
        <v>0</v>
      </c>
      <c r="O39" s="143"/>
      <c r="P39" s="218">
        <f>IF('bekostiging materieel'!G15=0,0,(tab!$C38+(tab!$D38*'bekostiging materieel'!G15)))</f>
        <v>25355.55</v>
      </c>
      <c r="Q39" s="218">
        <f>IF(H18="nee",P39,IF('bekostiging materieel'!H13=0,0,(tab!$C38+(tab!$D38*'bekostiging materieel'!H13))))</f>
        <v>25355.55</v>
      </c>
      <c r="R39" s="144"/>
      <c r="S39" s="84"/>
    </row>
    <row r="40" spans="2:19" ht="12" customHeight="1" x14ac:dyDescent="0.2">
      <c r="B40" s="61"/>
      <c r="C40" s="118"/>
      <c r="D40" s="121" t="s">
        <v>22</v>
      </c>
      <c r="E40" s="121"/>
      <c r="F40" s="119"/>
      <c r="G40" s="219">
        <f>IF(G46=0,0,G12-(G45+G50+G55))</f>
        <v>0</v>
      </c>
      <c r="H40" s="219">
        <f>IF(H46=0,0,H12-(H45+H50+H55))</f>
        <v>0</v>
      </c>
      <c r="I40" s="122"/>
      <c r="J40" s="64"/>
      <c r="K40" s="118"/>
      <c r="L40" s="119" t="s">
        <v>40</v>
      </c>
      <c r="M40" s="119"/>
      <c r="N40" s="184">
        <v>0</v>
      </c>
      <c r="O40" s="119"/>
      <c r="P40" s="218">
        <f>IF('bekostiging materieel'!G15=0,0,(tab!$C39+(tab!$D39*'bekostiging materieel'!G15)))</f>
        <v>4933.58</v>
      </c>
      <c r="Q40" s="218">
        <f>IF(H18="nee",P40,IF('bekostiging materieel'!H13=0,0,(tab!$C39+(tab!$D39*'bekostiging materieel'!H13))))</f>
        <v>4933.58</v>
      </c>
      <c r="R40" s="145"/>
      <c r="S40" s="84"/>
    </row>
    <row r="41" spans="2:19" ht="12" customHeight="1" x14ac:dyDescent="0.3">
      <c r="B41" s="61"/>
      <c r="C41" s="146"/>
      <c r="D41" s="125" t="s">
        <v>57</v>
      </c>
      <c r="E41" s="125"/>
      <c r="F41" s="125"/>
      <c r="G41" s="210">
        <f>G39+G40</f>
        <v>0</v>
      </c>
      <c r="H41" s="210">
        <f>H39+H40</f>
        <v>0</v>
      </c>
      <c r="I41" s="122"/>
      <c r="J41" s="64"/>
      <c r="K41" s="118"/>
      <c r="L41" s="130" t="s">
        <v>56</v>
      </c>
      <c r="M41" s="130"/>
      <c r="N41" s="127"/>
      <c r="O41" s="119"/>
      <c r="P41" s="211">
        <f>SUM(P29:P40)</f>
        <v>77829.740000000005</v>
      </c>
      <c r="Q41" s="211">
        <f>SUM(Q29:Q40)</f>
        <v>77829.740000000005</v>
      </c>
      <c r="R41" s="145"/>
      <c r="S41" s="84"/>
    </row>
    <row r="42" spans="2:19" ht="12" customHeight="1" x14ac:dyDescent="0.2">
      <c r="B42" s="61"/>
      <c r="C42" s="118"/>
      <c r="D42" s="149"/>
      <c r="E42" s="149"/>
      <c r="F42" s="120"/>
      <c r="G42" s="183"/>
      <c r="H42" s="183"/>
      <c r="I42" s="122"/>
      <c r="J42" s="62"/>
      <c r="K42" s="118"/>
      <c r="L42" s="138"/>
      <c r="M42" s="138"/>
      <c r="N42" s="139"/>
      <c r="O42" s="120"/>
      <c r="P42" s="137"/>
      <c r="Q42" s="137"/>
      <c r="R42" s="129"/>
      <c r="S42" s="84"/>
    </row>
    <row r="43" spans="2:19" ht="12" customHeight="1" x14ac:dyDescent="0.2">
      <c r="B43" s="61"/>
      <c r="C43" s="118"/>
      <c r="D43" s="208" t="s">
        <v>103</v>
      </c>
      <c r="E43" s="181"/>
      <c r="F43" s="119"/>
      <c r="G43" s="119"/>
      <c r="H43" s="119"/>
      <c r="I43" s="122"/>
      <c r="J43" s="62"/>
      <c r="K43" s="135"/>
      <c r="L43" s="119" t="s">
        <v>53</v>
      </c>
      <c r="M43" s="119"/>
      <c r="N43" s="127"/>
      <c r="O43" s="119"/>
      <c r="P43" s="128"/>
      <c r="Q43" s="128"/>
      <c r="R43" s="132"/>
      <c r="S43" s="85"/>
    </row>
    <row r="44" spans="2:19" ht="12" customHeight="1" x14ac:dyDescent="0.2">
      <c r="B44" s="61"/>
      <c r="C44" s="118"/>
      <c r="D44" s="121" t="s">
        <v>21</v>
      </c>
      <c r="E44" s="121"/>
      <c r="F44" s="119"/>
      <c r="G44" s="177">
        <v>0</v>
      </c>
      <c r="H44" s="177">
        <f>+G44</f>
        <v>0</v>
      </c>
      <c r="I44" s="122"/>
      <c r="J44" s="62"/>
      <c r="K44" s="118"/>
      <c r="L44" s="119" t="s">
        <v>42</v>
      </c>
      <c r="M44" s="119"/>
      <c r="N44" s="184">
        <v>0</v>
      </c>
      <c r="O44" s="119"/>
      <c r="P44" s="218">
        <f>IF('bekostiging materieel'!G15=0,0,(tab!$C42+(tab!$D42*'bekostiging materieel'!G15)))</f>
        <v>9098.2199999999993</v>
      </c>
      <c r="Q44" s="218">
        <f>IF(H18="nee",P44,IF('bekostiging materieel'!H13=0,0,(tab!$C42+(tab!$D42*'bekostiging materieel'!H13))))</f>
        <v>9098.2199999999993</v>
      </c>
      <c r="R44" s="133"/>
      <c r="S44" s="87"/>
    </row>
    <row r="45" spans="2:19" ht="12" customHeight="1" x14ac:dyDescent="0.2">
      <c r="B45" s="61"/>
      <c r="C45" s="118"/>
      <c r="D45" s="121" t="s">
        <v>22</v>
      </c>
      <c r="E45" s="121"/>
      <c r="F45" s="119"/>
      <c r="G45" s="177">
        <v>0</v>
      </c>
      <c r="H45" s="177">
        <f>+G45</f>
        <v>0</v>
      </c>
      <c r="I45" s="122"/>
      <c r="J45" s="62"/>
      <c r="K45" s="118"/>
      <c r="L45" s="119" t="s">
        <v>43</v>
      </c>
      <c r="M45" s="119"/>
      <c r="N45" s="184">
        <v>0</v>
      </c>
      <c r="O45" s="119"/>
      <c r="P45" s="218">
        <f>IF('bekostiging materieel'!G15=0,0,(tab!$C43+(tab!$D43*'bekostiging materieel'!G15)))</f>
        <v>1497.85</v>
      </c>
      <c r="Q45" s="218">
        <f>IF(H18="nee",P45,IF('bekostiging materieel'!H13=0,0,(tab!$C43+(tab!$D43*'bekostiging materieel'!H13))))</f>
        <v>1497.85</v>
      </c>
      <c r="R45" s="129"/>
      <c r="S45" s="84"/>
    </row>
    <row r="46" spans="2:19" ht="12" customHeight="1" x14ac:dyDescent="0.2">
      <c r="B46" s="61"/>
      <c r="C46" s="118"/>
      <c r="D46" s="125" t="s">
        <v>57</v>
      </c>
      <c r="E46" s="125"/>
      <c r="F46" s="119"/>
      <c r="G46" s="210">
        <f>G44+G45</f>
        <v>0</v>
      </c>
      <c r="H46" s="210">
        <f>H44+H45</f>
        <v>0</v>
      </c>
      <c r="I46" s="122"/>
      <c r="J46" s="62"/>
      <c r="K46" s="168"/>
      <c r="L46" s="119" t="s">
        <v>44</v>
      </c>
      <c r="M46" s="119"/>
      <c r="N46" s="184">
        <v>0</v>
      </c>
      <c r="O46" s="119"/>
      <c r="P46" s="218">
        <f>IF('bekostiging materieel'!G15=0,0,(tab!$C44+(tab!$D44*'bekostiging materieel'!G15)))</f>
        <v>8995.69</v>
      </c>
      <c r="Q46" s="218">
        <f>IF(H18="nee",P46,IF('bekostiging materieel'!H13=0,0,(tab!$C44+(tab!$D44*'bekostiging materieel'!H13))))</f>
        <v>8995.69</v>
      </c>
      <c r="R46" s="129"/>
      <c r="S46" s="84"/>
    </row>
    <row r="47" spans="2:19" ht="12" customHeight="1" x14ac:dyDescent="0.2">
      <c r="B47" s="61"/>
      <c r="C47" s="118"/>
      <c r="D47" s="149"/>
      <c r="E47" s="149"/>
      <c r="F47" s="119"/>
      <c r="G47" s="183"/>
      <c r="H47" s="183"/>
      <c r="I47" s="122"/>
      <c r="J47" s="62"/>
      <c r="K47" s="118"/>
      <c r="L47" s="130" t="s">
        <v>118</v>
      </c>
      <c r="M47" s="130"/>
      <c r="N47" s="147"/>
      <c r="O47" s="119"/>
      <c r="P47" s="211">
        <f>+SUM(P44:P46)</f>
        <v>19591.760000000002</v>
      </c>
      <c r="Q47" s="211">
        <f>+SUM(Q44:Q46)</f>
        <v>19591.760000000002</v>
      </c>
      <c r="R47" s="129"/>
      <c r="S47" s="84"/>
    </row>
    <row r="48" spans="2:19" ht="12" customHeight="1" x14ac:dyDescent="0.2">
      <c r="B48" s="61"/>
      <c r="C48" s="118"/>
      <c r="D48" s="208" t="s">
        <v>12</v>
      </c>
      <c r="E48" s="181"/>
      <c r="F48" s="119"/>
      <c r="G48" s="119"/>
      <c r="H48" s="119"/>
      <c r="I48" s="122"/>
      <c r="J48" s="62"/>
      <c r="K48" s="118"/>
      <c r="L48" s="119"/>
      <c r="M48" s="119"/>
      <c r="N48" s="127"/>
      <c r="O48" s="119"/>
      <c r="P48" s="119"/>
      <c r="Q48" s="119"/>
      <c r="R48" s="129"/>
      <c r="S48" s="84"/>
    </row>
    <row r="49" spans="2:19" ht="12" customHeight="1" x14ac:dyDescent="0.2">
      <c r="B49" s="61"/>
      <c r="C49" s="118"/>
      <c r="D49" s="121" t="s">
        <v>21</v>
      </c>
      <c r="E49" s="121"/>
      <c r="F49" s="119"/>
      <c r="G49" s="177">
        <v>0</v>
      </c>
      <c r="H49" s="177">
        <f>+G49</f>
        <v>0</v>
      </c>
      <c r="I49" s="122"/>
      <c r="J49" s="62"/>
      <c r="K49" s="118"/>
      <c r="L49" s="148" t="s">
        <v>0</v>
      </c>
      <c r="M49" s="148"/>
      <c r="N49" s="141"/>
      <c r="O49" s="140"/>
      <c r="P49" s="212">
        <f>P41+P47</f>
        <v>97421.5</v>
      </c>
      <c r="Q49" s="212">
        <f>Q41+Q47</f>
        <v>97421.5</v>
      </c>
      <c r="R49" s="132"/>
      <c r="S49" s="85"/>
    </row>
    <row r="50" spans="2:19" s="47" customFormat="1" ht="12" customHeight="1" x14ac:dyDescent="0.3">
      <c r="B50" s="61"/>
      <c r="C50" s="118"/>
      <c r="D50" s="121" t="s">
        <v>22</v>
      </c>
      <c r="E50" s="121"/>
      <c r="F50" s="119"/>
      <c r="G50" s="177">
        <v>0</v>
      </c>
      <c r="H50" s="177">
        <f>+G50</f>
        <v>0</v>
      </c>
      <c r="I50" s="165"/>
      <c r="J50" s="62"/>
      <c r="K50" s="118"/>
      <c r="L50" s="119"/>
      <c r="M50" s="119"/>
      <c r="N50" s="127"/>
      <c r="O50" s="119"/>
      <c r="P50" s="119"/>
      <c r="Q50" s="119"/>
      <c r="R50" s="133"/>
      <c r="S50" s="87"/>
    </row>
    <row r="51" spans="2:19" ht="12" customHeight="1" x14ac:dyDescent="0.2">
      <c r="B51" s="61"/>
      <c r="C51" s="155"/>
      <c r="D51" s="125" t="s">
        <v>57</v>
      </c>
      <c r="E51" s="125"/>
      <c r="F51" s="119"/>
      <c r="G51" s="210">
        <f>G49+G50</f>
        <v>0</v>
      </c>
      <c r="H51" s="210">
        <f>H49+H50</f>
        <v>0</v>
      </c>
      <c r="I51" s="166"/>
      <c r="J51" s="62"/>
      <c r="K51" s="135"/>
      <c r="L51" s="120" t="s">
        <v>101</v>
      </c>
      <c r="M51" s="119"/>
      <c r="N51" s="127"/>
      <c r="O51" s="120"/>
      <c r="P51" s="137"/>
      <c r="Q51" s="137"/>
      <c r="R51" s="134"/>
      <c r="S51" s="88"/>
    </row>
    <row r="52" spans="2:19" ht="12" customHeight="1" x14ac:dyDescent="0.2">
      <c r="B52" s="61"/>
      <c r="D52" s="149"/>
      <c r="E52" s="149"/>
      <c r="F52" s="119"/>
      <c r="G52" s="183"/>
      <c r="H52" s="183"/>
      <c r="I52" s="49"/>
      <c r="J52" s="62"/>
      <c r="K52" s="118"/>
      <c r="L52" s="119" t="s">
        <v>11</v>
      </c>
      <c r="M52" s="119"/>
      <c r="N52" s="184">
        <v>0</v>
      </c>
      <c r="O52" s="130"/>
      <c r="P52" s="218">
        <f>IF(G17=0,0,(+tab!$C50+(tab!$D50*(FLOOR(+G17*1.03,1)))))</f>
        <v>0</v>
      </c>
      <c r="Q52" s="218">
        <f>IF(H18="nee",P52,IF(H13=0,0,+tab!C50+(tab!D50*(FLOOR(+H17*1.03,1)))))</f>
        <v>0</v>
      </c>
      <c r="R52" s="133"/>
      <c r="S52" s="87"/>
    </row>
    <row r="53" spans="2:19" ht="12" customHeight="1" x14ac:dyDescent="0.2">
      <c r="B53" s="61"/>
      <c r="C53" s="118"/>
      <c r="D53" s="236" t="s">
        <v>13</v>
      </c>
      <c r="E53" s="181"/>
      <c r="F53" s="119"/>
      <c r="G53" s="119"/>
      <c r="H53" s="119"/>
      <c r="I53" s="122"/>
      <c r="J53" s="62"/>
      <c r="K53" s="135"/>
      <c r="L53" s="119"/>
      <c r="M53" s="119"/>
      <c r="N53" s="119"/>
      <c r="O53" s="119"/>
      <c r="P53" s="119"/>
      <c r="Q53" s="119"/>
      <c r="R53" s="132"/>
      <c r="S53" s="85"/>
    </row>
    <row r="54" spans="2:19" ht="12" customHeight="1" x14ac:dyDescent="0.2">
      <c r="B54" s="61"/>
      <c r="C54" s="118"/>
      <c r="D54" s="121" t="s">
        <v>21</v>
      </c>
      <c r="E54" s="121"/>
      <c r="F54" s="119"/>
      <c r="G54" s="177">
        <v>0</v>
      </c>
      <c r="H54" s="177">
        <f>+G54</f>
        <v>0</v>
      </c>
      <c r="I54" s="161"/>
      <c r="J54" s="62"/>
      <c r="K54" s="118"/>
      <c r="L54" s="185" t="s">
        <v>45</v>
      </c>
      <c r="M54" s="185"/>
      <c r="N54" s="186"/>
      <c r="O54" s="185"/>
      <c r="P54" s="187" t="e">
        <f>IF('bekostiging materieel'!#REF!="ja",(ROUND('bekostiging materieel'!G15*2%,0)),0)</f>
        <v>#REF!</v>
      </c>
      <c r="Q54" s="187" t="e">
        <f>IF(H18="nee",P54,IF('bekostiging materieel'!#REF!="ja",(ROUND('bekostiging materieel'!H13*2%,0)),0))</f>
        <v>#REF!</v>
      </c>
      <c r="R54" s="133"/>
      <c r="S54" s="87"/>
    </row>
    <row r="55" spans="2:19" ht="12" customHeight="1" x14ac:dyDescent="0.2">
      <c r="B55" s="61"/>
      <c r="C55" s="118"/>
      <c r="D55" s="121" t="s">
        <v>22</v>
      </c>
      <c r="E55" s="121"/>
      <c r="F55" s="119"/>
      <c r="G55" s="177">
        <v>0</v>
      </c>
      <c r="H55" s="177">
        <f>+G55</f>
        <v>0</v>
      </c>
      <c r="I55" s="161"/>
      <c r="J55" s="62"/>
      <c r="K55" s="118"/>
      <c r="L55" s="140" t="s">
        <v>100</v>
      </c>
      <c r="M55" s="140"/>
      <c r="N55" s="150"/>
      <c r="O55" s="140"/>
      <c r="P55" s="213">
        <f>SUM(P52:P53)</f>
        <v>0</v>
      </c>
      <c r="Q55" s="213">
        <f>SUM(Q52:Q53)</f>
        <v>0</v>
      </c>
      <c r="R55" s="129"/>
      <c r="S55" s="84"/>
    </row>
    <row r="56" spans="2:19" ht="12" customHeight="1" x14ac:dyDescent="0.2">
      <c r="B56" s="61"/>
      <c r="C56" s="118"/>
      <c r="D56" s="125" t="s">
        <v>57</v>
      </c>
      <c r="E56" s="125"/>
      <c r="F56" s="119"/>
      <c r="G56" s="240">
        <f>G54+G55</f>
        <v>0</v>
      </c>
      <c r="H56" s="240">
        <f>H54+H55</f>
        <v>0</v>
      </c>
      <c r="I56" s="162"/>
      <c r="J56" s="62"/>
      <c r="K56" s="135"/>
      <c r="L56" s="119"/>
      <c r="M56" s="119"/>
      <c r="N56" s="123"/>
      <c r="O56" s="119"/>
      <c r="P56" s="119"/>
      <c r="Q56" s="119"/>
      <c r="R56" s="134"/>
      <c r="S56" s="88"/>
    </row>
    <row r="57" spans="2:19" ht="12" customHeight="1" x14ac:dyDescent="0.2">
      <c r="B57" s="61"/>
      <c r="C57" s="155"/>
      <c r="D57" s="156"/>
      <c r="E57" s="156"/>
      <c r="F57" s="157"/>
      <c r="G57" s="237"/>
      <c r="H57" s="237"/>
      <c r="I57" s="176"/>
      <c r="J57" s="62"/>
      <c r="K57" s="135"/>
      <c r="L57" s="119"/>
      <c r="M57" s="119"/>
      <c r="N57" s="123"/>
      <c r="O57" s="119"/>
      <c r="P57" s="119"/>
      <c r="Q57" s="119"/>
      <c r="R57" s="134"/>
      <c r="S57" s="85"/>
    </row>
    <row r="58" spans="2:19" ht="12" customHeight="1" x14ac:dyDescent="0.2">
      <c r="B58" s="61"/>
      <c r="D58" s="238" t="s">
        <v>14</v>
      </c>
      <c r="G58" s="239">
        <f>IF(G24=0,0,1)+IF(G25=0,0,1)+IF(G26=0,0,1)+IF(G27=0,0,1)</f>
        <v>0</v>
      </c>
      <c r="H58" s="239">
        <f>IF(H24=0,0,1)+IF(H25=0,0,1)+IF(H26=0,0,1)+IF(H27=0,0,1)</f>
        <v>0</v>
      </c>
      <c r="J58" s="62"/>
      <c r="K58" s="135"/>
      <c r="L58" s="120" t="s">
        <v>66</v>
      </c>
      <c r="M58" s="120"/>
      <c r="N58" s="222">
        <f>ROUND(((N13*P13+N14*P14+N15*P15+N18*P18+N19*P19+N20*P20+N23*P23+N29*P29+N30*P30+N31*P31+N32*P32+N33*P33+N34*P34+N35*P35+N36*P36+N37*P37+N38*P38+N39*P39+N40*P40+N44*P44+N45*P45+N46*P46+N52*P52+N53*P53)/P58),2)</f>
        <v>0</v>
      </c>
      <c r="O58" s="119"/>
      <c r="P58" s="214">
        <f>P25+P49+P55</f>
        <v>179599.5</v>
      </c>
      <c r="Q58" s="214">
        <f>Q25+Q49+Q55</f>
        <v>179599.5</v>
      </c>
      <c r="R58" s="132"/>
      <c r="S58" s="85"/>
    </row>
    <row r="59" spans="2:19" ht="12" customHeight="1" x14ac:dyDescent="0.2">
      <c r="B59" s="61"/>
      <c r="J59" s="82"/>
      <c r="K59" s="135"/>
      <c r="L59" s="119"/>
      <c r="M59" s="119"/>
      <c r="N59" s="123"/>
      <c r="O59" s="119"/>
      <c r="P59" s="119"/>
      <c r="Q59" s="119"/>
      <c r="R59" s="132"/>
      <c r="S59" s="85"/>
    </row>
    <row r="60" spans="2:19" ht="12" customHeight="1" x14ac:dyDescent="0.2">
      <c r="B60" s="61"/>
      <c r="J60" s="82"/>
      <c r="K60" s="135"/>
      <c r="N60" s="43"/>
      <c r="Q60" s="119"/>
      <c r="R60" s="132"/>
      <c r="S60" s="85"/>
    </row>
    <row r="61" spans="2:19" ht="12" customHeight="1" x14ac:dyDescent="0.2">
      <c r="B61" s="61"/>
      <c r="J61" s="83"/>
      <c r="K61" s="135"/>
      <c r="L61" s="119" t="s">
        <v>112</v>
      </c>
      <c r="M61" s="130"/>
      <c r="N61" s="130"/>
      <c r="O61" s="130"/>
      <c r="P61" s="220">
        <f>N58*P58</f>
        <v>0</v>
      </c>
      <c r="Q61" s="119"/>
      <c r="R61" s="132"/>
      <c r="S61" s="85"/>
    </row>
    <row r="62" spans="2:19" ht="12" customHeight="1" x14ac:dyDescent="0.2">
      <c r="B62" s="61"/>
      <c r="J62" s="82"/>
      <c r="K62" s="118"/>
      <c r="L62" s="119" t="s">
        <v>115</v>
      </c>
      <c r="M62" s="119"/>
      <c r="N62" s="123"/>
      <c r="O62" s="151"/>
      <c r="P62" s="221">
        <f>Q58-P58</f>
        <v>0</v>
      </c>
      <c r="Q62" s="119"/>
      <c r="R62" s="152"/>
      <c r="S62" s="92"/>
    </row>
    <row r="63" spans="2:19" ht="12" customHeight="1" x14ac:dyDescent="0.2">
      <c r="B63" s="61"/>
      <c r="J63" s="82"/>
      <c r="K63" s="118"/>
      <c r="L63" s="119"/>
      <c r="M63" s="119"/>
      <c r="N63" s="119"/>
      <c r="O63" s="119"/>
      <c r="P63" s="119"/>
      <c r="Q63" s="154"/>
      <c r="R63" s="152"/>
      <c r="S63" s="92"/>
    </row>
    <row r="64" spans="2:19" ht="12" customHeight="1" x14ac:dyDescent="0.2">
      <c r="B64" s="61"/>
      <c r="J64" s="86"/>
      <c r="K64" s="155"/>
      <c r="L64" s="125" t="s">
        <v>114</v>
      </c>
      <c r="M64" s="140"/>
      <c r="N64" s="150"/>
      <c r="O64" s="153"/>
      <c r="P64" s="215">
        <f>P58-P61+P62</f>
        <v>179599.5</v>
      </c>
      <c r="Q64" s="158"/>
      <c r="R64" s="159"/>
      <c r="S64" s="92"/>
    </row>
    <row r="65" spans="2:19" ht="12" customHeight="1" x14ac:dyDescent="0.2">
      <c r="B65" s="61"/>
      <c r="J65" s="86"/>
      <c r="L65" s="46"/>
      <c r="M65" s="46"/>
      <c r="N65" s="48"/>
      <c r="O65" s="50"/>
      <c r="P65" s="51"/>
      <c r="Q65" s="52"/>
      <c r="R65" s="53"/>
      <c r="S65" s="92"/>
    </row>
    <row r="66" spans="2:19" ht="12" customHeight="1" x14ac:dyDescent="0.2">
      <c r="B66" s="61"/>
      <c r="J66" s="62"/>
      <c r="L66" s="46"/>
      <c r="M66" s="46"/>
      <c r="N66" s="48"/>
      <c r="O66" s="50"/>
      <c r="P66" s="51"/>
      <c r="Q66" s="52"/>
      <c r="R66" s="53"/>
      <c r="S66" s="92"/>
    </row>
    <row r="67" spans="2:19" ht="12" customHeight="1" x14ac:dyDescent="0.2">
      <c r="B67" s="61"/>
      <c r="C67" s="62"/>
      <c r="D67" s="62"/>
      <c r="E67" s="106"/>
      <c r="F67" s="62"/>
      <c r="G67" s="62"/>
      <c r="H67" s="62"/>
      <c r="I67" s="62"/>
      <c r="J67" s="62"/>
      <c r="K67" s="62"/>
      <c r="L67" s="78"/>
      <c r="M67" s="78"/>
      <c r="N67" s="91"/>
      <c r="O67" s="93"/>
      <c r="P67" s="94"/>
      <c r="Q67" s="95"/>
      <c r="R67" s="96"/>
      <c r="S67" s="92"/>
    </row>
    <row r="68" spans="2:19" ht="12" customHeight="1" x14ac:dyDescent="0.25">
      <c r="B68" s="97"/>
      <c r="C68" s="98"/>
      <c r="D68" s="98"/>
      <c r="E68" s="235"/>
      <c r="F68" s="98"/>
      <c r="G68" s="98"/>
      <c r="H68" s="98"/>
      <c r="I68" s="98"/>
      <c r="J68" s="98"/>
      <c r="K68" s="98"/>
      <c r="L68" s="99"/>
      <c r="M68" s="99"/>
      <c r="N68" s="100"/>
      <c r="O68" s="101"/>
      <c r="P68" s="102"/>
      <c r="Q68" s="103"/>
      <c r="R68" s="104" t="s">
        <v>99</v>
      </c>
      <c r="S68" s="105"/>
    </row>
    <row r="72" spans="2:19" hidden="1" x14ac:dyDescent="0.2"/>
    <row r="73" spans="2:19" hidden="1" x14ac:dyDescent="0.2"/>
    <row r="74" spans="2:19" hidden="1" x14ac:dyDescent="0.2"/>
    <row r="75" spans="2:19" hidden="1" x14ac:dyDescent="0.2"/>
    <row r="76" spans="2:19" hidden="1" x14ac:dyDescent="0.2"/>
    <row r="77" spans="2:19" hidden="1" x14ac:dyDescent="0.2"/>
    <row r="78" spans="2:19" hidden="1" x14ac:dyDescent="0.2"/>
    <row r="79" spans="2:19" hidden="1" x14ac:dyDescent="0.2"/>
    <row r="80" spans="2:19" hidden="1" x14ac:dyDescent="0.2"/>
    <row r="81" hidden="1" x14ac:dyDescent="0.2"/>
  </sheetData>
  <sheetProtection algorithmName="SHA-512" hashValue="wX64h1jP9nlZyjO+S6ami/9iCkChodCCl2l6AdHplVmuytBPbgsWpRAaoCBv9iRwSDcwy5LF+LltvrtSKFG6Eg==" saltValue="jhTBqtDECNS2kq8D90npuA==" spinCount="100000" sheet="1" objects="1" scenarios="1"/>
  <mergeCells count="2">
    <mergeCell ref="P9:Q9"/>
    <mergeCell ref="P10:Q10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5" orientation="portrait" r:id="rId1"/>
  <headerFooter alignWithMargins="0">
    <oddHeader>&amp;L&amp;"Arial,Vet"&amp;F&amp;R&amp;"Arial,Vet"&amp;A</oddHeader>
    <oddFooter>&amp;L&amp;"Arial,Vet"goedhart/keizer&amp;C&amp;"Arial,Vet"&amp;D&amp;R&amp;"Arial,Vet"pagina &amp;P</oddFooter>
  </headerFooter>
  <colBreaks count="1" manualBreakCount="1">
    <brk id="19" min="1" max="1377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9">
    <pageSetUpPr fitToPage="1"/>
  </sheetPr>
  <dimension ref="A2:BC329"/>
  <sheetViews>
    <sheetView topLeftCell="A61" zoomScale="85" zoomScaleNormal="85" zoomScaleSheetLayoutView="50" workbookViewId="0"/>
  </sheetViews>
  <sheetFormatPr defaultColWidth="9.140625" defaultRowHeight="12.75" customHeight="1" x14ac:dyDescent="0.2"/>
  <cols>
    <col min="1" max="1" width="45.85546875" style="3" customWidth="1"/>
    <col min="2" max="2" width="2.85546875" style="3" customWidth="1"/>
    <col min="3" max="14" width="12.7109375" style="4" customWidth="1"/>
    <col min="15" max="19" width="12.7109375" style="4" hidden="1" customWidth="1"/>
    <col min="20" max="22" width="10.7109375" style="4" customWidth="1"/>
    <col min="23" max="52" width="9.7109375" style="4" customWidth="1"/>
    <col min="53" max="54" width="9.7109375" style="7" customWidth="1"/>
    <col min="55" max="55" width="9.7109375" style="8" customWidth="1"/>
    <col min="56" max="132" width="9.7109375" style="4" customWidth="1"/>
    <col min="133" max="16384" width="9.140625" style="4"/>
  </cols>
  <sheetData>
    <row r="2" spans="1:55" s="31" customFormat="1" ht="12.75" customHeight="1" x14ac:dyDescent="0.25">
      <c r="A2" s="3" t="s">
        <v>113</v>
      </c>
      <c r="B2" s="29"/>
      <c r="C2" s="30" t="s">
        <v>122</v>
      </c>
      <c r="S2" s="32"/>
      <c r="T2" s="32"/>
      <c r="U2" s="32"/>
      <c r="X2" s="33"/>
      <c r="Y2" s="33"/>
      <c r="BA2" s="34"/>
      <c r="BB2" s="34"/>
      <c r="BC2" s="35"/>
    </row>
    <row r="3" spans="1:55" ht="12.75" customHeight="1" x14ac:dyDescent="0.2">
      <c r="S3" s="5"/>
      <c r="T3" s="5"/>
      <c r="U3" s="5"/>
      <c r="X3" s="6"/>
      <c r="Y3" s="6"/>
    </row>
    <row r="4" spans="1:55" ht="12.75" customHeight="1" x14ac:dyDescent="0.2">
      <c r="A4" s="3" t="s">
        <v>70</v>
      </c>
      <c r="C4" s="38">
        <v>2022</v>
      </c>
      <c r="D4" s="9"/>
      <c r="E4" s="9"/>
      <c r="G4" s="9"/>
      <c r="S4" s="5"/>
      <c r="T4" s="5"/>
      <c r="U4" s="5"/>
      <c r="X4" s="6"/>
      <c r="Y4" s="6"/>
    </row>
    <row r="5" spans="1:55" ht="12.75" customHeight="1" x14ac:dyDescent="0.2">
      <c r="A5" s="3" t="s">
        <v>123</v>
      </c>
      <c r="C5" s="249">
        <v>3.0099999999999998E-2</v>
      </c>
      <c r="D5" s="9"/>
      <c r="E5" s="9"/>
      <c r="G5" s="9"/>
      <c r="S5" s="5"/>
      <c r="T5" s="5"/>
      <c r="U5" s="5"/>
      <c r="X5" s="6"/>
      <c r="Y5" s="6"/>
    </row>
    <row r="6" spans="1:55" ht="12.75" customHeight="1" x14ac:dyDescent="0.2">
      <c r="A6" s="3" t="s">
        <v>74</v>
      </c>
      <c r="C6" s="39">
        <v>44470</v>
      </c>
      <c r="D6" s="9"/>
      <c r="E6" s="9"/>
      <c r="G6" s="9"/>
      <c r="S6" s="5"/>
      <c r="T6" s="5"/>
      <c r="U6" s="5"/>
      <c r="X6" s="6"/>
      <c r="Y6" s="6"/>
    </row>
    <row r="7" spans="1:55" ht="12.75" customHeight="1" x14ac:dyDescent="0.2">
      <c r="A7" s="3" t="s">
        <v>124</v>
      </c>
      <c r="C7" s="39">
        <v>44621</v>
      </c>
      <c r="D7" s="9"/>
      <c r="E7" s="9"/>
      <c r="G7" s="9"/>
      <c r="S7" s="5"/>
      <c r="T7" s="5"/>
      <c r="U7" s="5"/>
      <c r="X7" s="6"/>
      <c r="Y7" s="6"/>
    </row>
    <row r="8" spans="1:55" ht="12.75" customHeight="1" x14ac:dyDescent="0.2">
      <c r="A8" s="10"/>
      <c r="B8" s="11"/>
      <c r="C8" s="9"/>
      <c r="F8" s="9"/>
      <c r="S8" s="5"/>
      <c r="T8" s="5"/>
      <c r="U8" s="5"/>
      <c r="X8" s="6"/>
      <c r="Y8" s="6"/>
    </row>
    <row r="9" spans="1:55" ht="12.75" customHeight="1" x14ac:dyDescent="0.2">
      <c r="A9" s="12"/>
      <c r="B9" s="4"/>
      <c r="S9" s="5"/>
      <c r="T9" s="5"/>
      <c r="U9" s="5"/>
      <c r="X9" s="6"/>
      <c r="Y9" s="6"/>
    </row>
    <row r="10" spans="1:55" ht="12.75" customHeight="1" x14ac:dyDescent="0.2">
      <c r="A10" s="12" t="s">
        <v>23</v>
      </c>
      <c r="B10" s="4"/>
      <c r="C10" s="13"/>
      <c r="E10" s="14"/>
      <c r="F10" s="13"/>
      <c r="G10" s="4" t="s">
        <v>163</v>
      </c>
      <c r="H10" s="14"/>
      <c r="I10" s="252">
        <f>C4-1</f>
        <v>2021</v>
      </c>
      <c r="J10" s="253"/>
      <c r="S10" s="5"/>
      <c r="T10" s="5"/>
      <c r="U10" s="5"/>
      <c r="X10" s="6"/>
      <c r="Y10" s="6"/>
    </row>
    <row r="11" spans="1:55" ht="12.75" customHeight="1" x14ac:dyDescent="0.2">
      <c r="A11" s="10" t="s">
        <v>25</v>
      </c>
      <c r="B11" s="4"/>
      <c r="C11" s="15" t="s">
        <v>51</v>
      </c>
      <c r="D11" s="15" t="s">
        <v>50</v>
      </c>
      <c r="F11" s="4" t="s">
        <v>134</v>
      </c>
      <c r="G11" s="234">
        <v>0.18</v>
      </c>
      <c r="I11" s="15" t="s">
        <v>51</v>
      </c>
      <c r="J11" s="15" t="s">
        <v>50</v>
      </c>
      <c r="M11" s="15"/>
      <c r="S11" s="5"/>
      <c r="T11" s="5"/>
      <c r="U11" s="5"/>
      <c r="X11" s="6"/>
      <c r="Y11" s="6"/>
    </row>
    <row r="12" spans="1:55" ht="12.75" customHeight="1" x14ac:dyDescent="0.2">
      <c r="A12" s="4" t="s">
        <v>26</v>
      </c>
      <c r="B12" s="4"/>
      <c r="C12" s="24">
        <v>1533.24</v>
      </c>
      <c r="D12" s="24">
        <v>33.53</v>
      </c>
      <c r="E12" s="225" t="s">
        <v>125</v>
      </c>
      <c r="G12" s="1">
        <f>ROUND(M12*(1+C5),2)</f>
        <v>17.190000000000001</v>
      </c>
      <c r="I12" s="24">
        <v>1488.4</v>
      </c>
      <c r="J12" s="24">
        <v>32.56</v>
      </c>
      <c r="K12" s="225" t="s">
        <v>125</v>
      </c>
      <c r="M12" s="1">
        <v>16.690000000000001</v>
      </c>
      <c r="O12" s="191">
        <f>ROUND((I12*(1+$C$5)),2)</f>
        <v>1533.2</v>
      </c>
      <c r="P12" s="191">
        <f>ROUND((J12*(1+$C$5)),2)</f>
        <v>33.54</v>
      </c>
      <c r="R12" s="194">
        <f>O12-C12</f>
        <v>-3.999999999996362E-2</v>
      </c>
      <c r="S12" s="194">
        <f>P12-D12</f>
        <v>9.9999999999980105E-3</v>
      </c>
      <c r="T12" s="5"/>
      <c r="U12" s="5"/>
      <c r="X12" s="6"/>
      <c r="Y12" s="6"/>
    </row>
    <row r="13" spans="1:55" ht="12.75" customHeight="1" x14ac:dyDescent="0.2">
      <c r="A13" s="4" t="s">
        <v>27</v>
      </c>
      <c r="B13" s="4"/>
      <c r="C13" s="24">
        <v>51.65</v>
      </c>
      <c r="D13" s="24">
        <v>0.51</v>
      </c>
      <c r="F13" s="1"/>
      <c r="I13" s="24">
        <v>50.14</v>
      </c>
      <c r="J13" s="24">
        <v>0.5</v>
      </c>
      <c r="L13" s="1"/>
      <c r="O13" s="191">
        <f t="shared" ref="O13:O14" si="0">ROUND((I13*(1+$C$5)),2)</f>
        <v>51.65</v>
      </c>
      <c r="P13" s="191">
        <f t="shared" ref="P13:P14" si="1">J13*(1+$C$5)</f>
        <v>0.51505000000000001</v>
      </c>
      <c r="R13" s="194">
        <f t="shared" ref="R13:R15" si="2">O13-C13</f>
        <v>0</v>
      </c>
      <c r="S13" s="194">
        <f t="shared" ref="S13:S15" si="3">P13-D13</f>
        <v>5.0499999999999989E-3</v>
      </c>
      <c r="T13" s="5"/>
      <c r="U13" s="5"/>
      <c r="X13" s="6"/>
      <c r="Y13" s="6"/>
    </row>
    <row r="14" spans="1:55" ht="12.75" customHeight="1" x14ac:dyDescent="0.2">
      <c r="A14" s="4" t="s">
        <v>28</v>
      </c>
      <c r="B14" s="4"/>
      <c r="C14" s="24">
        <v>0</v>
      </c>
      <c r="D14" s="24">
        <v>21.51</v>
      </c>
      <c r="F14" s="1"/>
      <c r="G14" s="1"/>
      <c r="I14" s="24">
        <v>0</v>
      </c>
      <c r="J14" s="24">
        <v>20.87</v>
      </c>
      <c r="L14" s="1"/>
      <c r="M14" s="1"/>
      <c r="O14" s="191">
        <f t="shared" si="0"/>
        <v>0</v>
      </c>
      <c r="P14" s="191">
        <f t="shared" si="1"/>
        <v>21.498187000000001</v>
      </c>
      <c r="R14" s="194">
        <f t="shared" si="2"/>
        <v>0</v>
      </c>
      <c r="S14" s="194">
        <f t="shared" si="3"/>
        <v>-1.1813000000000073E-2</v>
      </c>
      <c r="T14" s="5"/>
      <c r="U14" s="5"/>
      <c r="X14" s="6"/>
      <c r="Y14" s="6"/>
    </row>
    <row r="15" spans="1:55" ht="12.75" customHeight="1" x14ac:dyDescent="0.2">
      <c r="A15" s="10"/>
      <c r="B15" s="5"/>
      <c r="C15" s="16">
        <v>1584.89</v>
      </c>
      <c r="D15" s="16">
        <v>55.55</v>
      </c>
      <c r="F15" s="16"/>
      <c r="G15" s="16"/>
      <c r="I15" s="16">
        <f>SUM(I12:I14)</f>
        <v>1538.5400000000002</v>
      </c>
      <c r="J15" s="16">
        <f>SUM(J12:J14)</f>
        <v>53.930000000000007</v>
      </c>
      <c r="L15" s="16"/>
      <c r="M15" s="16"/>
      <c r="O15" s="191">
        <f>I15*(1+$C$5)</f>
        <v>1584.8500540000002</v>
      </c>
      <c r="P15" s="191">
        <f>J15*(1+$C$5)</f>
        <v>55.553293000000011</v>
      </c>
      <c r="R15" s="194">
        <f t="shared" si="2"/>
        <v>-3.9945999999872583E-2</v>
      </c>
      <c r="S15" s="194">
        <f t="shared" si="3"/>
        <v>3.2930000000135351E-3</v>
      </c>
      <c r="T15" s="5"/>
      <c r="U15" s="5"/>
      <c r="X15" s="6"/>
      <c r="Y15" s="6"/>
    </row>
    <row r="16" spans="1:55" ht="12.75" customHeight="1" x14ac:dyDescent="0.2">
      <c r="A16" s="10" t="s">
        <v>29</v>
      </c>
      <c r="B16" s="5"/>
      <c r="C16" s="16"/>
      <c r="D16" s="16"/>
      <c r="F16" s="16"/>
      <c r="G16" s="16"/>
      <c r="I16" s="16"/>
      <c r="J16" s="16"/>
      <c r="L16" s="16"/>
      <c r="M16" s="16"/>
      <c r="S16" s="5"/>
      <c r="T16" s="5"/>
      <c r="U16" s="5"/>
      <c r="X16" s="6"/>
      <c r="Y16" s="6"/>
    </row>
    <row r="17" spans="1:25" ht="12.75" customHeight="1" x14ac:dyDescent="0.2">
      <c r="A17" s="4" t="s">
        <v>30</v>
      </c>
      <c r="B17" s="4"/>
      <c r="C17" s="24">
        <v>99.240000000000009</v>
      </c>
      <c r="D17" s="24">
        <v>1.73</v>
      </c>
      <c r="F17" s="1"/>
      <c r="G17" s="1"/>
      <c r="I17" s="24">
        <v>96.3</v>
      </c>
      <c r="J17" s="24">
        <v>1.68</v>
      </c>
      <c r="L17" s="1"/>
      <c r="M17" s="1"/>
      <c r="O17" s="191">
        <f t="shared" ref="O17:O20" si="4">ROUND((I17*(1+$C$5)),2)</f>
        <v>99.2</v>
      </c>
      <c r="P17" s="191">
        <f t="shared" ref="P17:P20" si="5">ROUND((J17*(1+$C$5)),2)</f>
        <v>1.73</v>
      </c>
      <c r="R17" s="194">
        <f t="shared" ref="R17:R20" si="6">O17-C17</f>
        <v>-4.0000000000006253E-2</v>
      </c>
      <c r="S17" s="194">
        <f t="shared" ref="S17:S20" si="7">P17-D17</f>
        <v>0</v>
      </c>
      <c r="T17" s="5"/>
      <c r="U17" s="5"/>
      <c r="X17" s="6"/>
      <c r="Y17" s="6"/>
    </row>
    <row r="18" spans="1:25" ht="12.75" customHeight="1" x14ac:dyDescent="0.2">
      <c r="A18" s="4" t="s">
        <v>31</v>
      </c>
      <c r="B18" s="4"/>
      <c r="C18" s="24">
        <v>34.800000000000004</v>
      </c>
      <c r="D18" s="24">
        <v>7.22</v>
      </c>
      <c r="F18" s="1"/>
      <c r="G18" s="1"/>
      <c r="I18" s="24">
        <v>33.79</v>
      </c>
      <c r="J18" s="24">
        <v>7.01</v>
      </c>
      <c r="L18" s="1"/>
      <c r="M18" s="1"/>
      <c r="O18" s="191">
        <f t="shared" si="4"/>
        <v>34.81</v>
      </c>
      <c r="P18" s="191">
        <f t="shared" si="5"/>
        <v>7.22</v>
      </c>
      <c r="R18" s="194">
        <f t="shared" si="6"/>
        <v>9.9999999999980105E-3</v>
      </c>
      <c r="S18" s="194">
        <f t="shared" si="7"/>
        <v>0</v>
      </c>
      <c r="T18" s="5"/>
      <c r="U18" s="5"/>
      <c r="X18" s="6"/>
      <c r="Y18" s="6"/>
    </row>
    <row r="19" spans="1:25" ht="12.75" customHeight="1" x14ac:dyDescent="0.2">
      <c r="A19" s="4" t="s">
        <v>46</v>
      </c>
      <c r="B19" s="4"/>
      <c r="C19" s="24">
        <v>45.39</v>
      </c>
      <c r="D19" s="24">
        <v>0.5</v>
      </c>
      <c r="F19" s="1"/>
      <c r="G19" s="1"/>
      <c r="I19" s="24">
        <v>44.06</v>
      </c>
      <c r="J19" s="24">
        <v>0.49</v>
      </c>
      <c r="L19" s="1"/>
      <c r="M19" s="1"/>
      <c r="O19" s="191">
        <f t="shared" si="4"/>
        <v>45.39</v>
      </c>
      <c r="P19" s="191">
        <f t="shared" si="5"/>
        <v>0.5</v>
      </c>
      <c r="R19" s="194">
        <f t="shared" si="6"/>
        <v>0</v>
      </c>
      <c r="S19" s="194">
        <f t="shared" si="7"/>
        <v>0</v>
      </c>
      <c r="T19" s="5"/>
      <c r="U19" s="5"/>
      <c r="X19" s="6"/>
      <c r="Y19" s="6"/>
    </row>
    <row r="20" spans="1:25" ht="12.75" customHeight="1" x14ac:dyDescent="0.2">
      <c r="A20" s="10"/>
      <c r="B20" s="5"/>
      <c r="C20" s="16">
        <v>179.43</v>
      </c>
      <c r="D20" s="16">
        <v>9.4499999999999993</v>
      </c>
      <c r="F20" s="17"/>
      <c r="G20" s="17"/>
      <c r="I20" s="16">
        <f>SUM(I17:I19)</f>
        <v>174.15</v>
      </c>
      <c r="J20" s="16">
        <f>SUM(J17:J19)</f>
        <v>9.18</v>
      </c>
      <c r="L20" s="17"/>
      <c r="M20" s="17"/>
      <c r="O20" s="191">
        <f t="shared" si="4"/>
        <v>179.39</v>
      </c>
      <c r="P20" s="191">
        <f t="shared" si="5"/>
        <v>9.4600000000000009</v>
      </c>
      <c r="R20" s="194">
        <f t="shared" si="6"/>
        <v>-4.0000000000020464E-2</v>
      </c>
      <c r="S20" s="194">
        <f t="shared" si="7"/>
        <v>1.0000000000001563E-2</v>
      </c>
      <c r="T20" s="5"/>
      <c r="U20" s="5"/>
      <c r="X20" s="6"/>
      <c r="Y20" s="6"/>
    </row>
    <row r="21" spans="1:25" ht="12.75" customHeight="1" x14ac:dyDescent="0.2">
      <c r="A21" s="10"/>
      <c r="B21" s="5"/>
      <c r="C21" s="17"/>
      <c r="D21" s="17"/>
      <c r="F21" s="17"/>
      <c r="G21" s="17"/>
      <c r="I21" s="17"/>
      <c r="J21" s="17"/>
      <c r="L21" s="17"/>
      <c r="M21" s="17"/>
      <c r="S21" s="5"/>
      <c r="T21" s="5"/>
      <c r="U21" s="5"/>
      <c r="X21" s="6"/>
      <c r="Y21" s="6"/>
    </row>
    <row r="22" spans="1:25" ht="12.75" customHeight="1" x14ac:dyDescent="0.2">
      <c r="A22" s="10" t="s">
        <v>47</v>
      </c>
      <c r="B22" s="4"/>
      <c r="C22" s="24">
        <v>410.88</v>
      </c>
      <c r="D22" s="24">
        <v>2.23</v>
      </c>
      <c r="F22" s="1"/>
      <c r="G22" s="1"/>
      <c r="I22" s="24">
        <v>398.87</v>
      </c>
      <c r="J22" s="24">
        <v>2.16</v>
      </c>
      <c r="L22" s="1"/>
      <c r="M22" s="1"/>
      <c r="O22" s="191">
        <f t="shared" ref="O22:P22" si="8">ROUND((I22*(1+$C$5)),2)</f>
        <v>410.88</v>
      </c>
      <c r="P22" s="191">
        <f t="shared" si="8"/>
        <v>2.23</v>
      </c>
      <c r="R22" s="194">
        <f>O22-C22</f>
        <v>0</v>
      </c>
      <c r="S22" s="194">
        <f>P22-D22</f>
        <v>0</v>
      </c>
      <c r="T22" s="5"/>
      <c r="U22" s="5"/>
      <c r="X22" s="6"/>
      <c r="Y22" s="6"/>
    </row>
    <row r="23" spans="1:25" ht="12.75" customHeight="1" x14ac:dyDescent="0.2">
      <c r="A23" s="10"/>
      <c r="B23" s="4"/>
      <c r="C23" s="1"/>
      <c r="D23" s="1"/>
      <c r="F23" s="1"/>
      <c r="G23" s="1"/>
      <c r="I23" s="1"/>
      <c r="J23" s="1"/>
      <c r="L23" s="1"/>
      <c r="M23" s="1"/>
      <c r="S23" s="5"/>
      <c r="T23" s="5"/>
      <c r="U23" s="5"/>
      <c r="X23" s="6"/>
      <c r="Y23" s="6"/>
    </row>
    <row r="24" spans="1:25" ht="12.75" customHeight="1" x14ac:dyDescent="0.2">
      <c r="A24" s="5" t="s">
        <v>48</v>
      </c>
      <c r="B24" s="5"/>
      <c r="C24" s="17">
        <v>2175.2000000000003</v>
      </c>
      <c r="D24" s="17">
        <v>67.23</v>
      </c>
      <c r="F24" s="17"/>
      <c r="G24" s="17"/>
      <c r="I24" s="17">
        <f>I15+I20+I22</f>
        <v>2111.5600000000004</v>
      </c>
      <c r="J24" s="17">
        <f>J15+J20+J22</f>
        <v>65.27000000000001</v>
      </c>
      <c r="L24" s="17"/>
      <c r="M24" s="17"/>
      <c r="O24" s="191">
        <f t="shared" ref="O24:P24" si="9">ROUND((I24*(1+$C$5)),2)</f>
        <v>2175.12</v>
      </c>
      <c r="P24" s="191">
        <f t="shared" si="9"/>
        <v>67.23</v>
      </c>
      <c r="R24" s="194">
        <f>O24-C24</f>
        <v>-8.0000000000381988E-2</v>
      </c>
      <c r="S24" s="194">
        <f>P24-D24</f>
        <v>0</v>
      </c>
      <c r="T24" s="5"/>
      <c r="U24" s="5"/>
      <c r="X24" s="6"/>
      <c r="Y24" s="6"/>
    </row>
    <row r="25" spans="1:25" ht="12.75" customHeight="1" x14ac:dyDescent="0.2">
      <c r="A25" s="10"/>
      <c r="B25" s="4"/>
      <c r="C25" s="1"/>
      <c r="D25" s="1"/>
      <c r="F25" s="1"/>
      <c r="G25" s="1"/>
      <c r="I25" s="1"/>
      <c r="J25" s="1"/>
      <c r="L25" s="1"/>
      <c r="M25" s="1"/>
      <c r="S25" s="5"/>
      <c r="T25" s="5"/>
      <c r="U25" s="5"/>
      <c r="X25" s="6"/>
      <c r="Y25" s="6"/>
    </row>
    <row r="26" spans="1:25" ht="12.75" customHeight="1" x14ac:dyDescent="0.2">
      <c r="A26" s="12" t="s">
        <v>34</v>
      </c>
      <c r="B26" s="4"/>
      <c r="C26" s="18" t="s">
        <v>51</v>
      </c>
      <c r="D26" s="18" t="s">
        <v>50</v>
      </c>
      <c r="F26" s="18"/>
      <c r="G26" s="18"/>
      <c r="I26" s="18" t="s">
        <v>51</v>
      </c>
      <c r="J26" s="18" t="s">
        <v>50</v>
      </c>
      <c r="L26" s="18"/>
      <c r="M26" s="18"/>
      <c r="S26" s="5"/>
      <c r="T26" s="5"/>
      <c r="U26" s="5"/>
      <c r="X26" s="6"/>
      <c r="Y26" s="6"/>
    </row>
    <row r="27" spans="1:25" ht="12.75" customHeight="1" x14ac:dyDescent="0.2">
      <c r="A27" s="10" t="s">
        <v>35</v>
      </c>
      <c r="B27" s="4"/>
      <c r="C27" s="18"/>
      <c r="D27" s="18"/>
      <c r="F27" s="18"/>
      <c r="G27" s="18"/>
      <c r="I27" s="18"/>
      <c r="J27" s="18"/>
      <c r="L27" s="18"/>
      <c r="M27" s="18"/>
      <c r="S27" s="5"/>
      <c r="T27" s="5"/>
      <c r="U27" s="5"/>
      <c r="X27" s="6"/>
      <c r="Y27" s="6"/>
    </row>
    <row r="28" spans="1:25" ht="12.75" customHeight="1" x14ac:dyDescent="0.2">
      <c r="A28" s="4" t="s">
        <v>36</v>
      </c>
      <c r="B28" s="4"/>
      <c r="C28" s="24">
        <v>10.84</v>
      </c>
      <c r="D28" s="24">
        <v>2.0299999999999998</v>
      </c>
      <c r="F28" s="1"/>
      <c r="G28" s="1"/>
      <c r="I28" s="24">
        <v>10.52</v>
      </c>
      <c r="J28" s="24">
        <v>1.97</v>
      </c>
      <c r="L28" s="1"/>
      <c r="M28" s="1"/>
      <c r="O28" s="191">
        <f t="shared" ref="O28:O40" si="10">ROUND((I28*(1+$C$5)),2)</f>
        <v>10.84</v>
      </c>
      <c r="P28" s="191">
        <f t="shared" ref="P28:P40" si="11">ROUND((J28*(1+$C$5)),2)</f>
        <v>2.0299999999999998</v>
      </c>
      <c r="R28" s="194">
        <f t="shared" ref="R28:R40" si="12">O28-C28</f>
        <v>0</v>
      </c>
      <c r="S28" s="194">
        <f t="shared" ref="S28:S40" si="13">P28-D28</f>
        <v>0</v>
      </c>
      <c r="T28" s="5"/>
      <c r="U28" s="5"/>
      <c r="X28" s="6"/>
      <c r="Y28" s="6"/>
    </row>
    <row r="29" spans="1:25" ht="12.75" customHeight="1" x14ac:dyDescent="0.2">
      <c r="A29" s="4" t="s">
        <v>49</v>
      </c>
      <c r="B29" s="4"/>
      <c r="C29" s="24">
        <v>10.84</v>
      </c>
      <c r="D29" s="24">
        <v>1.1299999999999999</v>
      </c>
      <c r="F29" s="1"/>
      <c r="G29" s="1"/>
      <c r="I29" s="24">
        <v>10.52</v>
      </c>
      <c r="J29" s="24">
        <v>1.1000000000000001</v>
      </c>
      <c r="L29" s="1"/>
      <c r="M29" s="1"/>
      <c r="O29" s="191">
        <f t="shared" si="10"/>
        <v>10.84</v>
      </c>
      <c r="P29" s="191">
        <f t="shared" si="11"/>
        <v>1.1299999999999999</v>
      </c>
      <c r="R29" s="194">
        <f t="shared" si="12"/>
        <v>0</v>
      </c>
      <c r="S29" s="194">
        <f t="shared" si="13"/>
        <v>0</v>
      </c>
      <c r="T29" s="5"/>
      <c r="U29" s="5"/>
      <c r="X29" s="6"/>
      <c r="Y29" s="6"/>
    </row>
    <row r="30" spans="1:25" ht="12.75" customHeight="1" x14ac:dyDescent="0.2">
      <c r="A30" s="4" t="s">
        <v>37</v>
      </c>
      <c r="B30" s="4"/>
      <c r="C30" s="24">
        <v>30.22</v>
      </c>
      <c r="D30" s="24">
        <v>0.14000000000000001</v>
      </c>
      <c r="F30" s="1"/>
      <c r="G30" s="1"/>
      <c r="I30" s="24">
        <v>29.34</v>
      </c>
      <c r="J30" s="24">
        <v>0.14000000000000001</v>
      </c>
      <c r="L30" s="1"/>
      <c r="M30" s="1"/>
      <c r="O30" s="191">
        <f t="shared" si="10"/>
        <v>30.22</v>
      </c>
      <c r="P30" s="191">
        <f t="shared" si="11"/>
        <v>0.14000000000000001</v>
      </c>
      <c r="R30" s="194">
        <f t="shared" si="12"/>
        <v>0</v>
      </c>
      <c r="S30" s="194">
        <f t="shared" si="13"/>
        <v>0</v>
      </c>
      <c r="T30" s="5"/>
      <c r="U30" s="5"/>
      <c r="X30" s="6"/>
      <c r="Y30" s="6"/>
    </row>
    <row r="31" spans="1:25" ht="12.75" customHeight="1" x14ac:dyDescent="0.2">
      <c r="A31" s="4" t="s">
        <v>38</v>
      </c>
      <c r="B31" s="4"/>
      <c r="C31" s="24">
        <v>111.53</v>
      </c>
      <c r="D31" s="24">
        <v>4.6500000000000004</v>
      </c>
      <c r="F31" s="1"/>
      <c r="G31" s="1"/>
      <c r="I31" s="24">
        <v>108.27</v>
      </c>
      <c r="J31" s="24">
        <v>4.51</v>
      </c>
      <c r="L31" s="1"/>
      <c r="M31" s="1"/>
      <c r="O31" s="191">
        <f t="shared" si="10"/>
        <v>111.53</v>
      </c>
      <c r="P31" s="191">
        <f t="shared" si="11"/>
        <v>4.6500000000000004</v>
      </c>
      <c r="R31" s="194">
        <f t="shared" si="12"/>
        <v>0</v>
      </c>
      <c r="S31" s="194">
        <f t="shared" si="13"/>
        <v>0</v>
      </c>
      <c r="T31" s="5"/>
      <c r="U31" s="5"/>
      <c r="X31" s="6"/>
      <c r="Y31" s="6"/>
    </row>
    <row r="32" spans="1:25" ht="12.75" customHeight="1" x14ac:dyDescent="0.2">
      <c r="A32" s="4" t="s">
        <v>8</v>
      </c>
      <c r="B32" s="4"/>
      <c r="C32" s="24">
        <v>325.45999999999998</v>
      </c>
      <c r="D32" s="24">
        <v>21.62</v>
      </c>
      <c r="F32" s="1"/>
      <c r="G32" s="1"/>
      <c r="I32" s="195">
        <v>315.95</v>
      </c>
      <c r="J32" s="195">
        <v>20.98</v>
      </c>
      <c r="L32" s="1"/>
      <c r="M32" s="1"/>
      <c r="N32" s="227"/>
      <c r="O32" s="191">
        <f t="shared" si="10"/>
        <v>325.45999999999998</v>
      </c>
      <c r="P32" s="191">
        <f t="shared" si="11"/>
        <v>21.61</v>
      </c>
      <c r="R32" s="194">
        <f t="shared" si="12"/>
        <v>0</v>
      </c>
      <c r="S32" s="194">
        <f t="shared" si="13"/>
        <v>-1.0000000000001563E-2</v>
      </c>
      <c r="T32" s="5"/>
      <c r="U32" s="5"/>
      <c r="X32" s="6"/>
      <c r="Y32" s="6"/>
    </row>
    <row r="33" spans="1:25" ht="12.75" customHeight="1" x14ac:dyDescent="0.2">
      <c r="A33" s="4" t="s">
        <v>9</v>
      </c>
      <c r="B33" s="4"/>
      <c r="C33" s="24">
        <v>0</v>
      </c>
      <c r="D33" s="24">
        <v>27.53</v>
      </c>
      <c r="F33" s="1"/>
      <c r="G33" s="1"/>
      <c r="I33" s="195">
        <v>0</v>
      </c>
      <c r="J33" s="195">
        <v>26.72</v>
      </c>
      <c r="L33" s="1"/>
      <c r="M33" s="1"/>
      <c r="N33" s="227"/>
      <c r="O33" s="191">
        <f t="shared" si="10"/>
        <v>0</v>
      </c>
      <c r="P33" s="191">
        <f t="shared" si="11"/>
        <v>27.52</v>
      </c>
      <c r="R33" s="194">
        <f t="shared" si="12"/>
        <v>0</v>
      </c>
      <c r="S33" s="194">
        <f t="shared" si="13"/>
        <v>-1.0000000000001563E-2</v>
      </c>
      <c r="T33" s="5"/>
      <c r="U33" s="5"/>
      <c r="X33" s="6"/>
      <c r="Y33" s="6"/>
    </row>
    <row r="34" spans="1:25" ht="12.75" customHeight="1" x14ac:dyDescent="0.2">
      <c r="A34" s="4" t="s">
        <v>69</v>
      </c>
      <c r="B34" s="4"/>
      <c r="C34" s="24">
        <v>561.66</v>
      </c>
      <c r="D34" s="24">
        <v>8.6</v>
      </c>
      <c r="F34" s="1">
        <f>SUM(C32:C34)</f>
        <v>887.11999999999989</v>
      </c>
      <c r="G34" s="1">
        <f>SUM(D32:D34)</f>
        <v>57.750000000000007</v>
      </c>
      <c r="H34" s="1"/>
      <c r="I34" s="195">
        <v>545.26</v>
      </c>
      <c r="J34" s="195">
        <v>8.35</v>
      </c>
      <c r="L34" s="1"/>
      <c r="M34" s="1"/>
      <c r="N34" s="227"/>
      <c r="O34" s="191">
        <f t="shared" si="10"/>
        <v>561.66999999999996</v>
      </c>
      <c r="P34" s="191">
        <f t="shared" si="11"/>
        <v>8.6</v>
      </c>
      <c r="R34" s="194">
        <f t="shared" si="12"/>
        <v>9.9999999999909051E-3</v>
      </c>
      <c r="S34" s="194">
        <f t="shared" si="13"/>
        <v>0</v>
      </c>
      <c r="T34" s="5"/>
      <c r="U34" s="5"/>
      <c r="X34" s="6"/>
      <c r="Y34" s="6"/>
    </row>
    <row r="35" spans="1:25" ht="12.75" customHeight="1" x14ac:dyDescent="0.2">
      <c r="A35" s="4" t="s">
        <v>39</v>
      </c>
      <c r="B35" s="4"/>
      <c r="C35" s="24">
        <v>130.30000000000001</v>
      </c>
      <c r="D35" s="24">
        <v>0.23</v>
      </c>
      <c r="F35" s="226"/>
      <c r="G35" s="226"/>
      <c r="I35" s="24">
        <v>126.49</v>
      </c>
      <c r="J35" s="24">
        <v>0.22</v>
      </c>
      <c r="L35" s="226"/>
      <c r="M35" s="226"/>
      <c r="O35" s="191">
        <f t="shared" si="10"/>
        <v>130.30000000000001</v>
      </c>
      <c r="P35" s="191">
        <f t="shared" si="11"/>
        <v>0.23</v>
      </c>
      <c r="R35" s="194">
        <f t="shared" si="12"/>
        <v>0</v>
      </c>
      <c r="S35" s="194">
        <f t="shared" si="13"/>
        <v>0</v>
      </c>
      <c r="T35" s="5"/>
      <c r="U35" s="5"/>
      <c r="X35" s="6"/>
      <c r="Y35" s="6"/>
    </row>
    <row r="36" spans="1:25" ht="12.75" customHeight="1" x14ac:dyDescent="0.2">
      <c r="A36" s="4" t="s">
        <v>5</v>
      </c>
      <c r="B36" s="4"/>
      <c r="C36" s="241">
        <v>1971.29</v>
      </c>
      <c r="D36" s="241">
        <v>50.34</v>
      </c>
      <c r="F36" s="1"/>
      <c r="G36" s="1"/>
      <c r="I36" s="195">
        <v>1913.68</v>
      </c>
      <c r="J36" s="195">
        <v>48.85</v>
      </c>
      <c r="L36" s="1"/>
      <c r="M36" s="1"/>
      <c r="O36" s="191">
        <f t="shared" si="10"/>
        <v>1971.28</v>
      </c>
      <c r="P36" s="191">
        <f t="shared" si="11"/>
        <v>50.32</v>
      </c>
      <c r="R36" s="194">
        <f t="shared" si="12"/>
        <v>-9.9999999999909051E-3</v>
      </c>
      <c r="S36" s="194">
        <f t="shared" si="13"/>
        <v>-2.0000000000003126E-2</v>
      </c>
      <c r="T36" s="5"/>
      <c r="U36" s="5"/>
      <c r="X36" s="6"/>
      <c r="Y36" s="6"/>
    </row>
    <row r="37" spans="1:25" ht="12.75" customHeight="1" x14ac:dyDescent="0.2">
      <c r="A37" s="4" t="s">
        <v>7</v>
      </c>
      <c r="B37" s="4"/>
      <c r="C37" s="241">
        <v>2053.1</v>
      </c>
      <c r="D37" s="241">
        <v>67</v>
      </c>
      <c r="F37" s="1"/>
      <c r="G37" s="1"/>
      <c r="I37" s="195">
        <v>1993.09</v>
      </c>
      <c r="J37" s="195">
        <v>65.03</v>
      </c>
      <c r="L37" s="1"/>
      <c r="M37" s="1"/>
      <c r="O37" s="191">
        <f t="shared" si="10"/>
        <v>2053.08</v>
      </c>
      <c r="P37" s="191">
        <f t="shared" si="11"/>
        <v>66.989999999999995</v>
      </c>
      <c r="R37" s="194">
        <f t="shared" si="12"/>
        <v>-1.999999999998181E-2</v>
      </c>
      <c r="S37" s="194">
        <f t="shared" si="13"/>
        <v>-1.0000000000005116E-2</v>
      </c>
      <c r="T37" s="5"/>
      <c r="U37" s="5"/>
      <c r="X37" s="6"/>
      <c r="Y37" s="6"/>
    </row>
    <row r="38" spans="1:25" ht="12.75" customHeight="1" x14ac:dyDescent="0.2">
      <c r="A38" s="4" t="s">
        <v>6</v>
      </c>
      <c r="B38" s="4"/>
      <c r="C38" s="24">
        <v>2001.45</v>
      </c>
      <c r="D38" s="24">
        <v>101.1</v>
      </c>
      <c r="F38" s="1">
        <f>SUM(C36:C38)</f>
        <v>6025.84</v>
      </c>
      <c r="G38" s="1">
        <f>SUM(D36:D38)</f>
        <v>218.44</v>
      </c>
      <c r="I38" s="195">
        <v>1942.95</v>
      </c>
      <c r="J38" s="195">
        <v>98.13</v>
      </c>
      <c r="L38" s="1"/>
      <c r="M38" s="1"/>
      <c r="O38" s="191">
        <f t="shared" si="10"/>
        <v>2001.43</v>
      </c>
      <c r="P38" s="191">
        <f t="shared" si="11"/>
        <v>101.08</v>
      </c>
      <c r="R38" s="194">
        <f t="shared" si="12"/>
        <v>-1.999999999998181E-2</v>
      </c>
      <c r="S38" s="194">
        <f t="shared" si="13"/>
        <v>-1.9999999999996021E-2</v>
      </c>
      <c r="T38" s="5"/>
      <c r="U38" s="5"/>
      <c r="X38" s="6"/>
      <c r="Y38" s="6"/>
    </row>
    <row r="39" spans="1:25" ht="12.75" customHeight="1" x14ac:dyDescent="0.2">
      <c r="A39" s="4" t="s">
        <v>40</v>
      </c>
      <c r="B39" s="4"/>
      <c r="C39" s="24">
        <v>988.1</v>
      </c>
      <c r="D39" s="24">
        <v>17.079999999999998</v>
      </c>
      <c r="F39" s="226"/>
      <c r="G39" s="226"/>
      <c r="I39" s="24">
        <v>959.28</v>
      </c>
      <c r="J39" s="24">
        <v>16.7</v>
      </c>
      <c r="L39" s="226"/>
      <c r="M39" s="226"/>
      <c r="O39" s="191">
        <f t="shared" si="10"/>
        <v>988.15</v>
      </c>
      <c r="P39" s="191">
        <f t="shared" si="11"/>
        <v>17.2</v>
      </c>
      <c r="R39" s="194">
        <f t="shared" si="12"/>
        <v>4.9999999999954525E-2</v>
      </c>
      <c r="S39" s="194">
        <f t="shared" si="13"/>
        <v>0.12000000000000099</v>
      </c>
      <c r="T39" s="5"/>
      <c r="U39" s="5"/>
      <c r="X39" s="6"/>
      <c r="Y39" s="6"/>
    </row>
    <row r="40" spans="1:25" ht="12.75" customHeight="1" x14ac:dyDescent="0.2">
      <c r="A40" s="10" t="s">
        <v>24</v>
      </c>
      <c r="B40" s="5"/>
      <c r="C40" s="17">
        <v>8194.7899999999991</v>
      </c>
      <c r="D40" s="17">
        <v>301.45</v>
      </c>
      <c r="E40" s="197"/>
      <c r="F40" s="223"/>
      <c r="G40" s="223"/>
      <c r="I40" s="17">
        <f>SUM(I28:I39)</f>
        <v>7955.3499999999995</v>
      </c>
      <c r="J40" s="17">
        <f>SUM(J28:J39)</f>
        <v>292.7</v>
      </c>
      <c r="K40" s="197"/>
      <c r="L40" s="223"/>
      <c r="M40" s="223"/>
      <c r="O40" s="191">
        <f t="shared" si="10"/>
        <v>8194.81</v>
      </c>
      <c r="P40" s="191">
        <f t="shared" si="11"/>
        <v>301.51</v>
      </c>
      <c r="R40" s="194">
        <f t="shared" si="12"/>
        <v>2.0000000000436557E-2</v>
      </c>
      <c r="S40" s="194">
        <f t="shared" si="13"/>
        <v>6.0000000000002274E-2</v>
      </c>
      <c r="T40" s="5"/>
      <c r="U40" s="5"/>
      <c r="X40" s="6"/>
      <c r="Y40" s="6"/>
    </row>
    <row r="41" spans="1:25" ht="12.75" customHeight="1" x14ac:dyDescent="0.2">
      <c r="A41" s="10" t="s">
        <v>41</v>
      </c>
      <c r="B41" s="4"/>
      <c r="C41" s="1"/>
      <c r="D41" s="1"/>
      <c r="E41" s="197"/>
      <c r="F41" s="192"/>
      <c r="G41" s="192"/>
      <c r="I41" s="1"/>
      <c r="J41" s="1"/>
      <c r="K41" s="197"/>
      <c r="L41" s="192"/>
      <c r="M41" s="192"/>
      <c r="S41" s="5"/>
      <c r="T41" s="5"/>
      <c r="U41" s="5"/>
      <c r="X41" s="6"/>
      <c r="Y41" s="6"/>
    </row>
    <row r="42" spans="1:25" ht="12.75" customHeight="1" x14ac:dyDescent="0.2">
      <c r="A42" s="4" t="s">
        <v>42</v>
      </c>
      <c r="B42" s="4"/>
      <c r="C42" s="24">
        <v>3870.69</v>
      </c>
      <c r="D42" s="24">
        <v>22.63</v>
      </c>
      <c r="E42" s="197"/>
      <c r="F42" s="192"/>
      <c r="G42" s="192"/>
      <c r="I42" s="24">
        <v>3757.57</v>
      </c>
      <c r="J42" s="24">
        <v>21.97</v>
      </c>
      <c r="K42" s="197"/>
      <c r="L42" s="192"/>
      <c r="M42" s="192"/>
      <c r="O42" s="191">
        <f t="shared" ref="O42:O45" si="14">ROUND((I42*(1+$C$5)),2)</f>
        <v>3870.67</v>
      </c>
      <c r="P42" s="191">
        <f t="shared" ref="P42:P45" si="15">ROUND((J42*(1+$C$5)),2)</f>
        <v>22.63</v>
      </c>
      <c r="R42" s="194">
        <f t="shared" ref="R42:R45" si="16">O42-C42</f>
        <v>-1.999999999998181E-2</v>
      </c>
      <c r="S42" s="194">
        <f t="shared" ref="S42:S45" si="17">P42-D42</f>
        <v>0</v>
      </c>
      <c r="T42" s="5"/>
      <c r="U42" s="5"/>
      <c r="X42" s="6"/>
      <c r="Y42" s="6"/>
    </row>
    <row r="43" spans="1:25" ht="12.75" customHeight="1" x14ac:dyDescent="0.2">
      <c r="A43" s="4" t="s">
        <v>43</v>
      </c>
      <c r="B43" s="4"/>
      <c r="C43" s="24">
        <v>573.85</v>
      </c>
      <c r="D43" s="24">
        <v>4</v>
      </c>
      <c r="E43" s="197"/>
      <c r="F43" s="192"/>
      <c r="G43" s="192"/>
      <c r="I43" s="24">
        <v>557.08000000000004</v>
      </c>
      <c r="J43" s="24">
        <v>3.88</v>
      </c>
      <c r="K43" s="197"/>
      <c r="L43" s="192"/>
      <c r="M43" s="192"/>
      <c r="O43" s="191">
        <f t="shared" si="14"/>
        <v>573.85</v>
      </c>
      <c r="P43" s="191">
        <f t="shared" si="15"/>
        <v>4</v>
      </c>
      <c r="R43" s="194">
        <f t="shared" si="16"/>
        <v>0</v>
      </c>
      <c r="S43" s="194">
        <f t="shared" si="17"/>
        <v>0</v>
      </c>
      <c r="T43" s="5"/>
      <c r="U43" s="5"/>
      <c r="X43" s="6"/>
      <c r="Y43" s="6"/>
    </row>
    <row r="44" spans="1:25" ht="12.75" customHeight="1" x14ac:dyDescent="0.2">
      <c r="A44" s="4" t="s">
        <v>44</v>
      </c>
      <c r="B44" s="4"/>
      <c r="C44" s="24">
        <v>2137.3000000000002</v>
      </c>
      <c r="D44" s="24">
        <v>29.69</v>
      </c>
      <c r="E44" s="197"/>
      <c r="F44" s="192"/>
      <c r="G44" s="192"/>
      <c r="I44" s="24">
        <v>2074.83</v>
      </c>
      <c r="J44" s="24">
        <v>28.8</v>
      </c>
      <c r="K44" s="197"/>
      <c r="L44" s="192"/>
      <c r="M44" s="192"/>
      <c r="O44" s="191">
        <f t="shared" si="14"/>
        <v>2137.2800000000002</v>
      </c>
      <c r="P44" s="191">
        <f t="shared" si="15"/>
        <v>29.67</v>
      </c>
      <c r="R44" s="194">
        <f t="shared" si="16"/>
        <v>-1.999999999998181E-2</v>
      </c>
      <c r="S44" s="194">
        <f t="shared" si="17"/>
        <v>-1.9999999999999574E-2</v>
      </c>
      <c r="T44" s="5"/>
      <c r="U44" s="5"/>
      <c r="X44" s="6"/>
      <c r="Y44" s="6"/>
    </row>
    <row r="45" spans="1:25" ht="12.75" customHeight="1" x14ac:dyDescent="0.2">
      <c r="A45" s="10" t="s">
        <v>24</v>
      </c>
      <c r="B45" s="5"/>
      <c r="C45" s="17">
        <v>6581.84</v>
      </c>
      <c r="D45" s="17">
        <v>56.32</v>
      </c>
      <c r="E45" s="197"/>
      <c r="F45" s="223"/>
      <c r="G45" s="223"/>
      <c r="I45" s="17">
        <f>SUM(I42:I44)</f>
        <v>6389.4800000000005</v>
      </c>
      <c r="J45" s="17">
        <f>SUM(J42:J44)</f>
        <v>54.65</v>
      </c>
      <c r="K45" s="197"/>
      <c r="L45" s="223"/>
      <c r="M45" s="223"/>
      <c r="O45" s="191">
        <f t="shared" si="14"/>
        <v>6581.8</v>
      </c>
      <c r="P45" s="191">
        <f t="shared" si="15"/>
        <v>56.29</v>
      </c>
      <c r="R45" s="194">
        <f t="shared" si="16"/>
        <v>-3.999999999996362E-2</v>
      </c>
      <c r="S45" s="194">
        <f t="shared" si="17"/>
        <v>-3.0000000000001137E-2</v>
      </c>
      <c r="T45" s="5"/>
      <c r="U45" s="5"/>
      <c r="X45" s="6"/>
      <c r="Y45" s="6"/>
    </row>
    <row r="46" spans="1:25" ht="12.75" customHeight="1" x14ac:dyDescent="0.2">
      <c r="A46" s="10"/>
      <c r="B46" s="5"/>
      <c r="C46" s="17"/>
      <c r="D46" s="17"/>
      <c r="E46" s="197"/>
      <c r="F46" s="223"/>
      <c r="G46" s="223"/>
      <c r="I46" s="17"/>
      <c r="J46" s="17"/>
      <c r="K46" s="197"/>
      <c r="L46" s="223"/>
      <c r="M46" s="223"/>
      <c r="S46" s="5"/>
      <c r="T46" s="5"/>
      <c r="U46" s="5"/>
      <c r="X46" s="6"/>
      <c r="Y46" s="6"/>
    </row>
    <row r="47" spans="1:25" ht="12.75" customHeight="1" x14ac:dyDescent="0.2">
      <c r="A47" s="12" t="s">
        <v>57</v>
      </c>
      <c r="B47" s="5"/>
      <c r="C47" s="17">
        <v>14776.63</v>
      </c>
      <c r="D47" s="17">
        <v>357.77</v>
      </c>
      <c r="E47" s="197"/>
      <c r="F47" s="242"/>
      <c r="G47" s="242"/>
      <c r="H47" s="192"/>
      <c r="I47" s="17">
        <f>+I40+I45</f>
        <v>14344.83</v>
      </c>
      <c r="J47" s="17">
        <f>+J40+J45</f>
        <v>347.34999999999997</v>
      </c>
      <c r="K47" s="197"/>
      <c r="L47" s="224"/>
      <c r="M47" s="224"/>
      <c r="N47" s="5"/>
      <c r="O47" s="191">
        <f t="shared" ref="O47:P47" si="18">ROUND((I47*(1+$C$5)),2)</f>
        <v>14776.61</v>
      </c>
      <c r="P47" s="191">
        <f t="shared" si="18"/>
        <v>357.81</v>
      </c>
      <c r="R47" s="194">
        <f>O47-C47</f>
        <v>-1.9999999998617568E-2</v>
      </c>
      <c r="S47" s="194">
        <f>P47-D47</f>
        <v>4.0000000000020464E-2</v>
      </c>
      <c r="T47" s="5"/>
      <c r="U47" s="5"/>
      <c r="X47" s="6"/>
      <c r="Y47" s="6"/>
    </row>
    <row r="48" spans="1:25" ht="12.75" customHeight="1" x14ac:dyDescent="0.2">
      <c r="A48" s="10"/>
      <c r="B48" s="4"/>
      <c r="C48" s="1"/>
      <c r="D48" s="1"/>
      <c r="F48" s="193"/>
      <c r="G48" s="193"/>
      <c r="I48" s="1"/>
      <c r="J48" s="1"/>
      <c r="L48" s="193"/>
      <c r="M48" s="193"/>
      <c r="S48" s="5"/>
      <c r="T48" s="5"/>
      <c r="U48" s="5"/>
      <c r="X48" s="6"/>
      <c r="Y48" s="6"/>
    </row>
    <row r="49" spans="1:25" ht="12.75" customHeight="1" x14ac:dyDescent="0.2">
      <c r="A49" s="12" t="s">
        <v>104</v>
      </c>
      <c r="B49" s="5"/>
      <c r="C49" s="17"/>
      <c r="D49" s="17"/>
      <c r="F49" s="17"/>
      <c r="G49" s="17"/>
      <c r="I49" s="17"/>
      <c r="J49" s="17"/>
      <c r="L49" s="17"/>
      <c r="M49" s="17"/>
      <c r="S49" s="5"/>
      <c r="T49" s="5"/>
      <c r="U49" s="5"/>
      <c r="X49" s="6"/>
      <c r="Y49" s="6"/>
    </row>
    <row r="50" spans="1:25" ht="12.75" customHeight="1" x14ac:dyDescent="0.2">
      <c r="A50" s="10" t="s">
        <v>55</v>
      </c>
      <c r="B50" s="4"/>
      <c r="C50" s="24">
        <v>122.43</v>
      </c>
      <c r="D50" s="24">
        <v>21.93</v>
      </c>
      <c r="F50" s="1"/>
      <c r="G50" s="1"/>
      <c r="I50" s="24">
        <v>118.85</v>
      </c>
      <c r="J50" s="24">
        <v>21.29</v>
      </c>
      <c r="L50" s="1"/>
      <c r="M50" s="1"/>
      <c r="O50" s="191">
        <f t="shared" ref="O50:P50" si="19">ROUND((I50*(1+$C$5)),2)</f>
        <v>122.43</v>
      </c>
      <c r="P50" s="191">
        <f t="shared" si="19"/>
        <v>21.93</v>
      </c>
      <c r="R50" s="194">
        <f>O50-C50</f>
        <v>0</v>
      </c>
      <c r="S50" s="194">
        <f>P50-D50</f>
        <v>0</v>
      </c>
      <c r="T50" s="5"/>
      <c r="U50" s="5"/>
      <c r="X50" s="6"/>
      <c r="Y50" s="6"/>
    </row>
    <row r="51" spans="1:25" ht="12.75" customHeight="1" x14ac:dyDescent="0.2">
      <c r="A51" s="10"/>
      <c r="B51" s="4"/>
      <c r="S51" s="5"/>
      <c r="T51" s="5"/>
      <c r="U51" s="5"/>
      <c r="X51" s="6"/>
      <c r="Y51" s="6"/>
    </row>
    <row r="52" spans="1:25" ht="12.75" customHeight="1" x14ac:dyDescent="0.2">
      <c r="C52" s="9"/>
      <c r="D52" s="9"/>
      <c r="X52" s="19"/>
      <c r="Y52" s="19"/>
    </row>
    <row r="53" spans="1:25" ht="12.75" customHeight="1" x14ac:dyDescent="0.2">
      <c r="A53" s="20" t="s">
        <v>67</v>
      </c>
      <c r="B53" s="4"/>
      <c r="C53" s="14"/>
      <c r="D53" s="3" t="s">
        <v>61</v>
      </c>
      <c r="E53" s="4" t="s">
        <v>1</v>
      </c>
      <c r="F53" s="4" t="s">
        <v>60</v>
      </c>
      <c r="G53" s="4" t="s">
        <v>2</v>
      </c>
      <c r="H53" s="21" t="s">
        <v>3</v>
      </c>
      <c r="I53" s="21" t="s">
        <v>4</v>
      </c>
    </row>
    <row r="54" spans="1:25" ht="12.75" customHeight="1" x14ac:dyDescent="0.2">
      <c r="A54" s="22" t="s">
        <v>58</v>
      </c>
      <c r="B54" s="4"/>
      <c r="C54" s="3">
        <v>0.05</v>
      </c>
      <c r="D54" s="9" t="s">
        <v>62</v>
      </c>
    </row>
    <row r="55" spans="1:25" ht="12.75" customHeight="1" x14ac:dyDescent="0.2">
      <c r="A55" s="3" t="s">
        <v>59</v>
      </c>
      <c r="B55" s="4"/>
      <c r="C55" s="3">
        <v>3.4299999999999997E-2</v>
      </c>
      <c r="D55" s="9">
        <v>0</v>
      </c>
      <c r="E55" s="9">
        <v>0</v>
      </c>
      <c r="F55" s="2">
        <v>0</v>
      </c>
    </row>
    <row r="56" spans="1:25" ht="12.75" customHeight="1" x14ac:dyDescent="0.2">
      <c r="A56" s="3" t="s">
        <v>63</v>
      </c>
      <c r="B56" s="4"/>
      <c r="C56" s="3">
        <v>1.5642</v>
      </c>
      <c r="D56" s="9">
        <v>375</v>
      </c>
      <c r="E56" s="23">
        <v>2</v>
      </c>
      <c r="F56" s="40">
        <v>27386</v>
      </c>
      <c r="K56" s="194"/>
    </row>
    <row r="57" spans="1:25" ht="12.75" customHeight="1" x14ac:dyDescent="0.2">
      <c r="A57" s="3" t="s">
        <v>64</v>
      </c>
      <c r="B57" s="4"/>
      <c r="C57" s="3">
        <v>1.15E-2</v>
      </c>
      <c r="D57" s="9">
        <v>495</v>
      </c>
      <c r="E57" s="23">
        <v>3</v>
      </c>
      <c r="F57" s="40">
        <v>35454</v>
      </c>
      <c r="G57" s="1">
        <f t="shared" ref="G57:G99" si="20">+F57-F56</f>
        <v>8068</v>
      </c>
      <c r="K57" s="194"/>
    </row>
    <row r="58" spans="1:25" ht="12.75" customHeight="1" x14ac:dyDescent="0.2">
      <c r="A58" s="4"/>
      <c r="B58" s="4"/>
      <c r="D58" s="9">
        <v>650</v>
      </c>
      <c r="E58" s="23">
        <v>4</v>
      </c>
      <c r="F58" s="40">
        <v>45875</v>
      </c>
      <c r="G58" s="1">
        <f t="shared" si="20"/>
        <v>10421</v>
      </c>
      <c r="K58" s="194"/>
    </row>
    <row r="59" spans="1:25" ht="12.75" customHeight="1" x14ac:dyDescent="0.2">
      <c r="A59" s="4"/>
      <c r="B59" s="4"/>
      <c r="D59" s="9">
        <v>785</v>
      </c>
      <c r="E59" s="23">
        <v>5</v>
      </c>
      <c r="F59" s="40">
        <v>54951</v>
      </c>
      <c r="G59" s="1">
        <f t="shared" si="20"/>
        <v>9076</v>
      </c>
      <c r="K59" s="194"/>
    </row>
    <row r="60" spans="1:25" ht="12.75" customHeight="1" x14ac:dyDescent="0.2">
      <c r="A60" s="4"/>
      <c r="B60" s="4"/>
      <c r="D60" s="9">
        <v>875</v>
      </c>
      <c r="E60" s="23">
        <v>6</v>
      </c>
      <c r="F60" s="40">
        <v>61001</v>
      </c>
      <c r="G60" s="1">
        <f t="shared" si="20"/>
        <v>6050</v>
      </c>
      <c r="K60" s="194"/>
    </row>
    <row r="61" spans="1:25" ht="12.75" customHeight="1" x14ac:dyDescent="0.2">
      <c r="A61" s="4"/>
      <c r="B61" s="4"/>
      <c r="D61" s="9">
        <v>980</v>
      </c>
      <c r="E61" s="23">
        <v>7</v>
      </c>
      <c r="F61" s="2">
        <f t="shared" ref="F61:F67" si="21">+F60+H61</f>
        <v>68060</v>
      </c>
      <c r="G61" s="1">
        <f t="shared" si="20"/>
        <v>7059</v>
      </c>
      <c r="H61" s="24">
        <v>7059</v>
      </c>
      <c r="M61" s="194"/>
    </row>
    <row r="62" spans="1:25" ht="12.75" customHeight="1" x14ac:dyDescent="0.2">
      <c r="A62" s="4"/>
      <c r="B62" s="4"/>
      <c r="D62" s="9">
        <v>1085</v>
      </c>
      <c r="E62" s="23">
        <v>8</v>
      </c>
      <c r="F62" s="2">
        <f t="shared" si="21"/>
        <v>75119</v>
      </c>
      <c r="G62" s="1">
        <f t="shared" si="20"/>
        <v>7059</v>
      </c>
      <c r="H62" s="1">
        <f t="shared" ref="H62:H99" si="22">H61</f>
        <v>7059</v>
      </c>
    </row>
    <row r="63" spans="1:25" ht="12.75" customHeight="1" x14ac:dyDescent="0.2">
      <c r="A63" s="4"/>
      <c r="B63" s="4"/>
      <c r="D63" s="9">
        <v>1190</v>
      </c>
      <c r="E63" s="23">
        <v>9</v>
      </c>
      <c r="F63" s="2">
        <f t="shared" si="21"/>
        <v>82178</v>
      </c>
      <c r="G63" s="1">
        <f t="shared" si="20"/>
        <v>7059</v>
      </c>
      <c r="H63" s="1">
        <f t="shared" si="22"/>
        <v>7059</v>
      </c>
    </row>
    <row r="64" spans="1:25" ht="12.75" customHeight="1" x14ac:dyDescent="0.2">
      <c r="A64" s="4"/>
      <c r="B64" s="4"/>
      <c r="D64" s="9">
        <v>1295</v>
      </c>
      <c r="E64" s="23">
        <v>10</v>
      </c>
      <c r="F64" s="2">
        <f t="shared" si="21"/>
        <v>89237</v>
      </c>
      <c r="G64" s="1">
        <f t="shared" si="20"/>
        <v>7059</v>
      </c>
      <c r="H64" s="1">
        <f t="shared" si="22"/>
        <v>7059</v>
      </c>
    </row>
    <row r="65" spans="1:25" ht="12.75" customHeight="1" x14ac:dyDescent="0.2">
      <c r="A65" s="4"/>
      <c r="B65" s="4"/>
      <c r="D65" s="9">
        <v>1400</v>
      </c>
      <c r="E65" s="23">
        <v>11</v>
      </c>
      <c r="F65" s="2">
        <f t="shared" si="21"/>
        <v>96296</v>
      </c>
      <c r="G65" s="1">
        <f t="shared" si="20"/>
        <v>7059</v>
      </c>
      <c r="H65" s="1">
        <f t="shared" si="22"/>
        <v>7059</v>
      </c>
    </row>
    <row r="66" spans="1:25" ht="12.75" customHeight="1" x14ac:dyDescent="0.2">
      <c r="D66" s="9">
        <v>1505</v>
      </c>
      <c r="E66" s="23">
        <v>12</v>
      </c>
      <c r="F66" s="2">
        <f t="shared" si="21"/>
        <v>103355</v>
      </c>
      <c r="G66" s="1">
        <f t="shared" si="20"/>
        <v>7059</v>
      </c>
      <c r="H66" s="1">
        <f t="shared" si="22"/>
        <v>7059</v>
      </c>
    </row>
    <row r="67" spans="1:25" ht="12.75" customHeight="1" x14ac:dyDescent="0.2">
      <c r="D67" s="9">
        <v>1610</v>
      </c>
      <c r="E67" s="23">
        <v>13</v>
      </c>
      <c r="F67" s="2">
        <f t="shared" si="21"/>
        <v>110414</v>
      </c>
      <c r="G67" s="1">
        <f t="shared" si="20"/>
        <v>7059</v>
      </c>
      <c r="H67" s="1">
        <f t="shared" si="22"/>
        <v>7059</v>
      </c>
      <c r="X67" s="19"/>
      <c r="Y67" s="19"/>
    </row>
    <row r="68" spans="1:25" ht="12.75" customHeight="1" x14ac:dyDescent="0.2">
      <c r="D68" s="9">
        <v>1755</v>
      </c>
      <c r="E68" s="23">
        <v>14</v>
      </c>
      <c r="F68" s="2">
        <f>+F67+H68+I68</f>
        <v>120162</v>
      </c>
      <c r="G68" s="1">
        <f>+F68-F67</f>
        <v>9748</v>
      </c>
      <c r="H68" s="1">
        <f t="shared" si="22"/>
        <v>7059</v>
      </c>
      <c r="I68" s="24">
        <v>2689</v>
      </c>
      <c r="N68" s="194"/>
      <c r="U68" s="194"/>
    </row>
    <row r="69" spans="1:25" ht="12.75" customHeight="1" x14ac:dyDescent="0.2">
      <c r="D69" s="9">
        <v>1860</v>
      </c>
      <c r="E69" s="23">
        <v>15</v>
      </c>
      <c r="F69" s="2">
        <f t="shared" ref="F69:F99" si="23">+F68+H69</f>
        <v>127221</v>
      </c>
      <c r="G69" s="1">
        <f t="shared" si="20"/>
        <v>7059</v>
      </c>
      <c r="H69" s="1">
        <f t="shared" si="22"/>
        <v>7059</v>
      </c>
    </row>
    <row r="70" spans="1:25" ht="12.75" customHeight="1" x14ac:dyDescent="0.2">
      <c r="D70" s="9">
        <v>1965</v>
      </c>
      <c r="E70" s="23">
        <v>16</v>
      </c>
      <c r="F70" s="2">
        <f t="shared" si="23"/>
        <v>134280</v>
      </c>
      <c r="G70" s="1">
        <f t="shared" si="20"/>
        <v>7059</v>
      </c>
      <c r="H70" s="1">
        <f t="shared" si="22"/>
        <v>7059</v>
      </c>
    </row>
    <row r="71" spans="1:25" ht="12.75" customHeight="1" x14ac:dyDescent="0.2">
      <c r="D71" s="9">
        <v>2070</v>
      </c>
      <c r="E71" s="23">
        <v>17</v>
      </c>
      <c r="F71" s="2">
        <f t="shared" si="23"/>
        <v>141339</v>
      </c>
      <c r="G71" s="1">
        <f t="shared" si="20"/>
        <v>7059</v>
      </c>
      <c r="H71" s="1">
        <f t="shared" si="22"/>
        <v>7059</v>
      </c>
    </row>
    <row r="72" spans="1:25" ht="12.75" customHeight="1" x14ac:dyDescent="0.2">
      <c r="D72" s="9">
        <v>2175</v>
      </c>
      <c r="E72" s="23">
        <v>18</v>
      </c>
      <c r="F72" s="2">
        <f t="shared" si="23"/>
        <v>148398</v>
      </c>
      <c r="G72" s="1">
        <f t="shared" si="20"/>
        <v>7059</v>
      </c>
      <c r="H72" s="1">
        <f t="shared" si="22"/>
        <v>7059</v>
      </c>
    </row>
    <row r="73" spans="1:25" ht="12.75" customHeight="1" x14ac:dyDescent="0.2">
      <c r="D73" s="9">
        <v>2280</v>
      </c>
      <c r="E73" s="23">
        <v>19</v>
      </c>
      <c r="F73" s="2">
        <f t="shared" si="23"/>
        <v>155457</v>
      </c>
      <c r="G73" s="1">
        <f t="shared" si="20"/>
        <v>7059</v>
      </c>
      <c r="H73" s="1">
        <f t="shared" si="22"/>
        <v>7059</v>
      </c>
    </row>
    <row r="74" spans="1:25" ht="12.75" customHeight="1" x14ac:dyDescent="0.2">
      <c r="D74" s="9">
        <v>2385</v>
      </c>
      <c r="E74" s="23">
        <v>20</v>
      </c>
      <c r="F74" s="2">
        <f t="shared" si="23"/>
        <v>162516</v>
      </c>
      <c r="G74" s="1">
        <f t="shared" si="20"/>
        <v>7059</v>
      </c>
      <c r="H74" s="1">
        <f t="shared" si="22"/>
        <v>7059</v>
      </c>
    </row>
    <row r="75" spans="1:25" ht="12.75" customHeight="1" x14ac:dyDescent="0.2">
      <c r="D75" s="9">
        <v>2490</v>
      </c>
      <c r="E75" s="23">
        <v>21</v>
      </c>
      <c r="F75" s="2">
        <f t="shared" si="23"/>
        <v>169575</v>
      </c>
      <c r="G75" s="1">
        <f t="shared" si="20"/>
        <v>7059</v>
      </c>
      <c r="H75" s="1">
        <f t="shared" si="22"/>
        <v>7059</v>
      </c>
    </row>
    <row r="76" spans="1:25" ht="12.75" customHeight="1" x14ac:dyDescent="0.2">
      <c r="D76" s="9">
        <v>2595</v>
      </c>
      <c r="E76" s="23">
        <v>22</v>
      </c>
      <c r="F76" s="2">
        <f t="shared" si="23"/>
        <v>176634</v>
      </c>
      <c r="G76" s="1">
        <f t="shared" si="20"/>
        <v>7059</v>
      </c>
      <c r="H76" s="1">
        <f t="shared" si="22"/>
        <v>7059</v>
      </c>
    </row>
    <row r="77" spans="1:25" ht="12.75" customHeight="1" x14ac:dyDescent="0.2">
      <c r="D77" s="9">
        <v>2700</v>
      </c>
      <c r="E77" s="23">
        <v>23</v>
      </c>
      <c r="F77" s="2">
        <f t="shared" si="23"/>
        <v>183693</v>
      </c>
      <c r="G77" s="1">
        <f t="shared" si="20"/>
        <v>7059</v>
      </c>
      <c r="H77" s="1">
        <f t="shared" si="22"/>
        <v>7059</v>
      </c>
    </row>
    <row r="78" spans="1:25" ht="12.75" customHeight="1" x14ac:dyDescent="0.2">
      <c r="D78" s="9">
        <v>2805</v>
      </c>
      <c r="E78" s="23">
        <v>24</v>
      </c>
      <c r="F78" s="2">
        <f t="shared" si="23"/>
        <v>190752</v>
      </c>
      <c r="G78" s="1">
        <f t="shared" si="20"/>
        <v>7059</v>
      </c>
      <c r="H78" s="1">
        <f t="shared" si="22"/>
        <v>7059</v>
      </c>
    </row>
    <row r="79" spans="1:25" ht="12.75" customHeight="1" x14ac:dyDescent="0.2">
      <c r="D79" s="9">
        <v>2910</v>
      </c>
      <c r="E79" s="23">
        <v>25</v>
      </c>
      <c r="F79" s="2">
        <f t="shared" si="23"/>
        <v>197811</v>
      </c>
      <c r="G79" s="1">
        <f t="shared" si="20"/>
        <v>7059</v>
      </c>
      <c r="H79" s="1">
        <f t="shared" si="22"/>
        <v>7059</v>
      </c>
    </row>
    <row r="80" spans="1:25" ht="12.75" customHeight="1" x14ac:dyDescent="0.2">
      <c r="D80" s="9">
        <v>3015</v>
      </c>
      <c r="E80" s="23">
        <v>26</v>
      </c>
      <c r="F80" s="2">
        <f t="shared" si="23"/>
        <v>204870</v>
      </c>
      <c r="G80" s="1">
        <f t="shared" si="20"/>
        <v>7059</v>
      </c>
      <c r="H80" s="1">
        <f t="shared" si="22"/>
        <v>7059</v>
      </c>
    </row>
    <row r="81" spans="4:8" ht="12.75" customHeight="1" x14ac:dyDescent="0.2">
      <c r="D81" s="9">
        <v>3120</v>
      </c>
      <c r="E81" s="23">
        <v>27</v>
      </c>
      <c r="F81" s="2">
        <f t="shared" si="23"/>
        <v>211929</v>
      </c>
      <c r="G81" s="1">
        <f t="shared" si="20"/>
        <v>7059</v>
      </c>
      <c r="H81" s="1">
        <f t="shared" si="22"/>
        <v>7059</v>
      </c>
    </row>
    <row r="82" spans="4:8" ht="12.75" customHeight="1" x14ac:dyDescent="0.2">
      <c r="D82" s="9">
        <v>3225</v>
      </c>
      <c r="E82" s="23">
        <v>28</v>
      </c>
      <c r="F82" s="2">
        <f t="shared" si="23"/>
        <v>218988</v>
      </c>
      <c r="G82" s="1">
        <f t="shared" si="20"/>
        <v>7059</v>
      </c>
      <c r="H82" s="1">
        <f t="shared" si="22"/>
        <v>7059</v>
      </c>
    </row>
    <row r="83" spans="4:8" ht="12.75" customHeight="1" x14ac:dyDescent="0.2">
      <c r="D83" s="9">
        <v>3330</v>
      </c>
      <c r="E83" s="23">
        <v>29</v>
      </c>
      <c r="F83" s="2">
        <f t="shared" si="23"/>
        <v>226047</v>
      </c>
      <c r="G83" s="1">
        <f t="shared" si="20"/>
        <v>7059</v>
      </c>
      <c r="H83" s="1">
        <f t="shared" si="22"/>
        <v>7059</v>
      </c>
    </row>
    <row r="84" spans="4:8" ht="12.75" customHeight="1" x14ac:dyDescent="0.2">
      <c r="D84" s="9">
        <v>3435</v>
      </c>
      <c r="E84" s="23">
        <v>30</v>
      </c>
      <c r="F84" s="2">
        <f t="shared" si="23"/>
        <v>233106</v>
      </c>
      <c r="G84" s="1">
        <f t="shared" si="20"/>
        <v>7059</v>
      </c>
      <c r="H84" s="1">
        <f t="shared" si="22"/>
        <v>7059</v>
      </c>
    </row>
    <row r="85" spans="4:8" ht="12.75" customHeight="1" x14ac:dyDescent="0.2">
      <c r="D85" s="9">
        <v>3540</v>
      </c>
      <c r="E85" s="23">
        <v>31</v>
      </c>
      <c r="F85" s="2">
        <f t="shared" si="23"/>
        <v>240165</v>
      </c>
      <c r="G85" s="1">
        <f t="shared" si="20"/>
        <v>7059</v>
      </c>
      <c r="H85" s="1">
        <f t="shared" si="22"/>
        <v>7059</v>
      </c>
    </row>
    <row r="86" spans="4:8" ht="12.75" customHeight="1" x14ac:dyDescent="0.2">
      <c r="D86" s="9">
        <v>3645</v>
      </c>
      <c r="E86" s="23">
        <v>32</v>
      </c>
      <c r="F86" s="2">
        <f t="shared" si="23"/>
        <v>247224</v>
      </c>
      <c r="G86" s="1">
        <f t="shared" si="20"/>
        <v>7059</v>
      </c>
      <c r="H86" s="1">
        <f t="shared" si="22"/>
        <v>7059</v>
      </c>
    </row>
    <row r="87" spans="4:8" ht="12.75" customHeight="1" x14ac:dyDescent="0.2">
      <c r="D87" s="9">
        <v>3750</v>
      </c>
      <c r="E87" s="23">
        <v>33</v>
      </c>
      <c r="F87" s="2">
        <f t="shared" si="23"/>
        <v>254283</v>
      </c>
      <c r="G87" s="1">
        <f t="shared" si="20"/>
        <v>7059</v>
      </c>
      <c r="H87" s="1">
        <f t="shared" si="22"/>
        <v>7059</v>
      </c>
    </row>
    <row r="88" spans="4:8" ht="12.75" customHeight="1" x14ac:dyDescent="0.2">
      <c r="D88" s="9">
        <v>3855</v>
      </c>
      <c r="E88" s="23">
        <v>34</v>
      </c>
      <c r="F88" s="2">
        <f t="shared" si="23"/>
        <v>261342</v>
      </c>
      <c r="G88" s="1">
        <f t="shared" si="20"/>
        <v>7059</v>
      </c>
      <c r="H88" s="1">
        <f t="shared" si="22"/>
        <v>7059</v>
      </c>
    </row>
    <row r="89" spans="4:8" ht="12.75" customHeight="1" x14ac:dyDescent="0.2">
      <c r="D89" s="9">
        <v>3960</v>
      </c>
      <c r="E89" s="23">
        <v>35</v>
      </c>
      <c r="F89" s="2">
        <f t="shared" si="23"/>
        <v>268401</v>
      </c>
      <c r="G89" s="1">
        <f t="shared" si="20"/>
        <v>7059</v>
      </c>
      <c r="H89" s="1">
        <f t="shared" si="22"/>
        <v>7059</v>
      </c>
    </row>
    <row r="90" spans="4:8" ht="12.75" customHeight="1" x14ac:dyDescent="0.2">
      <c r="D90" s="9">
        <v>4065</v>
      </c>
      <c r="E90" s="9">
        <v>36</v>
      </c>
      <c r="F90" s="2">
        <f t="shared" si="23"/>
        <v>275460</v>
      </c>
      <c r="G90" s="1">
        <f t="shared" si="20"/>
        <v>7059</v>
      </c>
      <c r="H90" s="1">
        <f t="shared" si="22"/>
        <v>7059</v>
      </c>
    </row>
    <row r="91" spans="4:8" ht="12.75" customHeight="1" x14ac:dyDescent="0.2">
      <c r="D91" s="9">
        <v>4170</v>
      </c>
      <c r="E91" s="9">
        <v>37</v>
      </c>
      <c r="F91" s="2">
        <f>+F90+H91</f>
        <v>282519</v>
      </c>
      <c r="G91" s="1">
        <f t="shared" si="20"/>
        <v>7059</v>
      </c>
      <c r="H91" s="1">
        <f t="shared" si="22"/>
        <v>7059</v>
      </c>
    </row>
    <row r="92" spans="4:8" ht="12.75" customHeight="1" x14ac:dyDescent="0.2">
      <c r="D92" s="9">
        <v>4275</v>
      </c>
      <c r="E92" s="9">
        <v>38</v>
      </c>
      <c r="F92" s="2">
        <f t="shared" si="23"/>
        <v>289578</v>
      </c>
      <c r="G92" s="1">
        <f t="shared" si="20"/>
        <v>7059</v>
      </c>
      <c r="H92" s="1">
        <f t="shared" si="22"/>
        <v>7059</v>
      </c>
    </row>
    <row r="93" spans="4:8" ht="12.75" customHeight="1" x14ac:dyDescent="0.2">
      <c r="D93" s="9">
        <v>4380</v>
      </c>
      <c r="E93" s="9">
        <v>39</v>
      </c>
      <c r="F93" s="2">
        <f t="shared" si="23"/>
        <v>296637</v>
      </c>
      <c r="G93" s="1">
        <f t="shared" si="20"/>
        <v>7059</v>
      </c>
      <c r="H93" s="1">
        <f t="shared" si="22"/>
        <v>7059</v>
      </c>
    </row>
    <row r="94" spans="4:8" ht="12.75" customHeight="1" x14ac:dyDescent="0.2">
      <c r="D94" s="9">
        <v>4485</v>
      </c>
      <c r="E94" s="9">
        <v>40</v>
      </c>
      <c r="F94" s="2">
        <f t="shared" si="23"/>
        <v>303696</v>
      </c>
      <c r="G94" s="1">
        <f t="shared" si="20"/>
        <v>7059</v>
      </c>
      <c r="H94" s="1">
        <f t="shared" si="22"/>
        <v>7059</v>
      </c>
    </row>
    <row r="95" spans="4:8" ht="12.75" customHeight="1" x14ac:dyDescent="0.2">
      <c r="D95" s="9">
        <v>4590</v>
      </c>
      <c r="E95" s="9">
        <v>41</v>
      </c>
      <c r="F95" s="2">
        <f t="shared" si="23"/>
        <v>310755</v>
      </c>
      <c r="G95" s="1">
        <f t="shared" si="20"/>
        <v>7059</v>
      </c>
      <c r="H95" s="1">
        <f t="shared" si="22"/>
        <v>7059</v>
      </c>
    </row>
    <row r="96" spans="4:8" ht="12.75" customHeight="1" x14ac:dyDescent="0.2">
      <c r="D96" s="9">
        <v>4695</v>
      </c>
      <c r="E96" s="9">
        <v>42</v>
      </c>
      <c r="F96" s="2">
        <f t="shared" si="23"/>
        <v>317814</v>
      </c>
      <c r="G96" s="1">
        <f t="shared" si="20"/>
        <v>7059</v>
      </c>
      <c r="H96" s="1">
        <f t="shared" si="22"/>
        <v>7059</v>
      </c>
    </row>
    <row r="97" spans="3:8" ht="12.75" customHeight="1" x14ac:dyDescent="0.2">
      <c r="D97" s="9">
        <v>4800</v>
      </c>
      <c r="E97" s="9">
        <v>43</v>
      </c>
      <c r="F97" s="2">
        <f t="shared" si="23"/>
        <v>324873</v>
      </c>
      <c r="G97" s="1">
        <f t="shared" si="20"/>
        <v>7059</v>
      </c>
      <c r="H97" s="1">
        <f t="shared" si="22"/>
        <v>7059</v>
      </c>
    </row>
    <row r="98" spans="3:8" ht="12.75" customHeight="1" x14ac:dyDescent="0.2">
      <c r="D98" s="9">
        <v>4905</v>
      </c>
      <c r="E98" s="9">
        <v>44</v>
      </c>
      <c r="F98" s="2">
        <f t="shared" si="23"/>
        <v>331932</v>
      </c>
      <c r="G98" s="1">
        <f t="shared" si="20"/>
        <v>7059</v>
      </c>
      <c r="H98" s="1">
        <f t="shared" si="22"/>
        <v>7059</v>
      </c>
    </row>
    <row r="99" spans="3:8" ht="12.75" customHeight="1" x14ac:dyDescent="0.2">
      <c r="D99" s="9">
        <v>5010</v>
      </c>
      <c r="E99" s="9">
        <v>45</v>
      </c>
      <c r="F99" s="2">
        <f t="shared" si="23"/>
        <v>338991</v>
      </c>
      <c r="G99" s="1">
        <f t="shared" si="20"/>
        <v>7059</v>
      </c>
      <c r="H99" s="1">
        <f t="shared" si="22"/>
        <v>7059</v>
      </c>
    </row>
    <row r="100" spans="3:8" ht="12.75" customHeight="1" x14ac:dyDescent="0.2">
      <c r="D100" s="9">
        <v>5115</v>
      </c>
      <c r="E100" s="9">
        <v>46</v>
      </c>
      <c r="F100" s="2">
        <f>+F99+H100</f>
        <v>346050</v>
      </c>
      <c r="G100" s="1">
        <f>+F100-F99</f>
        <v>7059</v>
      </c>
      <c r="H100" s="1">
        <f>H99</f>
        <v>7059</v>
      </c>
    </row>
    <row r="101" spans="3:8" ht="12.75" customHeight="1" x14ac:dyDescent="0.2">
      <c r="D101" s="9">
        <v>5220</v>
      </c>
      <c r="E101" s="9">
        <v>47</v>
      </c>
      <c r="F101" s="2">
        <f>+F100+H101</f>
        <v>353109</v>
      </c>
      <c r="G101" s="1">
        <f>+F101-F100</f>
        <v>7059</v>
      </c>
      <c r="H101" s="1">
        <f>H100</f>
        <v>7059</v>
      </c>
    </row>
    <row r="102" spans="3:8" ht="12.75" customHeight="1" x14ac:dyDescent="0.2">
      <c r="D102" s="9">
        <v>5325</v>
      </c>
      <c r="E102" s="9">
        <v>48</v>
      </c>
      <c r="F102" s="2">
        <f>+F101+H102</f>
        <v>360168</v>
      </c>
      <c r="G102" s="1">
        <f>+F102-F101</f>
        <v>7059</v>
      </c>
      <c r="H102" s="1">
        <f>H101</f>
        <v>7059</v>
      </c>
    </row>
    <row r="103" spans="3:8" ht="12.75" customHeight="1" x14ac:dyDescent="0.2">
      <c r="D103" s="9">
        <v>5430</v>
      </c>
      <c r="E103" s="9">
        <v>49</v>
      </c>
      <c r="F103" s="2">
        <f>+F102+H103</f>
        <v>367227</v>
      </c>
      <c r="G103" s="1">
        <f>+F103-F102</f>
        <v>7059</v>
      </c>
      <c r="H103" s="1">
        <f>H102</f>
        <v>7059</v>
      </c>
    </row>
    <row r="104" spans="3:8" ht="12.75" customHeight="1" x14ac:dyDescent="0.2">
      <c r="D104" s="9">
        <v>5535</v>
      </c>
      <c r="E104" s="9">
        <v>50</v>
      </c>
      <c r="F104" s="2">
        <f>+F103+H104</f>
        <v>374286</v>
      </c>
      <c r="G104" s="1">
        <f>+F104-F103</f>
        <v>7059</v>
      </c>
      <c r="H104" s="1">
        <f>H103</f>
        <v>7059</v>
      </c>
    </row>
    <row r="105" spans="3:8" ht="12.75" customHeight="1" x14ac:dyDescent="0.2">
      <c r="C105" s="9"/>
    </row>
    <row r="106" spans="3:8" ht="12.75" customHeight="1" x14ac:dyDescent="0.2">
      <c r="C106" s="9"/>
      <c r="D106" s="9"/>
    </row>
    <row r="107" spans="3:8" ht="12.75" customHeight="1" x14ac:dyDescent="0.2">
      <c r="C107" s="9"/>
      <c r="D107" s="9"/>
    </row>
    <row r="108" spans="3:8" ht="12.75" customHeight="1" x14ac:dyDescent="0.2">
      <c r="C108" s="9"/>
      <c r="D108" s="9"/>
    </row>
    <row r="109" spans="3:8" ht="12.75" customHeight="1" x14ac:dyDescent="0.2">
      <c r="C109" s="9"/>
      <c r="D109" s="9"/>
    </row>
    <row r="110" spans="3:8" ht="12.75" customHeight="1" x14ac:dyDescent="0.2">
      <c r="C110" s="9"/>
      <c r="D110" s="9"/>
    </row>
    <row r="111" spans="3:8" ht="12.75" customHeight="1" x14ac:dyDescent="0.2">
      <c r="C111" s="9"/>
      <c r="D111" s="9"/>
    </row>
    <row r="112" spans="3:8" ht="12.75" customHeight="1" x14ac:dyDescent="0.2">
      <c r="C112" s="9"/>
      <c r="D112" s="9"/>
    </row>
    <row r="113" spans="3:4" ht="12.75" customHeight="1" x14ac:dyDescent="0.2">
      <c r="C113" s="9"/>
      <c r="D113" s="9"/>
    </row>
    <row r="114" spans="3:4" ht="12.75" customHeight="1" x14ac:dyDescent="0.2">
      <c r="C114" s="9"/>
      <c r="D114" s="9"/>
    </row>
    <row r="115" spans="3:4" ht="12.75" customHeight="1" x14ac:dyDescent="0.2">
      <c r="C115" s="9"/>
      <c r="D115" s="9"/>
    </row>
    <row r="116" spans="3:4" ht="12.75" customHeight="1" x14ac:dyDescent="0.2">
      <c r="C116" s="9"/>
      <c r="D116" s="9"/>
    </row>
    <row r="117" spans="3:4" ht="12.75" customHeight="1" x14ac:dyDescent="0.2">
      <c r="C117" s="9"/>
      <c r="D117" s="9"/>
    </row>
    <row r="118" spans="3:4" ht="12.75" customHeight="1" x14ac:dyDescent="0.2">
      <c r="C118" s="9"/>
      <c r="D118" s="9"/>
    </row>
    <row r="119" spans="3:4" ht="12.75" customHeight="1" x14ac:dyDescent="0.2">
      <c r="C119" s="9"/>
      <c r="D119" s="9"/>
    </row>
    <row r="120" spans="3:4" ht="12.75" customHeight="1" x14ac:dyDescent="0.2">
      <c r="C120" s="9"/>
      <c r="D120" s="9"/>
    </row>
    <row r="121" spans="3:4" ht="12.75" customHeight="1" x14ac:dyDescent="0.2">
      <c r="C121" s="9"/>
      <c r="D121" s="9"/>
    </row>
    <row r="122" spans="3:4" ht="12.75" customHeight="1" x14ac:dyDescent="0.2">
      <c r="C122" s="9"/>
      <c r="D122" s="9"/>
    </row>
    <row r="123" spans="3:4" ht="12.75" customHeight="1" x14ac:dyDescent="0.2">
      <c r="C123" s="9"/>
      <c r="D123" s="9"/>
    </row>
    <row r="124" spans="3:4" ht="12.75" customHeight="1" x14ac:dyDescent="0.2">
      <c r="C124" s="9"/>
      <c r="D124" s="9"/>
    </row>
    <row r="125" spans="3:4" ht="12.75" customHeight="1" x14ac:dyDescent="0.2">
      <c r="C125" s="9"/>
      <c r="D125" s="9"/>
    </row>
    <row r="126" spans="3:4" ht="12.75" customHeight="1" x14ac:dyDescent="0.2">
      <c r="C126" s="9"/>
      <c r="D126" s="9"/>
    </row>
    <row r="127" spans="3:4" ht="12.75" customHeight="1" x14ac:dyDescent="0.2">
      <c r="C127" s="9"/>
      <c r="D127" s="9"/>
    </row>
    <row r="128" spans="3:4" ht="12.75" customHeight="1" x14ac:dyDescent="0.2">
      <c r="C128" s="9"/>
      <c r="D128" s="9"/>
    </row>
    <row r="129" spans="3:4" ht="12.75" customHeight="1" x14ac:dyDescent="0.2">
      <c r="C129" s="9"/>
      <c r="D129" s="9"/>
    </row>
    <row r="130" spans="3:4" ht="12.75" customHeight="1" x14ac:dyDescent="0.2">
      <c r="C130" s="9"/>
      <c r="D130" s="9"/>
    </row>
    <row r="131" spans="3:4" ht="12.75" customHeight="1" x14ac:dyDescent="0.2">
      <c r="C131" s="9"/>
      <c r="D131" s="9"/>
    </row>
    <row r="132" spans="3:4" ht="12.75" customHeight="1" x14ac:dyDescent="0.2">
      <c r="C132" s="9"/>
      <c r="D132" s="9"/>
    </row>
    <row r="133" spans="3:4" ht="12.75" customHeight="1" x14ac:dyDescent="0.2">
      <c r="C133" s="9"/>
      <c r="D133" s="9"/>
    </row>
    <row r="134" spans="3:4" ht="12.75" customHeight="1" x14ac:dyDescent="0.2">
      <c r="C134" s="9"/>
      <c r="D134" s="9"/>
    </row>
    <row r="135" spans="3:4" ht="12.75" customHeight="1" x14ac:dyDescent="0.2">
      <c r="C135" s="9"/>
      <c r="D135" s="9"/>
    </row>
    <row r="136" spans="3:4" ht="12.75" customHeight="1" x14ac:dyDescent="0.2">
      <c r="C136" s="9"/>
      <c r="D136" s="9"/>
    </row>
    <row r="137" spans="3:4" ht="12.75" customHeight="1" x14ac:dyDescent="0.2">
      <c r="C137" s="9"/>
      <c r="D137" s="9"/>
    </row>
    <row r="138" spans="3:4" ht="12.75" customHeight="1" x14ac:dyDescent="0.2">
      <c r="C138" s="9"/>
      <c r="D138" s="9"/>
    </row>
    <row r="139" spans="3:4" ht="12.75" customHeight="1" x14ac:dyDescent="0.2">
      <c r="C139" s="9"/>
      <c r="D139" s="9"/>
    </row>
    <row r="140" spans="3:4" ht="12.75" customHeight="1" x14ac:dyDescent="0.2">
      <c r="C140" s="9"/>
      <c r="D140" s="9"/>
    </row>
    <row r="141" spans="3:4" ht="12.75" customHeight="1" x14ac:dyDescent="0.2">
      <c r="C141" s="9"/>
      <c r="D141" s="9"/>
    </row>
    <row r="142" spans="3:4" ht="12.75" customHeight="1" x14ac:dyDescent="0.2">
      <c r="C142" s="9"/>
      <c r="D142" s="9"/>
    </row>
    <row r="143" spans="3:4" ht="12.75" customHeight="1" x14ac:dyDescent="0.2">
      <c r="C143" s="9"/>
      <c r="D143" s="9"/>
    </row>
    <row r="144" spans="3:4" ht="12.75" customHeight="1" x14ac:dyDescent="0.2">
      <c r="C144" s="9"/>
      <c r="D144" s="9"/>
    </row>
    <row r="145" spans="3:4" ht="12.75" customHeight="1" x14ac:dyDescent="0.2">
      <c r="C145" s="9"/>
      <c r="D145" s="9"/>
    </row>
    <row r="146" spans="3:4" ht="12.75" customHeight="1" x14ac:dyDescent="0.2">
      <c r="C146" s="9"/>
      <c r="D146" s="9"/>
    </row>
    <row r="147" spans="3:4" ht="12.75" customHeight="1" x14ac:dyDescent="0.2">
      <c r="C147" s="9"/>
      <c r="D147" s="9"/>
    </row>
    <row r="148" spans="3:4" ht="12.75" customHeight="1" x14ac:dyDescent="0.2">
      <c r="C148" s="9"/>
      <c r="D148" s="9"/>
    </row>
    <row r="149" spans="3:4" ht="12.75" customHeight="1" x14ac:dyDescent="0.2">
      <c r="C149" s="9"/>
      <c r="D149" s="9"/>
    </row>
    <row r="150" spans="3:4" ht="12.75" customHeight="1" x14ac:dyDescent="0.2">
      <c r="C150" s="9"/>
      <c r="D150" s="9"/>
    </row>
    <row r="151" spans="3:4" ht="12.75" customHeight="1" x14ac:dyDescent="0.2">
      <c r="C151" s="9"/>
      <c r="D151" s="9"/>
    </row>
    <row r="152" spans="3:4" ht="12.75" customHeight="1" x14ac:dyDescent="0.2">
      <c r="C152" s="9"/>
      <c r="D152" s="9"/>
    </row>
    <row r="153" spans="3:4" ht="12.75" customHeight="1" x14ac:dyDescent="0.2">
      <c r="C153" s="9"/>
      <c r="D153" s="9"/>
    </row>
    <row r="154" spans="3:4" ht="12.75" customHeight="1" x14ac:dyDescent="0.2">
      <c r="C154" s="9"/>
      <c r="D154" s="9"/>
    </row>
    <row r="155" spans="3:4" ht="12.75" customHeight="1" x14ac:dyDescent="0.2">
      <c r="C155" s="9"/>
      <c r="D155" s="9"/>
    </row>
    <row r="156" spans="3:4" ht="12.75" customHeight="1" x14ac:dyDescent="0.2">
      <c r="C156" s="9"/>
      <c r="D156" s="9"/>
    </row>
    <row r="157" spans="3:4" ht="12.75" customHeight="1" x14ac:dyDescent="0.2">
      <c r="C157" s="9"/>
      <c r="D157" s="9"/>
    </row>
    <row r="158" spans="3:4" ht="12.75" customHeight="1" x14ac:dyDescent="0.2">
      <c r="C158" s="9"/>
      <c r="D158" s="9"/>
    </row>
    <row r="159" spans="3:4" ht="12.75" customHeight="1" x14ac:dyDescent="0.2">
      <c r="C159" s="9"/>
      <c r="D159" s="9"/>
    </row>
    <row r="160" spans="3:4" ht="12.75" customHeight="1" x14ac:dyDescent="0.2">
      <c r="C160" s="9"/>
      <c r="D160" s="9"/>
    </row>
    <row r="161" spans="3:4" ht="12.75" customHeight="1" x14ac:dyDescent="0.2">
      <c r="C161" s="9"/>
      <c r="D161" s="9"/>
    </row>
    <row r="162" spans="3:4" ht="12.75" customHeight="1" x14ac:dyDescent="0.2">
      <c r="C162" s="9"/>
      <c r="D162" s="9"/>
    </row>
    <row r="163" spans="3:4" ht="12.75" customHeight="1" x14ac:dyDescent="0.2">
      <c r="C163" s="9"/>
      <c r="D163" s="9"/>
    </row>
    <row r="164" spans="3:4" ht="12.75" customHeight="1" x14ac:dyDescent="0.2">
      <c r="C164" s="9"/>
      <c r="D164" s="9"/>
    </row>
    <row r="165" spans="3:4" ht="12.75" customHeight="1" x14ac:dyDescent="0.2">
      <c r="C165" s="9"/>
      <c r="D165" s="9"/>
    </row>
    <row r="166" spans="3:4" ht="12.75" customHeight="1" x14ac:dyDescent="0.2">
      <c r="C166" s="9"/>
      <c r="D166" s="9"/>
    </row>
    <row r="167" spans="3:4" ht="12.75" customHeight="1" x14ac:dyDescent="0.2">
      <c r="C167" s="9"/>
      <c r="D167" s="9"/>
    </row>
    <row r="168" spans="3:4" ht="12.75" customHeight="1" x14ac:dyDescent="0.2">
      <c r="C168" s="9"/>
      <c r="D168" s="9"/>
    </row>
    <row r="169" spans="3:4" ht="12.75" customHeight="1" x14ac:dyDescent="0.2">
      <c r="C169" s="9"/>
      <c r="D169" s="9"/>
    </row>
    <row r="170" spans="3:4" ht="12.75" customHeight="1" x14ac:dyDescent="0.2">
      <c r="C170" s="9"/>
      <c r="D170" s="9"/>
    </row>
    <row r="171" spans="3:4" ht="12.75" customHeight="1" x14ac:dyDescent="0.2">
      <c r="C171" s="9"/>
      <c r="D171" s="9"/>
    </row>
    <row r="172" spans="3:4" ht="12.75" customHeight="1" x14ac:dyDescent="0.2">
      <c r="C172" s="9"/>
      <c r="D172" s="9"/>
    </row>
    <row r="173" spans="3:4" ht="12.75" customHeight="1" x14ac:dyDescent="0.2">
      <c r="C173" s="9"/>
      <c r="D173" s="9"/>
    </row>
    <row r="174" spans="3:4" ht="12.75" customHeight="1" x14ac:dyDescent="0.2">
      <c r="C174" s="9"/>
      <c r="D174" s="9"/>
    </row>
    <row r="175" spans="3:4" ht="12.75" customHeight="1" x14ac:dyDescent="0.2">
      <c r="C175" s="9"/>
      <c r="D175" s="9"/>
    </row>
    <row r="176" spans="3:4" ht="12.75" customHeight="1" x14ac:dyDescent="0.2">
      <c r="C176" s="9"/>
      <c r="D176" s="9"/>
    </row>
    <row r="177" spans="3:4" ht="12.75" customHeight="1" x14ac:dyDescent="0.2">
      <c r="C177" s="9"/>
      <c r="D177" s="9"/>
    </row>
    <row r="178" spans="3:4" ht="12.75" customHeight="1" x14ac:dyDescent="0.2">
      <c r="C178" s="9"/>
      <c r="D178" s="9"/>
    </row>
    <row r="179" spans="3:4" ht="12.75" customHeight="1" x14ac:dyDescent="0.2">
      <c r="C179" s="9"/>
      <c r="D179" s="9"/>
    </row>
    <row r="180" spans="3:4" ht="12.75" customHeight="1" x14ac:dyDescent="0.2">
      <c r="C180" s="9"/>
      <c r="D180" s="9"/>
    </row>
    <row r="181" spans="3:4" ht="12.75" customHeight="1" x14ac:dyDescent="0.2">
      <c r="C181" s="9"/>
      <c r="D181" s="9"/>
    </row>
    <row r="182" spans="3:4" ht="12.75" customHeight="1" x14ac:dyDescent="0.2">
      <c r="C182" s="9"/>
      <c r="D182" s="9"/>
    </row>
    <row r="183" spans="3:4" ht="12.75" customHeight="1" x14ac:dyDescent="0.2">
      <c r="C183" s="9"/>
      <c r="D183" s="9"/>
    </row>
    <row r="184" spans="3:4" ht="12.75" customHeight="1" x14ac:dyDescent="0.2">
      <c r="C184" s="9"/>
      <c r="D184" s="9"/>
    </row>
    <row r="185" spans="3:4" ht="12.75" customHeight="1" x14ac:dyDescent="0.2">
      <c r="C185" s="9"/>
      <c r="D185" s="9"/>
    </row>
    <row r="186" spans="3:4" ht="12.75" customHeight="1" x14ac:dyDescent="0.2">
      <c r="C186" s="9"/>
      <c r="D186" s="9"/>
    </row>
    <row r="187" spans="3:4" ht="12.75" customHeight="1" x14ac:dyDescent="0.2">
      <c r="C187" s="9"/>
      <c r="D187" s="9"/>
    </row>
    <row r="188" spans="3:4" ht="12.75" customHeight="1" x14ac:dyDescent="0.2">
      <c r="C188" s="9"/>
      <c r="D188" s="9"/>
    </row>
    <row r="189" spans="3:4" ht="12.75" customHeight="1" x14ac:dyDescent="0.2">
      <c r="C189" s="9"/>
      <c r="D189" s="9"/>
    </row>
    <row r="190" spans="3:4" ht="12.75" customHeight="1" x14ac:dyDescent="0.2">
      <c r="C190" s="9"/>
      <c r="D190" s="9"/>
    </row>
    <row r="191" spans="3:4" ht="12.75" customHeight="1" x14ac:dyDescent="0.2">
      <c r="C191" s="9"/>
      <c r="D191" s="9"/>
    </row>
    <row r="192" spans="3:4" ht="12.75" customHeight="1" x14ac:dyDescent="0.2">
      <c r="C192" s="9"/>
      <c r="D192" s="9"/>
    </row>
    <row r="193" spans="3:4" ht="12.75" customHeight="1" x14ac:dyDescent="0.2">
      <c r="C193" s="9"/>
      <c r="D193" s="9"/>
    </row>
    <row r="194" spans="3:4" ht="12.75" customHeight="1" x14ac:dyDescent="0.2">
      <c r="C194" s="9"/>
      <c r="D194" s="9"/>
    </row>
    <row r="195" spans="3:4" ht="12.75" customHeight="1" x14ac:dyDescent="0.2">
      <c r="C195" s="9"/>
      <c r="D195" s="9"/>
    </row>
    <row r="196" spans="3:4" ht="12.75" customHeight="1" x14ac:dyDescent="0.2">
      <c r="C196" s="9"/>
      <c r="D196" s="9"/>
    </row>
    <row r="197" spans="3:4" ht="12.75" customHeight="1" x14ac:dyDescent="0.2">
      <c r="C197" s="9"/>
      <c r="D197" s="9"/>
    </row>
    <row r="198" spans="3:4" ht="12.75" customHeight="1" x14ac:dyDescent="0.2">
      <c r="C198" s="9"/>
      <c r="D198" s="9"/>
    </row>
    <row r="199" spans="3:4" ht="12.75" customHeight="1" x14ac:dyDescent="0.2">
      <c r="C199" s="9"/>
      <c r="D199" s="9"/>
    </row>
    <row r="200" spans="3:4" ht="12.75" customHeight="1" x14ac:dyDescent="0.2">
      <c r="C200" s="9"/>
      <c r="D200" s="9"/>
    </row>
    <row r="201" spans="3:4" ht="12.75" customHeight="1" x14ac:dyDescent="0.2">
      <c r="C201" s="9"/>
      <c r="D201" s="9"/>
    </row>
    <row r="202" spans="3:4" ht="12.75" customHeight="1" x14ac:dyDescent="0.2">
      <c r="C202" s="9"/>
      <c r="D202" s="9"/>
    </row>
    <row r="203" spans="3:4" ht="12.75" customHeight="1" x14ac:dyDescent="0.2">
      <c r="C203" s="9"/>
      <c r="D203" s="9"/>
    </row>
    <row r="204" spans="3:4" ht="12.75" customHeight="1" x14ac:dyDescent="0.2">
      <c r="C204" s="9"/>
      <c r="D204" s="9"/>
    </row>
    <row r="205" spans="3:4" ht="12.75" customHeight="1" x14ac:dyDescent="0.2">
      <c r="C205" s="9"/>
      <c r="D205" s="9"/>
    </row>
    <row r="206" spans="3:4" ht="12.75" customHeight="1" x14ac:dyDescent="0.2">
      <c r="C206" s="9"/>
      <c r="D206" s="9"/>
    </row>
    <row r="207" spans="3:4" ht="12.75" customHeight="1" x14ac:dyDescent="0.2">
      <c r="C207" s="9"/>
      <c r="D207" s="9"/>
    </row>
    <row r="208" spans="3:4" ht="12.75" customHeight="1" x14ac:dyDescent="0.2">
      <c r="C208" s="9"/>
      <c r="D208" s="9"/>
    </row>
    <row r="209" spans="3:4" ht="12.75" customHeight="1" x14ac:dyDescent="0.2">
      <c r="C209" s="9"/>
      <c r="D209" s="9"/>
    </row>
    <row r="210" spans="3:4" ht="12.75" customHeight="1" x14ac:dyDescent="0.2">
      <c r="C210" s="9"/>
      <c r="D210" s="9"/>
    </row>
    <row r="211" spans="3:4" ht="12.75" customHeight="1" x14ac:dyDescent="0.2">
      <c r="C211" s="9"/>
      <c r="D211" s="9"/>
    </row>
    <row r="212" spans="3:4" ht="12.75" customHeight="1" x14ac:dyDescent="0.2">
      <c r="C212" s="9"/>
      <c r="D212" s="9"/>
    </row>
    <row r="213" spans="3:4" ht="12.75" customHeight="1" x14ac:dyDescent="0.2">
      <c r="C213" s="9"/>
      <c r="D213" s="9"/>
    </row>
    <row r="214" spans="3:4" ht="12.75" customHeight="1" x14ac:dyDescent="0.2">
      <c r="C214" s="9"/>
      <c r="D214" s="9"/>
    </row>
    <row r="215" spans="3:4" ht="12.75" customHeight="1" x14ac:dyDescent="0.2">
      <c r="C215" s="9"/>
      <c r="D215" s="9"/>
    </row>
    <row r="216" spans="3:4" ht="12.75" customHeight="1" x14ac:dyDescent="0.2">
      <c r="C216" s="9"/>
      <c r="D216" s="9"/>
    </row>
    <row r="217" spans="3:4" ht="12.75" customHeight="1" x14ac:dyDescent="0.2">
      <c r="C217" s="9"/>
      <c r="D217" s="9"/>
    </row>
    <row r="218" spans="3:4" ht="12.75" customHeight="1" x14ac:dyDescent="0.2">
      <c r="C218" s="9"/>
      <c r="D218" s="9"/>
    </row>
    <row r="219" spans="3:4" ht="12.75" customHeight="1" x14ac:dyDescent="0.2">
      <c r="C219" s="9"/>
      <c r="D219" s="9"/>
    </row>
    <row r="220" spans="3:4" ht="12.75" customHeight="1" x14ac:dyDescent="0.2">
      <c r="C220" s="9"/>
      <c r="D220" s="9"/>
    </row>
    <row r="221" spans="3:4" ht="12.75" customHeight="1" x14ac:dyDescent="0.2">
      <c r="C221" s="9"/>
      <c r="D221" s="9"/>
    </row>
    <row r="222" spans="3:4" ht="12.75" customHeight="1" x14ac:dyDescent="0.2">
      <c r="C222" s="9"/>
      <c r="D222" s="9"/>
    </row>
    <row r="223" spans="3:4" ht="12.75" customHeight="1" x14ac:dyDescent="0.2">
      <c r="C223" s="9"/>
      <c r="D223" s="9"/>
    </row>
    <row r="224" spans="3:4" ht="12.75" customHeight="1" x14ac:dyDescent="0.2">
      <c r="C224" s="9"/>
      <c r="D224" s="9"/>
    </row>
    <row r="225" spans="3:4" ht="12.75" customHeight="1" x14ac:dyDescent="0.2">
      <c r="C225" s="9"/>
      <c r="D225" s="9"/>
    </row>
    <row r="226" spans="3:4" ht="12.75" customHeight="1" x14ac:dyDescent="0.2">
      <c r="C226" s="9"/>
      <c r="D226" s="9"/>
    </row>
    <row r="227" spans="3:4" ht="12.75" customHeight="1" x14ac:dyDescent="0.2">
      <c r="C227" s="9"/>
      <c r="D227" s="9"/>
    </row>
    <row r="228" spans="3:4" ht="12.75" customHeight="1" x14ac:dyDescent="0.2">
      <c r="C228" s="9"/>
      <c r="D228" s="9"/>
    </row>
    <row r="229" spans="3:4" ht="12.75" customHeight="1" x14ac:dyDescent="0.2">
      <c r="C229" s="9"/>
      <c r="D229" s="9"/>
    </row>
    <row r="230" spans="3:4" ht="12.75" customHeight="1" x14ac:dyDescent="0.2">
      <c r="C230" s="9"/>
      <c r="D230" s="9"/>
    </row>
    <row r="231" spans="3:4" ht="12.75" customHeight="1" x14ac:dyDescent="0.2">
      <c r="C231" s="9"/>
      <c r="D231" s="9"/>
    </row>
    <row r="232" spans="3:4" ht="12.75" customHeight="1" x14ac:dyDescent="0.2">
      <c r="C232" s="9"/>
      <c r="D232" s="9"/>
    </row>
    <row r="233" spans="3:4" ht="12.75" customHeight="1" x14ac:dyDescent="0.2">
      <c r="C233" s="9"/>
      <c r="D233" s="9"/>
    </row>
    <row r="234" spans="3:4" ht="12.75" customHeight="1" x14ac:dyDescent="0.2">
      <c r="C234" s="9"/>
      <c r="D234" s="9"/>
    </row>
    <row r="235" spans="3:4" ht="12.75" customHeight="1" x14ac:dyDescent="0.2">
      <c r="C235" s="9"/>
      <c r="D235" s="9"/>
    </row>
    <row r="236" spans="3:4" ht="12.75" customHeight="1" x14ac:dyDescent="0.2">
      <c r="C236" s="9"/>
      <c r="D236" s="9"/>
    </row>
    <row r="237" spans="3:4" ht="12.75" customHeight="1" x14ac:dyDescent="0.2">
      <c r="C237" s="9"/>
      <c r="D237" s="9"/>
    </row>
    <row r="238" spans="3:4" ht="12.75" customHeight="1" x14ac:dyDescent="0.2">
      <c r="C238" s="9"/>
      <c r="D238" s="9"/>
    </row>
    <row r="239" spans="3:4" ht="12.75" customHeight="1" x14ac:dyDescent="0.2">
      <c r="C239" s="9"/>
      <c r="D239" s="9"/>
    </row>
    <row r="240" spans="3:4" ht="12.75" customHeight="1" x14ac:dyDescent="0.2">
      <c r="C240" s="9"/>
      <c r="D240" s="9"/>
    </row>
    <row r="241" spans="3:4" ht="12.75" customHeight="1" x14ac:dyDescent="0.2">
      <c r="C241" s="9"/>
      <c r="D241" s="9"/>
    </row>
    <row r="242" spans="3:4" ht="12.75" customHeight="1" x14ac:dyDescent="0.2">
      <c r="C242" s="9"/>
      <c r="D242" s="9"/>
    </row>
    <row r="243" spans="3:4" ht="12.75" customHeight="1" x14ac:dyDescent="0.2">
      <c r="C243" s="9"/>
      <c r="D243" s="9"/>
    </row>
    <row r="244" spans="3:4" ht="12.75" customHeight="1" x14ac:dyDescent="0.2">
      <c r="C244" s="9"/>
      <c r="D244" s="9"/>
    </row>
    <row r="245" spans="3:4" ht="12.75" customHeight="1" x14ac:dyDescent="0.2">
      <c r="C245" s="9"/>
      <c r="D245" s="9"/>
    </row>
    <row r="246" spans="3:4" ht="12.75" customHeight="1" x14ac:dyDescent="0.2">
      <c r="C246" s="9"/>
      <c r="D246" s="9"/>
    </row>
    <row r="247" spans="3:4" ht="12.75" customHeight="1" x14ac:dyDescent="0.2">
      <c r="C247" s="9"/>
      <c r="D247" s="9"/>
    </row>
    <row r="248" spans="3:4" ht="12.75" customHeight="1" x14ac:dyDescent="0.2">
      <c r="C248" s="9"/>
      <c r="D248" s="9"/>
    </row>
    <row r="249" spans="3:4" ht="12.75" customHeight="1" x14ac:dyDescent="0.2">
      <c r="C249" s="9"/>
      <c r="D249" s="9"/>
    </row>
    <row r="250" spans="3:4" ht="12.75" customHeight="1" x14ac:dyDescent="0.2">
      <c r="C250" s="9"/>
      <c r="D250" s="9"/>
    </row>
    <row r="251" spans="3:4" ht="12.75" customHeight="1" x14ac:dyDescent="0.2">
      <c r="C251" s="9"/>
      <c r="D251" s="9"/>
    </row>
    <row r="252" spans="3:4" ht="12.75" customHeight="1" x14ac:dyDescent="0.2">
      <c r="C252" s="9"/>
      <c r="D252" s="9"/>
    </row>
    <row r="253" spans="3:4" ht="12.75" customHeight="1" x14ac:dyDescent="0.2">
      <c r="C253" s="9"/>
      <c r="D253" s="9"/>
    </row>
    <row r="254" spans="3:4" ht="12.75" customHeight="1" x14ac:dyDescent="0.2">
      <c r="C254" s="9"/>
      <c r="D254" s="9"/>
    </row>
    <row r="255" spans="3:4" ht="12.75" customHeight="1" x14ac:dyDescent="0.2">
      <c r="C255" s="9"/>
      <c r="D255" s="9"/>
    </row>
    <row r="256" spans="3:4" ht="12.75" customHeight="1" x14ac:dyDescent="0.2">
      <c r="C256" s="9"/>
      <c r="D256" s="9"/>
    </row>
    <row r="257" spans="3:4" ht="12.75" customHeight="1" x14ac:dyDescent="0.2">
      <c r="C257" s="9"/>
      <c r="D257" s="9"/>
    </row>
    <row r="258" spans="3:4" ht="12.75" customHeight="1" x14ac:dyDescent="0.2">
      <c r="C258" s="9"/>
      <c r="D258" s="9"/>
    </row>
    <row r="259" spans="3:4" ht="12.75" customHeight="1" x14ac:dyDescent="0.2">
      <c r="C259" s="9"/>
      <c r="D259" s="9"/>
    </row>
    <row r="260" spans="3:4" ht="12.75" customHeight="1" x14ac:dyDescent="0.2">
      <c r="C260" s="9"/>
      <c r="D260" s="9"/>
    </row>
    <row r="261" spans="3:4" ht="12.75" customHeight="1" x14ac:dyDescent="0.2">
      <c r="C261" s="9"/>
      <c r="D261" s="9"/>
    </row>
    <row r="262" spans="3:4" ht="12.75" customHeight="1" x14ac:dyDescent="0.2">
      <c r="C262" s="9"/>
      <c r="D262" s="9"/>
    </row>
    <row r="263" spans="3:4" ht="12.75" customHeight="1" x14ac:dyDescent="0.2">
      <c r="C263" s="9"/>
      <c r="D263" s="9"/>
    </row>
    <row r="264" spans="3:4" ht="12.75" customHeight="1" x14ac:dyDescent="0.2">
      <c r="C264" s="9"/>
      <c r="D264" s="9"/>
    </row>
    <row r="265" spans="3:4" ht="12.75" customHeight="1" x14ac:dyDescent="0.2">
      <c r="C265" s="9"/>
      <c r="D265" s="9"/>
    </row>
    <row r="266" spans="3:4" ht="12.75" customHeight="1" x14ac:dyDescent="0.2">
      <c r="C266" s="9"/>
      <c r="D266" s="9"/>
    </row>
    <row r="267" spans="3:4" ht="12.75" customHeight="1" x14ac:dyDescent="0.2">
      <c r="C267" s="9"/>
      <c r="D267" s="9"/>
    </row>
    <row r="268" spans="3:4" ht="12.75" customHeight="1" x14ac:dyDescent="0.2">
      <c r="C268" s="9"/>
      <c r="D268" s="9"/>
    </row>
    <row r="269" spans="3:4" ht="12.75" customHeight="1" x14ac:dyDescent="0.2">
      <c r="C269" s="9"/>
      <c r="D269" s="9"/>
    </row>
    <row r="270" spans="3:4" ht="12.75" customHeight="1" x14ac:dyDescent="0.2">
      <c r="C270" s="9"/>
      <c r="D270" s="9"/>
    </row>
    <row r="271" spans="3:4" ht="12.75" customHeight="1" x14ac:dyDescent="0.2">
      <c r="C271" s="9"/>
      <c r="D271" s="9"/>
    </row>
    <row r="272" spans="3:4" ht="12.75" customHeight="1" x14ac:dyDescent="0.2">
      <c r="C272" s="9"/>
      <c r="D272" s="9"/>
    </row>
    <row r="273" spans="3:4" ht="12.75" customHeight="1" x14ac:dyDescent="0.2">
      <c r="C273" s="9"/>
      <c r="D273" s="9"/>
    </row>
    <row r="274" spans="3:4" ht="12.75" customHeight="1" x14ac:dyDescent="0.2">
      <c r="C274" s="9"/>
      <c r="D274" s="9"/>
    </row>
    <row r="275" spans="3:4" ht="12.75" customHeight="1" x14ac:dyDescent="0.2">
      <c r="C275" s="9"/>
      <c r="D275" s="9"/>
    </row>
    <row r="276" spans="3:4" ht="12.75" customHeight="1" x14ac:dyDescent="0.2">
      <c r="C276" s="9"/>
      <c r="D276" s="9"/>
    </row>
    <row r="277" spans="3:4" ht="12.75" customHeight="1" x14ac:dyDescent="0.2">
      <c r="C277" s="9"/>
      <c r="D277" s="9"/>
    </row>
    <row r="278" spans="3:4" ht="12.75" customHeight="1" x14ac:dyDescent="0.2">
      <c r="C278" s="9"/>
      <c r="D278" s="9"/>
    </row>
    <row r="279" spans="3:4" ht="12.75" customHeight="1" x14ac:dyDescent="0.2">
      <c r="C279" s="9"/>
      <c r="D279" s="9"/>
    </row>
    <row r="280" spans="3:4" ht="12.75" customHeight="1" x14ac:dyDescent="0.2">
      <c r="C280" s="9"/>
      <c r="D280" s="9"/>
    </row>
    <row r="281" spans="3:4" ht="12.75" customHeight="1" x14ac:dyDescent="0.2">
      <c r="C281" s="9"/>
      <c r="D281" s="9"/>
    </row>
    <row r="282" spans="3:4" ht="12.75" customHeight="1" x14ac:dyDescent="0.2">
      <c r="C282" s="9"/>
      <c r="D282" s="9"/>
    </row>
    <row r="283" spans="3:4" ht="12.75" customHeight="1" x14ac:dyDescent="0.2">
      <c r="C283" s="9"/>
      <c r="D283" s="9"/>
    </row>
    <row r="284" spans="3:4" ht="12.75" customHeight="1" x14ac:dyDescent="0.2">
      <c r="C284" s="9"/>
      <c r="D284" s="9"/>
    </row>
    <row r="285" spans="3:4" ht="12.75" customHeight="1" x14ac:dyDescent="0.2">
      <c r="C285" s="9"/>
      <c r="D285" s="9"/>
    </row>
    <row r="286" spans="3:4" ht="12.75" customHeight="1" x14ac:dyDescent="0.2">
      <c r="C286" s="9"/>
      <c r="D286" s="9"/>
    </row>
    <row r="287" spans="3:4" ht="12.75" customHeight="1" x14ac:dyDescent="0.2">
      <c r="C287" s="9"/>
      <c r="D287" s="9"/>
    </row>
    <row r="288" spans="3:4" ht="12.75" customHeight="1" x14ac:dyDescent="0.2">
      <c r="C288" s="9"/>
      <c r="D288" s="9"/>
    </row>
    <row r="289" spans="3:4" ht="12.75" customHeight="1" x14ac:dyDescent="0.2">
      <c r="C289" s="9"/>
      <c r="D289" s="9"/>
    </row>
    <row r="290" spans="3:4" ht="12.75" customHeight="1" x14ac:dyDescent="0.2">
      <c r="C290" s="9"/>
      <c r="D290" s="9"/>
    </row>
    <row r="291" spans="3:4" ht="12.75" customHeight="1" x14ac:dyDescent="0.2">
      <c r="C291" s="9"/>
      <c r="D291" s="9"/>
    </row>
    <row r="292" spans="3:4" ht="12.75" customHeight="1" x14ac:dyDescent="0.2">
      <c r="C292" s="9"/>
      <c r="D292" s="9"/>
    </row>
    <row r="293" spans="3:4" ht="12.75" customHeight="1" x14ac:dyDescent="0.2">
      <c r="C293" s="9"/>
      <c r="D293" s="9"/>
    </row>
    <row r="294" spans="3:4" ht="12.75" customHeight="1" x14ac:dyDescent="0.2">
      <c r="C294" s="9"/>
      <c r="D294" s="9"/>
    </row>
    <row r="295" spans="3:4" ht="12.75" customHeight="1" x14ac:dyDescent="0.2">
      <c r="C295" s="9"/>
      <c r="D295" s="9"/>
    </row>
    <row r="296" spans="3:4" ht="12.75" customHeight="1" x14ac:dyDescent="0.2">
      <c r="C296" s="9"/>
      <c r="D296" s="9"/>
    </row>
    <row r="297" spans="3:4" ht="12.75" customHeight="1" x14ac:dyDescent="0.2">
      <c r="C297" s="9"/>
      <c r="D297" s="9"/>
    </row>
    <row r="298" spans="3:4" ht="12.75" customHeight="1" x14ac:dyDescent="0.2">
      <c r="C298" s="9"/>
      <c r="D298" s="9"/>
    </row>
    <row r="299" spans="3:4" ht="12.75" customHeight="1" x14ac:dyDescent="0.2">
      <c r="C299" s="9"/>
      <c r="D299" s="9"/>
    </row>
    <row r="300" spans="3:4" ht="12.75" customHeight="1" x14ac:dyDescent="0.2">
      <c r="C300" s="9"/>
      <c r="D300" s="9"/>
    </row>
    <row r="301" spans="3:4" ht="12.75" customHeight="1" x14ac:dyDescent="0.2">
      <c r="C301" s="9"/>
      <c r="D301" s="9"/>
    </row>
    <row r="302" spans="3:4" ht="12.75" customHeight="1" x14ac:dyDescent="0.2">
      <c r="C302" s="9"/>
      <c r="D302" s="9"/>
    </row>
    <row r="303" spans="3:4" ht="12.75" customHeight="1" x14ac:dyDescent="0.2">
      <c r="C303" s="9"/>
      <c r="D303" s="9"/>
    </row>
    <row r="304" spans="3:4" ht="12.75" customHeight="1" x14ac:dyDescent="0.2">
      <c r="C304" s="9"/>
      <c r="D304" s="9"/>
    </row>
    <row r="305" spans="3:4" ht="12.75" customHeight="1" x14ac:dyDescent="0.2">
      <c r="C305" s="9"/>
      <c r="D305" s="9"/>
    </row>
    <row r="306" spans="3:4" ht="12.75" customHeight="1" x14ac:dyDescent="0.2">
      <c r="C306" s="9"/>
      <c r="D306" s="9"/>
    </row>
    <row r="307" spans="3:4" ht="12.75" customHeight="1" x14ac:dyDescent="0.2">
      <c r="C307" s="9"/>
      <c r="D307" s="9"/>
    </row>
    <row r="308" spans="3:4" ht="12.75" customHeight="1" x14ac:dyDescent="0.2">
      <c r="C308" s="9"/>
      <c r="D308" s="9"/>
    </row>
    <row r="309" spans="3:4" ht="12.75" customHeight="1" x14ac:dyDescent="0.2">
      <c r="C309" s="9"/>
      <c r="D309" s="9"/>
    </row>
    <row r="310" spans="3:4" ht="12.75" customHeight="1" x14ac:dyDescent="0.2">
      <c r="C310" s="9"/>
      <c r="D310" s="9"/>
    </row>
    <row r="311" spans="3:4" ht="12.75" customHeight="1" x14ac:dyDescent="0.2">
      <c r="C311" s="9"/>
      <c r="D311" s="9"/>
    </row>
    <row r="312" spans="3:4" ht="12.75" customHeight="1" x14ac:dyDescent="0.2">
      <c r="C312" s="9"/>
      <c r="D312" s="9"/>
    </row>
    <row r="313" spans="3:4" ht="12.75" customHeight="1" x14ac:dyDescent="0.2">
      <c r="C313" s="9"/>
      <c r="D313" s="9"/>
    </row>
    <row r="314" spans="3:4" ht="12.75" customHeight="1" x14ac:dyDescent="0.2">
      <c r="C314" s="9"/>
      <c r="D314" s="9"/>
    </row>
    <row r="315" spans="3:4" ht="12.75" customHeight="1" x14ac:dyDescent="0.2">
      <c r="C315" s="9"/>
      <c r="D315" s="9"/>
    </row>
    <row r="316" spans="3:4" ht="12.75" customHeight="1" x14ac:dyDescent="0.2">
      <c r="C316" s="9"/>
      <c r="D316" s="9"/>
    </row>
    <row r="317" spans="3:4" ht="12.75" customHeight="1" x14ac:dyDescent="0.2">
      <c r="C317" s="9"/>
      <c r="D317" s="9"/>
    </row>
    <row r="318" spans="3:4" ht="12.75" customHeight="1" x14ac:dyDescent="0.2">
      <c r="C318" s="9"/>
      <c r="D318" s="9"/>
    </row>
    <row r="319" spans="3:4" ht="12.75" customHeight="1" x14ac:dyDescent="0.2">
      <c r="C319" s="9"/>
      <c r="D319" s="9"/>
    </row>
    <row r="320" spans="3:4" ht="12.75" customHeight="1" x14ac:dyDescent="0.2">
      <c r="C320" s="9"/>
      <c r="D320" s="9"/>
    </row>
    <row r="321" spans="3:4" ht="12.75" customHeight="1" x14ac:dyDescent="0.2">
      <c r="C321" s="9"/>
      <c r="D321" s="9"/>
    </row>
    <row r="322" spans="3:4" ht="12.75" customHeight="1" x14ac:dyDescent="0.2">
      <c r="C322" s="9"/>
      <c r="D322" s="9"/>
    </row>
    <row r="323" spans="3:4" ht="12.75" customHeight="1" x14ac:dyDescent="0.2">
      <c r="C323" s="9"/>
      <c r="D323" s="9"/>
    </row>
    <row r="324" spans="3:4" ht="12.75" customHeight="1" x14ac:dyDescent="0.2">
      <c r="C324" s="9"/>
      <c r="D324" s="9"/>
    </row>
    <row r="325" spans="3:4" ht="12.75" customHeight="1" x14ac:dyDescent="0.2">
      <c r="C325" s="9"/>
      <c r="D325" s="9"/>
    </row>
    <row r="326" spans="3:4" ht="12.75" customHeight="1" x14ac:dyDescent="0.2">
      <c r="C326" s="9"/>
      <c r="D326" s="9"/>
    </row>
    <row r="327" spans="3:4" ht="12.75" customHeight="1" x14ac:dyDescent="0.2">
      <c r="C327" s="9"/>
      <c r="D327" s="9"/>
    </row>
    <row r="328" spans="3:4" ht="12.75" customHeight="1" x14ac:dyDescent="0.2">
      <c r="C328" s="9"/>
      <c r="D328" s="9"/>
    </row>
    <row r="329" spans="3:4" ht="12.75" customHeight="1" x14ac:dyDescent="0.2">
      <c r="D329" s="9"/>
    </row>
  </sheetData>
  <sheetProtection algorithmName="SHA-512" hashValue="NiErVmp/h6/N3AG64TrdsrbgrQKTMc60B27eYlSR2Ud6l0H44DHTC+/AQ62b4SJYVprx/hul3sR0Rqm7HdqOow==" saltValue="ykWMk2WaDiner4dShPHGRQ==" spinCount="100000" sheet="1" objects="1" scenarios="1"/>
  <mergeCells count="1">
    <mergeCell ref="I10:J10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>
    <oddHeader>&amp;L&amp;"Arial,Vet"&amp;F&amp;R&amp;"Arial,Vet"&amp;A</oddHeader>
    <oddFooter>&amp;L&amp;"Arial,Vet"goedhart/keizer&amp;C&amp;"Arial,Vet"&amp;D&amp;R&amp;"Arial,Vet"pagina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3:J16"/>
  <sheetViews>
    <sheetView workbookViewId="0">
      <selection activeCell="J12" sqref="J12"/>
    </sheetView>
  </sheetViews>
  <sheetFormatPr defaultRowHeight="12.75" x14ac:dyDescent="0.2"/>
  <cols>
    <col min="6" max="6" width="10.5703125" customWidth="1"/>
  </cols>
  <sheetData>
    <row r="3" spans="3:10" x14ac:dyDescent="0.2">
      <c r="J3" s="243"/>
    </row>
    <row r="5" spans="3:10" x14ac:dyDescent="0.2">
      <c r="C5" s="245" t="s">
        <v>151</v>
      </c>
    </row>
    <row r="6" spans="3:10" x14ac:dyDescent="0.2">
      <c r="C6" s="244" t="s">
        <v>140</v>
      </c>
      <c r="G6" s="246">
        <v>6.06</v>
      </c>
    </row>
    <row r="7" spans="3:10" x14ac:dyDescent="0.2">
      <c r="C7" s="244" t="s">
        <v>141</v>
      </c>
      <c r="G7" s="246">
        <v>7.78</v>
      </c>
    </row>
    <row r="8" spans="3:10" x14ac:dyDescent="0.2">
      <c r="C8" s="244" t="s">
        <v>142</v>
      </c>
      <c r="G8" s="246">
        <v>0.21</v>
      </c>
    </row>
    <row r="9" spans="3:10" x14ac:dyDescent="0.2">
      <c r="C9" s="244" t="s">
        <v>143</v>
      </c>
      <c r="G9" s="246">
        <v>0.3</v>
      </c>
    </row>
    <row r="10" spans="3:10" x14ac:dyDescent="0.2">
      <c r="C10" s="244" t="s">
        <v>144</v>
      </c>
      <c r="G10" s="246">
        <v>2.3199999999999998</v>
      </c>
    </row>
    <row r="11" spans="3:10" x14ac:dyDescent="0.2">
      <c r="C11" s="244" t="s">
        <v>145</v>
      </c>
      <c r="G11" s="246">
        <v>4.03</v>
      </c>
    </row>
    <row r="12" spans="3:10" x14ac:dyDescent="0.2">
      <c r="C12" s="244" t="s">
        <v>146</v>
      </c>
      <c r="G12" s="246">
        <v>0.62</v>
      </c>
    </row>
    <row r="13" spans="3:10" x14ac:dyDescent="0.2">
      <c r="C13" s="244" t="s">
        <v>147</v>
      </c>
      <c r="G13" s="246">
        <v>1.86</v>
      </c>
    </row>
    <row r="14" spans="3:10" x14ac:dyDescent="0.2">
      <c r="C14" s="244" t="s">
        <v>148</v>
      </c>
      <c r="G14" s="246">
        <v>3.6</v>
      </c>
    </row>
    <row r="15" spans="3:10" x14ac:dyDescent="0.2">
      <c r="C15" s="244" t="s">
        <v>149</v>
      </c>
      <c r="G15" s="247">
        <v>1.69</v>
      </c>
    </row>
    <row r="16" spans="3:10" x14ac:dyDescent="0.2">
      <c r="C16" s="245" t="s">
        <v>150</v>
      </c>
      <c r="D16" s="245"/>
      <c r="E16" s="245"/>
      <c r="F16" s="245"/>
      <c r="G16" s="248">
        <v>28.46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3"/>
  <dimension ref="A1"/>
  <sheetViews>
    <sheetView workbookViewId="0"/>
  </sheetViews>
  <sheetFormatPr defaultRowHeight="12.75" x14ac:dyDescent="0.2"/>
  <sheetData/>
  <phoneticPr fontId="1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5</vt:i4>
      </vt:variant>
    </vt:vector>
  </HeadingPairs>
  <TitlesOfParts>
    <vt:vector size="9" baseType="lpstr">
      <vt:lpstr>toelichting</vt:lpstr>
      <vt:lpstr>bekostiging materieel</vt:lpstr>
      <vt:lpstr>tab</vt:lpstr>
      <vt:lpstr>Blad2</vt:lpstr>
      <vt:lpstr>'bekostiging materieel'!Afdrukbereik</vt:lpstr>
      <vt:lpstr>tab!Afdrukbereik</vt:lpstr>
      <vt:lpstr>toelichting!Afdrukbereik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MJB BAS 2007</dc:title>
  <dc:creator>drs. R.M. Goedhart / Bé Keizer</dc:creator>
  <cp:lastModifiedBy>B Keizer</cp:lastModifiedBy>
  <cp:lastPrinted>2021-09-22T12:41:14Z</cp:lastPrinted>
  <dcterms:created xsi:type="dcterms:W3CDTF">2002-03-02T17:48:17Z</dcterms:created>
  <dcterms:modified xsi:type="dcterms:W3CDTF">2021-10-04T13:53:46Z</dcterms:modified>
</cp:coreProperties>
</file>