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8.xml" ContentType="application/vnd.openxmlformats-officedocument.spreadsheetml.comments+xml"/>
  <Override PartName="/xl/drawings/drawing1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6.xml" ContentType="application/vnd.openxmlformats-officedocument.drawing+xml"/>
  <Override PartName="/xl/comments9.xml" ContentType="application/vnd.openxmlformats-officedocument.spreadsheetml.comments+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showInkAnnotation="0" saveExternalLinkValues="0"/>
  <xr:revisionPtr revIDLastSave="0" documentId="13_ncr:1_{1D1C6A1B-680D-4D1E-9DF6-7AF6A8B51C11}" xr6:coauthVersionLast="47" xr6:coauthVersionMax="47" xr10:uidLastSave="{00000000-0000-0000-0000-000000000000}"/>
  <bookViews>
    <workbookView xWindow="-120" yWindow="-120" windowWidth="19440" windowHeight="15000" tabRatio="940" xr2:uid="{00000000-000D-0000-FFFF-FFFF00000000}"/>
  </bookViews>
  <sheets>
    <sheet name="toel" sheetId="7" r:id="rId1"/>
    <sheet name="geg ll" sheetId="31" r:id="rId2"/>
    <sheet name="LWOO-PRO" sheetId="29" r:id="rId3"/>
    <sheet name="overdr VSO" sheetId="24" r:id="rId4"/>
    <sheet name="bekost" sheetId="18" r:id="rId5"/>
    <sheet name="sal SWV" sheetId="13" r:id="rId6"/>
    <sheet name="mat" sheetId="35" r:id="rId7"/>
    <sheet name="programma's" sheetId="48" r:id="rId8"/>
    <sheet name="mip" sheetId="36" r:id="rId9"/>
    <sheet name="act" sheetId="37" r:id="rId10"/>
    <sheet name="begr" sheetId="38" r:id="rId11"/>
    <sheet name="bal" sheetId="39" r:id="rId12"/>
    <sheet name="liq" sheetId="40" r:id="rId13"/>
    <sheet name="ken" sheetId="49" r:id="rId14"/>
    <sheet name="graf" sheetId="51" r:id="rId15"/>
    <sheet name="tab" sheetId="22" r:id="rId16"/>
    <sheet name="saltab" sheetId="54" r:id="rId17"/>
    <sheet name="hlpbl" sheetId="28" state="hidden" r:id="rId18"/>
  </sheets>
  <definedNames>
    <definedName name="_xlnm._FilterDatabase" localSheetId="8" hidden="1">mip!$D$14:$I$17</definedName>
    <definedName name="_xlnm._FilterDatabase" localSheetId="5" hidden="1">'sal SWV'!#REF!</definedName>
    <definedName name="_xlnm.Print_Area" localSheetId="9">act!$B$2:$O$46</definedName>
    <definedName name="_xlnm.Print_Area" localSheetId="11">bal!$B$2:$M$71</definedName>
    <definedName name="_xlnm.Print_Area" localSheetId="10">begr!$B$2:$N$53</definedName>
    <definedName name="_xlnm.Print_Area" localSheetId="4">bekost!$B$2:$O$174</definedName>
    <definedName name="_xlnm.Print_Area" localSheetId="1">'geg ll'!$B$2:$L$100</definedName>
    <definedName name="_xlnm.Print_Area" localSheetId="14">graf!$B$2:$R$163</definedName>
    <definedName name="_xlnm.Print_Area" localSheetId="17">hlpbl!$B$2:$L$46</definedName>
    <definedName name="_xlnm.Print_Area" localSheetId="13">ken!$B$2:$N$122</definedName>
    <definedName name="_xlnm.Print_Area" localSheetId="12">liq!$B$2:$N$55</definedName>
    <definedName name="_xlnm.Print_Area" localSheetId="2">'LWOO-PRO'!$B$2:$U$108</definedName>
    <definedName name="_xlnm.Print_Area" localSheetId="6">mat!$B$2:$Q$153</definedName>
    <definedName name="_xlnm.Print_Area" localSheetId="8">mip!$B$2:$Z$72</definedName>
    <definedName name="_xlnm.Print_Area" localSheetId="3">'overdr VSO'!$B$2:$P$136</definedName>
    <definedName name="_xlnm.Print_Area" localSheetId="7">'programma''s'!$B$2:$P$222</definedName>
    <definedName name="_xlnm.Print_Area" localSheetId="5">'sal SWV'!$B$2:$W$134</definedName>
    <definedName name="_xlnm.Print_Area" localSheetId="16">saltab!$B$2:$X$30</definedName>
    <definedName name="_xlnm.Print_Area" localSheetId="15">tab!$A$1:$J$47</definedName>
    <definedName name="_xlnm.Print_Area" localSheetId="0">toel!$B$2:$M$210</definedName>
    <definedName name="_xlnm.Print_Area">'LWOO-PRO'!$B$2:$U$29</definedName>
    <definedName name="_xlnm.Criteria" localSheetId="5">'sal SWV'!$D$203:$D$228</definedName>
    <definedName name="saltab2022">saltab!$B$6:$X$30</definedName>
    <definedName name="Verhoudingstabel">saltab!$B$6:$X$30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3" l="1"/>
  <c r="H52" i="13"/>
  <c r="I66" i="31"/>
  <c r="J66" i="31"/>
  <c r="K66" i="31"/>
  <c r="I67" i="31"/>
  <c r="J67" i="31" s="1"/>
  <c r="K67" i="31" s="1"/>
  <c r="I68" i="31"/>
  <c r="J68" i="31"/>
  <c r="K68" i="31" s="1"/>
  <c r="H67" i="31"/>
  <c r="H68" i="31"/>
  <c r="H66" i="31"/>
  <c r="H28" i="40" l="1"/>
  <c r="E41" i="22"/>
  <c r="F41" i="22" s="1"/>
  <c r="G41" i="22" s="1"/>
  <c r="E42" i="22"/>
  <c r="F42" i="22"/>
  <c r="G42" i="22" s="1"/>
  <c r="E43" i="22"/>
  <c r="F43" i="22"/>
  <c r="G43" i="22"/>
  <c r="E44" i="22"/>
  <c r="F44" i="22"/>
  <c r="G44" i="22"/>
  <c r="E45" i="22"/>
  <c r="F45" i="22" s="1"/>
  <c r="G45" i="22" s="1"/>
  <c r="D42" i="22"/>
  <c r="D43" i="22"/>
  <c r="D44" i="22"/>
  <c r="D45" i="22"/>
  <c r="D41" i="22"/>
  <c r="AC13" i="13"/>
  <c r="E32" i="22"/>
  <c r="F32" i="22" s="1"/>
  <c r="G32" i="22" s="1"/>
  <c r="E33" i="22"/>
  <c r="F33" i="22"/>
  <c r="G33" i="22" s="1"/>
  <c r="E34" i="22"/>
  <c r="F34" i="22"/>
  <c r="G34" i="22"/>
  <c r="E35" i="22"/>
  <c r="F35" i="22"/>
  <c r="G35" i="22"/>
  <c r="E36" i="22"/>
  <c r="F36" i="22" s="1"/>
  <c r="G36" i="22" s="1"/>
  <c r="E37" i="22"/>
  <c r="F37" i="22"/>
  <c r="G37" i="22" s="1"/>
  <c r="E38" i="22"/>
  <c r="F38" i="22"/>
  <c r="G38" i="22"/>
  <c r="D38" i="22"/>
  <c r="D37" i="22"/>
  <c r="D36" i="22"/>
  <c r="D35" i="22"/>
  <c r="D34" i="22"/>
  <c r="D33" i="22"/>
  <c r="D32" i="22"/>
  <c r="C32" i="22"/>
  <c r="H59" i="38"/>
  <c r="H217" i="48"/>
  <c r="E48" i="13" l="1"/>
  <c r="H7" i="49" l="1"/>
  <c r="H117" i="49" s="1"/>
  <c r="G32" i="39"/>
  <c r="H8" i="40"/>
  <c r="H8" i="39"/>
  <c r="I20" i="38"/>
  <c r="J20" i="38"/>
  <c r="K20" i="38"/>
  <c r="L20" i="38"/>
  <c r="I21" i="38"/>
  <c r="J21" i="38"/>
  <c r="K21" i="38"/>
  <c r="K22" i="38" s="1"/>
  <c r="L21" i="38"/>
  <c r="L22" i="38" s="1"/>
  <c r="I22" i="38"/>
  <c r="J22" i="38"/>
  <c r="H22" i="38"/>
  <c r="I29" i="38"/>
  <c r="J29" i="38"/>
  <c r="K29" i="38"/>
  <c r="L29" i="38"/>
  <c r="H29" i="38"/>
  <c r="I30" i="38"/>
  <c r="J30" i="38"/>
  <c r="K30" i="38"/>
  <c r="L30" i="38"/>
  <c r="I31" i="38"/>
  <c r="J31" i="38"/>
  <c r="K31" i="38"/>
  <c r="L31" i="38"/>
  <c r="I33" i="38"/>
  <c r="J33" i="38"/>
  <c r="K33" i="38"/>
  <c r="L33" i="38"/>
  <c r="I34" i="38"/>
  <c r="J34" i="38"/>
  <c r="K34" i="38"/>
  <c r="L34" i="38"/>
  <c r="H31" i="38"/>
  <c r="J128" i="18"/>
  <c r="K128" i="18"/>
  <c r="L128" i="18"/>
  <c r="M128" i="18"/>
  <c r="I128" i="18"/>
  <c r="J149" i="18"/>
  <c r="K149" i="18"/>
  <c r="L149" i="18"/>
  <c r="M149" i="18"/>
  <c r="I149" i="18"/>
  <c r="K138" i="18"/>
  <c r="L138" i="18" s="1"/>
  <c r="M138" i="18" s="1"/>
  <c r="I138" i="18"/>
  <c r="H8" i="38"/>
  <c r="H8" i="48"/>
  <c r="O9" i="36"/>
  <c r="K8" i="35"/>
  <c r="D26" i="22"/>
  <c r="E26" i="22" s="1"/>
  <c r="F26" i="22" s="1"/>
  <c r="G26" i="22" s="1"/>
  <c r="G20" i="28"/>
  <c r="H20" i="28"/>
  <c r="I20" i="28"/>
  <c r="J20" i="28"/>
  <c r="F20" i="28"/>
  <c r="G16" i="28"/>
  <c r="H16" i="28"/>
  <c r="I16" i="28"/>
  <c r="J16" i="28"/>
  <c r="F16" i="28"/>
  <c r="I42" i="28"/>
  <c r="G39" i="28"/>
  <c r="H39" i="28"/>
  <c r="I39" i="28"/>
  <c r="J39" i="28"/>
  <c r="F39" i="28"/>
  <c r="G29" i="28"/>
  <c r="H29" i="28"/>
  <c r="I29" i="28"/>
  <c r="J29" i="28"/>
  <c r="F29" i="28"/>
  <c r="F42" i="28" l="1"/>
  <c r="J32" i="28"/>
  <c r="H42" i="28"/>
  <c r="F32" i="28"/>
  <c r="J42" i="28"/>
  <c r="I32" i="28"/>
  <c r="G32" i="28"/>
  <c r="G42" i="28"/>
  <c r="H32" i="28"/>
  <c r="I134" i="18"/>
  <c r="H26" i="38" s="1"/>
  <c r="H69" i="31"/>
  <c r="I69" i="31"/>
  <c r="J69" i="31"/>
  <c r="K69" i="31"/>
  <c r="G69" i="31"/>
  <c r="G65" i="31"/>
  <c r="C21" i="22"/>
  <c r="D24" i="22"/>
  <c r="E24" i="22" s="1"/>
  <c r="F24" i="22" s="1"/>
  <c r="G24" i="22" s="1"/>
  <c r="D23" i="22"/>
  <c r="E23" i="22" s="1"/>
  <c r="F23" i="22" s="1"/>
  <c r="G23" i="22" s="1"/>
  <c r="D22" i="22"/>
  <c r="E22" i="22" s="1"/>
  <c r="F22" i="22" s="1"/>
  <c r="G22" i="22" s="1"/>
  <c r="M134" i="18" s="1"/>
  <c r="L26" i="38" s="1"/>
  <c r="J134" i="18" l="1"/>
  <c r="I26" i="38" s="1"/>
  <c r="L134" i="18"/>
  <c r="K26" i="38" s="1"/>
  <c r="K134" i="18"/>
  <c r="J26" i="38" s="1"/>
  <c r="E169" i="13" l="1"/>
  <c r="E168" i="13"/>
  <c r="E137" i="13"/>
  <c r="E136" i="13"/>
  <c r="Q164" i="13"/>
  <c r="N164" i="13"/>
  <c r="M164" i="13"/>
  <c r="AI163" i="13"/>
  <c r="AG163" i="13"/>
  <c r="AI162" i="13"/>
  <c r="AG162" i="13"/>
  <c r="AI161" i="13"/>
  <c r="AG161" i="13"/>
  <c r="AI160" i="13"/>
  <c r="AG160" i="13"/>
  <c r="AI159" i="13"/>
  <c r="AG159" i="13"/>
  <c r="AI158" i="13"/>
  <c r="AG158" i="13"/>
  <c r="AI157" i="13"/>
  <c r="AG157" i="13"/>
  <c r="AI156" i="13"/>
  <c r="AG156" i="13"/>
  <c r="AI155" i="13"/>
  <c r="AG155" i="13"/>
  <c r="AI154" i="13"/>
  <c r="AG154" i="13"/>
  <c r="AI153" i="13"/>
  <c r="AG153" i="13"/>
  <c r="AI152" i="13"/>
  <c r="AG152" i="13"/>
  <c r="AI151" i="13"/>
  <c r="AG151" i="13"/>
  <c r="AI150" i="13"/>
  <c r="AG150" i="13"/>
  <c r="AI149" i="13"/>
  <c r="AG149" i="13"/>
  <c r="AI148" i="13"/>
  <c r="AG148" i="13"/>
  <c r="AI147" i="13"/>
  <c r="AG147" i="13"/>
  <c r="AI146" i="13"/>
  <c r="AG146" i="13"/>
  <c r="AI145" i="13"/>
  <c r="AG145" i="13"/>
  <c r="AI144" i="13"/>
  <c r="AG144" i="13"/>
  <c r="AB16" i="13"/>
  <c r="AB17" i="13"/>
  <c r="AB18" i="13"/>
  <c r="AB19" i="13"/>
  <c r="AB20" i="13"/>
  <c r="AB21" i="13"/>
  <c r="AB22" i="13"/>
  <c r="AB23" i="13"/>
  <c r="AB24" i="13"/>
  <c r="AB25" i="13"/>
  <c r="AB26" i="13"/>
  <c r="AB27" i="13"/>
  <c r="AB28" i="13"/>
  <c r="AB29" i="13"/>
  <c r="AB30" i="13"/>
  <c r="AB31" i="13"/>
  <c r="AB32" i="13"/>
  <c r="AB33" i="13"/>
  <c r="AB34" i="13"/>
  <c r="E105" i="13"/>
  <c r="E104" i="13"/>
  <c r="E73" i="13"/>
  <c r="E72" i="13"/>
  <c r="K49" i="13"/>
  <c r="K50" i="13"/>
  <c r="K51" i="13"/>
  <c r="K52" i="13"/>
  <c r="K53" i="13"/>
  <c r="K54" i="13"/>
  <c r="K55" i="13"/>
  <c r="K56" i="13"/>
  <c r="K57" i="13"/>
  <c r="K58" i="13"/>
  <c r="K59" i="13"/>
  <c r="K60" i="13"/>
  <c r="K61" i="13"/>
  <c r="K62" i="13"/>
  <c r="K63" i="13"/>
  <c r="K64" i="13"/>
  <c r="K65" i="13"/>
  <c r="K66" i="13"/>
  <c r="K67" i="13"/>
  <c r="K48" i="13"/>
  <c r="I49" i="13"/>
  <c r="AB49" i="13" s="1"/>
  <c r="I50" i="13"/>
  <c r="AB50" i="13" s="1"/>
  <c r="I51" i="13"/>
  <c r="AB51" i="13" s="1"/>
  <c r="I52" i="13"/>
  <c r="AB52" i="13" s="1"/>
  <c r="I53" i="13"/>
  <c r="AB53" i="13" s="1"/>
  <c r="I54" i="13"/>
  <c r="AB54" i="13" s="1"/>
  <c r="I55" i="13"/>
  <c r="AB55" i="13" s="1"/>
  <c r="I56" i="13"/>
  <c r="AB56" i="13" s="1"/>
  <c r="I57" i="13"/>
  <c r="AB57" i="13" s="1"/>
  <c r="I58" i="13"/>
  <c r="AB58" i="13" s="1"/>
  <c r="I59" i="13"/>
  <c r="AB59" i="13" s="1"/>
  <c r="I60" i="13"/>
  <c r="AB60" i="13" s="1"/>
  <c r="I61" i="13"/>
  <c r="AB61" i="13" s="1"/>
  <c r="I62" i="13"/>
  <c r="AB62" i="13" s="1"/>
  <c r="I63" i="13"/>
  <c r="AB63" i="13" s="1"/>
  <c r="I64" i="13"/>
  <c r="AB64" i="13" s="1"/>
  <c r="I65" i="13"/>
  <c r="AB65" i="13" s="1"/>
  <c r="I66" i="13"/>
  <c r="AB66" i="13" s="1"/>
  <c r="I67" i="13"/>
  <c r="AB67" i="13" s="1"/>
  <c r="I48" i="13"/>
  <c r="H49" i="13"/>
  <c r="H50" i="13"/>
  <c r="H53" i="13"/>
  <c r="H54" i="13"/>
  <c r="H55" i="13"/>
  <c r="H56" i="13"/>
  <c r="H57" i="13"/>
  <c r="H58" i="13"/>
  <c r="H59" i="13"/>
  <c r="H60" i="13"/>
  <c r="H61" i="13"/>
  <c r="H62" i="13"/>
  <c r="H63" i="13"/>
  <c r="H64" i="13"/>
  <c r="H65" i="13"/>
  <c r="H66" i="13"/>
  <c r="H67" i="13"/>
  <c r="H48" i="13"/>
  <c r="G49" i="13"/>
  <c r="G50" i="13"/>
  <c r="G51" i="13"/>
  <c r="G52" i="13"/>
  <c r="G53" i="13"/>
  <c r="G54" i="13"/>
  <c r="G55" i="13"/>
  <c r="G56" i="13"/>
  <c r="G57" i="13"/>
  <c r="G58" i="13"/>
  <c r="G59" i="13"/>
  <c r="G60" i="13"/>
  <c r="G61" i="13"/>
  <c r="G62" i="13"/>
  <c r="G63" i="13"/>
  <c r="G64" i="13"/>
  <c r="G65" i="13"/>
  <c r="G66" i="13"/>
  <c r="G67" i="13"/>
  <c r="G48" i="13"/>
  <c r="F49" i="13"/>
  <c r="F50" i="13"/>
  <c r="F51" i="13"/>
  <c r="F52" i="13"/>
  <c r="F53" i="13"/>
  <c r="F54" i="13"/>
  <c r="F55" i="13"/>
  <c r="F56" i="13"/>
  <c r="F57" i="13"/>
  <c r="F58" i="13"/>
  <c r="F59" i="13"/>
  <c r="F60" i="13"/>
  <c r="F61" i="13"/>
  <c r="F62" i="13"/>
  <c r="F63" i="13"/>
  <c r="F64" i="13"/>
  <c r="F65" i="13"/>
  <c r="F66" i="13"/>
  <c r="F67" i="13"/>
  <c r="F48" i="13"/>
  <c r="E49" i="13"/>
  <c r="E50" i="13"/>
  <c r="E51" i="13"/>
  <c r="E52" i="13"/>
  <c r="E53" i="13"/>
  <c r="E54" i="13"/>
  <c r="E55" i="13"/>
  <c r="E56" i="13"/>
  <c r="E57" i="13"/>
  <c r="E58" i="13"/>
  <c r="E59" i="13"/>
  <c r="E60" i="13"/>
  <c r="E61" i="13"/>
  <c r="E62" i="13"/>
  <c r="E63" i="13"/>
  <c r="E64" i="13"/>
  <c r="E65" i="13"/>
  <c r="E66" i="13"/>
  <c r="E67" i="13"/>
  <c r="D49" i="13"/>
  <c r="D50" i="13"/>
  <c r="D51" i="13"/>
  <c r="D52" i="13"/>
  <c r="D53" i="13"/>
  <c r="D54" i="13"/>
  <c r="D55" i="13"/>
  <c r="D56" i="13"/>
  <c r="D57" i="13"/>
  <c r="D58" i="13"/>
  <c r="D59" i="13"/>
  <c r="D60" i="13"/>
  <c r="D61" i="13"/>
  <c r="D62" i="13"/>
  <c r="D63" i="13"/>
  <c r="D64" i="13"/>
  <c r="D65" i="13"/>
  <c r="D66" i="13"/>
  <c r="D67" i="13"/>
  <c r="D48" i="13"/>
  <c r="E41" i="13"/>
  <c r="AC17" i="13" l="1"/>
  <c r="AB15" i="13"/>
  <c r="O15" i="13"/>
  <c r="P15" i="13" s="1"/>
  <c r="AG15" i="13"/>
  <c r="AI15" i="13"/>
  <c r="AJ15" i="13"/>
  <c r="AK15" i="13"/>
  <c r="AL15" i="13" s="1"/>
  <c r="O16" i="13"/>
  <c r="P16" i="13" s="1"/>
  <c r="R16" i="13"/>
  <c r="S16" i="13"/>
  <c r="T16" i="13"/>
  <c r="U16" i="13"/>
  <c r="AD16" i="13"/>
  <c r="AG16" i="13"/>
  <c r="AI16" i="13"/>
  <c r="AJ16" i="13"/>
  <c r="AK16" i="13"/>
  <c r="AL16" i="13" s="1"/>
  <c r="O17" i="13"/>
  <c r="P17" i="13" s="1"/>
  <c r="R17" i="13"/>
  <c r="S17" i="13"/>
  <c r="T17" i="13"/>
  <c r="U17" i="13"/>
  <c r="AD17" i="13"/>
  <c r="AG17" i="13"/>
  <c r="AI17" i="13"/>
  <c r="AJ17" i="13"/>
  <c r="AK17" i="13"/>
  <c r="AL17" i="13" s="1"/>
  <c r="O18" i="13"/>
  <c r="P18" i="13" s="1"/>
  <c r="R18" i="13"/>
  <c r="S18" i="13"/>
  <c r="T18" i="13"/>
  <c r="U18" i="13"/>
  <c r="AD18" i="13"/>
  <c r="AG18" i="13"/>
  <c r="AI18" i="13"/>
  <c r="AJ18" i="13"/>
  <c r="AK18" i="13"/>
  <c r="AL18" i="13" s="1"/>
  <c r="O19" i="13"/>
  <c r="P19" i="13" s="1"/>
  <c r="R19" i="13"/>
  <c r="S19" i="13"/>
  <c r="T19" i="13"/>
  <c r="U19" i="13"/>
  <c r="AD19" i="13"/>
  <c r="AG19" i="13"/>
  <c r="AI19" i="13"/>
  <c r="AJ19" i="13"/>
  <c r="AK19" i="13"/>
  <c r="AL19" i="13" s="1"/>
  <c r="O20" i="13"/>
  <c r="P20" i="13"/>
  <c r="R20" i="13"/>
  <c r="S20" i="13"/>
  <c r="T20" i="13"/>
  <c r="U20" i="13"/>
  <c r="AD20" i="13"/>
  <c r="AG20" i="13"/>
  <c r="AH20" i="13"/>
  <c r="AI20" i="13"/>
  <c r="AJ20" i="13"/>
  <c r="AK20" i="13"/>
  <c r="AL20" i="13" s="1"/>
  <c r="O21" i="13"/>
  <c r="P21" i="13" s="1"/>
  <c r="R21" i="13"/>
  <c r="S21" i="13"/>
  <c r="T21" i="13"/>
  <c r="U21" i="13"/>
  <c r="AD21" i="13"/>
  <c r="AG21" i="13"/>
  <c r="AI21" i="13"/>
  <c r="AJ21" i="13"/>
  <c r="AK21" i="13"/>
  <c r="AL21" i="13" s="1"/>
  <c r="O22" i="13"/>
  <c r="P22" i="13" s="1"/>
  <c r="R22" i="13"/>
  <c r="S22" i="13"/>
  <c r="T22" i="13"/>
  <c r="U22" i="13"/>
  <c r="AD22" i="13"/>
  <c r="AG22" i="13"/>
  <c r="AI22" i="13"/>
  <c r="AJ22" i="13"/>
  <c r="AK22" i="13"/>
  <c r="AL22" i="13" s="1"/>
  <c r="O23" i="13"/>
  <c r="P23" i="13" s="1"/>
  <c r="R23" i="13"/>
  <c r="S23" i="13"/>
  <c r="T23" i="13"/>
  <c r="U23" i="13"/>
  <c r="AD23" i="13"/>
  <c r="AG23" i="13"/>
  <c r="AH23" i="13"/>
  <c r="AI23" i="13"/>
  <c r="AJ23" i="13"/>
  <c r="AK23" i="13"/>
  <c r="AL23" i="13" s="1"/>
  <c r="O24" i="13"/>
  <c r="P24" i="13" s="1"/>
  <c r="R24" i="13"/>
  <c r="S24" i="13"/>
  <c r="T24" i="13"/>
  <c r="U24" i="13"/>
  <c r="AD24" i="13"/>
  <c r="AG24" i="13"/>
  <c r="AI24" i="13"/>
  <c r="AJ24" i="13"/>
  <c r="AK24" i="13"/>
  <c r="AL24" i="13" s="1"/>
  <c r="O25" i="13"/>
  <c r="P25" i="13" s="1"/>
  <c r="R25" i="13"/>
  <c r="S25" i="13"/>
  <c r="T25" i="13"/>
  <c r="U25" i="13"/>
  <c r="AD25" i="13"/>
  <c r="AG25" i="13"/>
  <c r="AH25" i="13"/>
  <c r="AI25" i="13"/>
  <c r="AJ25" i="13"/>
  <c r="AK25" i="13"/>
  <c r="AL25" i="13"/>
  <c r="O26" i="13"/>
  <c r="P26" i="13" s="1"/>
  <c r="R26" i="13"/>
  <c r="S26" i="13"/>
  <c r="T26" i="13"/>
  <c r="U26" i="13"/>
  <c r="AD26" i="13"/>
  <c r="AG26" i="13"/>
  <c r="AI26" i="13"/>
  <c r="AJ26" i="13"/>
  <c r="AK26" i="13"/>
  <c r="AL26" i="13" s="1"/>
  <c r="O27" i="13"/>
  <c r="P27" i="13" s="1"/>
  <c r="R27" i="13"/>
  <c r="S27" i="13"/>
  <c r="T27" i="13"/>
  <c r="U27" i="13"/>
  <c r="AD27" i="13"/>
  <c r="AG27" i="13"/>
  <c r="AI27" i="13"/>
  <c r="AJ27" i="13"/>
  <c r="AK27" i="13"/>
  <c r="AL27" i="13" s="1"/>
  <c r="O28" i="13"/>
  <c r="P28" i="13"/>
  <c r="R28" i="13"/>
  <c r="S28" i="13"/>
  <c r="T28" i="13"/>
  <c r="U28" i="13"/>
  <c r="AD28" i="13"/>
  <c r="AG28" i="13"/>
  <c r="AH28" i="13"/>
  <c r="AI28" i="13"/>
  <c r="AJ28" i="13"/>
  <c r="AK28" i="13"/>
  <c r="AL28" i="13" s="1"/>
  <c r="O29" i="13"/>
  <c r="P29" i="13" s="1"/>
  <c r="R29" i="13"/>
  <c r="S29" i="13"/>
  <c r="T29" i="13"/>
  <c r="U29" i="13"/>
  <c r="AD29" i="13"/>
  <c r="AG29" i="13"/>
  <c r="AI29" i="13"/>
  <c r="AJ29" i="13"/>
  <c r="AK29" i="13"/>
  <c r="AL29" i="13" s="1"/>
  <c r="O30" i="13"/>
  <c r="P30" i="13" s="1"/>
  <c r="R30" i="13"/>
  <c r="S30" i="13"/>
  <c r="T30" i="13"/>
  <c r="U30" i="13"/>
  <c r="AD30" i="13"/>
  <c r="AC30" i="13"/>
  <c r="AE30" i="13" s="1"/>
  <c r="AG30" i="13"/>
  <c r="AI30" i="13"/>
  <c r="AJ30" i="13"/>
  <c r="AK30" i="13"/>
  <c r="AL30" i="13" s="1"/>
  <c r="O31" i="13"/>
  <c r="P31" i="13" s="1"/>
  <c r="R31" i="13"/>
  <c r="S31" i="13"/>
  <c r="T31" i="13"/>
  <c r="U31" i="13"/>
  <c r="AD31" i="13"/>
  <c r="AG31" i="13"/>
  <c r="AI31" i="13"/>
  <c r="AJ31" i="13"/>
  <c r="AK31" i="13"/>
  <c r="AL31" i="13" s="1"/>
  <c r="O32" i="13"/>
  <c r="P32" i="13" s="1"/>
  <c r="R32" i="13"/>
  <c r="S32" i="13"/>
  <c r="T32" i="13"/>
  <c r="U32" i="13"/>
  <c r="AD32" i="13"/>
  <c r="AG32" i="13"/>
  <c r="AH32" i="13"/>
  <c r="AI32" i="13"/>
  <c r="AJ32" i="13"/>
  <c r="AK32" i="13"/>
  <c r="AL32" i="13" s="1"/>
  <c r="O33" i="13"/>
  <c r="P33" i="13" s="1"/>
  <c r="R33" i="13"/>
  <c r="S33" i="13"/>
  <c r="T33" i="13"/>
  <c r="U33" i="13"/>
  <c r="AD33" i="13"/>
  <c r="AG33" i="13"/>
  <c r="AI33" i="13"/>
  <c r="AJ33" i="13"/>
  <c r="AK33" i="13"/>
  <c r="AL33" i="13"/>
  <c r="O34" i="13"/>
  <c r="P34" i="13" s="1"/>
  <c r="R34" i="13"/>
  <c r="S34" i="13"/>
  <c r="T34" i="13"/>
  <c r="U34" i="13"/>
  <c r="AD34" i="13"/>
  <c r="AG34" i="13"/>
  <c r="AI34" i="13"/>
  <c r="AJ34" i="13"/>
  <c r="AK34" i="13"/>
  <c r="AL34" i="13" s="1"/>
  <c r="K35" i="13"/>
  <c r="H119" i="49" s="1"/>
  <c r="M35" i="13"/>
  <c r="N35" i="13"/>
  <c r="Q35" i="13"/>
  <c r="X30" i="54"/>
  <c r="W30" i="54"/>
  <c r="W29" i="54"/>
  <c r="W28" i="54"/>
  <c r="W27" i="54"/>
  <c r="W26" i="54"/>
  <c r="W25" i="54"/>
  <c r="J48" i="13" s="1"/>
  <c r="W24" i="54"/>
  <c r="W23" i="54"/>
  <c r="W22" i="54"/>
  <c r="W21" i="54"/>
  <c r="W20" i="54"/>
  <c r="W19" i="54"/>
  <c r="W18" i="54"/>
  <c r="W17" i="54"/>
  <c r="W16" i="54"/>
  <c r="W15" i="54"/>
  <c r="W14" i="54"/>
  <c r="W13" i="54"/>
  <c r="W12" i="54"/>
  <c r="W11" i="54"/>
  <c r="W10" i="54"/>
  <c r="W9" i="54"/>
  <c r="W8" i="54"/>
  <c r="W7" i="54"/>
  <c r="W6" i="54"/>
  <c r="AH31" i="13" l="1"/>
  <c r="AF30" i="13"/>
  <c r="AH24" i="13"/>
  <c r="AH16" i="13"/>
  <c r="AH15" i="13"/>
  <c r="AH27" i="13"/>
  <c r="AH19" i="13"/>
  <c r="AC34" i="13"/>
  <c r="AE34" i="13" s="1"/>
  <c r="AF34" i="13" s="1"/>
  <c r="AH21" i="13"/>
  <c r="AH33" i="13"/>
  <c r="AC26" i="13"/>
  <c r="AE26" i="13" s="1"/>
  <c r="AF26" i="13" s="1"/>
  <c r="AC22" i="13"/>
  <c r="AE22" i="13" s="1"/>
  <c r="AF22" i="13" s="1"/>
  <c r="AH34" i="13"/>
  <c r="AC31" i="13"/>
  <c r="AC27" i="13"/>
  <c r="AC23" i="13"/>
  <c r="AE23" i="13" s="1"/>
  <c r="AF23" i="13" s="1"/>
  <c r="AC19" i="13"/>
  <c r="AE19" i="13" s="1"/>
  <c r="AF19" i="13" s="1"/>
  <c r="AC18" i="13"/>
  <c r="AE18" i="13" s="1"/>
  <c r="AF18" i="13" s="1"/>
  <c r="AH17" i="13"/>
  <c r="AC46" i="13"/>
  <c r="AC78" i="13" s="1"/>
  <c r="AC110" i="13" s="1"/>
  <c r="AH29" i="13"/>
  <c r="AC33" i="13"/>
  <c r="AE33" i="13" s="1"/>
  <c r="AF33" i="13" s="1"/>
  <c r="AH30" i="13"/>
  <c r="AC29" i="13"/>
  <c r="AE29" i="13" s="1"/>
  <c r="AF29" i="13" s="1"/>
  <c r="AH26" i="13"/>
  <c r="AC25" i="13"/>
  <c r="AH22" i="13"/>
  <c r="AC21" i="13"/>
  <c r="AE21" i="13" s="1"/>
  <c r="AF21" i="13" s="1"/>
  <c r="AH18" i="13"/>
  <c r="AC32" i="13"/>
  <c r="AE32" i="13" s="1"/>
  <c r="AF32" i="13" s="1"/>
  <c r="AC28" i="13"/>
  <c r="AE28" i="13" s="1"/>
  <c r="AF28" i="13" s="1"/>
  <c r="AC24" i="13"/>
  <c r="AE24" i="13" s="1"/>
  <c r="AF24" i="13" s="1"/>
  <c r="AC20" i="13"/>
  <c r="AE20" i="13" s="1"/>
  <c r="AF20" i="13" s="1"/>
  <c r="AD15" i="13"/>
  <c r="T15" i="13"/>
  <c r="T35" i="13" s="1"/>
  <c r="AE31" i="13"/>
  <c r="AF31" i="13" s="1"/>
  <c r="AC16" i="13"/>
  <c r="AE16" i="13" s="1"/>
  <c r="AF16" i="13" s="1"/>
  <c r="AC15" i="13"/>
  <c r="AE15" i="13" s="1"/>
  <c r="AE27" i="13"/>
  <c r="AF27" i="13" s="1"/>
  <c r="AB35" i="13"/>
  <c r="P35" i="13"/>
  <c r="AL35" i="13"/>
  <c r="H231" i="13" s="1"/>
  <c r="O35" i="13"/>
  <c r="AE25" i="13"/>
  <c r="AF25" i="13" s="1"/>
  <c r="AE17" i="13"/>
  <c r="AF17" i="13" s="1"/>
  <c r="F231" i="13" l="1"/>
  <c r="E231" i="13"/>
  <c r="AC174" i="13"/>
  <c r="AC157" i="13"/>
  <c r="AC156" i="13"/>
  <c r="AC152" i="13"/>
  <c r="AC155" i="13"/>
  <c r="AC159" i="13"/>
  <c r="AC158" i="13"/>
  <c r="AC145" i="13"/>
  <c r="AC162" i="13"/>
  <c r="AC161" i="13"/>
  <c r="AC160" i="13"/>
  <c r="AC153" i="13"/>
  <c r="AC149" i="13"/>
  <c r="AC147" i="13"/>
  <c r="AC146" i="13"/>
  <c r="AC163" i="13"/>
  <c r="AC154" i="13"/>
  <c r="AC151" i="13"/>
  <c r="AC150" i="13"/>
  <c r="AC148" i="13"/>
  <c r="AC144" i="13"/>
  <c r="AF15" i="13"/>
  <c r="S15" i="13" s="1"/>
  <c r="S35" i="13" s="1"/>
  <c r="G231" i="13" s="1"/>
  <c r="R15" i="13"/>
  <c r="R35" i="13" s="1"/>
  <c r="U15" i="13" l="1"/>
  <c r="U35" i="13" s="1"/>
  <c r="I29" i="24" l="1"/>
  <c r="I28" i="24"/>
  <c r="I27" i="24"/>
  <c r="J29" i="24"/>
  <c r="J28" i="24"/>
  <c r="J27" i="24"/>
  <c r="D16" i="22"/>
  <c r="E16" i="22"/>
  <c r="D17" i="22"/>
  <c r="E17" i="22" s="1"/>
  <c r="D18" i="22"/>
  <c r="E18" i="22" s="1"/>
  <c r="I30" i="18"/>
  <c r="J16" i="24" s="1"/>
  <c r="S13" i="29"/>
  <c r="N42" i="29"/>
  <c r="G38" i="29"/>
  <c r="O34" i="29"/>
  <c r="P34" i="29" s="1"/>
  <c r="Q34" i="29" s="1"/>
  <c r="R34" i="29" s="1"/>
  <c r="H34" i="29"/>
  <c r="I34" i="29" s="1"/>
  <c r="J34" i="29" s="1"/>
  <c r="K34" i="29" s="1"/>
  <c r="L34" i="29" s="1"/>
  <c r="J84" i="31"/>
  <c r="G84" i="31"/>
  <c r="H109" i="31"/>
  <c r="H110" i="31"/>
  <c r="I110" i="31" s="1"/>
  <c r="H108" i="31"/>
  <c r="H103" i="31"/>
  <c r="I103" i="31" s="1"/>
  <c r="J103" i="31" s="1"/>
  <c r="K103" i="31" s="1"/>
  <c r="H56" i="31"/>
  <c r="I56" i="31" s="1"/>
  <c r="J56" i="31" s="1"/>
  <c r="H102" i="31"/>
  <c r="I102" i="31"/>
  <c r="J102" i="31"/>
  <c r="K102" i="31"/>
  <c r="G102" i="31"/>
  <c r="H22" i="31"/>
  <c r="I22" i="31" s="1"/>
  <c r="J22" i="31" s="1"/>
  <c r="K22" i="31" s="1"/>
  <c r="H23" i="31"/>
  <c r="I23" i="31" s="1"/>
  <c r="J23" i="31" s="1"/>
  <c r="K23" i="31" s="1"/>
  <c r="H21" i="31"/>
  <c r="I21" i="31" s="1"/>
  <c r="H27" i="31"/>
  <c r="I27" i="31" s="1"/>
  <c r="J27" i="31" s="1"/>
  <c r="H26" i="31"/>
  <c r="I26" i="31" s="1"/>
  <c r="J26" i="31" s="1"/>
  <c r="K26" i="31" s="1"/>
  <c r="I8" i="18"/>
  <c r="I15" i="18"/>
  <c r="C40" i="22"/>
  <c r="G31" i="22"/>
  <c r="D31" i="22"/>
  <c r="E31" i="22"/>
  <c r="F31" i="22"/>
  <c r="C31" i="22"/>
  <c r="C15" i="22"/>
  <c r="C12" i="22"/>
  <c r="C10" i="22"/>
  <c r="O41" i="29" s="1"/>
  <c r="G24" i="31"/>
  <c r="Q196" i="13"/>
  <c r="N196" i="13"/>
  <c r="M196" i="13"/>
  <c r="AI195" i="13"/>
  <c r="AG195" i="13"/>
  <c r="AI194" i="13"/>
  <c r="AG194" i="13"/>
  <c r="AI193" i="13"/>
  <c r="AG193" i="13"/>
  <c r="AI192" i="13"/>
  <c r="AG192" i="13"/>
  <c r="AI191" i="13"/>
  <c r="AG191" i="13"/>
  <c r="AI190" i="13"/>
  <c r="AG190" i="13"/>
  <c r="AI189" i="13"/>
  <c r="AG189" i="13"/>
  <c r="AI188" i="13"/>
  <c r="AG188" i="13"/>
  <c r="AI187" i="13"/>
  <c r="AG187" i="13"/>
  <c r="AI186" i="13"/>
  <c r="AG186" i="13"/>
  <c r="AI185" i="13"/>
  <c r="AG185" i="13"/>
  <c r="AI184" i="13"/>
  <c r="AG184" i="13"/>
  <c r="AI183" i="13"/>
  <c r="AG183" i="13"/>
  <c r="AI182" i="13"/>
  <c r="AG182" i="13"/>
  <c r="AI181" i="13"/>
  <c r="AG181" i="13"/>
  <c r="AI180" i="13"/>
  <c r="AG180" i="13"/>
  <c r="AI179" i="13"/>
  <c r="AG179" i="13"/>
  <c r="AI178" i="13"/>
  <c r="AG178" i="13"/>
  <c r="AI177" i="13"/>
  <c r="AG177" i="13"/>
  <c r="AI176" i="13"/>
  <c r="AG176" i="13"/>
  <c r="K28" i="24" l="1"/>
  <c r="K27" i="24"/>
  <c r="L29" i="24"/>
  <c r="K29" i="24"/>
  <c r="J110" i="31"/>
  <c r="I108" i="31"/>
  <c r="I109" i="31"/>
  <c r="L28" i="24" s="1"/>
  <c r="F18" i="22"/>
  <c r="F17" i="22"/>
  <c r="F16" i="22"/>
  <c r="J21" i="31"/>
  <c r="I24" i="31"/>
  <c r="H24" i="31"/>
  <c r="K56" i="31"/>
  <c r="K27" i="31"/>
  <c r="J108" i="31" l="1"/>
  <c r="L27" i="24"/>
  <c r="K110" i="31"/>
  <c r="M29" i="24"/>
  <c r="J109" i="31"/>
  <c r="M28" i="24" s="1"/>
  <c r="K21" i="31"/>
  <c r="G18" i="22"/>
  <c r="G17" i="22"/>
  <c r="G16" i="22"/>
  <c r="N29" i="24" l="1"/>
  <c r="K108" i="31"/>
  <c r="N27" i="24" s="1"/>
  <c r="M27" i="24"/>
  <c r="K109" i="31"/>
  <c r="N28" i="24" s="1"/>
  <c r="I94" i="49"/>
  <c r="I95" i="49"/>
  <c r="H95" i="49"/>
  <c r="H94" i="49"/>
  <c r="F25" i="49" l="1"/>
  <c r="J8" i="35" l="1"/>
  <c r="N8" i="48"/>
  <c r="N13" i="48" s="1"/>
  <c r="N21" i="48" s="1"/>
  <c r="I9" i="24"/>
  <c r="H8" i="18"/>
  <c r="I22" i="24" l="1"/>
  <c r="I14" i="24"/>
  <c r="D4" i="22" l="1"/>
  <c r="H16" i="31"/>
  <c r="H84" i="31" s="1"/>
  <c r="G15" i="31"/>
  <c r="I59" i="38" l="1"/>
  <c r="I8" i="48"/>
  <c r="I13" i="48" s="1"/>
  <c r="I21" i="48" s="1"/>
  <c r="I7" i="49"/>
  <c r="I117" i="49" s="1"/>
  <c r="I8" i="39"/>
  <c r="I8" i="40"/>
  <c r="I8" i="38"/>
  <c r="L8" i="35"/>
  <c r="H65" i="31"/>
  <c r="D21" i="22"/>
  <c r="D40" i="22"/>
  <c r="J8" i="18"/>
  <c r="D12" i="22"/>
  <c r="D15" i="22"/>
  <c r="E4" i="22"/>
  <c r="H15" i="31"/>
  <c r="I16" i="31"/>
  <c r="I84" i="31" s="1"/>
  <c r="J59" i="38" l="1"/>
  <c r="J8" i="40"/>
  <c r="J8" i="38"/>
  <c r="M8" i="35"/>
  <c r="J8" i="48"/>
  <c r="J13" i="48" s="1"/>
  <c r="J21" i="48" s="1"/>
  <c r="J7" i="49"/>
  <c r="J117" i="49" s="1"/>
  <c r="J8" i="39"/>
  <c r="E21" i="22"/>
  <c r="I65" i="31"/>
  <c r="E15" i="22"/>
  <c r="K8" i="18"/>
  <c r="E40" i="22"/>
  <c r="E12" i="22"/>
  <c r="L67" i="49" l="1"/>
  <c r="H96" i="38" l="1"/>
  <c r="I96" i="38"/>
  <c r="J96" i="38"/>
  <c r="H95" i="38"/>
  <c r="I95" i="38"/>
  <c r="J95" i="38"/>
  <c r="AC81" i="13" l="1"/>
  <c r="AC142" i="13" s="1"/>
  <c r="AC49" i="13"/>
  <c r="AC113" i="13" l="1"/>
  <c r="AC195" i="13"/>
  <c r="AC194" i="13"/>
  <c r="AC190" i="13"/>
  <c r="AC185" i="13"/>
  <c r="AC192" i="13"/>
  <c r="AC187" i="13"/>
  <c r="AC186" i="13"/>
  <c r="AC182" i="13"/>
  <c r="AC180" i="13"/>
  <c r="AC178" i="13"/>
  <c r="AC177" i="13"/>
  <c r="AC189" i="13"/>
  <c r="AC184" i="13"/>
  <c r="AC181" i="13"/>
  <c r="AC193" i="13"/>
  <c r="AC191" i="13"/>
  <c r="AC188" i="13"/>
  <c r="AC179" i="13"/>
  <c r="AC176" i="13"/>
  <c r="AC183" i="13"/>
  <c r="AC96" i="13"/>
  <c r="AC112" i="13"/>
  <c r="AC116" i="13"/>
  <c r="AC92" i="13"/>
  <c r="AC131" i="13"/>
  <c r="AC123" i="13"/>
  <c r="AC115" i="13"/>
  <c r="AC124" i="13"/>
  <c r="AC88" i="13"/>
  <c r="AC128" i="13"/>
  <c r="AC120" i="13"/>
  <c r="AC80" i="13"/>
  <c r="AC84" i="13"/>
  <c r="AC127" i="13"/>
  <c r="AC119" i="13"/>
  <c r="AC48" i="13"/>
  <c r="AC56" i="13"/>
  <c r="AC63" i="13"/>
  <c r="AC55" i="13"/>
  <c r="AC99" i="13"/>
  <c r="AC87" i="13"/>
  <c r="AC83" i="13"/>
  <c r="AC66" i="13"/>
  <c r="AC62" i="13"/>
  <c r="AC58" i="13"/>
  <c r="AC54" i="13"/>
  <c r="AC50" i="13"/>
  <c r="AC98" i="13"/>
  <c r="AC94" i="13"/>
  <c r="AC90" i="13"/>
  <c r="AC86" i="13"/>
  <c r="AC82" i="13"/>
  <c r="AC130" i="13"/>
  <c r="AC126" i="13"/>
  <c r="AC122" i="13"/>
  <c r="AC118" i="13"/>
  <c r="AC114" i="13"/>
  <c r="AC64" i="13"/>
  <c r="AC60" i="13"/>
  <c r="AC52" i="13"/>
  <c r="AC67" i="13"/>
  <c r="AC59" i="13"/>
  <c r="AC51" i="13"/>
  <c r="AC95" i="13"/>
  <c r="AC91" i="13"/>
  <c r="AC65" i="13"/>
  <c r="AC61" i="13"/>
  <c r="AC57" i="13"/>
  <c r="AC53" i="13"/>
  <c r="AC97" i="13"/>
  <c r="AC93" i="13"/>
  <c r="AC89" i="13"/>
  <c r="AC85" i="13"/>
  <c r="AC129" i="13"/>
  <c r="AC125" i="13"/>
  <c r="AC121" i="13"/>
  <c r="AC117" i="13"/>
  <c r="I53" i="48" l="1"/>
  <c r="J53" i="48"/>
  <c r="N53" i="48"/>
  <c r="H13" i="48"/>
  <c r="F59" i="38"/>
  <c r="H73" i="48" l="1"/>
  <c r="H21" i="48"/>
  <c r="H33" i="48"/>
  <c r="J33" i="48"/>
  <c r="N213" i="48"/>
  <c r="N33" i="48"/>
  <c r="J213" i="48"/>
  <c r="I33" i="48"/>
  <c r="I213" i="48"/>
  <c r="F8" i="38"/>
  <c r="H213" i="48"/>
  <c r="N196" i="48"/>
  <c r="J196" i="48"/>
  <c r="N176" i="48"/>
  <c r="J176" i="48"/>
  <c r="N156" i="48"/>
  <c r="J156" i="48"/>
  <c r="N136" i="48"/>
  <c r="J136" i="48"/>
  <c r="N116" i="48"/>
  <c r="J116" i="48"/>
  <c r="N93" i="48"/>
  <c r="J93" i="48"/>
  <c r="N73" i="48"/>
  <c r="J73" i="48"/>
  <c r="F7" i="49"/>
  <c r="I196" i="48"/>
  <c r="I176" i="48"/>
  <c r="I156" i="48"/>
  <c r="I136" i="48"/>
  <c r="I116" i="48"/>
  <c r="I93" i="48"/>
  <c r="I73" i="48"/>
  <c r="H116" i="48"/>
  <c r="H156" i="48"/>
  <c r="H196" i="48"/>
  <c r="H53" i="48"/>
  <c r="H93" i="48"/>
  <c r="H136" i="48"/>
  <c r="H176" i="48"/>
  <c r="I61" i="48" l="1"/>
  <c r="I110" i="18"/>
  <c r="H184" i="48"/>
  <c r="H101" i="48"/>
  <c r="H164" i="48"/>
  <c r="H81" i="48"/>
  <c r="H41" i="48"/>
  <c r="H204" i="48"/>
  <c r="H124" i="48"/>
  <c r="H216" i="48"/>
  <c r="H144" i="48"/>
  <c r="H61" i="48"/>
  <c r="H110" i="18"/>
  <c r="H131" i="18"/>
  <c r="I216" i="48"/>
  <c r="I41" i="48"/>
  <c r="I81" i="48"/>
  <c r="I101" i="48"/>
  <c r="I124" i="48"/>
  <c r="I164" i="48"/>
  <c r="I184" i="48"/>
  <c r="I204" i="48"/>
  <c r="I144" i="48" l="1"/>
  <c r="I131" i="18"/>
  <c r="J110" i="18"/>
  <c r="J216" i="48"/>
  <c r="J131" i="18" l="1"/>
  <c r="J124" i="48"/>
  <c r="J101" i="48"/>
  <c r="J144" i="48"/>
  <c r="J61" i="48"/>
  <c r="J164" i="48"/>
  <c r="J41" i="48"/>
  <c r="K131" i="18"/>
  <c r="J204" i="48"/>
  <c r="J81" i="48"/>
  <c r="J184" i="48"/>
  <c r="K110" i="18" l="1"/>
  <c r="C6" i="22" l="1"/>
  <c r="J9" i="24" s="1"/>
  <c r="J14" i="24" l="1"/>
  <c r="J22" i="24"/>
  <c r="D6" i="22"/>
  <c r="K9" i="24" s="1"/>
  <c r="K14" i="24" l="1"/>
  <c r="K67" i="49"/>
  <c r="F108" i="49" l="1"/>
  <c r="F107" i="49"/>
  <c r="F106" i="49"/>
  <c r="F105" i="49"/>
  <c r="H20" i="49"/>
  <c r="I20" i="49"/>
  <c r="J20" i="49"/>
  <c r="H14" i="49"/>
  <c r="I14" i="49"/>
  <c r="J14" i="49"/>
  <c r="F34" i="38" l="1"/>
  <c r="D13" i="22" l="1"/>
  <c r="J30" i="18" s="1"/>
  <c r="K16" i="24" s="1"/>
  <c r="F113" i="49"/>
  <c r="E13" i="22" l="1"/>
  <c r="K30" i="18" s="1"/>
  <c r="L16" i="24" s="1"/>
  <c r="I206" i="48"/>
  <c r="J206" i="48" s="1"/>
  <c r="K206" i="48" s="1"/>
  <c r="L206" i="48" s="1"/>
  <c r="M206" i="48" s="1"/>
  <c r="N206" i="48" s="1"/>
  <c r="I207" i="48"/>
  <c r="J207" i="48" s="1"/>
  <c r="K207" i="48" s="1"/>
  <c r="L207" i="48" s="1"/>
  <c r="M207" i="48" s="1"/>
  <c r="N207" i="48" s="1"/>
  <c r="I208" i="48"/>
  <c r="J208" i="48" s="1"/>
  <c r="K208" i="48" s="1"/>
  <c r="L208" i="48" s="1"/>
  <c r="M208" i="48" s="1"/>
  <c r="N208" i="48" s="1"/>
  <c r="I209" i="48"/>
  <c r="J209" i="48" s="1"/>
  <c r="K209" i="48" s="1"/>
  <c r="L209" i="48" s="1"/>
  <c r="M209" i="48" s="1"/>
  <c r="N209" i="48" s="1"/>
  <c r="I205" i="48"/>
  <c r="J205" i="48" s="1"/>
  <c r="K205" i="48" s="1"/>
  <c r="L205" i="48" s="1"/>
  <c r="M205" i="48" s="1"/>
  <c r="N205" i="48" s="1"/>
  <c r="I186" i="48"/>
  <c r="J186" i="48" s="1"/>
  <c r="K186" i="48" s="1"/>
  <c r="L186" i="48" s="1"/>
  <c r="M186" i="48" s="1"/>
  <c r="N186" i="48" s="1"/>
  <c r="I187" i="48"/>
  <c r="J187" i="48" s="1"/>
  <c r="K187" i="48" s="1"/>
  <c r="L187" i="48" s="1"/>
  <c r="M187" i="48" s="1"/>
  <c r="N187" i="48" s="1"/>
  <c r="I188" i="48"/>
  <c r="J188" i="48" s="1"/>
  <c r="K188" i="48" s="1"/>
  <c r="L188" i="48" s="1"/>
  <c r="M188" i="48" s="1"/>
  <c r="N188" i="48" s="1"/>
  <c r="I189" i="48"/>
  <c r="J189" i="48" s="1"/>
  <c r="K189" i="48" s="1"/>
  <c r="L189" i="48" s="1"/>
  <c r="M189" i="48" s="1"/>
  <c r="N189" i="48" s="1"/>
  <c r="I185" i="48"/>
  <c r="J185" i="48" s="1"/>
  <c r="K185" i="48" s="1"/>
  <c r="L185" i="48" s="1"/>
  <c r="M185" i="48" s="1"/>
  <c r="N185" i="48" s="1"/>
  <c r="I166" i="48"/>
  <c r="J166" i="48" s="1"/>
  <c r="K166" i="48" s="1"/>
  <c r="L166" i="48" s="1"/>
  <c r="M166" i="48" s="1"/>
  <c r="N166" i="48" s="1"/>
  <c r="I167" i="48"/>
  <c r="J167" i="48" s="1"/>
  <c r="K167" i="48" s="1"/>
  <c r="L167" i="48" s="1"/>
  <c r="M167" i="48" s="1"/>
  <c r="N167" i="48" s="1"/>
  <c r="I168" i="48"/>
  <c r="J168" i="48" s="1"/>
  <c r="K168" i="48" s="1"/>
  <c r="L168" i="48" s="1"/>
  <c r="M168" i="48" s="1"/>
  <c r="N168" i="48" s="1"/>
  <c r="I169" i="48"/>
  <c r="J169" i="48" s="1"/>
  <c r="K169" i="48" s="1"/>
  <c r="L169" i="48" s="1"/>
  <c r="M169" i="48" s="1"/>
  <c r="N169" i="48" s="1"/>
  <c r="I165" i="48"/>
  <c r="J165" i="48" s="1"/>
  <c r="K165" i="48" s="1"/>
  <c r="L165" i="48" s="1"/>
  <c r="M165" i="48" s="1"/>
  <c r="N165" i="48" s="1"/>
  <c r="I146" i="48"/>
  <c r="J146" i="48" s="1"/>
  <c r="K146" i="48" s="1"/>
  <c r="L146" i="48" s="1"/>
  <c r="M146" i="48" s="1"/>
  <c r="N146" i="48" s="1"/>
  <c r="I147" i="48"/>
  <c r="J147" i="48" s="1"/>
  <c r="K147" i="48" s="1"/>
  <c r="L147" i="48" s="1"/>
  <c r="M147" i="48" s="1"/>
  <c r="N147" i="48" s="1"/>
  <c r="I148" i="48"/>
  <c r="J148" i="48" s="1"/>
  <c r="K148" i="48" s="1"/>
  <c r="L148" i="48" s="1"/>
  <c r="M148" i="48" s="1"/>
  <c r="N148" i="48" s="1"/>
  <c r="I149" i="48"/>
  <c r="J149" i="48" s="1"/>
  <c r="K149" i="48" s="1"/>
  <c r="L149" i="48" s="1"/>
  <c r="M149" i="48" s="1"/>
  <c r="N149" i="48" s="1"/>
  <c r="I145" i="48"/>
  <c r="J145" i="48" s="1"/>
  <c r="K145" i="48" s="1"/>
  <c r="L145" i="48" s="1"/>
  <c r="M145" i="48" s="1"/>
  <c r="N145" i="48" s="1"/>
  <c r="J125" i="48"/>
  <c r="K125" i="48" s="1"/>
  <c r="L125" i="48" s="1"/>
  <c r="M125" i="48" s="1"/>
  <c r="N125" i="48" s="1"/>
  <c r="I126" i="48"/>
  <c r="J126" i="48" s="1"/>
  <c r="K126" i="48" s="1"/>
  <c r="L126" i="48" s="1"/>
  <c r="M126" i="48" s="1"/>
  <c r="N126" i="48" s="1"/>
  <c r="I127" i="48"/>
  <c r="J127" i="48" s="1"/>
  <c r="K127" i="48" s="1"/>
  <c r="L127" i="48" s="1"/>
  <c r="M127" i="48" s="1"/>
  <c r="N127" i="48" s="1"/>
  <c r="I128" i="48"/>
  <c r="J128" i="48" s="1"/>
  <c r="K128" i="48" s="1"/>
  <c r="L128" i="48" s="1"/>
  <c r="M128" i="48" s="1"/>
  <c r="N128" i="48" s="1"/>
  <c r="I129" i="48"/>
  <c r="J129" i="48" s="1"/>
  <c r="K129" i="48" s="1"/>
  <c r="L129" i="48" s="1"/>
  <c r="M129" i="48" s="1"/>
  <c r="N129" i="48" s="1"/>
  <c r="I125" i="48"/>
  <c r="I103" i="48"/>
  <c r="J103" i="48" s="1"/>
  <c r="K103" i="48" s="1"/>
  <c r="L103" i="48" s="1"/>
  <c r="M103" i="48" s="1"/>
  <c r="N103" i="48" s="1"/>
  <c r="I104" i="48"/>
  <c r="J104" i="48" s="1"/>
  <c r="K104" i="48" s="1"/>
  <c r="L104" i="48" s="1"/>
  <c r="M104" i="48" s="1"/>
  <c r="N104" i="48" s="1"/>
  <c r="I105" i="48"/>
  <c r="J105" i="48" s="1"/>
  <c r="K105" i="48" s="1"/>
  <c r="L105" i="48" s="1"/>
  <c r="M105" i="48" s="1"/>
  <c r="N105" i="48" s="1"/>
  <c r="I106" i="48"/>
  <c r="J106" i="48" s="1"/>
  <c r="K106" i="48" s="1"/>
  <c r="L106" i="48" s="1"/>
  <c r="M106" i="48" s="1"/>
  <c r="N106" i="48" s="1"/>
  <c r="I102" i="48"/>
  <c r="J102" i="48" s="1"/>
  <c r="K102" i="48" s="1"/>
  <c r="L102" i="48" s="1"/>
  <c r="M102" i="48" s="1"/>
  <c r="N102" i="48" s="1"/>
  <c r="I83" i="48"/>
  <c r="J83" i="48" s="1"/>
  <c r="K83" i="48" s="1"/>
  <c r="L83" i="48" s="1"/>
  <c r="M83" i="48" s="1"/>
  <c r="N83" i="48" s="1"/>
  <c r="I84" i="48"/>
  <c r="J84" i="48" s="1"/>
  <c r="K84" i="48" s="1"/>
  <c r="L84" i="48" s="1"/>
  <c r="M84" i="48" s="1"/>
  <c r="N84" i="48" s="1"/>
  <c r="I85" i="48"/>
  <c r="J85" i="48" s="1"/>
  <c r="K85" i="48" s="1"/>
  <c r="L85" i="48" s="1"/>
  <c r="M85" i="48" s="1"/>
  <c r="N85" i="48" s="1"/>
  <c r="I86" i="48"/>
  <c r="J86" i="48" s="1"/>
  <c r="K86" i="48" s="1"/>
  <c r="L86" i="48" s="1"/>
  <c r="M86" i="48" s="1"/>
  <c r="N86" i="48" s="1"/>
  <c r="I82" i="48"/>
  <c r="J82" i="48" s="1"/>
  <c r="K82" i="48" s="1"/>
  <c r="L82" i="48" s="1"/>
  <c r="M82" i="48" s="1"/>
  <c r="N82" i="48" s="1"/>
  <c r="I63" i="48"/>
  <c r="J63" i="48" s="1"/>
  <c r="K63" i="48" s="1"/>
  <c r="L63" i="48" s="1"/>
  <c r="M63" i="48" s="1"/>
  <c r="N63" i="48" s="1"/>
  <c r="I64" i="48"/>
  <c r="J64" i="48" s="1"/>
  <c r="K64" i="48" s="1"/>
  <c r="L64" i="48" s="1"/>
  <c r="M64" i="48" s="1"/>
  <c r="N64" i="48" s="1"/>
  <c r="I65" i="48"/>
  <c r="J65" i="48" s="1"/>
  <c r="K65" i="48" s="1"/>
  <c r="L65" i="48" s="1"/>
  <c r="M65" i="48" s="1"/>
  <c r="N65" i="48" s="1"/>
  <c r="I66" i="48"/>
  <c r="J66" i="48" s="1"/>
  <c r="K66" i="48" s="1"/>
  <c r="L66" i="48" s="1"/>
  <c r="M66" i="48" s="1"/>
  <c r="N66" i="48" s="1"/>
  <c r="I62" i="48"/>
  <c r="J62" i="48" s="1"/>
  <c r="K62" i="48" s="1"/>
  <c r="L62" i="48" s="1"/>
  <c r="M62" i="48" s="1"/>
  <c r="N62" i="48" s="1"/>
  <c r="I43" i="48"/>
  <c r="J43" i="48" s="1"/>
  <c r="K43" i="48" s="1"/>
  <c r="L43" i="48" s="1"/>
  <c r="M43" i="48" s="1"/>
  <c r="N43" i="48" s="1"/>
  <c r="I44" i="48"/>
  <c r="J44" i="48" s="1"/>
  <c r="K44" i="48" s="1"/>
  <c r="L44" i="48" s="1"/>
  <c r="M44" i="48" s="1"/>
  <c r="N44" i="48" s="1"/>
  <c r="I45" i="48"/>
  <c r="J45" i="48" s="1"/>
  <c r="K45" i="48" s="1"/>
  <c r="L45" i="48" s="1"/>
  <c r="M45" i="48" s="1"/>
  <c r="N45" i="48" s="1"/>
  <c r="I46" i="48"/>
  <c r="J46" i="48" s="1"/>
  <c r="K46" i="48" s="1"/>
  <c r="L46" i="48" s="1"/>
  <c r="M46" i="48" s="1"/>
  <c r="N46" i="48" s="1"/>
  <c r="I42" i="48"/>
  <c r="J42" i="48" s="1"/>
  <c r="K42" i="48" s="1"/>
  <c r="L42" i="48" s="1"/>
  <c r="M42" i="48" s="1"/>
  <c r="N42" i="48" s="1"/>
  <c r="I23" i="48"/>
  <c r="J23" i="48" s="1"/>
  <c r="K23" i="48" s="1"/>
  <c r="L23" i="48" s="1"/>
  <c r="M23" i="48" s="1"/>
  <c r="N23" i="48" s="1"/>
  <c r="I24" i="48"/>
  <c r="J24" i="48" s="1"/>
  <c r="K24" i="48" s="1"/>
  <c r="L24" i="48" s="1"/>
  <c r="M24" i="48" s="1"/>
  <c r="N24" i="48" s="1"/>
  <c r="I25" i="48"/>
  <c r="J25" i="48" s="1"/>
  <c r="K25" i="48" s="1"/>
  <c r="L25" i="48" s="1"/>
  <c r="M25" i="48" s="1"/>
  <c r="N25" i="48" s="1"/>
  <c r="I26" i="48"/>
  <c r="J26" i="48" s="1"/>
  <c r="K26" i="48" s="1"/>
  <c r="L26" i="48" s="1"/>
  <c r="M26" i="48" s="1"/>
  <c r="N26" i="48" s="1"/>
  <c r="I22" i="48"/>
  <c r="J22" i="48" s="1"/>
  <c r="K22" i="48" s="1"/>
  <c r="L22" i="48" s="1"/>
  <c r="M22" i="48" s="1"/>
  <c r="N22" i="48" s="1"/>
  <c r="F13" i="22" l="1"/>
  <c r="F23" i="38"/>
  <c r="F58" i="49" s="1"/>
  <c r="G13" i="22" l="1"/>
  <c r="M30" i="18" s="1"/>
  <c r="N16" i="24" s="1"/>
  <c r="L30" i="18"/>
  <c r="M16" i="24" s="1"/>
  <c r="I16" i="48"/>
  <c r="K45" i="35" l="1"/>
  <c r="K35" i="35"/>
  <c r="H20" i="38" s="1"/>
  <c r="I75" i="18" l="1"/>
  <c r="C5" i="31" l="1"/>
  <c r="C5" i="28" s="1"/>
  <c r="H78" i="38" l="1"/>
  <c r="I145" i="18"/>
  <c r="J145" i="18" s="1"/>
  <c r="K145" i="18" s="1"/>
  <c r="L145" i="18" s="1"/>
  <c r="M145" i="18" s="1"/>
  <c r="I144" i="18"/>
  <c r="J144" i="18" s="1"/>
  <c r="K144" i="18" s="1"/>
  <c r="L144" i="18" s="1"/>
  <c r="M144" i="18" s="1"/>
  <c r="I143" i="18"/>
  <c r="J143" i="18" s="1"/>
  <c r="K143" i="18" s="1"/>
  <c r="L143" i="18" s="1"/>
  <c r="M143" i="18" s="1"/>
  <c r="I142" i="18" l="1"/>
  <c r="J142" i="18" s="1"/>
  <c r="K142" i="18" s="1"/>
  <c r="L142" i="18" s="1"/>
  <c r="M142" i="18" s="1"/>
  <c r="F95" i="49" l="1"/>
  <c r="F94" i="49"/>
  <c r="F117" i="49" l="1"/>
  <c r="G32" i="37"/>
  <c r="H32" i="37"/>
  <c r="I32" i="37"/>
  <c r="J32" i="37"/>
  <c r="K32" i="37"/>
  <c r="L32" i="37"/>
  <c r="M32" i="37"/>
  <c r="G33" i="37"/>
  <c r="H33" i="37"/>
  <c r="I33" i="37"/>
  <c r="J33" i="37"/>
  <c r="K33" i="37"/>
  <c r="L33" i="37"/>
  <c r="M33" i="37"/>
  <c r="F33" i="37"/>
  <c r="F32" i="37"/>
  <c r="G23" i="37"/>
  <c r="H23" i="37"/>
  <c r="I23" i="37"/>
  <c r="J23" i="37"/>
  <c r="K23" i="37"/>
  <c r="L23" i="37"/>
  <c r="M23" i="37"/>
  <c r="G24" i="37"/>
  <c r="H24" i="37"/>
  <c r="I24" i="37"/>
  <c r="J24" i="37"/>
  <c r="K24" i="37"/>
  <c r="L24" i="37"/>
  <c r="M24" i="37"/>
  <c r="F24" i="37"/>
  <c r="F23" i="37"/>
  <c r="N27" i="48"/>
  <c r="N47" i="48"/>
  <c r="N67" i="48"/>
  <c r="N87" i="48"/>
  <c r="N107" i="48"/>
  <c r="N130" i="48"/>
  <c r="N150" i="48"/>
  <c r="N170" i="48"/>
  <c r="N190" i="48"/>
  <c r="N210" i="48"/>
  <c r="N217" i="48" l="1"/>
  <c r="E35" i="31" l="1"/>
  <c r="E34" i="31"/>
  <c r="G34" i="31" l="1"/>
  <c r="G35" i="31"/>
  <c r="C5" i="18"/>
  <c r="C5" i="35"/>
  <c r="C5" i="39"/>
  <c r="D4" i="29"/>
  <c r="C5" i="49"/>
  <c r="C5" i="24"/>
  <c r="C5" i="48"/>
  <c r="C5" i="40"/>
  <c r="C5" i="38"/>
  <c r="C56" i="38" s="1"/>
  <c r="C5" i="37"/>
  <c r="C6" i="36"/>
  <c r="C5" i="51"/>
  <c r="C5" i="13"/>
  <c r="F96" i="49"/>
  <c r="G57" i="31"/>
  <c r="G59" i="31"/>
  <c r="G58" i="31"/>
  <c r="H96" i="49"/>
  <c r="I18" i="18" l="1"/>
  <c r="N13" i="29" s="1"/>
  <c r="I17" i="18"/>
  <c r="H35" i="31"/>
  <c r="H34" i="31"/>
  <c r="G41" i="31"/>
  <c r="G40" i="31"/>
  <c r="J95" i="49"/>
  <c r="H59" i="31"/>
  <c r="H58" i="31"/>
  <c r="I96" i="49"/>
  <c r="H57" i="31"/>
  <c r="J94" i="49" l="1"/>
  <c r="I35" i="31"/>
  <c r="I34" i="31"/>
  <c r="H40" i="31"/>
  <c r="H41" i="31"/>
  <c r="I58" i="31"/>
  <c r="I57" i="31"/>
  <c r="J96" i="49"/>
  <c r="K95" i="49"/>
  <c r="I59" i="31"/>
  <c r="K94" i="49" l="1"/>
  <c r="J34" i="31"/>
  <c r="J35" i="31"/>
  <c r="I40" i="31"/>
  <c r="J57" i="31"/>
  <c r="J24" i="31"/>
  <c r="K96" i="49" s="1"/>
  <c r="J59" i="31"/>
  <c r="I41" i="31"/>
  <c r="K58" i="31"/>
  <c r="J58" i="31"/>
  <c r="I16" i="24"/>
  <c r="L95" i="49" l="1"/>
  <c r="K59" i="31"/>
  <c r="L94" i="49"/>
  <c r="K35" i="31"/>
  <c r="K34" i="31"/>
  <c r="J40" i="31"/>
  <c r="K24" i="31"/>
  <c r="L96" i="49" s="1"/>
  <c r="K57" i="31"/>
  <c r="J41" i="31"/>
  <c r="K40" i="31" l="1"/>
  <c r="K41" i="31"/>
  <c r="I41" i="29" l="1"/>
  <c r="J41" i="29" s="1"/>
  <c r="K41" i="29" s="1"/>
  <c r="L41" i="29" s="1"/>
  <c r="K105" i="35" l="1"/>
  <c r="K106" i="35"/>
  <c r="L106" i="35" s="1"/>
  <c r="M106" i="35" s="1"/>
  <c r="N106" i="35" s="1"/>
  <c r="O106" i="35" s="1"/>
  <c r="K107" i="35"/>
  <c r="L107" i="35" s="1"/>
  <c r="M107" i="35" s="1"/>
  <c r="N107" i="35" s="1"/>
  <c r="O107" i="35" s="1"/>
  <c r="K108" i="35"/>
  <c r="L108" i="35" s="1"/>
  <c r="M108" i="35" s="1"/>
  <c r="N108" i="35" s="1"/>
  <c r="O108" i="35" s="1"/>
  <c r="K104" i="35"/>
  <c r="L104" i="35" s="1"/>
  <c r="M104" i="35" s="1"/>
  <c r="N104" i="35" s="1"/>
  <c r="O104" i="35" s="1"/>
  <c r="K81" i="35"/>
  <c r="L81" i="35" s="1"/>
  <c r="M81" i="35" s="1"/>
  <c r="N81" i="35" s="1"/>
  <c r="O81" i="35" s="1"/>
  <c r="K82" i="35"/>
  <c r="L82" i="35" s="1"/>
  <c r="M82" i="35" s="1"/>
  <c r="N82" i="35" s="1"/>
  <c r="O82" i="35" s="1"/>
  <c r="K80" i="35"/>
  <c r="L80" i="35" s="1"/>
  <c r="M80" i="35" s="1"/>
  <c r="N80" i="35" s="1"/>
  <c r="O80" i="35" s="1"/>
  <c r="K37" i="35"/>
  <c r="L37" i="35" s="1"/>
  <c r="M37" i="35" s="1"/>
  <c r="N37" i="35" s="1"/>
  <c r="O37" i="35" s="1"/>
  <c r="L35" i="35"/>
  <c r="K36" i="35"/>
  <c r="L36" i="35" s="1"/>
  <c r="M36" i="35" s="1"/>
  <c r="N36" i="35" s="1"/>
  <c r="O36" i="35" s="1"/>
  <c r="K38" i="35"/>
  <c r="L38" i="35" s="1"/>
  <c r="M38" i="35" s="1"/>
  <c r="N38" i="35" s="1"/>
  <c r="O38" i="35" s="1"/>
  <c r="K39" i="35"/>
  <c r="L39" i="35" s="1"/>
  <c r="M39" i="35" s="1"/>
  <c r="N39" i="35" s="1"/>
  <c r="O39" i="35" s="1"/>
  <c r="I201" i="48"/>
  <c r="J201" i="48" s="1"/>
  <c r="K201" i="48" s="1"/>
  <c r="L201" i="48" s="1"/>
  <c r="M201" i="48" s="1"/>
  <c r="N201" i="48" s="1"/>
  <c r="I200" i="48"/>
  <c r="J200" i="48" s="1"/>
  <c r="K200" i="48" s="1"/>
  <c r="L200" i="48" s="1"/>
  <c r="M200" i="48" s="1"/>
  <c r="N200" i="48" s="1"/>
  <c r="I199" i="48"/>
  <c r="J199" i="48" s="1"/>
  <c r="K199" i="48" s="1"/>
  <c r="L199" i="48" s="1"/>
  <c r="M199" i="48" s="1"/>
  <c r="N199" i="48" s="1"/>
  <c r="I198" i="48"/>
  <c r="J198" i="48" s="1"/>
  <c r="K198" i="48" s="1"/>
  <c r="L198" i="48" s="1"/>
  <c r="M198" i="48" s="1"/>
  <c r="N198" i="48" s="1"/>
  <c r="I197" i="48"/>
  <c r="J197" i="48" s="1"/>
  <c r="K197" i="48" s="1"/>
  <c r="L197" i="48" s="1"/>
  <c r="M197" i="48" s="1"/>
  <c r="N197" i="48" s="1"/>
  <c r="I181" i="48"/>
  <c r="J181" i="48" s="1"/>
  <c r="K181" i="48" s="1"/>
  <c r="L181" i="48" s="1"/>
  <c r="M181" i="48" s="1"/>
  <c r="N181" i="48" s="1"/>
  <c r="I180" i="48"/>
  <c r="J180" i="48" s="1"/>
  <c r="K180" i="48" s="1"/>
  <c r="L180" i="48" s="1"/>
  <c r="M180" i="48" s="1"/>
  <c r="N180" i="48" s="1"/>
  <c r="I179" i="48"/>
  <c r="J179" i="48" s="1"/>
  <c r="K179" i="48" s="1"/>
  <c r="L179" i="48" s="1"/>
  <c r="M179" i="48" s="1"/>
  <c r="N179" i="48" s="1"/>
  <c r="I178" i="48"/>
  <c r="J178" i="48" s="1"/>
  <c r="K178" i="48" s="1"/>
  <c r="L178" i="48" s="1"/>
  <c r="M178" i="48" s="1"/>
  <c r="N178" i="48" s="1"/>
  <c r="I177" i="48"/>
  <c r="J177" i="48" s="1"/>
  <c r="K177" i="48" s="1"/>
  <c r="L177" i="48" s="1"/>
  <c r="M177" i="48" s="1"/>
  <c r="N177" i="48" s="1"/>
  <c r="I161" i="48"/>
  <c r="J161" i="48" s="1"/>
  <c r="K161" i="48" s="1"/>
  <c r="L161" i="48" s="1"/>
  <c r="M161" i="48" s="1"/>
  <c r="N161" i="48" s="1"/>
  <c r="I160" i="48"/>
  <c r="J160" i="48" s="1"/>
  <c r="K160" i="48" s="1"/>
  <c r="L160" i="48" s="1"/>
  <c r="M160" i="48" s="1"/>
  <c r="N160" i="48" s="1"/>
  <c r="I159" i="48"/>
  <c r="J159" i="48" s="1"/>
  <c r="K159" i="48" s="1"/>
  <c r="L159" i="48" s="1"/>
  <c r="M159" i="48" s="1"/>
  <c r="N159" i="48" s="1"/>
  <c r="I158" i="48"/>
  <c r="J158" i="48" s="1"/>
  <c r="K158" i="48" s="1"/>
  <c r="L158" i="48" s="1"/>
  <c r="M158" i="48" s="1"/>
  <c r="N158" i="48" s="1"/>
  <c r="I157" i="48"/>
  <c r="J157" i="48" s="1"/>
  <c r="K157" i="48" s="1"/>
  <c r="L157" i="48" s="1"/>
  <c r="M157" i="48" s="1"/>
  <c r="N157" i="48" s="1"/>
  <c r="I141" i="48"/>
  <c r="J141" i="48" s="1"/>
  <c r="K141" i="48" s="1"/>
  <c r="L141" i="48" s="1"/>
  <c r="M141" i="48" s="1"/>
  <c r="N141" i="48" s="1"/>
  <c r="I140" i="48"/>
  <c r="J140" i="48" s="1"/>
  <c r="K140" i="48" s="1"/>
  <c r="L140" i="48" s="1"/>
  <c r="M140" i="48" s="1"/>
  <c r="N140" i="48" s="1"/>
  <c r="I139" i="48"/>
  <c r="J139" i="48" s="1"/>
  <c r="K139" i="48" s="1"/>
  <c r="L139" i="48" s="1"/>
  <c r="M139" i="48" s="1"/>
  <c r="N139" i="48" s="1"/>
  <c r="I138" i="48"/>
  <c r="J138" i="48" s="1"/>
  <c r="K138" i="48" s="1"/>
  <c r="L138" i="48" s="1"/>
  <c r="M138" i="48" s="1"/>
  <c r="N138" i="48" s="1"/>
  <c r="I137" i="48"/>
  <c r="J137" i="48" s="1"/>
  <c r="K137" i="48" s="1"/>
  <c r="L137" i="48" s="1"/>
  <c r="M137" i="48" s="1"/>
  <c r="N137" i="48" s="1"/>
  <c r="I121" i="48"/>
  <c r="J121" i="48" s="1"/>
  <c r="K121" i="48" s="1"/>
  <c r="L121" i="48" s="1"/>
  <c r="M121" i="48" s="1"/>
  <c r="N121" i="48" s="1"/>
  <c r="I120" i="48"/>
  <c r="J120" i="48" s="1"/>
  <c r="K120" i="48" s="1"/>
  <c r="L120" i="48" s="1"/>
  <c r="M120" i="48" s="1"/>
  <c r="N120" i="48" s="1"/>
  <c r="I119" i="48"/>
  <c r="J119" i="48" s="1"/>
  <c r="K119" i="48" s="1"/>
  <c r="L119" i="48" s="1"/>
  <c r="M119" i="48" s="1"/>
  <c r="N119" i="48" s="1"/>
  <c r="I118" i="48"/>
  <c r="J118" i="48" s="1"/>
  <c r="K118" i="48" s="1"/>
  <c r="L118" i="48" s="1"/>
  <c r="M118" i="48" s="1"/>
  <c r="N118" i="48" s="1"/>
  <c r="I117" i="48"/>
  <c r="J117" i="48" s="1"/>
  <c r="K117" i="48" s="1"/>
  <c r="L117" i="48" s="1"/>
  <c r="M117" i="48" s="1"/>
  <c r="N117" i="48" s="1"/>
  <c r="I98" i="48"/>
  <c r="J98" i="48" s="1"/>
  <c r="K98" i="48" s="1"/>
  <c r="L98" i="48" s="1"/>
  <c r="M98" i="48" s="1"/>
  <c r="N98" i="48" s="1"/>
  <c r="I97" i="48"/>
  <c r="J97" i="48" s="1"/>
  <c r="K97" i="48" s="1"/>
  <c r="L97" i="48" s="1"/>
  <c r="M97" i="48" s="1"/>
  <c r="N97" i="48" s="1"/>
  <c r="I96" i="48"/>
  <c r="J96" i="48" s="1"/>
  <c r="K96" i="48" s="1"/>
  <c r="L96" i="48" s="1"/>
  <c r="M96" i="48" s="1"/>
  <c r="N96" i="48" s="1"/>
  <c r="I95" i="48"/>
  <c r="J95" i="48" s="1"/>
  <c r="K95" i="48" s="1"/>
  <c r="L95" i="48" s="1"/>
  <c r="M95" i="48" s="1"/>
  <c r="N95" i="48" s="1"/>
  <c r="I94" i="48"/>
  <c r="J94" i="48" s="1"/>
  <c r="K94" i="48" s="1"/>
  <c r="L94" i="48" s="1"/>
  <c r="M94" i="48" s="1"/>
  <c r="N94" i="48" s="1"/>
  <c r="I78" i="48"/>
  <c r="J78" i="48" s="1"/>
  <c r="K78" i="48" s="1"/>
  <c r="L78" i="48" s="1"/>
  <c r="M78" i="48" s="1"/>
  <c r="N78" i="48" s="1"/>
  <c r="I77" i="48"/>
  <c r="J77" i="48" s="1"/>
  <c r="K77" i="48" s="1"/>
  <c r="L77" i="48" s="1"/>
  <c r="M77" i="48" s="1"/>
  <c r="N77" i="48" s="1"/>
  <c r="I76" i="48"/>
  <c r="J76" i="48" s="1"/>
  <c r="K76" i="48" s="1"/>
  <c r="L76" i="48" s="1"/>
  <c r="M76" i="48" s="1"/>
  <c r="N76" i="48" s="1"/>
  <c r="I75" i="48"/>
  <c r="J75" i="48" s="1"/>
  <c r="K75" i="48" s="1"/>
  <c r="L75" i="48" s="1"/>
  <c r="M75" i="48" s="1"/>
  <c r="N75" i="48" s="1"/>
  <c r="I74" i="48"/>
  <c r="J74" i="48" s="1"/>
  <c r="K74" i="48" s="1"/>
  <c r="L74" i="48" s="1"/>
  <c r="M74" i="48" s="1"/>
  <c r="N74" i="48" s="1"/>
  <c r="I58" i="48"/>
  <c r="J58" i="48" s="1"/>
  <c r="K58" i="48" s="1"/>
  <c r="L58" i="48" s="1"/>
  <c r="M58" i="48" s="1"/>
  <c r="N58" i="48" s="1"/>
  <c r="I57" i="48"/>
  <c r="J57" i="48" s="1"/>
  <c r="K57" i="48" s="1"/>
  <c r="L57" i="48" s="1"/>
  <c r="M57" i="48" s="1"/>
  <c r="N57" i="48" s="1"/>
  <c r="I56" i="48"/>
  <c r="J56" i="48" s="1"/>
  <c r="K56" i="48" s="1"/>
  <c r="L56" i="48" s="1"/>
  <c r="M56" i="48" s="1"/>
  <c r="N56" i="48" s="1"/>
  <c r="I55" i="48"/>
  <c r="J55" i="48" s="1"/>
  <c r="K55" i="48" s="1"/>
  <c r="L55" i="48" s="1"/>
  <c r="M55" i="48" s="1"/>
  <c r="N55" i="48" s="1"/>
  <c r="I54" i="48"/>
  <c r="J54" i="48" s="1"/>
  <c r="K54" i="48" s="1"/>
  <c r="L54" i="48" s="1"/>
  <c r="M54" i="48" s="1"/>
  <c r="N54" i="48" s="1"/>
  <c r="I38" i="48"/>
  <c r="J38" i="48" s="1"/>
  <c r="K38" i="48" s="1"/>
  <c r="L38" i="48" s="1"/>
  <c r="M38" i="48" s="1"/>
  <c r="N38" i="48" s="1"/>
  <c r="I37" i="48"/>
  <c r="J37" i="48" s="1"/>
  <c r="K37" i="48" s="1"/>
  <c r="L37" i="48" s="1"/>
  <c r="M37" i="48" s="1"/>
  <c r="N37" i="48" s="1"/>
  <c r="I36" i="48"/>
  <c r="J36" i="48" s="1"/>
  <c r="K36" i="48" s="1"/>
  <c r="L36" i="48" s="1"/>
  <c r="M36" i="48" s="1"/>
  <c r="N36" i="48" s="1"/>
  <c r="I35" i="48"/>
  <c r="J35" i="48" s="1"/>
  <c r="K35" i="48" s="1"/>
  <c r="L35" i="48" s="1"/>
  <c r="M35" i="48" s="1"/>
  <c r="N35" i="48" s="1"/>
  <c r="I34" i="48"/>
  <c r="J34" i="48" s="1"/>
  <c r="K34" i="48" s="1"/>
  <c r="L34" i="48" s="1"/>
  <c r="M34" i="48" s="1"/>
  <c r="N34" i="48" s="1"/>
  <c r="I15" i="48"/>
  <c r="J15" i="48" s="1"/>
  <c r="K15" i="48" s="1"/>
  <c r="L15" i="48" s="1"/>
  <c r="M15" i="48" s="1"/>
  <c r="N15" i="48" s="1"/>
  <c r="J16" i="48"/>
  <c r="K16" i="48" s="1"/>
  <c r="L16" i="48" s="1"/>
  <c r="M16" i="48" s="1"/>
  <c r="N16" i="48" s="1"/>
  <c r="I17" i="48"/>
  <c r="J17" i="48" s="1"/>
  <c r="K17" i="48" s="1"/>
  <c r="L17" i="48" s="1"/>
  <c r="M17" i="48" s="1"/>
  <c r="N17" i="48" s="1"/>
  <c r="I18" i="48"/>
  <c r="J18" i="48" s="1"/>
  <c r="K18" i="48" s="1"/>
  <c r="L18" i="48" s="1"/>
  <c r="M18" i="48" s="1"/>
  <c r="N18" i="48" s="1"/>
  <c r="I14" i="48"/>
  <c r="J14" i="48" s="1"/>
  <c r="K14" i="48" s="1"/>
  <c r="L14" i="48" s="1"/>
  <c r="M14" i="48" s="1"/>
  <c r="N14" i="48" s="1"/>
  <c r="N39" i="48" l="1"/>
  <c r="N59" i="48"/>
  <c r="N122" i="48"/>
  <c r="N142" i="48"/>
  <c r="N182" i="48"/>
  <c r="N202" i="48"/>
  <c r="N79" i="48"/>
  <c r="N162" i="48"/>
  <c r="N19" i="48"/>
  <c r="N99" i="48"/>
  <c r="L105" i="35"/>
  <c r="O83" i="35"/>
  <c r="L30" i="49" s="1"/>
  <c r="M35" i="35"/>
  <c r="K53" i="24" l="1"/>
  <c r="J53" i="24"/>
  <c r="K71" i="24"/>
  <c r="J71" i="24"/>
  <c r="K56" i="24"/>
  <c r="J56" i="24"/>
  <c r="K44" i="24"/>
  <c r="J44" i="24"/>
  <c r="K59" i="24"/>
  <c r="J59" i="24"/>
  <c r="K43" i="24"/>
  <c r="J43" i="24"/>
  <c r="K58" i="24"/>
  <c r="J58" i="24"/>
  <c r="N214" i="48"/>
  <c r="H43" i="29"/>
  <c r="I43" i="29" s="1"/>
  <c r="J43" i="29" s="1"/>
  <c r="K43" i="29" s="1"/>
  <c r="L43" i="29" s="1"/>
  <c r="H48" i="29"/>
  <c r="I48" i="29" s="1"/>
  <c r="J48" i="29" s="1"/>
  <c r="K48" i="29" s="1"/>
  <c r="L48" i="29" s="1"/>
  <c r="H44" i="29"/>
  <c r="I44" i="29" s="1"/>
  <c r="J44" i="29" s="1"/>
  <c r="K44" i="29" s="1"/>
  <c r="L44" i="29" s="1"/>
  <c r="H47" i="29"/>
  <c r="I47" i="29" s="1"/>
  <c r="J47" i="29" s="1"/>
  <c r="K47" i="29" s="1"/>
  <c r="L47" i="29" s="1"/>
  <c r="H46" i="29"/>
  <c r="I46" i="29" s="1"/>
  <c r="J46" i="29" s="1"/>
  <c r="K46" i="29" s="1"/>
  <c r="L46" i="29" s="1"/>
  <c r="H45" i="29"/>
  <c r="I45" i="29" s="1"/>
  <c r="J45" i="29" s="1"/>
  <c r="K45" i="29" s="1"/>
  <c r="L45" i="29" s="1"/>
  <c r="M105" i="35"/>
  <c r="N35" i="35"/>
  <c r="H129" i="31"/>
  <c r="L43" i="24" s="1"/>
  <c r="H149" i="31"/>
  <c r="L58" i="24" s="1"/>
  <c r="H130" i="31"/>
  <c r="L44" i="24" s="1"/>
  <c r="H150" i="31"/>
  <c r="L59" i="24" s="1"/>
  <c r="H142" i="31"/>
  <c r="L53" i="24" s="1"/>
  <c r="H146" i="31"/>
  <c r="L56" i="24" s="1"/>
  <c r="H166" i="31"/>
  <c r="L71" i="24" s="1"/>
  <c r="K45" i="24" l="1"/>
  <c r="J45" i="24"/>
  <c r="K57" i="24"/>
  <c r="J57" i="24"/>
  <c r="K46" i="24"/>
  <c r="J46" i="24"/>
  <c r="K62" i="24"/>
  <c r="J62" i="24"/>
  <c r="K47" i="24"/>
  <c r="J47" i="24"/>
  <c r="K55" i="24"/>
  <c r="J55" i="24"/>
  <c r="K51" i="24"/>
  <c r="J51" i="24"/>
  <c r="K60" i="24"/>
  <c r="J60" i="24"/>
  <c r="K72" i="24"/>
  <c r="J72" i="24"/>
  <c r="K69" i="24"/>
  <c r="J69" i="24"/>
  <c r="K52" i="24"/>
  <c r="J52" i="24"/>
  <c r="K70" i="24"/>
  <c r="J70" i="24"/>
  <c r="K42" i="24"/>
  <c r="J42" i="24"/>
  <c r="K61" i="24"/>
  <c r="J61" i="24"/>
  <c r="N105" i="35"/>
  <c r="O35" i="35"/>
  <c r="K60" i="31"/>
  <c r="H154" i="31"/>
  <c r="L62" i="24" s="1"/>
  <c r="I150" i="31"/>
  <c r="M59" i="24" s="1"/>
  <c r="I149" i="31"/>
  <c r="M58" i="24" s="1"/>
  <c r="H168" i="31"/>
  <c r="L72" i="24" s="1"/>
  <c r="I146" i="31"/>
  <c r="M56" i="24" s="1"/>
  <c r="H164" i="31"/>
  <c r="L69" i="24" s="1"/>
  <c r="H141" i="31"/>
  <c r="L52" i="24" s="1"/>
  <c r="H140" i="31"/>
  <c r="L51" i="24" s="1"/>
  <c r="H165" i="31"/>
  <c r="L70" i="24" s="1"/>
  <c r="H128" i="31"/>
  <c r="L42" i="24" s="1"/>
  <c r="H133" i="31"/>
  <c r="L46" i="24" s="1"/>
  <c r="I166" i="31"/>
  <c r="M71" i="24" s="1"/>
  <c r="I130" i="31"/>
  <c r="M44" i="24" s="1"/>
  <c r="H134" i="31"/>
  <c r="L47" i="24" s="1"/>
  <c r="I142" i="31"/>
  <c r="M53" i="24" s="1"/>
  <c r="H145" i="31"/>
  <c r="L55" i="24" s="1"/>
  <c r="H152" i="31"/>
  <c r="L60" i="24" s="1"/>
  <c r="H132" i="31"/>
  <c r="L45" i="24" s="1"/>
  <c r="H148" i="31"/>
  <c r="L57" i="24" s="1"/>
  <c r="H153" i="31"/>
  <c r="L61" i="24" s="1"/>
  <c r="I129" i="31"/>
  <c r="M43" i="24" s="1"/>
  <c r="O105" i="35" l="1"/>
  <c r="I133" i="31"/>
  <c r="M46" i="24" s="1"/>
  <c r="J150" i="31"/>
  <c r="N59" i="24" s="1"/>
  <c r="J129" i="31"/>
  <c r="N43" i="24" s="1"/>
  <c r="I145" i="31"/>
  <c r="M55" i="24" s="1"/>
  <c r="I128" i="31"/>
  <c r="M42" i="24" s="1"/>
  <c r="J149" i="31"/>
  <c r="N58" i="24" s="1"/>
  <c r="I154" i="31"/>
  <c r="M62" i="24" s="1"/>
  <c r="J130" i="31"/>
  <c r="N44" i="24" s="1"/>
  <c r="I153" i="31"/>
  <c r="M61" i="24" s="1"/>
  <c r="I148" i="31"/>
  <c r="M57" i="24" s="1"/>
  <c r="I152" i="31"/>
  <c r="M60" i="24" s="1"/>
  <c r="J142" i="31"/>
  <c r="N53" i="24" s="1"/>
  <c r="I165" i="31"/>
  <c r="M70" i="24" s="1"/>
  <c r="I164" i="31"/>
  <c r="M69" i="24" s="1"/>
  <c r="I140" i="31"/>
  <c r="M51" i="24" s="1"/>
  <c r="I168" i="31"/>
  <c r="M72" i="24" s="1"/>
  <c r="I132" i="31"/>
  <c r="M45" i="24" s="1"/>
  <c r="I134" i="31"/>
  <c r="M47" i="24" s="1"/>
  <c r="J166" i="31"/>
  <c r="N71" i="24" s="1"/>
  <c r="I141" i="31"/>
  <c r="M52" i="24" s="1"/>
  <c r="J146" i="31"/>
  <c r="N56" i="24" s="1"/>
  <c r="J132" i="31" l="1"/>
  <c r="N45" i="24" s="1"/>
  <c r="J164" i="31"/>
  <c r="N69" i="24" s="1"/>
  <c r="J148" i="31"/>
  <c r="N57" i="24" s="1"/>
  <c r="J134" i="31"/>
  <c r="N47" i="24" s="1"/>
  <c r="J140" i="31"/>
  <c r="N51" i="24" s="1"/>
  <c r="J152" i="31"/>
  <c r="N60" i="24" s="1"/>
  <c r="J154" i="31"/>
  <c r="N62" i="24" s="1"/>
  <c r="K129" i="31"/>
  <c r="K149" i="31"/>
  <c r="K150" i="31"/>
  <c r="K146" i="31"/>
  <c r="J168" i="31"/>
  <c r="N72" i="24" s="1"/>
  <c r="K142" i="31"/>
  <c r="K130" i="31"/>
  <c r="J145" i="31"/>
  <c r="N55" i="24" s="1"/>
  <c r="J141" i="31"/>
  <c r="N52" i="24" s="1"/>
  <c r="K166" i="31"/>
  <c r="J165" i="31"/>
  <c r="N70" i="24" s="1"/>
  <c r="J153" i="31"/>
  <c r="N61" i="24" s="1"/>
  <c r="J128" i="31"/>
  <c r="N42" i="24" s="1"/>
  <c r="J133" i="31"/>
  <c r="N46" i="24" s="1"/>
  <c r="D194" i="48"/>
  <c r="D174" i="48"/>
  <c r="D154" i="48"/>
  <c r="D134" i="48"/>
  <c r="D114" i="48"/>
  <c r="D91" i="48"/>
  <c r="D71" i="48"/>
  <c r="D51" i="48"/>
  <c r="D31" i="48"/>
  <c r="M210" i="48"/>
  <c r="O137" i="35" s="1"/>
  <c r="L210" i="48"/>
  <c r="N137" i="35" s="1"/>
  <c r="K210" i="48"/>
  <c r="M137" i="35" s="1"/>
  <c r="J210" i="48"/>
  <c r="L137" i="35" s="1"/>
  <c r="I210" i="48"/>
  <c r="K137" i="35" s="1"/>
  <c r="H210" i="48"/>
  <c r="M190" i="48"/>
  <c r="O136" i="35" s="1"/>
  <c r="L190" i="48"/>
  <c r="N136" i="35" s="1"/>
  <c r="K190" i="48"/>
  <c r="M136" i="35" s="1"/>
  <c r="J190" i="48"/>
  <c r="L136" i="35" s="1"/>
  <c r="I190" i="48"/>
  <c r="K136" i="35" s="1"/>
  <c r="H190" i="48"/>
  <c r="H182" i="48"/>
  <c r="M170" i="48"/>
  <c r="O135" i="35" s="1"/>
  <c r="L170" i="48"/>
  <c r="N135" i="35" s="1"/>
  <c r="K170" i="48"/>
  <c r="M135" i="35" s="1"/>
  <c r="J170" i="48"/>
  <c r="L135" i="35" s="1"/>
  <c r="I170" i="48"/>
  <c r="K135" i="35" s="1"/>
  <c r="H170" i="48"/>
  <c r="H162" i="48"/>
  <c r="M150" i="48"/>
  <c r="O134" i="35" s="1"/>
  <c r="L150" i="48"/>
  <c r="N134" i="35" s="1"/>
  <c r="K150" i="48"/>
  <c r="M134" i="35" s="1"/>
  <c r="J150" i="48"/>
  <c r="L134" i="35" s="1"/>
  <c r="I150" i="48"/>
  <c r="K134" i="35" s="1"/>
  <c r="H150" i="48"/>
  <c r="H142" i="48"/>
  <c r="M130" i="48"/>
  <c r="O133" i="35" s="1"/>
  <c r="L130" i="48"/>
  <c r="N133" i="35" s="1"/>
  <c r="K130" i="48"/>
  <c r="M133" i="35" s="1"/>
  <c r="J130" i="48"/>
  <c r="L133" i="35" s="1"/>
  <c r="I130" i="48"/>
  <c r="K133" i="35" s="1"/>
  <c r="H130" i="48"/>
  <c r="M107" i="48"/>
  <c r="O132" i="35" s="1"/>
  <c r="L107" i="48"/>
  <c r="N132" i="35" s="1"/>
  <c r="K107" i="48"/>
  <c r="M132" i="35" s="1"/>
  <c r="J107" i="48"/>
  <c r="L132" i="35" s="1"/>
  <c r="I107" i="48"/>
  <c r="K132" i="35" s="1"/>
  <c r="H107" i="48"/>
  <c r="M87" i="48"/>
  <c r="O131" i="35" s="1"/>
  <c r="L87" i="48"/>
  <c r="N131" i="35" s="1"/>
  <c r="K87" i="48"/>
  <c r="M131" i="35" s="1"/>
  <c r="J87" i="48"/>
  <c r="L131" i="35" s="1"/>
  <c r="I87" i="48"/>
  <c r="K131" i="35" s="1"/>
  <c r="H87" i="48"/>
  <c r="M67" i="48"/>
  <c r="O130" i="35" s="1"/>
  <c r="L67" i="48"/>
  <c r="N130" i="35" s="1"/>
  <c r="K67" i="48"/>
  <c r="M130" i="35" s="1"/>
  <c r="J67" i="48"/>
  <c r="L130" i="35" s="1"/>
  <c r="I67" i="48"/>
  <c r="K130" i="35" s="1"/>
  <c r="H67" i="48"/>
  <c r="H59" i="48"/>
  <c r="M47" i="48"/>
  <c r="O129" i="35" s="1"/>
  <c r="L47" i="48"/>
  <c r="N129" i="35" s="1"/>
  <c r="K47" i="48"/>
  <c r="M129" i="35" s="1"/>
  <c r="J47" i="48"/>
  <c r="L129" i="35" s="1"/>
  <c r="I47" i="48"/>
  <c r="K129" i="35" s="1"/>
  <c r="H47" i="48"/>
  <c r="H27" i="48"/>
  <c r="I27" i="48"/>
  <c r="K128" i="35" s="1"/>
  <c r="J27" i="48"/>
  <c r="K27" i="48"/>
  <c r="M128" i="35" s="1"/>
  <c r="L27" i="48"/>
  <c r="N128" i="35" s="1"/>
  <c r="M27" i="48"/>
  <c r="O128" i="35" s="1"/>
  <c r="D11" i="48"/>
  <c r="H161" i="18" l="1"/>
  <c r="J217" i="48"/>
  <c r="O138" i="35"/>
  <c r="M217" i="48"/>
  <c r="L82" i="38" s="1"/>
  <c r="I217" i="48"/>
  <c r="L217" i="48"/>
  <c r="K217" i="48"/>
  <c r="L128" i="35"/>
  <c r="K128" i="31"/>
  <c r="K133" i="31"/>
  <c r="K145" i="31"/>
  <c r="K154" i="31"/>
  <c r="K148" i="31"/>
  <c r="K152" i="31"/>
  <c r="K164" i="31"/>
  <c r="K165" i="31"/>
  <c r="K141" i="31"/>
  <c r="K168" i="31"/>
  <c r="K134" i="31"/>
  <c r="K153" i="31"/>
  <c r="K140" i="31"/>
  <c r="K132" i="31"/>
  <c r="H122" i="48"/>
  <c r="H158" i="18" s="1"/>
  <c r="H99" i="48"/>
  <c r="H157" i="18" s="1"/>
  <c r="H202" i="48"/>
  <c r="H39" i="48"/>
  <c r="I39" i="48"/>
  <c r="H79" i="48"/>
  <c r="I202" i="48"/>
  <c r="I182" i="48"/>
  <c r="J162" i="48"/>
  <c r="I162" i="48"/>
  <c r="I160" i="18" s="1"/>
  <c r="I122" i="48"/>
  <c r="J99" i="48"/>
  <c r="I99" i="48"/>
  <c r="I157" i="18" s="1"/>
  <c r="I79" i="48"/>
  <c r="H156" i="18" l="1"/>
  <c r="H154" i="18"/>
  <c r="H160" i="18"/>
  <c r="J160" i="18"/>
  <c r="J122" i="48"/>
  <c r="J158" i="18" s="1"/>
  <c r="I142" i="48"/>
  <c r="I59" i="48"/>
  <c r="J202" i="48"/>
  <c r="J182" i="48"/>
  <c r="I161" i="18" s="1"/>
  <c r="K162" i="48"/>
  <c r="J142" i="48"/>
  <c r="K122" i="48"/>
  <c r="K99" i="48"/>
  <c r="J79" i="48"/>
  <c r="I156" i="18" s="1"/>
  <c r="J39" i="48"/>
  <c r="I154" i="18" s="1"/>
  <c r="H162" i="18" l="1"/>
  <c r="J157" i="18"/>
  <c r="H155" i="18"/>
  <c r="J156" i="18"/>
  <c r="I159" i="18"/>
  <c r="H159" i="18"/>
  <c r="I158" i="18"/>
  <c r="J59" i="48"/>
  <c r="K202" i="48"/>
  <c r="K182" i="48"/>
  <c r="J161" i="18" s="1"/>
  <c r="M162" i="48"/>
  <c r="M160" i="18" s="1"/>
  <c r="L162" i="48"/>
  <c r="L160" i="18" s="1"/>
  <c r="K142" i="48"/>
  <c r="J159" i="18" s="1"/>
  <c r="M122" i="48"/>
  <c r="M158" i="18" s="1"/>
  <c r="L122" i="48"/>
  <c r="L158" i="18" s="1"/>
  <c r="M99" i="48"/>
  <c r="M157" i="18" s="1"/>
  <c r="L99" i="48"/>
  <c r="K79" i="48"/>
  <c r="K39" i="48"/>
  <c r="J154" i="18" s="1"/>
  <c r="K160" i="18" l="1"/>
  <c r="L157" i="18"/>
  <c r="I162" i="18"/>
  <c r="I155" i="18"/>
  <c r="K158" i="18"/>
  <c r="K157" i="18"/>
  <c r="K59" i="48"/>
  <c r="M202" i="48"/>
  <c r="M162" i="18" s="1"/>
  <c r="L202" i="48"/>
  <c r="M182" i="48"/>
  <c r="M161" i="18" s="1"/>
  <c r="L182" i="48"/>
  <c r="M142" i="48"/>
  <c r="M159" i="18" s="1"/>
  <c r="L142" i="48"/>
  <c r="L79" i="48"/>
  <c r="L156" i="18" s="1"/>
  <c r="M79" i="48"/>
  <c r="M156" i="18" s="1"/>
  <c r="L39" i="48"/>
  <c r="K154" i="18" s="1"/>
  <c r="M39" i="48"/>
  <c r="M154" i="18" s="1"/>
  <c r="K162" i="18" l="1"/>
  <c r="L159" i="18"/>
  <c r="K156" i="18"/>
  <c r="L162" i="18"/>
  <c r="J162" i="18"/>
  <c r="K159" i="18"/>
  <c r="L154" i="18"/>
  <c r="L161" i="18"/>
  <c r="K161" i="18"/>
  <c r="J155" i="18"/>
  <c r="M59" i="48"/>
  <c r="M155" i="18" s="1"/>
  <c r="L59" i="48"/>
  <c r="L155" i="18" s="1"/>
  <c r="K155" i="18" l="1"/>
  <c r="I78" i="38" l="1"/>
  <c r="J78" i="38" l="1"/>
  <c r="K78" i="38" l="1"/>
  <c r="L78" i="38" l="1"/>
  <c r="AG113" i="13" l="1"/>
  <c r="AI113" i="13"/>
  <c r="AG114" i="13"/>
  <c r="AI114" i="13"/>
  <c r="AG115" i="13"/>
  <c r="AI115" i="13"/>
  <c r="AG116" i="13"/>
  <c r="AI116" i="13"/>
  <c r="AG117" i="13"/>
  <c r="AI117" i="13"/>
  <c r="AG118" i="13"/>
  <c r="AI118" i="13"/>
  <c r="AG119" i="13"/>
  <c r="AI119" i="13"/>
  <c r="AG120" i="13"/>
  <c r="AI120" i="13"/>
  <c r="AG121" i="13"/>
  <c r="AI121" i="13"/>
  <c r="AG122" i="13"/>
  <c r="AI122" i="13"/>
  <c r="AG123" i="13"/>
  <c r="AI123" i="13"/>
  <c r="AG124" i="13"/>
  <c r="AI124" i="13"/>
  <c r="AG125" i="13"/>
  <c r="AI125" i="13"/>
  <c r="AG126" i="13"/>
  <c r="AI126" i="13"/>
  <c r="AG127" i="13"/>
  <c r="AI127" i="13"/>
  <c r="AG128" i="13"/>
  <c r="AI128" i="13"/>
  <c r="AG129" i="13"/>
  <c r="AI129" i="13"/>
  <c r="AG130" i="13"/>
  <c r="AI130" i="13"/>
  <c r="AG131" i="13"/>
  <c r="AI131" i="13"/>
  <c r="AG81" i="13"/>
  <c r="AI81" i="13"/>
  <c r="AG82" i="13"/>
  <c r="AI82" i="13"/>
  <c r="AG83" i="13"/>
  <c r="AI83" i="13"/>
  <c r="AG84" i="13"/>
  <c r="AI84" i="13"/>
  <c r="AG85" i="13"/>
  <c r="AI85" i="13"/>
  <c r="AG86" i="13"/>
  <c r="AI86" i="13"/>
  <c r="AG87" i="13"/>
  <c r="AI87" i="13"/>
  <c r="AG88" i="13"/>
  <c r="AI88" i="13"/>
  <c r="AG89" i="13"/>
  <c r="AI89" i="13"/>
  <c r="AG90" i="13"/>
  <c r="AI90" i="13"/>
  <c r="AG91" i="13"/>
  <c r="AI91" i="13"/>
  <c r="AG92" i="13"/>
  <c r="AI92" i="13"/>
  <c r="AG93" i="13"/>
  <c r="AI93" i="13"/>
  <c r="AG94" i="13"/>
  <c r="AI94" i="13"/>
  <c r="AG95" i="13"/>
  <c r="AI95" i="13"/>
  <c r="AG96" i="13"/>
  <c r="AI96" i="13"/>
  <c r="AG97" i="13"/>
  <c r="AI97" i="13"/>
  <c r="AG98" i="13"/>
  <c r="AI98" i="13"/>
  <c r="AG99" i="13"/>
  <c r="AI99" i="13"/>
  <c r="AG49" i="13"/>
  <c r="AI49" i="13"/>
  <c r="AG50" i="13"/>
  <c r="AI50" i="13"/>
  <c r="AG51" i="13"/>
  <c r="AI51" i="13"/>
  <c r="AG52" i="13"/>
  <c r="AI52" i="13"/>
  <c r="AG53" i="13"/>
  <c r="AI53" i="13"/>
  <c r="AG54" i="13"/>
  <c r="AI54" i="13"/>
  <c r="AG55" i="13"/>
  <c r="AI55" i="13"/>
  <c r="AG56" i="13"/>
  <c r="AI56" i="13"/>
  <c r="AG57" i="13"/>
  <c r="AI57" i="13"/>
  <c r="AG58" i="13"/>
  <c r="AI58" i="13"/>
  <c r="AG59" i="13"/>
  <c r="AI59" i="13"/>
  <c r="AG60" i="13"/>
  <c r="AI60" i="13"/>
  <c r="AG61" i="13"/>
  <c r="AI61" i="13"/>
  <c r="AG62" i="13"/>
  <c r="AI62" i="13"/>
  <c r="AG63" i="13"/>
  <c r="AI63" i="13"/>
  <c r="AG64" i="13"/>
  <c r="AI64" i="13"/>
  <c r="AG65" i="13"/>
  <c r="AI65" i="13"/>
  <c r="AG66" i="13"/>
  <c r="AI66" i="13"/>
  <c r="AG67" i="13"/>
  <c r="AI67" i="13"/>
  <c r="Q132" i="13"/>
  <c r="N132" i="13"/>
  <c r="M132" i="13"/>
  <c r="AI112" i="13"/>
  <c r="AG112" i="13"/>
  <c r="Q100" i="13"/>
  <c r="N100" i="13"/>
  <c r="M100" i="13"/>
  <c r="AI80" i="13"/>
  <c r="AG80" i="13"/>
  <c r="Q68" i="13"/>
  <c r="N68" i="13"/>
  <c r="M68" i="13"/>
  <c r="AI48" i="13"/>
  <c r="AG48" i="13"/>
  <c r="H31" i="28" l="1"/>
  <c r="H33" i="28" s="1"/>
  <c r="G41" i="28"/>
  <c r="G43" i="28" s="1"/>
  <c r="F41" i="28"/>
  <c r="F43" i="28" s="1"/>
  <c r="H134" i="29"/>
  <c r="D81" i="13"/>
  <c r="D113" i="13" s="1"/>
  <c r="D145" i="13" s="1"/>
  <c r="D177" i="13" s="1"/>
  <c r="F81" i="13"/>
  <c r="F113" i="13" s="1"/>
  <c r="F145" i="13" s="1"/>
  <c r="F177" i="13" s="1"/>
  <c r="H81" i="13"/>
  <c r="H113" i="13" s="1"/>
  <c r="H145" i="13" s="1"/>
  <c r="H177" i="13" s="1"/>
  <c r="D82" i="13"/>
  <c r="D114" i="13" s="1"/>
  <c r="D146" i="13" s="1"/>
  <c r="D178" i="13" s="1"/>
  <c r="F82" i="13"/>
  <c r="F114" i="13" s="1"/>
  <c r="F146" i="13" s="1"/>
  <c r="F178" i="13" s="1"/>
  <c r="H82" i="13"/>
  <c r="H114" i="13" s="1"/>
  <c r="H146" i="13" s="1"/>
  <c r="H178" i="13" s="1"/>
  <c r="D83" i="13"/>
  <c r="F83" i="13"/>
  <c r="H83" i="13"/>
  <c r="D84" i="13"/>
  <c r="F84" i="13"/>
  <c r="H84" i="13"/>
  <c r="D85" i="13"/>
  <c r="F85" i="13"/>
  <c r="H85" i="13"/>
  <c r="F86" i="13"/>
  <c r="H86" i="13"/>
  <c r="D87" i="13"/>
  <c r="F87" i="13"/>
  <c r="H87" i="13"/>
  <c r="D88" i="13"/>
  <c r="F88" i="13"/>
  <c r="H88" i="13"/>
  <c r="D89" i="13"/>
  <c r="F89" i="13"/>
  <c r="H89" i="13"/>
  <c r="D90" i="13"/>
  <c r="F90" i="13"/>
  <c r="H90" i="13"/>
  <c r="D91" i="13"/>
  <c r="F91" i="13"/>
  <c r="H91" i="13"/>
  <c r="D92" i="13"/>
  <c r="F92" i="13"/>
  <c r="H92" i="13"/>
  <c r="D93" i="13"/>
  <c r="F93" i="13"/>
  <c r="H93" i="13"/>
  <c r="D94" i="13"/>
  <c r="F94" i="13"/>
  <c r="H94" i="13"/>
  <c r="D95" i="13"/>
  <c r="F95" i="13"/>
  <c r="H95" i="13"/>
  <c r="D96" i="13"/>
  <c r="F96" i="13"/>
  <c r="H96" i="13"/>
  <c r="D97" i="13"/>
  <c r="F97" i="13"/>
  <c r="H97" i="13"/>
  <c r="D98" i="13"/>
  <c r="F98" i="13"/>
  <c r="H98" i="13"/>
  <c r="D99" i="13"/>
  <c r="H99" i="13"/>
  <c r="H80" i="13"/>
  <c r="H112" i="13" s="1"/>
  <c r="H144" i="13" s="1"/>
  <c r="H176" i="13" s="1"/>
  <c r="F80" i="13"/>
  <c r="F112" i="13" s="1"/>
  <c r="F144" i="13" s="1"/>
  <c r="F176" i="13" s="1"/>
  <c r="D80" i="13"/>
  <c r="D112" i="13" s="1"/>
  <c r="D144" i="13" s="1"/>
  <c r="D176" i="13" s="1"/>
  <c r="H48" i="39"/>
  <c r="I48" i="39" s="1"/>
  <c r="J48" i="39" s="1"/>
  <c r="K48" i="39" s="1"/>
  <c r="L48" i="39" s="1"/>
  <c r="H49" i="39"/>
  <c r="I49" i="39" s="1"/>
  <c r="J49" i="39" s="1"/>
  <c r="K49" i="39" s="1"/>
  <c r="L49" i="39" s="1"/>
  <c r="H50" i="39"/>
  <c r="I50" i="39" s="1"/>
  <c r="J50" i="39" s="1"/>
  <c r="K50" i="39" s="1"/>
  <c r="L50" i="39" s="1"/>
  <c r="H51" i="39"/>
  <c r="I51" i="39" s="1"/>
  <c r="J51" i="39" s="1"/>
  <c r="K51" i="39" s="1"/>
  <c r="L51" i="39" s="1"/>
  <c r="H52" i="39"/>
  <c r="I52" i="39" s="1"/>
  <c r="J52" i="39" s="1"/>
  <c r="K52" i="39" s="1"/>
  <c r="L52" i="39" s="1"/>
  <c r="H53" i="39"/>
  <c r="I53" i="39" s="1"/>
  <c r="J53" i="39" s="1"/>
  <c r="K53" i="39" s="1"/>
  <c r="L53" i="39" s="1"/>
  <c r="H44" i="39"/>
  <c r="I44" i="39" s="1"/>
  <c r="J44" i="39" s="1"/>
  <c r="K44" i="39" s="1"/>
  <c r="L44" i="39" s="1"/>
  <c r="H40" i="39"/>
  <c r="I40" i="39" s="1"/>
  <c r="J40" i="39" s="1"/>
  <c r="K40" i="39" s="1"/>
  <c r="L40" i="39" s="1"/>
  <c r="K110" i="35"/>
  <c r="L110" i="35" s="1"/>
  <c r="M110" i="35" s="1"/>
  <c r="N110" i="35" s="1"/>
  <c r="O110" i="35" s="1"/>
  <c r="K111" i="35"/>
  <c r="L111" i="35" s="1"/>
  <c r="M111" i="35" s="1"/>
  <c r="N111" i="35" s="1"/>
  <c r="O111" i="35" s="1"/>
  <c r="K22" i="35"/>
  <c r="L22" i="35" s="1"/>
  <c r="M22" i="35" s="1"/>
  <c r="N22" i="35" s="1"/>
  <c r="O22" i="35" s="1"/>
  <c r="K23" i="35"/>
  <c r="L23" i="35" s="1"/>
  <c r="M23" i="35" s="1"/>
  <c r="N23" i="35" s="1"/>
  <c r="O23" i="35" s="1"/>
  <c r="K21" i="35"/>
  <c r="L21" i="35" s="1"/>
  <c r="K15" i="35"/>
  <c r="L15" i="35" s="1"/>
  <c r="M15" i="35" s="1"/>
  <c r="N15" i="35" s="1"/>
  <c r="O15" i="35" s="1"/>
  <c r="K14" i="35"/>
  <c r="L14" i="35" s="1"/>
  <c r="M14" i="35" s="1"/>
  <c r="N14" i="35" s="1"/>
  <c r="O14" i="35" s="1"/>
  <c r="L45" i="35"/>
  <c r="K46" i="35"/>
  <c r="L46" i="35" s="1"/>
  <c r="M46" i="35" s="1"/>
  <c r="N46" i="35" s="1"/>
  <c r="O46" i="35" s="1"/>
  <c r="K47" i="35"/>
  <c r="L47" i="35" s="1"/>
  <c r="M47" i="35" s="1"/>
  <c r="N47" i="35" s="1"/>
  <c r="O47" i="35" s="1"/>
  <c r="K48" i="35"/>
  <c r="L48" i="35" s="1"/>
  <c r="M48" i="35" s="1"/>
  <c r="N48" i="35" s="1"/>
  <c r="O48" i="35" s="1"/>
  <c r="K49" i="35"/>
  <c r="L49" i="35" s="1"/>
  <c r="M49" i="35" s="1"/>
  <c r="N49" i="35" s="1"/>
  <c r="O49" i="35" s="1"/>
  <c r="H38" i="39"/>
  <c r="I38" i="39" s="1"/>
  <c r="J38" i="39" s="1"/>
  <c r="K38" i="39" s="1"/>
  <c r="L38" i="39" s="1"/>
  <c r="H34" i="39"/>
  <c r="I34" i="39" s="1"/>
  <c r="J34" i="39" s="1"/>
  <c r="K34" i="39" s="1"/>
  <c r="L34" i="39" s="1"/>
  <c r="H35" i="39"/>
  <c r="I35" i="39" s="1"/>
  <c r="J35" i="39" s="1"/>
  <c r="K35" i="39" s="1"/>
  <c r="L35" i="39" s="1"/>
  <c r="K16" i="35"/>
  <c r="N71" i="35"/>
  <c r="O71" i="35"/>
  <c r="F130" i="24"/>
  <c r="F131" i="24"/>
  <c r="F129" i="24"/>
  <c r="F127" i="24"/>
  <c r="F128" i="24"/>
  <c r="F126" i="24"/>
  <c r="F124" i="24"/>
  <c r="F125" i="24"/>
  <c r="F123" i="24"/>
  <c r="F121" i="24"/>
  <c r="F122" i="24"/>
  <c r="F120" i="24"/>
  <c r="F118" i="24"/>
  <c r="F119" i="24"/>
  <c r="F117" i="24"/>
  <c r="D129" i="24"/>
  <c r="D126" i="24"/>
  <c r="D123" i="24"/>
  <c r="D120" i="24"/>
  <c r="D117" i="24"/>
  <c r="F30" i="24"/>
  <c r="F31" i="24"/>
  <c r="F32" i="24"/>
  <c r="F33" i="24"/>
  <c r="F34" i="24"/>
  <c r="F35" i="24"/>
  <c r="F36" i="24"/>
  <c r="F37" i="24"/>
  <c r="F38" i="24"/>
  <c r="F39" i="24"/>
  <c r="F40" i="24"/>
  <c r="F41" i="24"/>
  <c r="F42" i="24"/>
  <c r="I42" i="24" s="1"/>
  <c r="F43" i="24"/>
  <c r="I43" i="24" s="1"/>
  <c r="F44" i="24"/>
  <c r="I44" i="24" s="1"/>
  <c r="F45" i="24"/>
  <c r="I45" i="24" s="1"/>
  <c r="F46" i="24"/>
  <c r="I46" i="24" s="1"/>
  <c r="F47" i="24"/>
  <c r="I47" i="24" s="1"/>
  <c r="F48" i="24"/>
  <c r="F49" i="24"/>
  <c r="F50" i="24"/>
  <c r="F51" i="24"/>
  <c r="I51" i="24" s="1"/>
  <c r="F52" i="24"/>
  <c r="I52" i="24" s="1"/>
  <c r="F53" i="24"/>
  <c r="I53" i="24" s="1"/>
  <c r="F54" i="24"/>
  <c r="F55" i="24"/>
  <c r="I55" i="24" s="1"/>
  <c r="F56" i="24"/>
  <c r="I56" i="24" s="1"/>
  <c r="F57" i="24"/>
  <c r="I57" i="24" s="1"/>
  <c r="F58" i="24"/>
  <c r="F59" i="24"/>
  <c r="F60" i="24"/>
  <c r="I60" i="24" s="1"/>
  <c r="F61" i="24"/>
  <c r="I61" i="24" s="1"/>
  <c r="F62" i="24"/>
  <c r="I62" i="24" s="1"/>
  <c r="F63" i="24"/>
  <c r="F64" i="24"/>
  <c r="F65" i="24"/>
  <c r="F66" i="24"/>
  <c r="F67" i="24"/>
  <c r="F68" i="24"/>
  <c r="I69" i="24" s="1"/>
  <c r="F69" i="24"/>
  <c r="F70" i="24"/>
  <c r="I70" i="24" s="1"/>
  <c r="F71" i="24"/>
  <c r="I71" i="24" s="1"/>
  <c r="F72" i="24"/>
  <c r="I72" i="24" s="1"/>
  <c r="F73" i="24"/>
  <c r="F74" i="24"/>
  <c r="F75" i="24"/>
  <c r="F76" i="24"/>
  <c r="F77" i="24"/>
  <c r="F78" i="24"/>
  <c r="F79" i="24"/>
  <c r="F80" i="24"/>
  <c r="F81" i="24"/>
  <c r="F82" i="24"/>
  <c r="F83" i="24"/>
  <c r="F84" i="24"/>
  <c r="F85" i="24"/>
  <c r="F86" i="24"/>
  <c r="F87" i="24"/>
  <c r="F88" i="24"/>
  <c r="F89" i="24"/>
  <c r="F90" i="24"/>
  <c r="F91" i="24"/>
  <c r="F92" i="24"/>
  <c r="F93" i="24"/>
  <c r="F94" i="24"/>
  <c r="F95" i="24"/>
  <c r="F96" i="24"/>
  <c r="F97" i="24"/>
  <c r="F98" i="24"/>
  <c r="F99" i="24"/>
  <c r="F100" i="24"/>
  <c r="F101" i="24"/>
  <c r="F102" i="24"/>
  <c r="F103" i="24"/>
  <c r="F104" i="24"/>
  <c r="F105" i="24"/>
  <c r="F106" i="24"/>
  <c r="F107" i="24"/>
  <c r="F108" i="24"/>
  <c r="F109" i="24"/>
  <c r="F110" i="24"/>
  <c r="F111" i="24"/>
  <c r="F112" i="24"/>
  <c r="F113" i="24"/>
  <c r="F114" i="24"/>
  <c r="F115" i="24"/>
  <c r="F116" i="24"/>
  <c r="I36" i="18"/>
  <c r="I34" i="18"/>
  <c r="J34" i="18" s="1"/>
  <c r="K34" i="18" s="1"/>
  <c r="L34" i="18" s="1"/>
  <c r="M34" i="18" s="1"/>
  <c r="I35" i="18"/>
  <c r="J35" i="18" s="1"/>
  <c r="K35" i="18" s="1"/>
  <c r="L35" i="18" s="1"/>
  <c r="M35" i="18" s="1"/>
  <c r="I37" i="18"/>
  <c r="J37" i="18" s="1"/>
  <c r="D129" i="35"/>
  <c r="D130" i="35"/>
  <c r="D131" i="35"/>
  <c r="D132" i="35"/>
  <c r="D133" i="35"/>
  <c r="D134" i="35"/>
  <c r="D135" i="35"/>
  <c r="D136" i="35"/>
  <c r="D137" i="35"/>
  <c r="D128" i="35"/>
  <c r="I118" i="18"/>
  <c r="I119" i="18"/>
  <c r="J119" i="18" s="1"/>
  <c r="K119" i="18" s="1"/>
  <c r="L119" i="18" s="1"/>
  <c r="M119" i="18" s="1"/>
  <c r="I120" i="18"/>
  <c r="J120" i="18" s="1"/>
  <c r="I121" i="18"/>
  <c r="J121" i="18" s="1"/>
  <c r="K121" i="18" s="1"/>
  <c r="L121" i="18" s="1"/>
  <c r="M121" i="18" s="1"/>
  <c r="I122" i="18"/>
  <c r="J122" i="18" s="1"/>
  <c r="K122" i="18" s="1"/>
  <c r="L122" i="18" s="1"/>
  <c r="M122" i="18" s="1"/>
  <c r="I124" i="18"/>
  <c r="J124" i="18" s="1"/>
  <c r="K124" i="18" s="1"/>
  <c r="L124" i="18" s="1"/>
  <c r="M124" i="18" s="1"/>
  <c r="I125" i="18"/>
  <c r="J125" i="18" s="1"/>
  <c r="K125" i="18" s="1"/>
  <c r="L125" i="18" s="1"/>
  <c r="M125" i="18" s="1"/>
  <c r="I126" i="18"/>
  <c r="J126" i="18" s="1"/>
  <c r="K126" i="18" s="1"/>
  <c r="L126" i="18" s="1"/>
  <c r="M126" i="18" s="1"/>
  <c r="I127" i="18"/>
  <c r="I140" i="18"/>
  <c r="J140" i="18" s="1"/>
  <c r="K140" i="18" s="1"/>
  <c r="L140" i="18" s="1"/>
  <c r="M140" i="18" s="1"/>
  <c r="I141" i="18"/>
  <c r="J141" i="18" s="1"/>
  <c r="K141" i="18" s="1"/>
  <c r="L141" i="18" s="1"/>
  <c r="M141" i="18" s="1"/>
  <c r="I146" i="18"/>
  <c r="J146" i="18" s="1"/>
  <c r="K146" i="18" s="1"/>
  <c r="L146" i="18" s="1"/>
  <c r="M146" i="18" s="1"/>
  <c r="I147" i="18"/>
  <c r="J147" i="18" s="1"/>
  <c r="K147" i="18" s="1"/>
  <c r="L147" i="18" s="1"/>
  <c r="M147" i="18" s="1"/>
  <c r="I148" i="18"/>
  <c r="J148" i="18" s="1"/>
  <c r="K148" i="18" s="1"/>
  <c r="L148" i="18" s="1"/>
  <c r="M148" i="18" s="1"/>
  <c r="K87" i="35"/>
  <c r="L87" i="35" s="1"/>
  <c r="M87" i="35" s="1"/>
  <c r="N87" i="35" s="1"/>
  <c r="O87" i="35" s="1"/>
  <c r="K89" i="35"/>
  <c r="L89" i="35" s="1"/>
  <c r="M89" i="35" s="1"/>
  <c r="N89" i="35" s="1"/>
  <c r="O89" i="35" s="1"/>
  <c r="K116" i="35"/>
  <c r="L116" i="35" s="1"/>
  <c r="M116" i="35" s="1"/>
  <c r="N116" i="35" s="1"/>
  <c r="O116" i="35" s="1"/>
  <c r="K117" i="35"/>
  <c r="L117" i="35" s="1"/>
  <c r="M117" i="35" s="1"/>
  <c r="N117" i="35" s="1"/>
  <c r="O117" i="35" s="1"/>
  <c r="K118" i="35"/>
  <c r="L118" i="35" s="1"/>
  <c r="M118" i="35" s="1"/>
  <c r="N118" i="35" s="1"/>
  <c r="O118" i="35" s="1"/>
  <c r="K119" i="35"/>
  <c r="L119" i="35" s="1"/>
  <c r="M119" i="35" s="1"/>
  <c r="N119" i="35" s="1"/>
  <c r="O119" i="35" s="1"/>
  <c r="K120" i="35"/>
  <c r="L120" i="35" s="1"/>
  <c r="M120" i="35" s="1"/>
  <c r="N120" i="35" s="1"/>
  <c r="O120" i="35" s="1"/>
  <c r="K121" i="35"/>
  <c r="L121" i="35" s="1"/>
  <c r="M121" i="35" s="1"/>
  <c r="N121" i="35" s="1"/>
  <c r="O121" i="35" s="1"/>
  <c r="K122" i="35"/>
  <c r="L122" i="35" s="1"/>
  <c r="M122" i="35" s="1"/>
  <c r="N122" i="35" s="1"/>
  <c r="O122" i="35" s="1"/>
  <c r="K22" i="24"/>
  <c r="D114" i="24"/>
  <c r="D111" i="24"/>
  <c r="D108" i="24"/>
  <c r="D105" i="24"/>
  <c r="D102" i="24"/>
  <c r="D99" i="24"/>
  <c r="D96" i="24"/>
  <c r="D93" i="24"/>
  <c r="D90" i="24"/>
  <c r="D87" i="24"/>
  <c r="D84" i="24"/>
  <c r="D81" i="24"/>
  <c r="D78" i="24"/>
  <c r="D75" i="24"/>
  <c r="D72" i="24"/>
  <c r="I61" i="18"/>
  <c r="I87" i="18"/>
  <c r="J87" i="18" s="1"/>
  <c r="K87" i="18" s="1"/>
  <c r="L87" i="18" s="1"/>
  <c r="M87" i="18" s="1"/>
  <c r="I86" i="18"/>
  <c r="I85" i="18"/>
  <c r="J85" i="18" s="1"/>
  <c r="K85" i="18" s="1"/>
  <c r="L85" i="18" s="1"/>
  <c r="M85" i="18" s="1"/>
  <c r="I84" i="18"/>
  <c r="J84" i="18" s="1"/>
  <c r="K84" i="18" s="1"/>
  <c r="L84" i="18" s="1"/>
  <c r="M84" i="18" s="1"/>
  <c r="I63" i="18"/>
  <c r="J63" i="18" s="1"/>
  <c r="K63" i="18" s="1"/>
  <c r="L63" i="18" s="1"/>
  <c r="M63" i="18" s="1"/>
  <c r="I62" i="18"/>
  <c r="J62" i="18" s="1"/>
  <c r="K62" i="18" s="1"/>
  <c r="L62" i="18" s="1"/>
  <c r="M62" i="18" s="1"/>
  <c r="I60" i="18"/>
  <c r="D69" i="24"/>
  <c r="D66" i="24"/>
  <c r="D63" i="24"/>
  <c r="D60" i="24"/>
  <c r="D57" i="24"/>
  <c r="D54" i="24"/>
  <c r="D51" i="24"/>
  <c r="D48" i="24"/>
  <c r="D45" i="24"/>
  <c r="D42" i="24"/>
  <c r="D39" i="24"/>
  <c r="D36" i="24"/>
  <c r="D33" i="24"/>
  <c r="D30" i="24"/>
  <c r="D27" i="24"/>
  <c r="K71" i="35"/>
  <c r="L71" i="35"/>
  <c r="M71" i="35"/>
  <c r="I50" i="18"/>
  <c r="J50" i="18" s="1"/>
  <c r="K50" i="18" s="1"/>
  <c r="L50" i="18" s="1"/>
  <c r="M50" i="18" s="1"/>
  <c r="I51" i="18"/>
  <c r="J51" i="18" s="1"/>
  <c r="K51" i="18" s="1"/>
  <c r="L51" i="18" s="1"/>
  <c r="M51" i="18" s="1"/>
  <c r="I53" i="18"/>
  <c r="J53" i="18" s="1"/>
  <c r="K53" i="18" s="1"/>
  <c r="L53" i="18" s="1"/>
  <c r="M53" i="18" s="1"/>
  <c r="I54" i="18"/>
  <c r="J54" i="18" s="1"/>
  <c r="K54" i="18" s="1"/>
  <c r="L54" i="18" s="1"/>
  <c r="M54" i="18" s="1"/>
  <c r="J75" i="18"/>
  <c r="K75" i="18" s="1"/>
  <c r="L75" i="18" s="1"/>
  <c r="M75" i="18" s="1"/>
  <c r="I76" i="18"/>
  <c r="J76" i="18" s="1"/>
  <c r="K76" i="18" s="1"/>
  <c r="L76" i="18" s="1"/>
  <c r="M76" i="18" s="1"/>
  <c r="I77" i="18"/>
  <c r="J77" i="18" s="1"/>
  <c r="K77" i="18" s="1"/>
  <c r="L77" i="18" s="1"/>
  <c r="M77" i="18" s="1"/>
  <c r="I78" i="18"/>
  <c r="J78" i="18" s="1"/>
  <c r="K78" i="18" s="1"/>
  <c r="L78" i="18" s="1"/>
  <c r="M78" i="18" s="1"/>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s="1"/>
  <c r="K17" i="36"/>
  <c r="N17" i="36" s="1"/>
  <c r="K18" i="36"/>
  <c r="N18" i="36" s="1"/>
  <c r="K19" i="36"/>
  <c r="N19" i="36" s="1"/>
  <c r="K20" i="36"/>
  <c r="N20" i="36" s="1"/>
  <c r="K21" i="36"/>
  <c r="N21" i="36" s="1"/>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s="1"/>
  <c r="K59" i="36"/>
  <c r="N59" i="36" s="1"/>
  <c r="K60" i="36"/>
  <c r="N60" i="36"/>
  <c r="K61" i="36"/>
  <c r="N61" i="36" s="1"/>
  <c r="K62" i="36"/>
  <c r="N62" i="36" s="1"/>
  <c r="K63" i="36"/>
  <c r="N63" i="36" s="1"/>
  <c r="K64" i="36"/>
  <c r="N64" i="36" s="1"/>
  <c r="K65" i="36"/>
  <c r="N65" i="36" s="1"/>
  <c r="K66" i="36"/>
  <c r="N66" i="36" s="1"/>
  <c r="K67" i="36"/>
  <c r="N67" i="36" s="1"/>
  <c r="K68" i="36"/>
  <c r="N68" i="36"/>
  <c r="K69" i="36"/>
  <c r="N69" i="36" s="1"/>
  <c r="K70" i="36"/>
  <c r="N70" i="36" s="1"/>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F31" i="28"/>
  <c r="F33" i="28" s="1"/>
  <c r="J41" i="28"/>
  <c r="J43" i="28" s="1"/>
  <c r="J31" i="28"/>
  <c r="J33" i="28" s="1"/>
  <c r="H41" i="28"/>
  <c r="H43" i="28" s="1"/>
  <c r="G31" i="28"/>
  <c r="G33" i="28" s="1"/>
  <c r="I41" i="28"/>
  <c r="I43" i="28" s="1"/>
  <c r="I31" i="28"/>
  <c r="I33" i="28" s="1"/>
  <c r="F99" i="13"/>
  <c r="D86" i="13"/>
  <c r="M14" i="36"/>
  <c r="K123" i="35"/>
  <c r="L123" i="35" s="1"/>
  <c r="M123" i="35" s="1"/>
  <c r="N123" i="35" s="1"/>
  <c r="O123" i="35" s="1"/>
  <c r="I117" i="18"/>
  <c r="J117" i="18" s="1"/>
  <c r="K117" i="18" s="1"/>
  <c r="L117" i="18" s="1"/>
  <c r="M117" i="18" s="1"/>
  <c r="I123" i="18"/>
  <c r="J123" i="18" s="1"/>
  <c r="M17" i="36"/>
  <c r="M16" i="36"/>
  <c r="L70" i="35"/>
  <c r="K70" i="35"/>
  <c r="O70" i="35"/>
  <c r="M70" i="35"/>
  <c r="N70" i="35"/>
  <c r="J60" i="18" l="1"/>
  <c r="H19" i="38"/>
  <c r="H130" i="13"/>
  <c r="H162" i="13" s="1"/>
  <c r="H194" i="13" s="1"/>
  <c r="D128" i="13"/>
  <c r="D160" i="13" s="1"/>
  <c r="D192" i="13" s="1"/>
  <c r="D124" i="13"/>
  <c r="D156" i="13" s="1"/>
  <c r="D188" i="13" s="1"/>
  <c r="H122" i="13"/>
  <c r="H154" i="13" s="1"/>
  <c r="H186" i="13" s="1"/>
  <c r="F121" i="13"/>
  <c r="F153" i="13" s="1"/>
  <c r="F185" i="13" s="1"/>
  <c r="H118" i="13"/>
  <c r="H150" i="13" s="1"/>
  <c r="H182" i="13" s="1"/>
  <c r="H115" i="13"/>
  <c r="H147" i="13" s="1"/>
  <c r="H179" i="13" s="1"/>
  <c r="D118" i="13"/>
  <c r="D150" i="13" s="1"/>
  <c r="D182" i="13" s="1"/>
  <c r="F130" i="13"/>
  <c r="F162" i="13" s="1"/>
  <c r="F194" i="13" s="1"/>
  <c r="D129" i="13"/>
  <c r="D161" i="13" s="1"/>
  <c r="D193" i="13" s="1"/>
  <c r="H127" i="13"/>
  <c r="H159" i="13" s="1"/>
  <c r="H191" i="13" s="1"/>
  <c r="F126" i="13"/>
  <c r="F158" i="13" s="1"/>
  <c r="F190" i="13" s="1"/>
  <c r="D125" i="13"/>
  <c r="D157" i="13" s="1"/>
  <c r="D189" i="13" s="1"/>
  <c r="H123" i="13"/>
  <c r="H155" i="13" s="1"/>
  <c r="H187" i="13" s="1"/>
  <c r="F122" i="13"/>
  <c r="F154" i="13" s="1"/>
  <c r="F186" i="13" s="1"/>
  <c r="D121" i="13"/>
  <c r="D153" i="13" s="1"/>
  <c r="D185" i="13" s="1"/>
  <c r="H119" i="13"/>
  <c r="H151" i="13" s="1"/>
  <c r="H183" i="13" s="1"/>
  <c r="F118" i="13"/>
  <c r="F150" i="13" s="1"/>
  <c r="F182" i="13" s="1"/>
  <c r="H116" i="13"/>
  <c r="H148" i="13" s="1"/>
  <c r="H180" i="13" s="1"/>
  <c r="F115" i="13"/>
  <c r="F147" i="13" s="1"/>
  <c r="F179" i="13" s="1"/>
  <c r="F129" i="13"/>
  <c r="F161" i="13" s="1"/>
  <c r="F193" i="13" s="1"/>
  <c r="H126" i="13"/>
  <c r="H158" i="13" s="1"/>
  <c r="H190" i="13" s="1"/>
  <c r="F125" i="13"/>
  <c r="F157" i="13" s="1"/>
  <c r="F189" i="13" s="1"/>
  <c r="D120" i="13"/>
  <c r="D152" i="13" s="1"/>
  <c r="D184" i="13" s="1"/>
  <c r="D117" i="13"/>
  <c r="D149" i="13" s="1"/>
  <c r="D181" i="13" s="1"/>
  <c r="F131" i="13"/>
  <c r="F163" i="13" s="1"/>
  <c r="F195" i="13" s="1"/>
  <c r="H131" i="13"/>
  <c r="H163" i="13" s="1"/>
  <c r="H195" i="13" s="1"/>
  <c r="D130" i="13"/>
  <c r="D162" i="13" s="1"/>
  <c r="D194" i="13" s="1"/>
  <c r="H128" i="13"/>
  <c r="H160" i="13" s="1"/>
  <c r="H192" i="13" s="1"/>
  <c r="F127" i="13"/>
  <c r="F159" i="13" s="1"/>
  <c r="F191" i="13" s="1"/>
  <c r="D126" i="13"/>
  <c r="D158" i="13" s="1"/>
  <c r="D190" i="13" s="1"/>
  <c r="H124" i="13"/>
  <c r="H156" i="13" s="1"/>
  <c r="H188" i="13" s="1"/>
  <c r="F123" i="13"/>
  <c r="F155" i="13" s="1"/>
  <c r="F187" i="13" s="1"/>
  <c r="D122" i="13"/>
  <c r="D154" i="13" s="1"/>
  <c r="D186" i="13" s="1"/>
  <c r="H120" i="13"/>
  <c r="H152" i="13" s="1"/>
  <c r="H184" i="13" s="1"/>
  <c r="F119" i="13"/>
  <c r="F151" i="13" s="1"/>
  <c r="F183" i="13" s="1"/>
  <c r="H117" i="13"/>
  <c r="H149" i="13" s="1"/>
  <c r="H181" i="13" s="1"/>
  <c r="F116" i="13"/>
  <c r="F148" i="13" s="1"/>
  <c r="F180" i="13" s="1"/>
  <c r="D115" i="13"/>
  <c r="D147" i="13" s="1"/>
  <c r="D179" i="13" s="1"/>
  <c r="D131" i="13"/>
  <c r="D163" i="13" s="1"/>
  <c r="D195" i="13" s="1"/>
  <c r="H129" i="13"/>
  <c r="H161" i="13" s="1"/>
  <c r="H193" i="13" s="1"/>
  <c r="F128" i="13"/>
  <c r="F160" i="13" s="1"/>
  <c r="F192" i="13" s="1"/>
  <c r="D127" i="13"/>
  <c r="D159" i="13" s="1"/>
  <c r="D191" i="13" s="1"/>
  <c r="H125" i="13"/>
  <c r="H157" i="13" s="1"/>
  <c r="H189" i="13" s="1"/>
  <c r="F124" i="13"/>
  <c r="F156" i="13" s="1"/>
  <c r="F188" i="13" s="1"/>
  <c r="D123" i="13"/>
  <c r="D155" i="13" s="1"/>
  <c r="D187" i="13" s="1"/>
  <c r="H121" i="13"/>
  <c r="H153" i="13" s="1"/>
  <c r="H185" i="13" s="1"/>
  <c r="F120" i="13"/>
  <c r="F152" i="13" s="1"/>
  <c r="F184" i="13" s="1"/>
  <c r="D119" i="13"/>
  <c r="D151" i="13" s="1"/>
  <c r="D183" i="13" s="1"/>
  <c r="F117" i="13"/>
  <c r="F149" i="13" s="1"/>
  <c r="F181" i="13" s="1"/>
  <c r="D116" i="13"/>
  <c r="D148" i="13" s="1"/>
  <c r="D180" i="13" s="1"/>
  <c r="K38" i="24"/>
  <c r="I38" i="24"/>
  <c r="J38" i="24"/>
  <c r="K106" i="24"/>
  <c r="J106" i="24"/>
  <c r="I106" i="24"/>
  <c r="K115" i="24"/>
  <c r="J115" i="24"/>
  <c r="I115" i="24"/>
  <c r="I58" i="24"/>
  <c r="I59" i="24"/>
  <c r="K116" i="24"/>
  <c r="J116" i="24"/>
  <c r="I116" i="24"/>
  <c r="K37" i="24"/>
  <c r="I37" i="24"/>
  <c r="J37" i="24"/>
  <c r="K35" i="24"/>
  <c r="J35" i="24"/>
  <c r="I35" i="24"/>
  <c r="K96" i="24"/>
  <c r="I96" i="24"/>
  <c r="J96" i="24"/>
  <c r="K101" i="24"/>
  <c r="I101" i="24"/>
  <c r="J101" i="24"/>
  <c r="K39" i="24"/>
  <c r="I39" i="24"/>
  <c r="J39" i="24"/>
  <c r="K32" i="24"/>
  <c r="I32" i="24"/>
  <c r="J32" i="24"/>
  <c r="K82" i="24"/>
  <c r="J82" i="24"/>
  <c r="I82" i="24"/>
  <c r="K81" i="24"/>
  <c r="I81" i="24"/>
  <c r="J81" i="24"/>
  <c r="H69" i="29"/>
  <c r="I69" i="29" s="1"/>
  <c r="H65" i="29"/>
  <c r="I65" i="29" s="1"/>
  <c r="H61" i="29"/>
  <c r="H66" i="29"/>
  <c r="M45" i="35"/>
  <c r="J86" i="18"/>
  <c r="K120" i="18"/>
  <c r="L120" i="18" s="1"/>
  <c r="M120" i="18" s="1"/>
  <c r="J127" i="18"/>
  <c r="K123" i="18"/>
  <c r="J118" i="18"/>
  <c r="J61" i="18"/>
  <c r="H225" i="31"/>
  <c r="L115" i="24" s="1"/>
  <c r="H114" i="31"/>
  <c r="L32" i="24" s="1"/>
  <c r="H180" i="31"/>
  <c r="L81" i="24" s="1"/>
  <c r="H206" i="31"/>
  <c r="L101" i="24" s="1"/>
  <c r="H106" i="29"/>
  <c r="I106" i="29" s="1"/>
  <c r="I134" i="29"/>
  <c r="J134" i="29" s="1"/>
  <c r="H122" i="29"/>
  <c r="I122" i="29" s="1"/>
  <c r="H130" i="29"/>
  <c r="H102" i="29"/>
  <c r="H96" i="29"/>
  <c r="H118" i="29"/>
  <c r="H126" i="29"/>
  <c r="I126" i="29" s="1"/>
  <c r="H85" i="29"/>
  <c r="I85" i="29" s="1"/>
  <c r="H88" i="29"/>
  <c r="H114" i="29"/>
  <c r="I114" i="29" s="1"/>
  <c r="H110" i="29"/>
  <c r="H58" i="29"/>
  <c r="I58" i="29" s="1"/>
  <c r="I139" i="18"/>
  <c r="K109" i="35"/>
  <c r="H34" i="38" s="1"/>
  <c r="H121" i="31"/>
  <c r="L37" i="24" s="1"/>
  <c r="H122" i="31"/>
  <c r="L38" i="24" s="1"/>
  <c r="M18" i="36"/>
  <c r="H62" i="29"/>
  <c r="I62" i="29" s="1"/>
  <c r="J62" i="29" s="1"/>
  <c r="H84" i="29"/>
  <c r="H92" i="29"/>
  <c r="H100" i="29"/>
  <c r="H89" i="29"/>
  <c r="I89" i="29" s="1"/>
  <c r="H137" i="29"/>
  <c r="H70" i="29"/>
  <c r="H138" i="29"/>
  <c r="H79" i="29"/>
  <c r="H71" i="29"/>
  <c r="I71" i="29" s="1"/>
  <c r="H63" i="29"/>
  <c r="H97" i="29"/>
  <c r="I97" i="29" s="1"/>
  <c r="H55" i="29"/>
  <c r="I55" i="29" s="1"/>
  <c r="H50" i="29"/>
  <c r="I50" i="29" s="1"/>
  <c r="H101" i="29"/>
  <c r="H109" i="29"/>
  <c r="I109" i="29" s="1"/>
  <c r="H113" i="29"/>
  <c r="H117" i="29"/>
  <c r="I117" i="29" s="1"/>
  <c r="H125" i="29"/>
  <c r="H133" i="29"/>
  <c r="H74" i="29"/>
  <c r="H53" i="29"/>
  <c r="H49" i="29"/>
  <c r="I49" i="29" s="1"/>
  <c r="H81" i="29"/>
  <c r="I81" i="29" s="1"/>
  <c r="I66" i="29"/>
  <c r="H75" i="29"/>
  <c r="I75" i="29" s="1"/>
  <c r="H67" i="29"/>
  <c r="H59" i="29"/>
  <c r="H80" i="29"/>
  <c r="I80" i="29" s="1"/>
  <c r="H72" i="29"/>
  <c r="I72" i="29" s="1"/>
  <c r="H93" i="29"/>
  <c r="H56" i="29"/>
  <c r="I56" i="29" s="1"/>
  <c r="I118" i="29"/>
  <c r="H103" i="29"/>
  <c r="H107" i="29"/>
  <c r="H111" i="29"/>
  <c r="H115" i="29"/>
  <c r="H119" i="29"/>
  <c r="H123" i="29"/>
  <c r="H127" i="29"/>
  <c r="H131" i="29"/>
  <c r="H135" i="29"/>
  <c r="I70" i="29"/>
  <c r="I92" i="29"/>
  <c r="H73" i="29"/>
  <c r="H90" i="29"/>
  <c r="H98" i="29"/>
  <c r="H78" i="29"/>
  <c r="H87" i="29"/>
  <c r="I87" i="29" s="1"/>
  <c r="H95" i="29"/>
  <c r="H57" i="29"/>
  <c r="H51" i="29"/>
  <c r="I51" i="29" s="1"/>
  <c r="H136" i="29"/>
  <c r="H83" i="29"/>
  <c r="H105" i="29"/>
  <c r="H76" i="29"/>
  <c r="H129" i="29"/>
  <c r="H121" i="29"/>
  <c r="Q8" i="36"/>
  <c r="Q51" i="36" s="1"/>
  <c r="H118" i="31"/>
  <c r="L35" i="24" s="1"/>
  <c r="H226" i="31"/>
  <c r="L116" i="24" s="1"/>
  <c r="H200" i="31"/>
  <c r="L96" i="24" s="1"/>
  <c r="H124" i="31"/>
  <c r="L39" i="24" s="1"/>
  <c r="I125" i="29"/>
  <c r="H181" i="31"/>
  <c r="L82" i="24" s="1"/>
  <c r="I225" i="31"/>
  <c r="M115" i="24" s="1"/>
  <c r="H213" i="31"/>
  <c r="L106" i="24" s="1"/>
  <c r="F42" i="37"/>
  <c r="G15" i="37" s="1"/>
  <c r="G42" i="37" s="1"/>
  <c r="H15" i="37" s="1"/>
  <c r="H42" i="37" s="1"/>
  <c r="I15" i="37" s="1"/>
  <c r="I42" i="37" s="1"/>
  <c r="J15" i="37" s="1"/>
  <c r="J42" i="37" s="1"/>
  <c r="K15" i="37" s="1"/>
  <c r="K42" i="37" s="1"/>
  <c r="L15" i="37" s="1"/>
  <c r="L42" i="37" s="1"/>
  <c r="M15" i="37" s="1"/>
  <c r="M42" i="37" s="1"/>
  <c r="G142" i="29"/>
  <c r="H91" i="29"/>
  <c r="H104" i="29"/>
  <c r="H116" i="29"/>
  <c r="H128" i="29"/>
  <c r="H139" i="29"/>
  <c r="H94" i="29"/>
  <c r="H112" i="29"/>
  <c r="H120" i="29"/>
  <c r="H132" i="29"/>
  <c r="I61" i="29"/>
  <c r="H82" i="29"/>
  <c r="H68" i="29"/>
  <c r="H64" i="29"/>
  <c r="H60" i="29"/>
  <c r="H52" i="29"/>
  <c r="H99" i="29"/>
  <c r="H108" i="29"/>
  <c r="H124" i="29"/>
  <c r="H86" i="29"/>
  <c r="H54" i="29"/>
  <c r="H112" i="18"/>
  <c r="H77" i="29"/>
  <c r="H140" i="29"/>
  <c r="F41" i="37"/>
  <c r="G14" i="37" s="1"/>
  <c r="G41" i="37" s="1"/>
  <c r="H14" i="37" s="1"/>
  <c r="H41" i="37" s="1"/>
  <c r="H33" i="39"/>
  <c r="I33" i="39" s="1"/>
  <c r="J33" i="39" s="1"/>
  <c r="K33" i="39" s="1"/>
  <c r="L33" i="39" s="1"/>
  <c r="M15" i="36"/>
  <c r="H19" i="48"/>
  <c r="K44" i="35"/>
  <c r="M21" i="35"/>
  <c r="N21" i="35" s="1"/>
  <c r="L24" i="35"/>
  <c r="K88" i="35"/>
  <c r="F31" i="49"/>
  <c r="L16" i="35"/>
  <c r="M16" i="35" s="1"/>
  <c r="N16" i="35" s="1"/>
  <c r="K17" i="35"/>
  <c r="K24" i="35"/>
  <c r="I83" i="18"/>
  <c r="I59" i="18"/>
  <c r="J59" i="18" s="1"/>
  <c r="H64" i="18"/>
  <c r="J36" i="18"/>
  <c r="K36" i="18" s="1"/>
  <c r="L36" i="18" s="1"/>
  <c r="M36" i="18" s="1"/>
  <c r="I38" i="18"/>
  <c r="H88" i="18"/>
  <c r="K37" i="18"/>
  <c r="L37" i="18" s="1"/>
  <c r="M37" i="18" s="1"/>
  <c r="I52" i="18"/>
  <c r="H55" i="18"/>
  <c r="F119" i="49"/>
  <c r="K60" i="18" l="1"/>
  <c r="I19" i="38"/>
  <c r="K112" i="24"/>
  <c r="J112" i="24"/>
  <c r="I112" i="24"/>
  <c r="K65" i="24"/>
  <c r="I65" i="24"/>
  <c r="J65" i="24"/>
  <c r="K75" i="24"/>
  <c r="I75" i="24"/>
  <c r="J75" i="24"/>
  <c r="K78" i="24"/>
  <c r="J78" i="24"/>
  <c r="I78" i="24"/>
  <c r="K130" i="24"/>
  <c r="J130" i="24"/>
  <c r="I130" i="24"/>
  <c r="K126" i="24"/>
  <c r="J126" i="24"/>
  <c r="I126" i="24"/>
  <c r="K100" i="24"/>
  <c r="I100" i="24"/>
  <c r="J100" i="24"/>
  <c r="K92" i="24"/>
  <c r="I92" i="24"/>
  <c r="J92" i="24"/>
  <c r="K63" i="24"/>
  <c r="I63" i="24"/>
  <c r="J63" i="24"/>
  <c r="K108" i="24"/>
  <c r="J108" i="24"/>
  <c r="I108" i="24"/>
  <c r="K79" i="24"/>
  <c r="I79" i="24"/>
  <c r="J79" i="24"/>
  <c r="K30" i="24"/>
  <c r="J30" i="24"/>
  <c r="I30" i="24"/>
  <c r="K114" i="24"/>
  <c r="J114" i="24"/>
  <c r="I114" i="24"/>
  <c r="K102" i="24"/>
  <c r="I102" i="24"/>
  <c r="J102" i="24"/>
  <c r="K77" i="24"/>
  <c r="I77" i="24"/>
  <c r="J77" i="24"/>
  <c r="K104" i="24"/>
  <c r="I104" i="24"/>
  <c r="J104" i="24"/>
  <c r="K94" i="24"/>
  <c r="J94" i="24"/>
  <c r="I94" i="24"/>
  <c r="K122" i="24"/>
  <c r="J122" i="24"/>
  <c r="I122" i="24"/>
  <c r="K121" i="24"/>
  <c r="I121" i="24"/>
  <c r="J121" i="24"/>
  <c r="K76" i="24"/>
  <c r="I76" i="24"/>
  <c r="J76" i="24"/>
  <c r="K33" i="24"/>
  <c r="I33" i="24"/>
  <c r="J33" i="24"/>
  <c r="K84" i="24"/>
  <c r="I84" i="24"/>
  <c r="J84" i="24"/>
  <c r="K88" i="24"/>
  <c r="I88" i="24"/>
  <c r="J88" i="24"/>
  <c r="K34" i="24"/>
  <c r="J34" i="24"/>
  <c r="I34" i="24"/>
  <c r="K91" i="24"/>
  <c r="I91" i="24"/>
  <c r="J91" i="24"/>
  <c r="K89" i="24"/>
  <c r="I89" i="24"/>
  <c r="J89" i="24"/>
  <c r="K131" i="24"/>
  <c r="J131" i="24"/>
  <c r="I131" i="24"/>
  <c r="K98" i="24"/>
  <c r="J98" i="24"/>
  <c r="I98" i="24"/>
  <c r="K64" i="24"/>
  <c r="I64" i="24"/>
  <c r="J64" i="24"/>
  <c r="K90" i="24"/>
  <c r="J90" i="24"/>
  <c r="I90" i="24"/>
  <c r="K73" i="24"/>
  <c r="I73" i="24"/>
  <c r="J73" i="24"/>
  <c r="K118" i="24"/>
  <c r="J118" i="24"/>
  <c r="I118" i="24"/>
  <c r="K113" i="24"/>
  <c r="I113" i="24"/>
  <c r="J113" i="24"/>
  <c r="K93" i="24"/>
  <c r="I93" i="24"/>
  <c r="J93" i="24"/>
  <c r="K48" i="24"/>
  <c r="I48" i="24"/>
  <c r="J48" i="24"/>
  <c r="K103" i="24"/>
  <c r="J103" i="24"/>
  <c r="I103" i="24"/>
  <c r="K80" i="24"/>
  <c r="I80" i="24"/>
  <c r="J80" i="24"/>
  <c r="K110" i="24"/>
  <c r="J110" i="24"/>
  <c r="I110" i="24"/>
  <c r="K40" i="24"/>
  <c r="I40" i="24"/>
  <c r="J40" i="24"/>
  <c r="K74" i="24"/>
  <c r="J74" i="24"/>
  <c r="I74" i="24"/>
  <c r="K86" i="24"/>
  <c r="I86" i="24"/>
  <c r="J86" i="24"/>
  <c r="K49" i="24"/>
  <c r="I49" i="24"/>
  <c r="J49" i="24"/>
  <c r="K105" i="24"/>
  <c r="I105" i="24"/>
  <c r="J105" i="24"/>
  <c r="J113" i="49"/>
  <c r="K113" i="49"/>
  <c r="L113" i="49"/>
  <c r="I113" i="49"/>
  <c r="H113" i="49"/>
  <c r="I133" i="24"/>
  <c r="I15" i="24" s="1"/>
  <c r="I17" i="24" s="1"/>
  <c r="I180" i="31"/>
  <c r="M81" i="24" s="1"/>
  <c r="I114" i="31"/>
  <c r="M32" i="24" s="1"/>
  <c r="O41" i="36"/>
  <c r="Q36" i="36"/>
  <c r="H71" i="38"/>
  <c r="L109" i="35"/>
  <c r="H214" i="48"/>
  <c r="N45" i="35"/>
  <c r="Q31" i="36"/>
  <c r="J83" i="18"/>
  <c r="K83" i="18" s="1"/>
  <c r="K127" i="18"/>
  <c r="K86" i="18"/>
  <c r="K118" i="18"/>
  <c r="K61" i="18"/>
  <c r="L123" i="18"/>
  <c r="M123" i="18" s="1"/>
  <c r="H221" i="31"/>
  <c r="L112" i="24" s="1"/>
  <c r="H157" i="31"/>
  <c r="L64" i="24" s="1"/>
  <c r="I206" i="31"/>
  <c r="M101" i="24" s="1"/>
  <c r="H209" i="31"/>
  <c r="L103" i="24" s="1"/>
  <c r="H158" i="31"/>
  <c r="L65" i="24" s="1"/>
  <c r="H208" i="31"/>
  <c r="L102" i="24" s="1"/>
  <c r="I226" i="31"/>
  <c r="M116" i="24" s="1"/>
  <c r="H117" i="31"/>
  <c r="L34" i="24" s="1"/>
  <c r="H193" i="31"/>
  <c r="L91" i="24" s="1"/>
  <c r="M38" i="18"/>
  <c r="Q24" i="36"/>
  <c r="F8" i="37"/>
  <c r="N24" i="35"/>
  <c r="O21" i="35"/>
  <c r="N17" i="35"/>
  <c r="O16" i="35"/>
  <c r="H112" i="31"/>
  <c r="L30" i="24" s="1"/>
  <c r="I200" i="31"/>
  <c r="M96" i="24" s="1"/>
  <c r="H189" i="31"/>
  <c r="L88" i="24" s="1"/>
  <c r="H186" i="31"/>
  <c r="L86" i="24" s="1"/>
  <c r="H197" i="31"/>
  <c r="L94" i="24" s="1"/>
  <c r="H174" i="31"/>
  <c r="L77" i="24" s="1"/>
  <c r="H218" i="31"/>
  <c r="L110" i="24" s="1"/>
  <c r="H212" i="31"/>
  <c r="L105" i="24" s="1"/>
  <c r="I118" i="31"/>
  <c r="M35" i="24" s="1"/>
  <c r="H192" i="31"/>
  <c r="L90" i="24" s="1"/>
  <c r="H137" i="31"/>
  <c r="L49" i="24" s="1"/>
  <c r="H172" i="31"/>
  <c r="L75" i="24" s="1"/>
  <c r="H170" i="31"/>
  <c r="L74" i="24" s="1"/>
  <c r="H224" i="31"/>
  <c r="L114" i="24" s="1"/>
  <c r="H176" i="31"/>
  <c r="L78" i="24" s="1"/>
  <c r="H169" i="31"/>
  <c r="L73" i="24" s="1"/>
  <c r="J126" i="29"/>
  <c r="K126" i="29" s="1"/>
  <c r="L126" i="29" s="1"/>
  <c r="I110" i="29"/>
  <c r="I129" i="29"/>
  <c r="J85" i="29"/>
  <c r="K85" i="29" s="1"/>
  <c r="L85" i="29" s="1"/>
  <c r="I101" i="29"/>
  <c r="I130" i="29"/>
  <c r="J130" i="29" s="1"/>
  <c r="I137" i="29"/>
  <c r="J137" i="29" s="1"/>
  <c r="I138" i="29"/>
  <c r="J138" i="29" s="1"/>
  <c r="J92" i="29"/>
  <c r="K134" i="29"/>
  <c r="L134" i="29" s="1"/>
  <c r="I102" i="29"/>
  <c r="I96" i="29"/>
  <c r="I88" i="29"/>
  <c r="I59" i="29"/>
  <c r="J59" i="29" s="1"/>
  <c r="K62" i="29"/>
  <c r="L62" i="29" s="1"/>
  <c r="J70" i="29"/>
  <c r="J139" i="18"/>
  <c r="K34" i="35"/>
  <c r="O70" i="36"/>
  <c r="Q48" i="36"/>
  <c r="O38" i="36"/>
  <c r="Q34" i="36"/>
  <c r="R8" i="36"/>
  <c r="R70" i="36" s="1"/>
  <c r="O22" i="36"/>
  <c r="Q45" i="36"/>
  <c r="O40" i="36"/>
  <c r="Q50" i="36"/>
  <c r="O29" i="36"/>
  <c r="O27" i="36"/>
  <c r="I122" i="31"/>
  <c r="M38" i="24" s="1"/>
  <c r="I121" i="31"/>
  <c r="M37" i="24" s="1"/>
  <c r="H116" i="31"/>
  <c r="L33" i="24" s="1"/>
  <c r="Q61" i="36"/>
  <c r="Q33" i="36"/>
  <c r="O54" i="36"/>
  <c r="O61" i="36"/>
  <c r="O19" i="36"/>
  <c r="Q14" i="36"/>
  <c r="F30" i="37" s="1"/>
  <c r="H32" i="49" s="1"/>
  <c r="Q64" i="36"/>
  <c r="Q30" i="36"/>
  <c r="O64" i="36"/>
  <c r="O32" i="36"/>
  <c r="O57" i="36"/>
  <c r="Q52" i="36"/>
  <c r="Q28" i="36"/>
  <c r="Q58" i="36"/>
  <c r="Q57" i="36"/>
  <c r="O66" i="36"/>
  <c r="O50" i="36"/>
  <c r="O34" i="36"/>
  <c r="O18" i="36"/>
  <c r="O37" i="36"/>
  <c r="O69" i="36"/>
  <c r="Q47" i="36"/>
  <c r="O23" i="36"/>
  <c r="Q39" i="36"/>
  <c r="O51" i="36"/>
  <c r="O14" i="36"/>
  <c r="Q25" i="36"/>
  <c r="Q29" i="36"/>
  <c r="O56" i="36"/>
  <c r="O31" i="36"/>
  <c r="Q46" i="36"/>
  <c r="O46" i="36"/>
  <c r="O16" i="36"/>
  <c r="O45" i="36"/>
  <c r="Q70" i="36"/>
  <c r="O15" i="36"/>
  <c r="O24" i="36"/>
  <c r="O67" i="36"/>
  <c r="Q53" i="36"/>
  <c r="O62" i="36"/>
  <c r="O30" i="36"/>
  <c r="T8" i="36"/>
  <c r="T15" i="36" s="1"/>
  <c r="Q59" i="36"/>
  <c r="O39" i="36"/>
  <c r="Q37" i="36"/>
  <c r="Q32" i="36"/>
  <c r="Q54" i="36"/>
  <c r="AA8" i="36"/>
  <c r="AA27" i="36" s="1"/>
  <c r="O48" i="36"/>
  <c r="O25" i="36"/>
  <c r="Q26" i="36"/>
  <c r="O63" i="36"/>
  <c r="O43" i="36"/>
  <c r="Q23" i="36"/>
  <c r="Q49" i="36"/>
  <c r="O58" i="36"/>
  <c r="O42" i="36"/>
  <c r="O26" i="36"/>
  <c r="O17" i="36"/>
  <c r="O53" i="36"/>
  <c r="Q55" i="36"/>
  <c r="Q68" i="36"/>
  <c r="O55" i="36"/>
  <c r="Q60" i="36"/>
  <c r="Q44" i="36"/>
  <c r="I90" i="29"/>
  <c r="J90" i="29" s="1"/>
  <c r="I63" i="29"/>
  <c r="I113" i="29"/>
  <c r="J113" i="29" s="1"/>
  <c r="J89" i="29"/>
  <c r="J58" i="29"/>
  <c r="I100" i="29"/>
  <c r="I84" i="29"/>
  <c r="I136" i="29"/>
  <c r="I105" i="29"/>
  <c r="I133" i="29"/>
  <c r="I98" i="29"/>
  <c r="I74" i="29"/>
  <c r="J74" i="29" s="1"/>
  <c r="I79" i="29"/>
  <c r="I73" i="29"/>
  <c r="I78" i="29"/>
  <c r="I93" i="29"/>
  <c r="J93" i="29" s="1"/>
  <c r="I67" i="29"/>
  <c r="I53" i="29"/>
  <c r="J53" i="29" s="1"/>
  <c r="J125" i="29"/>
  <c r="J72" i="29"/>
  <c r="I127" i="29"/>
  <c r="I111" i="29"/>
  <c r="J118" i="29"/>
  <c r="I131" i="29"/>
  <c r="I115" i="29"/>
  <c r="J66" i="29"/>
  <c r="H36" i="29"/>
  <c r="I121" i="29"/>
  <c r="I135" i="29"/>
  <c r="I119" i="29"/>
  <c r="I103" i="29"/>
  <c r="J50" i="29"/>
  <c r="J109" i="29"/>
  <c r="J80" i="29"/>
  <c r="I83" i="29"/>
  <c r="I57" i="29"/>
  <c r="I95" i="29"/>
  <c r="I123" i="29"/>
  <c r="I107" i="29"/>
  <c r="L17" i="35"/>
  <c r="L27" i="35" s="1"/>
  <c r="M24" i="35"/>
  <c r="M17" i="35"/>
  <c r="I76" i="29"/>
  <c r="J87" i="29"/>
  <c r="J69" i="29"/>
  <c r="Q42" i="36"/>
  <c r="F89" i="49"/>
  <c r="O65" i="36"/>
  <c r="O44" i="36"/>
  <c r="S8" i="36"/>
  <c r="H8" i="37" s="1"/>
  <c r="O35" i="36"/>
  <c r="O33" i="36"/>
  <c r="O28" i="36"/>
  <c r="O60" i="36"/>
  <c r="Q62" i="36"/>
  <c r="O52" i="36"/>
  <c r="O47" i="36"/>
  <c r="O36" i="36"/>
  <c r="O68" i="36"/>
  <c r="O49" i="36"/>
  <c r="O20" i="36"/>
  <c r="Q66" i="36"/>
  <c r="Q69" i="36"/>
  <c r="Q41" i="36"/>
  <c r="Q67" i="36"/>
  <c r="Q20" i="36"/>
  <c r="Q38" i="36"/>
  <c r="O21" i="36"/>
  <c r="Q65" i="36"/>
  <c r="Q43" i="36"/>
  <c r="Q21" i="36"/>
  <c r="Q56" i="36"/>
  <c r="Q16" i="36"/>
  <c r="Q18" i="36"/>
  <c r="O59" i="36"/>
  <c r="Q22" i="36"/>
  <c r="Q35" i="36"/>
  <c r="Q17" i="36"/>
  <c r="Q40" i="36"/>
  <c r="Q63" i="36"/>
  <c r="Q27" i="36"/>
  <c r="Q19" i="36"/>
  <c r="F102" i="49"/>
  <c r="H210" i="31"/>
  <c r="L104" i="24" s="1"/>
  <c r="H125" i="31"/>
  <c r="L40" i="24" s="1"/>
  <c r="H156" i="31"/>
  <c r="L63" i="24" s="1"/>
  <c r="H177" i="31"/>
  <c r="L79" i="24" s="1"/>
  <c r="H184" i="31"/>
  <c r="L84" i="24" s="1"/>
  <c r="I124" i="31"/>
  <c r="M39" i="24" s="1"/>
  <c r="J117" i="29"/>
  <c r="J38" i="18"/>
  <c r="F30" i="49"/>
  <c r="H246" i="31"/>
  <c r="L131" i="24" s="1"/>
  <c r="I181" i="31"/>
  <c r="M82" i="24" s="1"/>
  <c r="H202" i="31"/>
  <c r="L98" i="24" s="1"/>
  <c r="H216" i="31"/>
  <c r="L108" i="24" s="1"/>
  <c r="H178" i="31"/>
  <c r="L80" i="24" s="1"/>
  <c r="H205" i="31"/>
  <c r="L100" i="24" s="1"/>
  <c r="H194" i="31"/>
  <c r="L92" i="24" s="1"/>
  <c r="H173" i="31"/>
  <c r="L76" i="24" s="1"/>
  <c r="J225" i="31"/>
  <c r="N115" i="24" s="1"/>
  <c r="H136" i="31"/>
  <c r="L48" i="24" s="1"/>
  <c r="H240" i="31"/>
  <c r="L126" i="24" s="1"/>
  <c r="H222" i="31"/>
  <c r="L113" i="24" s="1"/>
  <c r="H233" i="31"/>
  <c r="L121" i="24" s="1"/>
  <c r="I213" i="31"/>
  <c r="M106" i="24" s="1"/>
  <c r="H196" i="31"/>
  <c r="L93" i="24" s="1"/>
  <c r="H190" i="31"/>
  <c r="L89" i="24" s="1"/>
  <c r="J71" i="29"/>
  <c r="N37" i="29"/>
  <c r="J97" i="29"/>
  <c r="J81" i="29"/>
  <c r="J49" i="29"/>
  <c r="J106" i="29"/>
  <c r="J114" i="29"/>
  <c r="J129" i="29"/>
  <c r="I86" i="29"/>
  <c r="I52" i="29"/>
  <c r="I120" i="29"/>
  <c r="I94" i="29"/>
  <c r="I116" i="29"/>
  <c r="I108" i="29"/>
  <c r="I60" i="29"/>
  <c r="I82" i="29"/>
  <c r="I139" i="29"/>
  <c r="I91" i="29"/>
  <c r="H142" i="29"/>
  <c r="H38" i="29" s="1"/>
  <c r="H37" i="29"/>
  <c r="J51" i="29"/>
  <c r="I124" i="29"/>
  <c r="J55" i="29"/>
  <c r="I68" i="29"/>
  <c r="J122" i="29"/>
  <c r="I54" i="29"/>
  <c r="J65" i="29"/>
  <c r="I99" i="29"/>
  <c r="I64" i="29"/>
  <c r="J61" i="29"/>
  <c r="I132" i="29"/>
  <c r="I112" i="29"/>
  <c r="J75" i="29"/>
  <c r="I128" i="29"/>
  <c r="I104" i="29"/>
  <c r="N142" i="29"/>
  <c r="N38" i="29" s="1"/>
  <c r="N36" i="29"/>
  <c r="I64" i="18"/>
  <c r="I88" i="18"/>
  <c r="H234" i="31"/>
  <c r="L122" i="24" s="1"/>
  <c r="I140" i="29"/>
  <c r="I77" i="29"/>
  <c r="J56" i="29"/>
  <c r="H229" i="31"/>
  <c r="L118" i="24" s="1"/>
  <c r="H245" i="31"/>
  <c r="L130" i="24" s="1"/>
  <c r="H21" i="39"/>
  <c r="H16" i="39"/>
  <c r="H47" i="39"/>
  <c r="G54" i="39"/>
  <c r="H20" i="39"/>
  <c r="H19" i="39"/>
  <c r="H14" i="39"/>
  <c r="H43" i="39"/>
  <c r="G45" i="39"/>
  <c r="Q15" i="36"/>
  <c r="I19" i="48"/>
  <c r="L44" i="35"/>
  <c r="K50" i="35"/>
  <c r="K83" i="35"/>
  <c r="H30" i="49" s="1"/>
  <c r="L88" i="35"/>
  <c r="K90" i="35"/>
  <c r="H31" i="49" s="1"/>
  <c r="K27" i="35"/>
  <c r="L38" i="18"/>
  <c r="K38" i="18"/>
  <c r="K59" i="18"/>
  <c r="J64" i="18"/>
  <c r="J52" i="18"/>
  <c r="I55" i="18"/>
  <c r="H18" i="38" s="1"/>
  <c r="H67" i="18"/>
  <c r="H79" i="18"/>
  <c r="I74" i="18"/>
  <c r="H21" i="38" s="1"/>
  <c r="I14" i="37"/>
  <c r="H22" i="40" l="1"/>
  <c r="H23" i="40"/>
  <c r="H24" i="40"/>
  <c r="L60" i="18"/>
  <c r="J19" i="38"/>
  <c r="N27" i="35"/>
  <c r="K127" i="24"/>
  <c r="J127" i="24"/>
  <c r="I127" i="24"/>
  <c r="K119" i="24"/>
  <c r="J119" i="24"/>
  <c r="I119" i="24"/>
  <c r="K66" i="24"/>
  <c r="J66" i="24"/>
  <c r="I66" i="24"/>
  <c r="K99" i="24"/>
  <c r="I99" i="24"/>
  <c r="J99" i="24"/>
  <c r="K85" i="24"/>
  <c r="I85" i="24"/>
  <c r="J85" i="24"/>
  <c r="K120" i="24"/>
  <c r="J120" i="24"/>
  <c r="I120" i="24"/>
  <c r="K111" i="24"/>
  <c r="J111" i="24"/>
  <c r="I111" i="24"/>
  <c r="K87" i="24"/>
  <c r="I87" i="24"/>
  <c r="J87" i="24"/>
  <c r="K67" i="24"/>
  <c r="I67" i="24"/>
  <c r="J67" i="24"/>
  <c r="K97" i="24"/>
  <c r="I97" i="24"/>
  <c r="J97" i="24"/>
  <c r="K83" i="24"/>
  <c r="I83" i="24"/>
  <c r="J83" i="24"/>
  <c r="K117" i="24"/>
  <c r="I117" i="24"/>
  <c r="J117" i="24"/>
  <c r="K36" i="24"/>
  <c r="I36" i="24"/>
  <c r="J36" i="24"/>
  <c r="K124" i="24"/>
  <c r="J124" i="24"/>
  <c r="I124" i="24"/>
  <c r="K128" i="24"/>
  <c r="J128" i="24"/>
  <c r="I128" i="24"/>
  <c r="K123" i="24"/>
  <c r="J123" i="24"/>
  <c r="I123" i="24"/>
  <c r="K109" i="24"/>
  <c r="I109" i="24"/>
  <c r="J109" i="24"/>
  <c r="K31" i="24"/>
  <c r="I31" i="24"/>
  <c r="J31" i="24"/>
  <c r="K68" i="24"/>
  <c r="I68" i="24"/>
  <c r="J68" i="24"/>
  <c r="K95" i="24"/>
  <c r="I95" i="24"/>
  <c r="J95" i="24"/>
  <c r="K125" i="24"/>
  <c r="I125" i="24"/>
  <c r="J125" i="24"/>
  <c r="K41" i="24"/>
  <c r="I41" i="24"/>
  <c r="J41" i="24"/>
  <c r="K107" i="24"/>
  <c r="J107" i="24"/>
  <c r="I107" i="24"/>
  <c r="K50" i="24"/>
  <c r="J50" i="24"/>
  <c r="I50" i="24"/>
  <c r="K129" i="24"/>
  <c r="I129" i="24"/>
  <c r="J129" i="24"/>
  <c r="K54" i="24"/>
  <c r="I54" i="24"/>
  <c r="J54" i="24"/>
  <c r="N14" i="29"/>
  <c r="N15" i="29" s="1"/>
  <c r="J226" i="31"/>
  <c r="N116" i="24" s="1"/>
  <c r="J206" i="31"/>
  <c r="N101" i="24" s="1"/>
  <c r="J180" i="31"/>
  <c r="N81" i="24" s="1"/>
  <c r="O17" i="35"/>
  <c r="F54" i="49"/>
  <c r="O24" i="35"/>
  <c r="T27" i="36"/>
  <c r="I221" i="31"/>
  <c r="I209" i="31"/>
  <c r="M103" i="24" s="1"/>
  <c r="J114" i="31"/>
  <c r="N32" i="24" s="1"/>
  <c r="I208" i="31"/>
  <c r="M102" i="24" s="1"/>
  <c r="I193" i="31"/>
  <c r="M91" i="24" s="1"/>
  <c r="I157" i="31"/>
  <c r="M64" i="24" s="1"/>
  <c r="I117" i="31"/>
  <c r="M34" i="24" s="1"/>
  <c r="F32" i="49"/>
  <c r="F33" i="49" s="1"/>
  <c r="I214" i="48"/>
  <c r="H153" i="18"/>
  <c r="H163" i="18" s="1"/>
  <c r="T44" i="36"/>
  <c r="T61" i="36"/>
  <c r="T69" i="36"/>
  <c r="T59" i="36"/>
  <c r="T40" i="36"/>
  <c r="T29" i="36"/>
  <c r="W8" i="36"/>
  <c r="AG8" i="36" s="1"/>
  <c r="T19" i="36"/>
  <c r="T62" i="36"/>
  <c r="T39" i="36"/>
  <c r="H70" i="38"/>
  <c r="H81" i="38"/>
  <c r="I71" i="38"/>
  <c r="M109" i="35"/>
  <c r="L34" i="35"/>
  <c r="J88" i="18"/>
  <c r="O45" i="35"/>
  <c r="F20" i="49"/>
  <c r="T20" i="36"/>
  <c r="T38" i="36"/>
  <c r="T31" i="36"/>
  <c r="T25" i="36"/>
  <c r="T32" i="36"/>
  <c r="T24" i="36"/>
  <c r="T17" i="36"/>
  <c r="T55" i="36"/>
  <c r="T33" i="36"/>
  <c r="T18" i="36"/>
  <c r="T57" i="36"/>
  <c r="T56" i="36"/>
  <c r="T58" i="36"/>
  <c r="T53" i="36"/>
  <c r="T48" i="36"/>
  <c r="T16" i="36"/>
  <c r="T45" i="36"/>
  <c r="F31" i="37"/>
  <c r="T22" i="36"/>
  <c r="T65" i="36"/>
  <c r="T70" i="36"/>
  <c r="T46" i="36"/>
  <c r="T36" i="36"/>
  <c r="T49" i="36"/>
  <c r="T64" i="36"/>
  <c r="T41" i="36"/>
  <c r="T26" i="36"/>
  <c r="T28" i="36"/>
  <c r="T35" i="36"/>
  <c r="T47" i="36"/>
  <c r="T34" i="36"/>
  <c r="T63" i="36"/>
  <c r="T60" i="36"/>
  <c r="T30" i="36"/>
  <c r="T66" i="36"/>
  <c r="T51" i="36"/>
  <c r="T23" i="36"/>
  <c r="T52" i="36"/>
  <c r="T54" i="36"/>
  <c r="T67" i="36"/>
  <c r="T42" i="36"/>
  <c r="T21" i="36"/>
  <c r="AD8" i="36"/>
  <c r="AD56" i="36" s="1"/>
  <c r="T68" i="36"/>
  <c r="T50" i="36"/>
  <c r="T43" i="36"/>
  <c r="T37" i="36"/>
  <c r="T60" i="13"/>
  <c r="L86" i="18"/>
  <c r="L127" i="18"/>
  <c r="L118" i="18"/>
  <c r="L61" i="18"/>
  <c r="K92" i="29"/>
  <c r="L92" i="29" s="1"/>
  <c r="F99" i="49"/>
  <c r="I156" i="31"/>
  <c r="M63" i="24" s="1"/>
  <c r="I137" i="31"/>
  <c r="M49" i="24" s="1"/>
  <c r="F98" i="49"/>
  <c r="I192" i="31"/>
  <c r="M90" i="24" s="1"/>
  <c r="H182" i="31"/>
  <c r="L83" i="24" s="1"/>
  <c r="H238" i="31"/>
  <c r="L125" i="24" s="1"/>
  <c r="I125" i="31"/>
  <c r="M40" i="24" s="1"/>
  <c r="I174" i="31"/>
  <c r="M77" i="24" s="1"/>
  <c r="F97" i="49"/>
  <c r="I158" i="31"/>
  <c r="M65" i="24" s="1"/>
  <c r="H61" i="39"/>
  <c r="R14" i="36"/>
  <c r="G30" i="37" s="1"/>
  <c r="I32" i="49" s="1"/>
  <c r="G8" i="37"/>
  <c r="T14" i="36"/>
  <c r="I8" i="37"/>
  <c r="R36" i="36"/>
  <c r="R30" i="36"/>
  <c r="O27" i="35"/>
  <c r="M27" i="35"/>
  <c r="I112" i="31"/>
  <c r="M30" i="24" s="1"/>
  <c r="G248" i="31"/>
  <c r="I170" i="31"/>
  <c r="M74" i="24" s="1"/>
  <c r="I186" i="31"/>
  <c r="M86" i="24" s="1"/>
  <c r="J200" i="31"/>
  <c r="N96" i="24" s="1"/>
  <c r="I189" i="31"/>
  <c r="M88" i="24" s="1"/>
  <c r="K225" i="31"/>
  <c r="I169" i="31"/>
  <c r="M73" i="24" s="1"/>
  <c r="I176" i="31"/>
  <c r="M78" i="24" s="1"/>
  <c r="I218" i="31"/>
  <c r="M110" i="24" s="1"/>
  <c r="H144" i="31"/>
  <c r="L54" i="24" s="1"/>
  <c r="J118" i="31"/>
  <c r="N35" i="24" s="1"/>
  <c r="I197" i="31"/>
  <c r="M94" i="24" s="1"/>
  <c r="I172" i="31"/>
  <c r="M75" i="24" s="1"/>
  <c r="I224" i="31"/>
  <c r="M114" i="24" s="1"/>
  <c r="I212" i="31"/>
  <c r="M105" i="24" s="1"/>
  <c r="AA54" i="36"/>
  <c r="R19" i="36"/>
  <c r="R26" i="36"/>
  <c r="R52" i="36"/>
  <c r="AA21" i="36"/>
  <c r="R42" i="36"/>
  <c r="R43" i="36"/>
  <c r="R40" i="36"/>
  <c r="R67" i="36"/>
  <c r="R51" i="36"/>
  <c r="R17" i="36"/>
  <c r="R69" i="36"/>
  <c r="R27" i="36"/>
  <c r="AA30" i="36"/>
  <c r="AA60" i="36"/>
  <c r="R59" i="36"/>
  <c r="R22" i="36"/>
  <c r="R41" i="36"/>
  <c r="R20" i="36"/>
  <c r="R48" i="36"/>
  <c r="R21" i="36"/>
  <c r="R44" i="36"/>
  <c r="R46" i="36"/>
  <c r="R50" i="36"/>
  <c r="R25" i="36"/>
  <c r="R54" i="36"/>
  <c r="R23" i="36"/>
  <c r="R47" i="36"/>
  <c r="R56" i="36"/>
  <c r="K63" i="35"/>
  <c r="N8" i="29"/>
  <c r="R15" i="36"/>
  <c r="AA47" i="36"/>
  <c r="AA55" i="36"/>
  <c r="R60" i="36"/>
  <c r="R68" i="36"/>
  <c r="R55" i="36"/>
  <c r="R49" i="36"/>
  <c r="R61" i="36"/>
  <c r="R34" i="36"/>
  <c r="R24" i="36"/>
  <c r="R29" i="36"/>
  <c r="R31" i="36"/>
  <c r="R63" i="36"/>
  <c r="R39" i="36"/>
  <c r="R38" i="36"/>
  <c r="R28" i="36"/>
  <c r="R66" i="36"/>
  <c r="I47" i="18"/>
  <c r="AA34" i="36"/>
  <c r="U8" i="36"/>
  <c r="J8" i="37" s="1"/>
  <c r="R65" i="36"/>
  <c r="R64" i="36"/>
  <c r="R58" i="36"/>
  <c r="R57" i="36"/>
  <c r="R53" i="36"/>
  <c r="R18" i="36"/>
  <c r="AB8" i="36"/>
  <c r="AB69" i="36" s="1"/>
  <c r="R62" i="36"/>
  <c r="R35" i="36"/>
  <c r="R32" i="36"/>
  <c r="R16" i="36"/>
  <c r="R45" i="36"/>
  <c r="R33" i="36"/>
  <c r="R37" i="36"/>
  <c r="J105" i="29"/>
  <c r="K105" i="29" s="1"/>
  <c r="L105" i="29" s="1"/>
  <c r="J101" i="29"/>
  <c r="K101" i="29" s="1"/>
  <c r="L101" i="29" s="1"/>
  <c r="J110" i="29"/>
  <c r="K137" i="29"/>
  <c r="L137" i="29" s="1"/>
  <c r="K55" i="29"/>
  <c r="L55" i="29" s="1"/>
  <c r="K125" i="29"/>
  <c r="L125" i="29" s="1"/>
  <c r="K114" i="29"/>
  <c r="L114" i="29" s="1"/>
  <c r="K81" i="29"/>
  <c r="L81" i="29" s="1"/>
  <c r="J133" i="29"/>
  <c r="J96" i="29"/>
  <c r="K53" i="29"/>
  <c r="L53" i="29" s="1"/>
  <c r="K117" i="29"/>
  <c r="L117" i="29" s="1"/>
  <c r="K50" i="29"/>
  <c r="L50" i="29" s="1"/>
  <c r="J88" i="29"/>
  <c r="J121" i="29"/>
  <c r="K138" i="29"/>
  <c r="L138" i="29" s="1"/>
  <c r="K93" i="29"/>
  <c r="L93" i="29" s="1"/>
  <c r="K87" i="29"/>
  <c r="L87" i="29" s="1"/>
  <c r="K109" i="29"/>
  <c r="L109" i="29" s="1"/>
  <c r="K122" i="29"/>
  <c r="L122" i="29" s="1"/>
  <c r="K129" i="29"/>
  <c r="L129" i="29" s="1"/>
  <c r="K49" i="29"/>
  <c r="L49" i="29" s="1"/>
  <c r="K113" i="29"/>
  <c r="L113" i="29" s="1"/>
  <c r="J102" i="29"/>
  <c r="K56" i="29"/>
  <c r="L56" i="29" s="1"/>
  <c r="K90" i="29"/>
  <c r="L90" i="29" s="1"/>
  <c r="K51" i="29"/>
  <c r="L51" i="29" s="1"/>
  <c r="K106" i="29"/>
  <c r="L106" i="29" s="1"/>
  <c r="K97" i="29"/>
  <c r="L97" i="29" s="1"/>
  <c r="K118" i="29"/>
  <c r="L118" i="29" s="1"/>
  <c r="K130" i="29"/>
  <c r="L130" i="29" s="1"/>
  <c r="K89" i="29"/>
  <c r="L89" i="29" s="1"/>
  <c r="K74" i="29"/>
  <c r="L74" i="29" s="1"/>
  <c r="K71" i="29"/>
  <c r="L71" i="29" s="1"/>
  <c r="K72" i="29"/>
  <c r="L72" i="29" s="1"/>
  <c r="J73" i="29"/>
  <c r="K80" i="29"/>
  <c r="L80" i="29" s="1"/>
  <c r="K66" i="29"/>
  <c r="L66" i="29" s="1"/>
  <c r="K70" i="29"/>
  <c r="L70" i="29" s="1"/>
  <c r="K58" i="29"/>
  <c r="L58" i="29" s="1"/>
  <c r="K61" i="29"/>
  <c r="L61" i="29" s="1"/>
  <c r="K65" i="29"/>
  <c r="L65" i="29" s="1"/>
  <c r="J63" i="29"/>
  <c r="K69" i="29"/>
  <c r="L69" i="29" s="1"/>
  <c r="K59" i="29"/>
  <c r="L59" i="29" s="1"/>
  <c r="K75" i="29"/>
  <c r="L75" i="29" s="1"/>
  <c r="J78" i="29"/>
  <c r="J67" i="29"/>
  <c r="H71" i="18"/>
  <c r="H101" i="18"/>
  <c r="AA65" i="36"/>
  <c r="AA26" i="36"/>
  <c r="AA17" i="36"/>
  <c r="AA66" i="36"/>
  <c r="H47" i="18"/>
  <c r="AA36" i="36"/>
  <c r="AA38" i="36"/>
  <c r="AA25" i="36"/>
  <c r="K139" i="18"/>
  <c r="AA40" i="36"/>
  <c r="AA58" i="36"/>
  <c r="AA50" i="36"/>
  <c r="AA59" i="36"/>
  <c r="AA46" i="36"/>
  <c r="AA19" i="36"/>
  <c r="AA52" i="36"/>
  <c r="AA29" i="36"/>
  <c r="AA14" i="36"/>
  <c r="F21" i="37" s="1"/>
  <c r="F39" i="37" s="1"/>
  <c r="G12" i="37" s="1"/>
  <c r="AA42" i="36"/>
  <c r="AA28" i="36"/>
  <c r="AA18" i="36"/>
  <c r="AA69" i="36"/>
  <c r="AA20" i="36"/>
  <c r="AA31" i="36"/>
  <c r="AA16" i="36"/>
  <c r="AA51" i="36"/>
  <c r="AA32" i="36"/>
  <c r="AA63" i="36"/>
  <c r="AA24" i="36"/>
  <c r="AA57" i="36"/>
  <c r="AA70" i="36"/>
  <c r="AA22" i="36"/>
  <c r="AA64" i="36"/>
  <c r="AA67" i="36"/>
  <c r="AA37" i="36"/>
  <c r="AA68" i="36"/>
  <c r="AA41" i="36"/>
  <c r="AA53" i="36"/>
  <c r="AA45" i="36"/>
  <c r="AA39" i="36"/>
  <c r="AA44" i="36"/>
  <c r="AA62" i="36"/>
  <c r="AA61" i="36"/>
  <c r="AA33" i="36"/>
  <c r="AA43" i="36"/>
  <c r="AA56" i="36"/>
  <c r="AA15" i="36"/>
  <c r="AA49" i="36"/>
  <c r="AA35" i="36"/>
  <c r="AA23" i="36"/>
  <c r="AA48" i="36"/>
  <c r="J121" i="31"/>
  <c r="N37" i="24" s="1"/>
  <c r="J122" i="31"/>
  <c r="N38" i="24" s="1"/>
  <c r="I116" i="31"/>
  <c r="M33" i="24" s="1"/>
  <c r="L63" i="35"/>
  <c r="O36" i="29"/>
  <c r="O11" i="29" s="1"/>
  <c r="J112" i="18" s="1"/>
  <c r="I27" i="38" s="1"/>
  <c r="H113" i="18"/>
  <c r="H114" i="18" s="1"/>
  <c r="J136" i="29"/>
  <c r="J76" i="29"/>
  <c r="J98" i="29"/>
  <c r="J84" i="29"/>
  <c r="K84" i="29" s="1"/>
  <c r="L84" i="29" s="1"/>
  <c r="J100" i="29"/>
  <c r="K100" i="29" s="1"/>
  <c r="L100" i="29" s="1"/>
  <c r="J79" i="29"/>
  <c r="J115" i="29"/>
  <c r="J83" i="29"/>
  <c r="J135" i="29"/>
  <c r="J123" i="29"/>
  <c r="J57" i="29"/>
  <c r="J119" i="29"/>
  <c r="J127" i="29"/>
  <c r="I36" i="29"/>
  <c r="J107" i="29"/>
  <c r="J95" i="29"/>
  <c r="J103" i="29"/>
  <c r="J131" i="29"/>
  <c r="J111" i="29"/>
  <c r="I37" i="29"/>
  <c r="O12" i="36"/>
  <c r="S48" i="36"/>
  <c r="S68" i="36"/>
  <c r="S28" i="36"/>
  <c r="S47" i="36"/>
  <c r="S36" i="36"/>
  <c r="S46" i="36"/>
  <c r="S21" i="36"/>
  <c r="S30" i="36"/>
  <c r="S62" i="36"/>
  <c r="S25" i="36"/>
  <c r="S45" i="36"/>
  <c r="S57" i="36"/>
  <c r="S33" i="36"/>
  <c r="S34" i="36"/>
  <c r="S26" i="36"/>
  <c r="S40" i="36"/>
  <c r="S67" i="36"/>
  <c r="S23" i="36"/>
  <c r="S59" i="36"/>
  <c r="S56" i="36"/>
  <c r="S41" i="36"/>
  <c r="S65" i="36"/>
  <c r="S64" i="36"/>
  <c r="S61" i="36"/>
  <c r="S53" i="36"/>
  <c r="S58" i="36"/>
  <c r="S70" i="36"/>
  <c r="S32" i="36"/>
  <c r="AC8" i="36"/>
  <c r="S49" i="36"/>
  <c r="S55" i="36"/>
  <c r="S66" i="36"/>
  <c r="S16" i="36"/>
  <c r="S29" i="36"/>
  <c r="S22" i="36"/>
  <c r="S43" i="36"/>
  <c r="S18" i="36"/>
  <c r="S44" i="36"/>
  <c r="S19" i="36"/>
  <c r="S31" i="36"/>
  <c r="S17" i="36"/>
  <c r="S50" i="36"/>
  <c r="S24" i="36"/>
  <c r="S69" i="36"/>
  <c r="S54" i="36"/>
  <c r="S52" i="36"/>
  <c r="S14" i="36"/>
  <c r="H30" i="37" s="1"/>
  <c r="J32" i="49" s="1"/>
  <c r="S38" i="36"/>
  <c r="S39" i="36"/>
  <c r="S60" i="36"/>
  <c r="S51" i="36"/>
  <c r="S63" i="36"/>
  <c r="V8" i="36"/>
  <c r="K8" i="37" s="1"/>
  <c r="S15" i="36"/>
  <c r="S35" i="36"/>
  <c r="S37" i="36"/>
  <c r="S20" i="36"/>
  <c r="S42" i="36"/>
  <c r="S27" i="36"/>
  <c r="I210" i="31"/>
  <c r="M104" i="24" s="1"/>
  <c r="I177" i="31"/>
  <c r="M79" i="24" s="1"/>
  <c r="I184" i="31"/>
  <c r="M84" i="24" s="1"/>
  <c r="H244" i="31"/>
  <c r="L129" i="24" s="1"/>
  <c r="H162" i="31"/>
  <c r="L68" i="24" s="1"/>
  <c r="G77" i="31"/>
  <c r="G75" i="31"/>
  <c r="G76" i="31"/>
  <c r="J124" i="31"/>
  <c r="N39" i="24" s="1"/>
  <c r="G60" i="31"/>
  <c r="H214" i="31"/>
  <c r="L107" i="24" s="1"/>
  <c r="I246" i="31"/>
  <c r="M131" i="24" s="1"/>
  <c r="H120" i="31"/>
  <c r="L36" i="24" s="1"/>
  <c r="I202" i="31"/>
  <c r="M98" i="24" s="1"/>
  <c r="H204" i="31"/>
  <c r="L99" i="24" s="1"/>
  <c r="H217" i="31"/>
  <c r="L109" i="24" s="1"/>
  <c r="H185" i="31"/>
  <c r="L85" i="24" s="1"/>
  <c r="H138" i="31"/>
  <c r="L50" i="24" s="1"/>
  <c r="H201" i="31"/>
  <c r="L97" i="24" s="1"/>
  <c r="I178" i="31"/>
  <c r="M80" i="24" s="1"/>
  <c r="H126" i="31"/>
  <c r="L41" i="24" s="1"/>
  <c r="I216" i="31"/>
  <c r="M108" i="24" s="1"/>
  <c r="H160" i="31"/>
  <c r="L66" i="24" s="1"/>
  <c r="H188" i="31"/>
  <c r="L87" i="24" s="1"/>
  <c r="J181" i="31"/>
  <c r="N82" i="24" s="1"/>
  <c r="H161" i="31"/>
  <c r="L67" i="24" s="1"/>
  <c r="H113" i="31"/>
  <c r="L31" i="24" s="1"/>
  <c r="I233" i="31"/>
  <c r="M121" i="24" s="1"/>
  <c r="H237" i="31"/>
  <c r="L124" i="24" s="1"/>
  <c r="H198" i="31"/>
  <c r="L95" i="24" s="1"/>
  <c r="I205" i="31"/>
  <c r="M100" i="24" s="1"/>
  <c r="I136" i="31"/>
  <c r="M48" i="24" s="1"/>
  <c r="I196" i="31"/>
  <c r="M93" i="24" s="1"/>
  <c r="I222" i="31"/>
  <c r="M113" i="24" s="1"/>
  <c r="H241" i="31"/>
  <c r="L127" i="24" s="1"/>
  <c r="I240" i="31"/>
  <c r="M126" i="24" s="1"/>
  <c r="H236" i="31"/>
  <c r="L123" i="24" s="1"/>
  <c r="I173" i="31"/>
  <c r="M76" i="24" s="1"/>
  <c r="I194" i="31"/>
  <c r="M92" i="24" s="1"/>
  <c r="I190" i="31"/>
  <c r="M89" i="24" s="1"/>
  <c r="J213" i="31"/>
  <c r="N106" i="24" s="1"/>
  <c r="H242" i="31"/>
  <c r="L128" i="24" s="1"/>
  <c r="H232" i="31"/>
  <c r="L120" i="24" s="1"/>
  <c r="H228" i="31"/>
  <c r="L117" i="24" s="1"/>
  <c r="H220" i="31"/>
  <c r="L111" i="24" s="1"/>
  <c r="H230" i="31"/>
  <c r="L119" i="24" s="1"/>
  <c r="I142" i="29"/>
  <c r="I38" i="29" s="1"/>
  <c r="J64" i="29"/>
  <c r="J124" i="29"/>
  <c r="J91" i="29"/>
  <c r="J60" i="29"/>
  <c r="J116" i="29"/>
  <c r="J120" i="29"/>
  <c r="J86" i="29"/>
  <c r="J112" i="29"/>
  <c r="J128" i="29"/>
  <c r="J132" i="29"/>
  <c r="J99" i="29"/>
  <c r="J54" i="29"/>
  <c r="J68" i="29"/>
  <c r="J104" i="29"/>
  <c r="N11" i="29"/>
  <c r="J139" i="29"/>
  <c r="J82" i="29"/>
  <c r="J108" i="29"/>
  <c r="J94" i="29"/>
  <c r="J52" i="29"/>
  <c r="J52" i="13"/>
  <c r="AK67" i="13"/>
  <c r="AL67" i="13" s="1"/>
  <c r="AK52" i="13"/>
  <c r="AL52" i="13" s="1"/>
  <c r="T63" i="13"/>
  <c r="I238" i="31"/>
  <c r="M125" i="24" s="1"/>
  <c r="I229" i="31"/>
  <c r="M118" i="24" s="1"/>
  <c r="J77" i="29"/>
  <c r="I245" i="31"/>
  <c r="M130" i="24" s="1"/>
  <c r="J140" i="29"/>
  <c r="I234" i="31"/>
  <c r="M122" i="24" s="1"/>
  <c r="Q12" i="36"/>
  <c r="I43" i="39"/>
  <c r="H45" i="39"/>
  <c r="I14" i="39"/>
  <c r="H37" i="40" s="1"/>
  <c r="I19" i="39"/>
  <c r="I20" i="39"/>
  <c r="I47" i="39"/>
  <c r="H54" i="39"/>
  <c r="H25" i="40" s="1"/>
  <c r="I16" i="39"/>
  <c r="H38" i="40" s="1"/>
  <c r="I21" i="39"/>
  <c r="J19" i="48"/>
  <c r="M44" i="35"/>
  <c r="L50" i="35"/>
  <c r="K40" i="35"/>
  <c r="K93" i="35"/>
  <c r="H33" i="38" s="1"/>
  <c r="M88" i="35"/>
  <c r="L90" i="35"/>
  <c r="I31" i="49" s="1"/>
  <c r="L83" i="35"/>
  <c r="I30" i="49" s="1"/>
  <c r="AK65" i="13"/>
  <c r="AL65" i="13" s="1"/>
  <c r="AK51" i="13"/>
  <c r="AL51" i="13" s="1"/>
  <c r="L59" i="18"/>
  <c r="K64" i="18"/>
  <c r="H91" i="18"/>
  <c r="I67" i="18"/>
  <c r="H17" i="38" s="1"/>
  <c r="I79" i="18"/>
  <c r="J74" i="18"/>
  <c r="K88" i="18"/>
  <c r="L83" i="18"/>
  <c r="K52" i="18"/>
  <c r="J55" i="18"/>
  <c r="I18" i="38" s="1"/>
  <c r="J49" i="13"/>
  <c r="N20" i="29"/>
  <c r="I41" i="37"/>
  <c r="W46" i="36" l="1"/>
  <c r="I23" i="40"/>
  <c r="I24" i="40"/>
  <c r="I22" i="40"/>
  <c r="M60" i="18"/>
  <c r="L19" i="38" s="1"/>
  <c r="K19" i="38"/>
  <c r="J137" i="31"/>
  <c r="N49" i="24" s="1"/>
  <c r="J156" i="31"/>
  <c r="N63" i="24" s="1"/>
  <c r="K206" i="31"/>
  <c r="I182" i="31"/>
  <c r="M83" i="24" s="1"/>
  <c r="K180" i="31"/>
  <c r="J221" i="31"/>
  <c r="N112" i="24" s="1"/>
  <c r="M112" i="24"/>
  <c r="I113" i="18"/>
  <c r="H28" i="38" s="1"/>
  <c r="H98" i="49"/>
  <c r="H97" i="49"/>
  <c r="H99" i="49"/>
  <c r="K226" i="31"/>
  <c r="J63" i="13"/>
  <c r="H102" i="49"/>
  <c r="T58" i="13"/>
  <c r="AK50" i="13"/>
  <c r="AL50" i="13" s="1"/>
  <c r="J117" i="31"/>
  <c r="N34" i="24" s="1"/>
  <c r="J174" i="31"/>
  <c r="N77" i="24" s="1"/>
  <c r="J193" i="31"/>
  <c r="N91" i="24" s="1"/>
  <c r="J209" i="31"/>
  <c r="N103" i="24" s="1"/>
  <c r="J112" i="31"/>
  <c r="N30" i="24" s="1"/>
  <c r="J157" i="31"/>
  <c r="N64" i="24" s="1"/>
  <c r="J208" i="31"/>
  <c r="N102" i="24" s="1"/>
  <c r="H54" i="49"/>
  <c r="H64" i="39"/>
  <c r="H52" i="40" s="1"/>
  <c r="AK61" i="13"/>
  <c r="AL61" i="13" s="1"/>
  <c r="J53" i="13"/>
  <c r="T56" i="13"/>
  <c r="AK66" i="13"/>
  <c r="AL66" i="13" s="1"/>
  <c r="T55" i="13"/>
  <c r="J59" i="13"/>
  <c r="J55" i="13"/>
  <c r="K114" i="31"/>
  <c r="J125" i="31"/>
  <c r="N40" i="24" s="1"/>
  <c r="J192" i="31"/>
  <c r="N90" i="24" s="1"/>
  <c r="F112" i="49"/>
  <c r="H33" i="49"/>
  <c r="H34" i="49" s="1"/>
  <c r="L68" i="35"/>
  <c r="I31" i="37"/>
  <c r="M69" i="35" s="1"/>
  <c r="I30" i="37"/>
  <c r="K32" i="49" s="1"/>
  <c r="K68" i="35"/>
  <c r="AB61" i="36"/>
  <c r="AB16" i="36"/>
  <c r="AB37" i="36"/>
  <c r="AB57" i="36"/>
  <c r="AB17" i="36"/>
  <c r="AB21" i="36"/>
  <c r="AB35" i="36"/>
  <c r="AB30" i="36"/>
  <c r="AB48" i="36"/>
  <c r="AB29" i="36"/>
  <c r="AB49" i="36"/>
  <c r="W53" i="36"/>
  <c r="AB18" i="36"/>
  <c r="AB15" i="36"/>
  <c r="AB70" i="36"/>
  <c r="W21" i="36"/>
  <c r="W45" i="36"/>
  <c r="W70" i="36"/>
  <c r="W38" i="36"/>
  <c r="W69" i="36"/>
  <c r="W37" i="36"/>
  <c r="W62" i="36"/>
  <c r="W30" i="36"/>
  <c r="W61" i="36"/>
  <c r="W29" i="36"/>
  <c r="W54" i="36"/>
  <c r="W22" i="36"/>
  <c r="L8" i="37"/>
  <c r="J214" i="48"/>
  <c r="H82" i="38" s="1"/>
  <c r="I153" i="18"/>
  <c r="I163" i="18" s="1"/>
  <c r="U46" i="36"/>
  <c r="U43" i="36"/>
  <c r="J66" i="13"/>
  <c r="J62" i="13"/>
  <c r="T49" i="13"/>
  <c r="W67" i="36"/>
  <c r="W51" i="36"/>
  <c r="W43" i="36"/>
  <c r="W27" i="36"/>
  <c r="W19" i="36"/>
  <c r="W60" i="36"/>
  <c r="W44" i="36"/>
  <c r="W28" i="36"/>
  <c r="W15" i="36"/>
  <c r="AB47" i="36"/>
  <c r="AB27" i="36"/>
  <c r="AB68" i="36"/>
  <c r="AB50" i="36"/>
  <c r="AB63" i="36"/>
  <c r="AB25" i="36"/>
  <c r="AB55" i="36"/>
  <c r="AB58" i="36"/>
  <c r="U44" i="36"/>
  <c r="U70" i="36"/>
  <c r="W65" i="36"/>
  <c r="W57" i="36"/>
  <c r="W49" i="36"/>
  <c r="W41" i="36"/>
  <c r="W33" i="36"/>
  <c r="W25" i="36"/>
  <c r="W17" i="36"/>
  <c r="W66" i="36"/>
  <c r="W58" i="36"/>
  <c r="W50" i="36"/>
  <c r="W42" i="36"/>
  <c r="W34" i="36"/>
  <c r="W26" i="36"/>
  <c r="W18" i="36"/>
  <c r="U60" i="36"/>
  <c r="U34" i="36"/>
  <c r="W59" i="36"/>
  <c r="W35" i="36"/>
  <c r="W68" i="36"/>
  <c r="W52" i="36"/>
  <c r="W36" i="36"/>
  <c r="W20" i="36"/>
  <c r="AB40" i="36"/>
  <c r="AB19" i="36"/>
  <c r="AB59" i="36"/>
  <c r="AB65" i="36"/>
  <c r="AB62" i="36"/>
  <c r="AB26" i="36"/>
  <c r="AB39" i="36"/>
  <c r="U68" i="36"/>
  <c r="U62" i="36"/>
  <c r="W14" i="36"/>
  <c r="W63" i="36"/>
  <c r="W55" i="36"/>
  <c r="W47" i="36"/>
  <c r="W39" i="36"/>
  <c r="W31" i="36"/>
  <c r="W23" i="36"/>
  <c r="W16" i="36"/>
  <c r="W64" i="36"/>
  <c r="W56" i="36"/>
  <c r="W48" i="36"/>
  <c r="W40" i="36"/>
  <c r="W32" i="36"/>
  <c r="W24" i="36"/>
  <c r="AE8" i="36"/>
  <c r="AE33" i="36" s="1"/>
  <c r="U52" i="36"/>
  <c r="U30" i="36"/>
  <c r="U41" i="36"/>
  <c r="U48" i="36"/>
  <c r="U24" i="36"/>
  <c r="U32" i="36"/>
  <c r="U29" i="36"/>
  <c r="AB23" i="36"/>
  <c r="AB33" i="36"/>
  <c r="AB45" i="36"/>
  <c r="AB46" i="36"/>
  <c r="AB54" i="36"/>
  <c r="AB42" i="36"/>
  <c r="AB67" i="36"/>
  <c r="AB41" i="36"/>
  <c r="AB20" i="36"/>
  <c r="AB66" i="36"/>
  <c r="AB64" i="36"/>
  <c r="AB14" i="36"/>
  <c r="G21" i="37" s="1"/>
  <c r="G39" i="37" s="1"/>
  <c r="H12" i="37" s="1"/>
  <c r="AB60" i="36"/>
  <c r="AB52" i="36"/>
  <c r="U14" i="36"/>
  <c r="J30" i="37" s="1"/>
  <c r="L32" i="49" s="1"/>
  <c r="U40" i="36"/>
  <c r="U53" i="36"/>
  <c r="U39" i="36"/>
  <c r="U20" i="36"/>
  <c r="U63" i="36"/>
  <c r="U55" i="36"/>
  <c r="U16" i="36"/>
  <c r="U66" i="36"/>
  <c r="U28" i="36"/>
  <c r="U22" i="36"/>
  <c r="U31" i="36"/>
  <c r="U56" i="36"/>
  <c r="U27" i="36"/>
  <c r="U59" i="36"/>
  <c r="AD60" i="36"/>
  <c r="U61" i="36"/>
  <c r="U36" i="36"/>
  <c r="U58" i="36"/>
  <c r="U21" i="36"/>
  <c r="U17" i="36"/>
  <c r="U18" i="36"/>
  <c r="U45" i="36"/>
  <c r="U25" i="36"/>
  <c r="U19" i="36"/>
  <c r="U23" i="36"/>
  <c r="U35" i="36"/>
  <c r="U50" i="36"/>
  <c r="U65" i="36"/>
  <c r="AB51" i="36"/>
  <c r="AB56" i="36"/>
  <c r="AB34" i="36"/>
  <c r="AB28" i="36"/>
  <c r="AB31" i="36"/>
  <c r="AB44" i="36"/>
  <c r="AB22" i="36"/>
  <c r="AB43" i="36"/>
  <c r="AB38" i="36"/>
  <c r="AB53" i="36"/>
  <c r="AB24" i="36"/>
  <c r="AB36" i="36"/>
  <c r="AB32" i="36"/>
  <c r="U15" i="36"/>
  <c r="U47" i="36"/>
  <c r="U33" i="36"/>
  <c r="U38" i="36"/>
  <c r="U37" i="36"/>
  <c r="U49" i="36"/>
  <c r="U51" i="36"/>
  <c r="U26" i="36"/>
  <c r="U67" i="36"/>
  <c r="U42" i="36"/>
  <c r="U69" i="36"/>
  <c r="U57" i="36"/>
  <c r="U54" i="36"/>
  <c r="U64" i="36"/>
  <c r="X8" i="36"/>
  <c r="M8" i="37" s="1"/>
  <c r="AD52" i="36"/>
  <c r="AD26" i="36"/>
  <c r="AD32" i="36"/>
  <c r="AD45" i="36"/>
  <c r="AD20" i="36"/>
  <c r="AD44" i="36"/>
  <c r="AD47" i="36"/>
  <c r="AD51" i="36"/>
  <c r="AD34" i="36"/>
  <c r="AD63" i="36"/>
  <c r="AD27" i="36"/>
  <c r="AD57" i="36"/>
  <c r="AD33" i="36"/>
  <c r="AD18" i="36"/>
  <c r="I70" i="38"/>
  <c r="I81" i="38"/>
  <c r="H69" i="38"/>
  <c r="J71" i="38"/>
  <c r="N109" i="35"/>
  <c r="F33" i="38"/>
  <c r="M34" i="35"/>
  <c r="F22" i="37"/>
  <c r="F25" i="37" s="1"/>
  <c r="H36" i="40" s="1"/>
  <c r="H40" i="40" s="1"/>
  <c r="AD31" i="36"/>
  <c r="AD54" i="36"/>
  <c r="AD41" i="36"/>
  <c r="AD40" i="36"/>
  <c r="AD59" i="36"/>
  <c r="AD65" i="36"/>
  <c r="AD17" i="36"/>
  <c r="AD28" i="36"/>
  <c r="AD53" i="36"/>
  <c r="AD48" i="36"/>
  <c r="AD25" i="36"/>
  <c r="AD66" i="36"/>
  <c r="AD58" i="36"/>
  <c r="AD38" i="36"/>
  <c r="AD43" i="36"/>
  <c r="AD24" i="36"/>
  <c r="AD55" i="36"/>
  <c r="AD22" i="36"/>
  <c r="AD23" i="36"/>
  <c r="AD68" i="36"/>
  <c r="AD46" i="36"/>
  <c r="AD36" i="36"/>
  <c r="AD42" i="36"/>
  <c r="AD62" i="36"/>
  <c r="AD50" i="36"/>
  <c r="AD16" i="36"/>
  <c r="AD15" i="36"/>
  <c r="AD14" i="36"/>
  <c r="G31" i="37"/>
  <c r="T12" i="36"/>
  <c r="AD35" i="36"/>
  <c r="AD29" i="36"/>
  <c r="AD69" i="36"/>
  <c r="AD21" i="36"/>
  <c r="AD37" i="36"/>
  <c r="AD67" i="36"/>
  <c r="AD61" i="36"/>
  <c r="AD64" i="36"/>
  <c r="AD70" i="36"/>
  <c r="AD19" i="36"/>
  <c r="AD49" i="36"/>
  <c r="AD30" i="36"/>
  <c r="AD39" i="36"/>
  <c r="H31" i="37"/>
  <c r="J54" i="13"/>
  <c r="T62" i="13"/>
  <c r="R58" i="13"/>
  <c r="R60" i="13"/>
  <c r="U60" i="13"/>
  <c r="O60" i="13"/>
  <c r="S60" i="13"/>
  <c r="K92" i="13"/>
  <c r="J67" i="13"/>
  <c r="T65" i="13"/>
  <c r="T67" i="13"/>
  <c r="T57" i="13"/>
  <c r="O63" i="13"/>
  <c r="U63" i="13"/>
  <c r="S63" i="13"/>
  <c r="R63" i="13"/>
  <c r="T64" i="13"/>
  <c r="T61" i="13"/>
  <c r="T59" i="13"/>
  <c r="M127" i="18"/>
  <c r="M86" i="18"/>
  <c r="M61" i="18"/>
  <c r="M118" i="18"/>
  <c r="I162" i="31"/>
  <c r="M68" i="24" s="1"/>
  <c r="F100" i="49"/>
  <c r="I244" i="31"/>
  <c r="M129" i="24" s="1"/>
  <c r="J172" i="31"/>
  <c r="N75" i="24" s="1"/>
  <c r="J158" i="31"/>
  <c r="N65" i="24" s="1"/>
  <c r="L64" i="18"/>
  <c r="M59" i="18"/>
  <c r="M83" i="18"/>
  <c r="I28" i="18"/>
  <c r="I61" i="39"/>
  <c r="H60" i="31"/>
  <c r="H248" i="31"/>
  <c r="J197" i="31"/>
  <c r="N94" i="24" s="1"/>
  <c r="K121" i="31"/>
  <c r="K118" i="31"/>
  <c r="J169" i="31"/>
  <c r="N73" i="24" s="1"/>
  <c r="J186" i="31"/>
  <c r="N86" i="24" s="1"/>
  <c r="K200" i="31"/>
  <c r="J170" i="31"/>
  <c r="N74" i="24" s="1"/>
  <c r="K156" i="31"/>
  <c r="J224" i="31"/>
  <c r="N114" i="24" s="1"/>
  <c r="I144" i="31"/>
  <c r="M54" i="24" s="1"/>
  <c r="J176" i="31"/>
  <c r="N78" i="24" s="1"/>
  <c r="K122" i="31"/>
  <c r="J212" i="31"/>
  <c r="N105" i="24" s="1"/>
  <c r="K213" i="31"/>
  <c r="K137" i="31"/>
  <c r="K221" i="31"/>
  <c r="K181" i="31"/>
  <c r="K124" i="31"/>
  <c r="J218" i="31"/>
  <c r="N110" i="24" s="1"/>
  <c r="J189" i="31"/>
  <c r="N88" i="24" s="1"/>
  <c r="R12" i="36"/>
  <c r="H89" i="49"/>
  <c r="I71" i="18"/>
  <c r="O8" i="29"/>
  <c r="J47" i="18"/>
  <c r="I101" i="18"/>
  <c r="AA12" i="36"/>
  <c r="K110" i="29"/>
  <c r="L110" i="29" s="1"/>
  <c r="K140" i="29"/>
  <c r="L140" i="29" s="1"/>
  <c r="K52" i="29"/>
  <c r="L52" i="29" s="1"/>
  <c r="K116" i="29"/>
  <c r="L116" i="29" s="1"/>
  <c r="K94" i="29"/>
  <c r="L94" i="29" s="1"/>
  <c r="K54" i="29"/>
  <c r="L54" i="29" s="1"/>
  <c r="K112" i="29"/>
  <c r="L112" i="29" s="1"/>
  <c r="K124" i="29"/>
  <c r="L124" i="29" s="1"/>
  <c r="K111" i="29"/>
  <c r="L111" i="29" s="1"/>
  <c r="K107" i="29"/>
  <c r="L107" i="29" s="1"/>
  <c r="K127" i="29"/>
  <c r="L127" i="29" s="1"/>
  <c r="K121" i="29"/>
  <c r="L121" i="29" s="1"/>
  <c r="K133" i="29"/>
  <c r="L133" i="29" s="1"/>
  <c r="K139" i="29"/>
  <c r="L139" i="29" s="1"/>
  <c r="K128" i="29"/>
  <c r="L128" i="29" s="1"/>
  <c r="K135" i="29"/>
  <c r="L135" i="29" s="1"/>
  <c r="K108" i="29"/>
  <c r="L108" i="29" s="1"/>
  <c r="K99" i="29"/>
  <c r="L99" i="29" s="1"/>
  <c r="K86" i="29"/>
  <c r="L86" i="29" s="1"/>
  <c r="K123" i="29"/>
  <c r="L123" i="29" s="1"/>
  <c r="K83" i="29"/>
  <c r="L83" i="29" s="1"/>
  <c r="K115" i="29"/>
  <c r="L115" i="29" s="1"/>
  <c r="K98" i="29"/>
  <c r="L98" i="29" s="1"/>
  <c r="K136" i="29"/>
  <c r="L136" i="29" s="1"/>
  <c r="K102" i="29"/>
  <c r="L102" i="29" s="1"/>
  <c r="K88" i="29"/>
  <c r="L88" i="29" s="1"/>
  <c r="K96" i="29"/>
  <c r="L96" i="29" s="1"/>
  <c r="K82" i="29"/>
  <c r="L82" i="29" s="1"/>
  <c r="K104" i="29"/>
  <c r="L104" i="29" s="1"/>
  <c r="K132" i="29"/>
  <c r="L132" i="29" s="1"/>
  <c r="K120" i="29"/>
  <c r="L120" i="29" s="1"/>
  <c r="K91" i="29"/>
  <c r="L91" i="29" s="1"/>
  <c r="K131" i="29"/>
  <c r="L131" i="29" s="1"/>
  <c r="K103" i="29"/>
  <c r="L103" i="29" s="1"/>
  <c r="K95" i="29"/>
  <c r="L95" i="29" s="1"/>
  <c r="K119" i="29"/>
  <c r="L119" i="29" s="1"/>
  <c r="K57" i="29"/>
  <c r="L57" i="29" s="1"/>
  <c r="K68" i="29"/>
  <c r="L68" i="29" s="1"/>
  <c r="K67" i="29"/>
  <c r="L67" i="29" s="1"/>
  <c r="K63" i="29"/>
  <c r="L63" i="29" s="1"/>
  <c r="K73" i="29"/>
  <c r="L73" i="29" s="1"/>
  <c r="K78" i="29"/>
  <c r="L78" i="29" s="1"/>
  <c r="K77" i="29"/>
  <c r="L77" i="29" s="1"/>
  <c r="K60" i="29"/>
  <c r="L60" i="29" s="1"/>
  <c r="K64" i="29"/>
  <c r="L64" i="29" s="1"/>
  <c r="K79" i="29"/>
  <c r="L79" i="29" s="1"/>
  <c r="K76" i="29"/>
  <c r="L76" i="29" s="1"/>
  <c r="L139" i="18"/>
  <c r="J116" i="31"/>
  <c r="N33" i="24" s="1"/>
  <c r="L102" i="35"/>
  <c r="L112" i="35" s="1"/>
  <c r="K102" i="35"/>
  <c r="K112" i="35" s="1"/>
  <c r="N18" i="29"/>
  <c r="I112" i="18"/>
  <c r="H27" i="38" s="1"/>
  <c r="T53" i="13"/>
  <c r="T51" i="13"/>
  <c r="T50" i="13"/>
  <c r="T52" i="13"/>
  <c r="T54" i="13"/>
  <c r="J36" i="29"/>
  <c r="G78" i="31"/>
  <c r="M63" i="35"/>
  <c r="I89" i="49"/>
  <c r="F34" i="37"/>
  <c r="H19" i="40" s="1"/>
  <c r="S12" i="36"/>
  <c r="V15" i="36"/>
  <c r="V24" i="36"/>
  <c r="V40" i="36"/>
  <c r="V56" i="36"/>
  <c r="AF8" i="36"/>
  <c r="V31" i="36"/>
  <c r="V47" i="36"/>
  <c r="V63" i="36"/>
  <c r="V38" i="36"/>
  <c r="V70" i="36"/>
  <c r="V45" i="36"/>
  <c r="V16" i="36"/>
  <c r="V42" i="36"/>
  <c r="V17" i="36"/>
  <c r="V49" i="36"/>
  <c r="V32" i="36"/>
  <c r="V64" i="36"/>
  <c r="V55" i="36"/>
  <c r="V61" i="36"/>
  <c r="V33" i="36"/>
  <c r="Y8" i="36"/>
  <c r="V28" i="36"/>
  <c r="V44" i="36"/>
  <c r="V60" i="36"/>
  <c r="V19" i="36"/>
  <c r="V35" i="36"/>
  <c r="V51" i="36"/>
  <c r="V67" i="36"/>
  <c r="V46" i="36"/>
  <c r="V21" i="36"/>
  <c r="V53" i="36"/>
  <c r="V18" i="36"/>
  <c r="V50" i="36"/>
  <c r="V25" i="36"/>
  <c r="V57" i="36"/>
  <c r="V48" i="36"/>
  <c r="V39" i="36"/>
  <c r="V22" i="36"/>
  <c r="V26" i="36"/>
  <c r="V65" i="36"/>
  <c r="V29" i="36"/>
  <c r="V14" i="36"/>
  <c r="K30" i="37" s="1"/>
  <c r="V20" i="36"/>
  <c r="V36" i="36"/>
  <c r="V52" i="36"/>
  <c r="V68" i="36"/>
  <c r="V27" i="36"/>
  <c r="V43" i="36"/>
  <c r="V59" i="36"/>
  <c r="V30" i="36"/>
  <c r="V62" i="36"/>
  <c r="V37" i="36"/>
  <c r="V69" i="36"/>
  <c r="V34" i="36"/>
  <c r="V66" i="36"/>
  <c r="V41" i="36"/>
  <c r="V23" i="36"/>
  <c r="V54" i="36"/>
  <c r="V58" i="36"/>
  <c r="AC35" i="36"/>
  <c r="AC32" i="36"/>
  <c r="AC52" i="36"/>
  <c r="AC40" i="36"/>
  <c r="AC36" i="36"/>
  <c r="AC58" i="36"/>
  <c r="AC53" i="36"/>
  <c r="AC47" i="36"/>
  <c r="AC70" i="36"/>
  <c r="AC41" i="36"/>
  <c r="AC57" i="36"/>
  <c r="AC22" i="36"/>
  <c r="AC59" i="36"/>
  <c r="AC66" i="36"/>
  <c r="AC28" i="36"/>
  <c r="AC24" i="36"/>
  <c r="AC60" i="36"/>
  <c r="AC15" i="36"/>
  <c r="AC25" i="36"/>
  <c r="AC55" i="36"/>
  <c r="AC67" i="36"/>
  <c r="AC45" i="36"/>
  <c r="AC37" i="36"/>
  <c r="AC61" i="36"/>
  <c r="AC31" i="36"/>
  <c r="AC63" i="36"/>
  <c r="AC16" i="36"/>
  <c r="AC68" i="36"/>
  <c r="AC43" i="36"/>
  <c r="AC51" i="36"/>
  <c r="AC21" i="36"/>
  <c r="AC42" i="36"/>
  <c r="AC30" i="36"/>
  <c r="AC23" i="36"/>
  <c r="AC34" i="36"/>
  <c r="AC56" i="36"/>
  <c r="AC48" i="36"/>
  <c r="AC27" i="36"/>
  <c r="AC49" i="36"/>
  <c r="AC17" i="36"/>
  <c r="AC62" i="36"/>
  <c r="AC26" i="36"/>
  <c r="AC14" i="36"/>
  <c r="H21" i="37" s="1"/>
  <c r="AC33" i="36"/>
  <c r="AC19" i="36"/>
  <c r="AC20" i="36"/>
  <c r="AC46" i="36"/>
  <c r="AC44" i="36"/>
  <c r="AC65" i="36"/>
  <c r="AC54" i="36"/>
  <c r="AC38" i="36"/>
  <c r="AC29" i="36"/>
  <c r="AC50" i="36"/>
  <c r="AC69" i="36"/>
  <c r="AC39" i="36"/>
  <c r="AC18" i="36"/>
  <c r="AC64" i="36"/>
  <c r="J210" i="31"/>
  <c r="N104" i="24" s="1"/>
  <c r="J177" i="31"/>
  <c r="N79" i="24" s="1"/>
  <c r="J184" i="31"/>
  <c r="N84" i="24" s="1"/>
  <c r="G88" i="31"/>
  <c r="G86" i="31"/>
  <c r="G87" i="31"/>
  <c r="J133" i="24"/>
  <c r="J15" i="24" s="1"/>
  <c r="I133" i="18" s="1"/>
  <c r="H25" i="38" s="1"/>
  <c r="H77" i="31"/>
  <c r="I99" i="49" s="1"/>
  <c r="H76" i="31"/>
  <c r="I98" i="49" s="1"/>
  <c r="I161" i="31"/>
  <c r="M67" i="24" s="1"/>
  <c r="I160" i="31"/>
  <c r="M66" i="24" s="1"/>
  <c r="I138" i="31"/>
  <c r="M50" i="24" s="1"/>
  <c r="I204" i="31"/>
  <c r="M99" i="24" s="1"/>
  <c r="I214" i="31"/>
  <c r="M107" i="24" s="1"/>
  <c r="I113" i="31"/>
  <c r="M31" i="24" s="1"/>
  <c r="I188" i="31"/>
  <c r="M87" i="24" s="1"/>
  <c r="J216" i="31"/>
  <c r="N108" i="24" s="1"/>
  <c r="I120" i="31"/>
  <c r="M36" i="24" s="1"/>
  <c r="I201" i="31"/>
  <c r="M97" i="24" s="1"/>
  <c r="I217" i="31"/>
  <c r="M109" i="24" s="1"/>
  <c r="J246" i="31"/>
  <c r="N131" i="24" s="1"/>
  <c r="I126" i="31"/>
  <c r="M41" i="24" s="1"/>
  <c r="J178" i="31"/>
  <c r="N80" i="24" s="1"/>
  <c r="I185" i="31"/>
  <c r="M85" i="24" s="1"/>
  <c r="J202" i="31"/>
  <c r="N98" i="24" s="1"/>
  <c r="I232" i="31"/>
  <c r="M120" i="24" s="1"/>
  <c r="J173" i="31"/>
  <c r="N76" i="24" s="1"/>
  <c r="J222" i="31"/>
  <c r="N113" i="24" s="1"/>
  <c r="J136" i="31"/>
  <c r="N48" i="24" s="1"/>
  <c r="I198" i="31"/>
  <c r="M95" i="24" s="1"/>
  <c r="I237" i="31"/>
  <c r="M124" i="24" s="1"/>
  <c r="I228" i="31"/>
  <c r="M117" i="24" s="1"/>
  <c r="I230" i="31"/>
  <c r="M119" i="24" s="1"/>
  <c r="J194" i="31"/>
  <c r="N92" i="24" s="1"/>
  <c r="I241" i="31"/>
  <c r="M127" i="24" s="1"/>
  <c r="J233" i="31"/>
  <c r="N121" i="24" s="1"/>
  <c r="J240" i="31"/>
  <c r="N126" i="24" s="1"/>
  <c r="I220" i="31"/>
  <c r="M111" i="24" s="1"/>
  <c r="I242" i="31"/>
  <c r="M128" i="24" s="1"/>
  <c r="J190" i="31"/>
  <c r="N89" i="24" s="1"/>
  <c r="I236" i="31"/>
  <c r="M123" i="24" s="1"/>
  <c r="J196" i="31"/>
  <c r="N93" i="24" s="1"/>
  <c r="H75" i="31"/>
  <c r="I97" i="49" s="1"/>
  <c r="J205" i="31"/>
  <c r="N100" i="24" s="1"/>
  <c r="AJ50" i="13"/>
  <c r="AJ60" i="13"/>
  <c r="AJ49" i="13"/>
  <c r="AJ67" i="13"/>
  <c r="AJ56" i="13"/>
  <c r="AJ55" i="13"/>
  <c r="AJ54" i="13"/>
  <c r="AJ65" i="13"/>
  <c r="AJ63" i="13"/>
  <c r="J142" i="29"/>
  <c r="J38" i="29" s="1"/>
  <c r="J37" i="29"/>
  <c r="O48" i="13"/>
  <c r="I99" i="13"/>
  <c r="E84" i="13"/>
  <c r="K95" i="13"/>
  <c r="G99" i="13"/>
  <c r="G84" i="13"/>
  <c r="I86" i="13"/>
  <c r="J51" i="13"/>
  <c r="J234" i="31"/>
  <c r="N122" i="24" s="1"/>
  <c r="J245" i="31"/>
  <c r="N130" i="24" s="1"/>
  <c r="I87" i="13"/>
  <c r="J229" i="31"/>
  <c r="N118" i="24" s="1"/>
  <c r="I88" i="13"/>
  <c r="I81" i="13"/>
  <c r="AB81" i="13" s="1"/>
  <c r="J238" i="31"/>
  <c r="N125" i="24" s="1"/>
  <c r="AG15" i="36"/>
  <c r="AG18" i="36"/>
  <c r="AG20" i="36"/>
  <c r="AG22" i="36"/>
  <c r="AG24" i="36"/>
  <c r="AG26" i="36"/>
  <c r="AG28" i="36"/>
  <c r="AG30" i="36"/>
  <c r="AG32" i="36"/>
  <c r="AG34" i="36"/>
  <c r="AG36" i="36"/>
  <c r="AG38" i="36"/>
  <c r="AG40" i="36"/>
  <c r="AG42" i="36"/>
  <c r="AG44" i="36"/>
  <c r="AG46" i="36"/>
  <c r="AG48" i="36"/>
  <c r="AG50" i="36"/>
  <c r="AG52" i="36"/>
  <c r="AG54" i="36"/>
  <c r="AG56" i="36"/>
  <c r="AG58" i="36"/>
  <c r="AG60" i="36"/>
  <c r="AG62" i="36"/>
  <c r="AG64" i="36"/>
  <c r="AG66" i="36"/>
  <c r="AG68" i="36"/>
  <c r="AG70" i="36"/>
  <c r="AG16" i="36"/>
  <c r="AG17" i="36"/>
  <c r="AG21" i="36"/>
  <c r="AG25" i="36"/>
  <c r="AG29" i="36"/>
  <c r="AG33" i="36"/>
  <c r="AG37" i="36"/>
  <c r="AG41" i="36"/>
  <c r="AG45" i="36"/>
  <c r="AG49" i="36"/>
  <c r="AG53" i="36"/>
  <c r="AG57" i="36"/>
  <c r="AG61" i="36"/>
  <c r="AG65" i="36"/>
  <c r="AG69" i="36"/>
  <c r="AG14" i="36"/>
  <c r="L21" i="37" s="1"/>
  <c r="AG19" i="36"/>
  <c r="AG23" i="36"/>
  <c r="AG27" i="36"/>
  <c r="AG31" i="36"/>
  <c r="AG35" i="36"/>
  <c r="AG39" i="36"/>
  <c r="AG43" i="36"/>
  <c r="AG47" i="36"/>
  <c r="AG51" i="36"/>
  <c r="AG55" i="36"/>
  <c r="AG59" i="36"/>
  <c r="AG63" i="36"/>
  <c r="AG67" i="36"/>
  <c r="J21" i="39"/>
  <c r="F55" i="49"/>
  <c r="J16" i="39"/>
  <c r="I38" i="40" s="1"/>
  <c r="J47" i="39"/>
  <c r="I54" i="39"/>
  <c r="J20" i="39"/>
  <c r="J19" i="39"/>
  <c r="J14" i="39"/>
  <c r="I37" i="40" s="1"/>
  <c r="J43" i="39"/>
  <c r="I45" i="39"/>
  <c r="H44" i="40" s="1"/>
  <c r="K19" i="48"/>
  <c r="N44" i="35"/>
  <c r="M50" i="35"/>
  <c r="N83" i="35"/>
  <c r="K30" i="49" s="1"/>
  <c r="M83" i="35"/>
  <c r="J30" i="49" s="1"/>
  <c r="K53" i="35"/>
  <c r="K57" i="35" s="1"/>
  <c r="L93" i="35"/>
  <c r="N88" i="35"/>
  <c r="M90" i="35"/>
  <c r="J31" i="49" s="1"/>
  <c r="L40" i="35"/>
  <c r="G93" i="13"/>
  <c r="G83" i="13"/>
  <c r="G97" i="13"/>
  <c r="J58" i="13"/>
  <c r="J67" i="18"/>
  <c r="I17" i="38" s="1"/>
  <c r="J79" i="18"/>
  <c r="K74" i="18"/>
  <c r="I91" i="18"/>
  <c r="L52" i="18"/>
  <c r="K55" i="18"/>
  <c r="J18" i="38" s="1"/>
  <c r="L88" i="18"/>
  <c r="J65" i="13"/>
  <c r="E95" i="13"/>
  <c r="I82" i="13"/>
  <c r="AB82" i="13" s="1"/>
  <c r="I97" i="13"/>
  <c r="J56" i="13"/>
  <c r="J50" i="13"/>
  <c r="I95" i="13"/>
  <c r="AK63" i="13"/>
  <c r="AL63" i="13" s="1"/>
  <c r="E81" i="13"/>
  <c r="J81" i="13" s="1"/>
  <c r="J57" i="13"/>
  <c r="J64" i="13"/>
  <c r="T66" i="13"/>
  <c r="J61" i="13"/>
  <c r="J60" i="13"/>
  <c r="N10" i="29"/>
  <c r="N12" i="29" s="1"/>
  <c r="K80" i="13"/>
  <c r="J14" i="37"/>
  <c r="J22" i="40" l="1"/>
  <c r="J23" i="40"/>
  <c r="I25" i="40"/>
  <c r="J24" i="40"/>
  <c r="J95" i="13"/>
  <c r="AK93" i="13"/>
  <c r="AL93" i="13" s="1"/>
  <c r="AB87" i="13"/>
  <c r="AB86" i="13"/>
  <c r="J84" i="13"/>
  <c r="AB88" i="13"/>
  <c r="AK84" i="13"/>
  <c r="AL84" i="13" s="1"/>
  <c r="AB99" i="13"/>
  <c r="AB95" i="13"/>
  <c r="AK83" i="13"/>
  <c r="AL83" i="13" s="1"/>
  <c r="T95" i="13"/>
  <c r="AB97" i="13"/>
  <c r="AK97" i="13"/>
  <c r="AL97" i="13" s="1"/>
  <c r="AK99" i="13"/>
  <c r="AL99" i="13" s="1"/>
  <c r="T92" i="13"/>
  <c r="G98" i="13"/>
  <c r="I89" i="13"/>
  <c r="AJ89" i="13" s="1"/>
  <c r="J182" i="31"/>
  <c r="N83" i="24" s="1"/>
  <c r="K209" i="31"/>
  <c r="K157" i="31"/>
  <c r="K117" i="31"/>
  <c r="K172" i="31"/>
  <c r="K208" i="31"/>
  <c r="K193" i="31"/>
  <c r="K174" i="31"/>
  <c r="L106" i="49"/>
  <c r="H106" i="49"/>
  <c r="J106" i="49"/>
  <c r="I106" i="49"/>
  <c r="K106" i="49"/>
  <c r="K107" i="49"/>
  <c r="I107" i="49"/>
  <c r="H107" i="49"/>
  <c r="J107" i="49"/>
  <c r="L107" i="49"/>
  <c r="AE55" i="36"/>
  <c r="G22" i="37"/>
  <c r="G25" i="37" s="1"/>
  <c r="I36" i="40" s="1"/>
  <c r="H100" i="49"/>
  <c r="K112" i="31"/>
  <c r="I92" i="13"/>
  <c r="I96" i="13"/>
  <c r="S58" i="13"/>
  <c r="O58" i="13"/>
  <c r="P58" i="13" s="1"/>
  <c r="K90" i="13"/>
  <c r="E85" i="13"/>
  <c r="U58" i="13"/>
  <c r="O56" i="13"/>
  <c r="AH56" i="13" s="1"/>
  <c r="K88" i="13"/>
  <c r="O55" i="13"/>
  <c r="P55" i="13" s="1"/>
  <c r="AJ61" i="13"/>
  <c r="G82" i="13"/>
  <c r="AK82" i="13" s="1"/>
  <c r="AL82" i="13" s="1"/>
  <c r="I93" i="13"/>
  <c r="AJ53" i="13"/>
  <c r="J112" i="49"/>
  <c r="H112" i="49"/>
  <c r="K112" i="49"/>
  <c r="L112" i="49"/>
  <c r="I112" i="49"/>
  <c r="H85" i="38"/>
  <c r="J31" i="37"/>
  <c r="J244" i="31"/>
  <c r="N129" i="24" s="1"/>
  <c r="K192" i="31"/>
  <c r="L37" i="29"/>
  <c r="I54" i="49"/>
  <c r="I64" i="39"/>
  <c r="I52" i="40" s="1"/>
  <c r="K125" i="31"/>
  <c r="L36" i="29"/>
  <c r="L142" i="29"/>
  <c r="L38" i="29" s="1"/>
  <c r="AE51" i="36"/>
  <c r="D9" i="22"/>
  <c r="E91" i="13"/>
  <c r="E94" i="13"/>
  <c r="I85" i="13"/>
  <c r="AJ64" i="13"/>
  <c r="K87" i="13"/>
  <c r="O49" i="13"/>
  <c r="P49" i="13" s="1"/>
  <c r="K81" i="13"/>
  <c r="T81" i="13" s="1"/>
  <c r="E87" i="13"/>
  <c r="E98" i="13"/>
  <c r="AJ57" i="13"/>
  <c r="K71" i="38"/>
  <c r="L71" i="38"/>
  <c r="J162" i="31"/>
  <c r="N68" i="24" s="1"/>
  <c r="I22" i="37"/>
  <c r="I21" i="37"/>
  <c r="I33" i="49"/>
  <c r="I34" i="49" s="1"/>
  <c r="M68" i="35"/>
  <c r="O68" i="35"/>
  <c r="N68" i="35"/>
  <c r="L31" i="37"/>
  <c r="L30" i="37"/>
  <c r="J17" i="24"/>
  <c r="I31" i="18" s="1"/>
  <c r="I40" i="18" s="1"/>
  <c r="H16" i="38" s="1"/>
  <c r="X15" i="36"/>
  <c r="AE27" i="36"/>
  <c r="AE44" i="36"/>
  <c r="D7" i="22"/>
  <c r="J15" i="18" s="1"/>
  <c r="O20" i="29" s="1"/>
  <c r="AE14" i="36"/>
  <c r="J21" i="37" s="1"/>
  <c r="AE61" i="36"/>
  <c r="D10" i="22"/>
  <c r="AE29" i="36"/>
  <c r="AE37" i="36"/>
  <c r="X68" i="36"/>
  <c r="X65" i="36"/>
  <c r="X41" i="36"/>
  <c r="K214" i="48"/>
  <c r="I82" i="38" s="1"/>
  <c r="J153" i="18"/>
  <c r="J163" i="18" s="1"/>
  <c r="AE52" i="36"/>
  <c r="AE66" i="36"/>
  <c r="AE65" i="36"/>
  <c r="AE48" i="36"/>
  <c r="AE19" i="36"/>
  <c r="AE62" i="36"/>
  <c r="W12" i="36"/>
  <c r="AE41" i="36"/>
  <c r="AE63" i="36"/>
  <c r="AE38" i="36"/>
  <c r="AE60" i="36"/>
  <c r="AE45" i="36"/>
  <c r="AE64" i="36"/>
  <c r="AE34" i="36"/>
  <c r="AE32" i="36"/>
  <c r="AE54" i="36"/>
  <c r="AE58" i="36"/>
  <c r="AE18" i="36"/>
  <c r="AE35" i="36"/>
  <c r="AE47" i="36"/>
  <c r="AE25" i="36"/>
  <c r="AE40" i="36"/>
  <c r="AE42" i="36"/>
  <c r="AE56" i="36"/>
  <c r="AE57" i="36"/>
  <c r="AE21" i="36"/>
  <c r="AE53" i="36"/>
  <c r="AE26" i="36"/>
  <c r="AE23" i="36"/>
  <c r="AE46" i="36"/>
  <c r="AE17" i="36"/>
  <c r="AE39" i="36"/>
  <c r="AE69" i="36"/>
  <c r="AE28" i="36"/>
  <c r="AE20" i="36"/>
  <c r="AE36" i="36"/>
  <c r="AE43" i="36"/>
  <c r="AE68" i="36"/>
  <c r="AE49" i="36"/>
  <c r="AE22" i="36"/>
  <c r="AE24" i="36"/>
  <c r="AE67" i="36"/>
  <c r="AE15" i="36"/>
  <c r="AE16" i="36"/>
  <c r="AE70" i="36"/>
  <c r="AE59" i="36"/>
  <c r="AE31" i="36"/>
  <c r="AE50" i="36"/>
  <c r="AE30" i="36"/>
  <c r="H133" i="18"/>
  <c r="X52" i="36"/>
  <c r="X33" i="36"/>
  <c r="X18" i="36"/>
  <c r="AB12" i="36"/>
  <c r="U12" i="36"/>
  <c r="X62" i="36"/>
  <c r="X36" i="36"/>
  <c r="X57" i="36"/>
  <c r="X25" i="36"/>
  <c r="X46" i="36"/>
  <c r="X26" i="36"/>
  <c r="X49" i="36"/>
  <c r="X17" i="36"/>
  <c r="X14" i="36"/>
  <c r="M30" i="37" s="1"/>
  <c r="X58" i="36"/>
  <c r="X42" i="36"/>
  <c r="X64" i="36"/>
  <c r="X48" i="36"/>
  <c r="X32" i="36"/>
  <c r="X24" i="36"/>
  <c r="AH8" i="36"/>
  <c r="AH14" i="36" s="1"/>
  <c r="M21" i="37" s="1"/>
  <c r="X63" i="36"/>
  <c r="X55" i="36"/>
  <c r="X47" i="36"/>
  <c r="X39" i="36"/>
  <c r="X31" i="36"/>
  <c r="X23" i="36"/>
  <c r="X16" i="36"/>
  <c r="X38" i="36"/>
  <c r="X21" i="36"/>
  <c r="X70" i="36"/>
  <c r="X54" i="36"/>
  <c r="X60" i="36"/>
  <c r="X44" i="36"/>
  <c r="X30" i="36"/>
  <c r="X22" i="36"/>
  <c r="X69" i="36"/>
  <c r="X61" i="36"/>
  <c r="X53" i="36"/>
  <c r="X45" i="36"/>
  <c r="X37" i="36"/>
  <c r="X29" i="36"/>
  <c r="X66" i="36"/>
  <c r="X50" i="36"/>
  <c r="X34" i="36"/>
  <c r="X56" i="36"/>
  <c r="X40" i="36"/>
  <c r="X28" i="36"/>
  <c r="X20" i="36"/>
  <c r="X67" i="36"/>
  <c r="X59" i="36"/>
  <c r="X51" i="36"/>
  <c r="X43" i="36"/>
  <c r="X35" i="36"/>
  <c r="X27" i="36"/>
  <c r="X19" i="36"/>
  <c r="J81" i="38"/>
  <c r="J69" i="38"/>
  <c r="I69" i="38"/>
  <c r="J70" i="38"/>
  <c r="F73" i="38"/>
  <c r="O109" i="35"/>
  <c r="N34" i="35"/>
  <c r="H72" i="38"/>
  <c r="H79" i="38"/>
  <c r="G80" i="31"/>
  <c r="AD12" i="36"/>
  <c r="H22" i="37"/>
  <c r="H25" i="37" s="1"/>
  <c r="J36" i="40" s="1"/>
  <c r="K31" i="37"/>
  <c r="O69" i="35" s="1"/>
  <c r="L69" i="35"/>
  <c r="L73" i="35" s="1"/>
  <c r="I32" i="38" s="1"/>
  <c r="H34" i="37"/>
  <c r="J19" i="40" s="1"/>
  <c r="L22" i="37"/>
  <c r="E86" i="13"/>
  <c r="AE56" i="13"/>
  <c r="E80" i="13"/>
  <c r="AE50" i="13"/>
  <c r="AK57" i="13"/>
  <c r="AL57" i="13" s="1"/>
  <c r="G89" i="13"/>
  <c r="AK59" i="13"/>
  <c r="AL59" i="13" s="1"/>
  <c r="G91" i="13"/>
  <c r="K99" i="13"/>
  <c r="S67" i="13"/>
  <c r="R67" i="13"/>
  <c r="O67" i="13"/>
  <c r="U67" i="13"/>
  <c r="K96" i="13"/>
  <c r="U64" i="13"/>
  <c r="O64" i="13"/>
  <c r="S64" i="13"/>
  <c r="R64" i="13"/>
  <c r="E99" i="13"/>
  <c r="K89" i="13"/>
  <c r="U57" i="13"/>
  <c r="S57" i="13"/>
  <c r="R57" i="13"/>
  <c r="O57" i="13"/>
  <c r="AH60" i="13"/>
  <c r="P60" i="13"/>
  <c r="AK64" i="13"/>
  <c r="AL64" i="13" s="1"/>
  <c r="G96" i="13"/>
  <c r="K93" i="13"/>
  <c r="R61" i="13"/>
  <c r="O61" i="13"/>
  <c r="U61" i="13"/>
  <c r="S61" i="13"/>
  <c r="P63" i="13"/>
  <c r="AH63" i="13"/>
  <c r="AK62" i="13"/>
  <c r="AL62" i="13" s="1"/>
  <c r="G94" i="13"/>
  <c r="U92" i="13"/>
  <c r="O92" i="13"/>
  <c r="S92" i="13"/>
  <c r="R92" i="13"/>
  <c r="K124" i="13"/>
  <c r="K156" i="13" s="1"/>
  <c r="K188" i="13" s="1"/>
  <c r="AH58" i="13"/>
  <c r="S66" i="13"/>
  <c r="R66" i="13"/>
  <c r="U66" i="13"/>
  <c r="O66" i="13"/>
  <c r="S95" i="13"/>
  <c r="R95" i="13"/>
  <c r="O95" i="13"/>
  <c r="U95" i="13"/>
  <c r="AK60" i="13"/>
  <c r="AL60" i="13" s="1"/>
  <c r="G92" i="13"/>
  <c r="K91" i="13"/>
  <c r="S59" i="13"/>
  <c r="R59" i="13"/>
  <c r="O59" i="13"/>
  <c r="U59" i="13"/>
  <c r="AK58" i="13"/>
  <c r="AL58" i="13" s="1"/>
  <c r="G90" i="13"/>
  <c r="K97" i="13"/>
  <c r="U65" i="13"/>
  <c r="S65" i="13"/>
  <c r="R65" i="13"/>
  <c r="O65" i="13"/>
  <c r="K94" i="13"/>
  <c r="U62" i="13"/>
  <c r="O62" i="13"/>
  <c r="S62" i="13"/>
  <c r="R62" i="13"/>
  <c r="I72" i="38"/>
  <c r="J71" i="18"/>
  <c r="H128" i="18"/>
  <c r="I114" i="18"/>
  <c r="M64" i="18"/>
  <c r="L70" i="38" s="1"/>
  <c r="J101" i="18"/>
  <c r="J28" i="18"/>
  <c r="K158" i="31"/>
  <c r="F101" i="49"/>
  <c r="M139" i="18"/>
  <c r="L81" i="38" s="1"/>
  <c r="M88" i="18"/>
  <c r="L55" i="18"/>
  <c r="K18" i="38" s="1"/>
  <c r="M52" i="18"/>
  <c r="H86" i="31"/>
  <c r="F34" i="49"/>
  <c r="J61" i="39"/>
  <c r="N90" i="35"/>
  <c r="N93" i="35" s="1"/>
  <c r="O88" i="35"/>
  <c r="N50" i="35"/>
  <c r="O44" i="35"/>
  <c r="H88" i="31"/>
  <c r="H87" i="31"/>
  <c r="I60" i="31"/>
  <c r="I248" i="31"/>
  <c r="K245" i="31"/>
  <c r="J144" i="31"/>
  <c r="N54" i="24" s="1"/>
  <c r="K170" i="31"/>
  <c r="K190" i="31"/>
  <c r="K233" i="31"/>
  <c r="K224" i="31"/>
  <c r="K186" i="31"/>
  <c r="K197" i="31"/>
  <c r="K173" i="31"/>
  <c r="K210" i="31"/>
  <c r="K229" i="31"/>
  <c r="K196" i="31"/>
  <c r="K136" i="31"/>
  <c r="K202" i="31"/>
  <c r="K246" i="31"/>
  <c r="K184" i="31"/>
  <c r="K116" i="31"/>
  <c r="K218" i="31"/>
  <c r="K212" i="31"/>
  <c r="K169" i="31"/>
  <c r="K238" i="31"/>
  <c r="K240" i="31"/>
  <c r="K178" i="31"/>
  <c r="K234" i="31"/>
  <c r="K205" i="31"/>
  <c r="K194" i="31"/>
  <c r="K222" i="31"/>
  <c r="K216" i="31"/>
  <c r="K177" i="31"/>
  <c r="K189" i="31"/>
  <c r="K176" i="31"/>
  <c r="K37" i="29"/>
  <c r="K142" i="29"/>
  <c r="K38" i="29" s="1"/>
  <c r="K36" i="29"/>
  <c r="K82" i="13"/>
  <c r="T82" i="13" s="1"/>
  <c r="O50" i="13"/>
  <c r="K85" i="13"/>
  <c r="R53" i="13"/>
  <c r="U53" i="13"/>
  <c r="O53" i="13"/>
  <c r="S53" i="13"/>
  <c r="AK49" i="13"/>
  <c r="AL49" i="13" s="1"/>
  <c r="G81" i="13"/>
  <c r="AK53" i="13"/>
  <c r="AL53" i="13" s="1"/>
  <c r="G85" i="13"/>
  <c r="K68" i="13"/>
  <c r="I119" i="49" s="1"/>
  <c r="I102" i="49" s="1"/>
  <c r="K86" i="13"/>
  <c r="O54" i="13"/>
  <c r="AK55" i="13"/>
  <c r="AL55" i="13" s="1"/>
  <c r="G87" i="13"/>
  <c r="AK54" i="13"/>
  <c r="AL54" i="13" s="1"/>
  <c r="G86" i="13"/>
  <c r="AK147" i="13" s="1"/>
  <c r="AL147" i="13" s="1"/>
  <c r="K83" i="13"/>
  <c r="O51" i="13"/>
  <c r="AK56" i="13"/>
  <c r="AL56" i="13" s="1"/>
  <c r="G88" i="13"/>
  <c r="K84" i="13"/>
  <c r="O52" i="13"/>
  <c r="P8" i="29"/>
  <c r="G89" i="31"/>
  <c r="K101" i="18"/>
  <c r="K28" i="18"/>
  <c r="K71" i="18"/>
  <c r="J89" i="49"/>
  <c r="K47" i="18"/>
  <c r="AI8" i="36"/>
  <c r="Y28" i="36"/>
  <c r="Y48" i="36"/>
  <c r="Y49" i="36"/>
  <c r="Y17" i="36"/>
  <c r="Y33" i="36"/>
  <c r="Y58" i="36"/>
  <c r="Y59" i="36"/>
  <c r="Y22" i="36"/>
  <c r="Y38" i="36"/>
  <c r="Y68" i="36"/>
  <c r="Y69" i="36"/>
  <c r="Y27" i="36"/>
  <c r="Y46" i="36"/>
  <c r="Y47" i="36"/>
  <c r="Y16" i="36"/>
  <c r="Y32" i="36"/>
  <c r="Y56" i="36"/>
  <c r="Y57" i="36"/>
  <c r="Y21" i="36"/>
  <c r="Y37" i="36"/>
  <c r="Y66" i="36"/>
  <c r="Y67" i="36"/>
  <c r="Y26" i="36"/>
  <c r="Y44" i="36"/>
  <c r="Y45" i="36"/>
  <c r="Y15" i="36"/>
  <c r="Y31" i="36"/>
  <c r="Y54" i="36"/>
  <c r="Y55" i="36"/>
  <c r="Y20" i="36"/>
  <c r="Y36" i="36"/>
  <c r="Y64" i="36"/>
  <c r="Y65" i="36"/>
  <c r="Y25" i="36"/>
  <c r="Y42" i="36"/>
  <c r="Y43" i="36"/>
  <c r="Y14" i="36"/>
  <c r="Y30" i="36"/>
  <c r="Y52" i="36"/>
  <c r="Y53" i="36"/>
  <c r="Y19" i="36"/>
  <c r="Y35" i="36"/>
  <c r="Y62" i="36"/>
  <c r="Y63" i="36"/>
  <c r="Y24" i="36"/>
  <c r="Y40" i="36"/>
  <c r="Y41" i="36"/>
  <c r="Y29" i="36"/>
  <c r="Y50" i="36"/>
  <c r="Y51" i="36"/>
  <c r="Y18" i="36"/>
  <c r="Y34" i="36"/>
  <c r="Y60" i="36"/>
  <c r="Y61" i="36"/>
  <c r="Y23" i="36"/>
  <c r="Y39" i="36"/>
  <c r="Y70" i="36"/>
  <c r="AF34" i="36"/>
  <c r="AF66" i="36"/>
  <c r="AF41" i="36"/>
  <c r="AF22" i="36"/>
  <c r="AF29" i="36"/>
  <c r="AF46" i="36"/>
  <c r="AF53" i="36"/>
  <c r="AF32" i="36"/>
  <c r="AF64" i="36"/>
  <c r="AF39" i="36"/>
  <c r="AF20" i="36"/>
  <c r="AF52" i="36"/>
  <c r="AF27" i="36"/>
  <c r="AF59" i="36"/>
  <c r="AF16" i="36"/>
  <c r="AF42" i="36"/>
  <c r="AF17" i="36"/>
  <c r="AF49" i="36"/>
  <c r="AF38" i="36"/>
  <c r="AF45" i="36"/>
  <c r="AF62" i="36"/>
  <c r="AF69" i="36"/>
  <c r="AF40" i="36"/>
  <c r="AF15" i="36"/>
  <c r="AF47" i="36"/>
  <c r="AF28" i="36"/>
  <c r="AF60" i="36"/>
  <c r="AF35" i="36"/>
  <c r="AF67" i="36"/>
  <c r="AF18" i="36"/>
  <c r="AF50" i="36"/>
  <c r="AF25" i="36"/>
  <c r="AF57" i="36"/>
  <c r="AF54" i="36"/>
  <c r="AF61" i="36"/>
  <c r="AF21" i="36"/>
  <c r="AF14" i="36"/>
  <c r="K21" i="37" s="1"/>
  <c r="AF48" i="36"/>
  <c r="AF23" i="36"/>
  <c r="AF55" i="36"/>
  <c r="AF36" i="36"/>
  <c r="AF68" i="36"/>
  <c r="AF43" i="36"/>
  <c r="AF26" i="36"/>
  <c r="AF58" i="36"/>
  <c r="AF33" i="36"/>
  <c r="AF65" i="36"/>
  <c r="AF70" i="36"/>
  <c r="AF30" i="36"/>
  <c r="AF37" i="36"/>
  <c r="AF24" i="36"/>
  <c r="AF56" i="36"/>
  <c r="AF31" i="36"/>
  <c r="AF63" i="36"/>
  <c r="AF44" i="36"/>
  <c r="AF19" i="36"/>
  <c r="AF51" i="36"/>
  <c r="AC12" i="36"/>
  <c r="V12" i="36"/>
  <c r="G34" i="37"/>
  <c r="I19" i="40" s="1"/>
  <c r="K69" i="35"/>
  <c r="K73" i="35" s="1"/>
  <c r="H32" i="38" s="1"/>
  <c r="I77" i="31"/>
  <c r="J99" i="49" s="1"/>
  <c r="H78" i="31"/>
  <c r="I100" i="49" s="1"/>
  <c r="K133" i="24"/>
  <c r="K15" i="24" s="1"/>
  <c r="J133" i="18" s="1"/>
  <c r="I25" i="38" s="1"/>
  <c r="J126" i="31"/>
  <c r="N41" i="24" s="1"/>
  <c r="J188" i="31"/>
  <c r="N87" i="24" s="1"/>
  <c r="J185" i="31"/>
  <c r="N85" i="24" s="1"/>
  <c r="J217" i="31"/>
  <c r="N109" i="24" s="1"/>
  <c r="J201" i="31"/>
  <c r="N97" i="24" s="1"/>
  <c r="J113" i="31"/>
  <c r="N31" i="24" s="1"/>
  <c r="J138" i="31"/>
  <c r="N50" i="24" s="1"/>
  <c r="I76" i="31"/>
  <c r="J98" i="49" s="1"/>
  <c r="J120" i="31"/>
  <c r="N36" i="24" s="1"/>
  <c r="J214" i="31"/>
  <c r="N107" i="24" s="1"/>
  <c r="J204" i="31"/>
  <c r="N99" i="24" s="1"/>
  <c r="J160" i="31"/>
  <c r="N66" i="24" s="1"/>
  <c r="J161" i="31"/>
  <c r="N67" i="24" s="1"/>
  <c r="J220" i="31"/>
  <c r="N111" i="24" s="1"/>
  <c r="J241" i="31"/>
  <c r="N127" i="24" s="1"/>
  <c r="J237" i="31"/>
  <c r="N124" i="24" s="1"/>
  <c r="J242" i="31"/>
  <c r="N128" i="24" s="1"/>
  <c r="J230" i="31"/>
  <c r="N119" i="24" s="1"/>
  <c r="J232" i="31"/>
  <c r="N120" i="24" s="1"/>
  <c r="J198" i="31"/>
  <c r="N95" i="24" s="1"/>
  <c r="J236" i="31"/>
  <c r="N123" i="24" s="1"/>
  <c r="J228" i="31"/>
  <c r="N117" i="24" s="1"/>
  <c r="I75" i="31"/>
  <c r="J97" i="49" s="1"/>
  <c r="AK48" i="13"/>
  <c r="G80" i="13"/>
  <c r="F16" i="37"/>
  <c r="H15" i="39" s="1"/>
  <c r="AJ62" i="13"/>
  <c r="AJ87" i="13"/>
  <c r="AD63" i="13"/>
  <c r="AE63" i="13"/>
  <c r="AJ97" i="13"/>
  <c r="AJ81" i="13"/>
  <c r="AJ85" i="13"/>
  <c r="AJ99" i="13"/>
  <c r="AD65" i="13"/>
  <c r="AE65" i="13"/>
  <c r="AD57" i="13"/>
  <c r="AE57" i="13"/>
  <c r="AD67" i="13"/>
  <c r="AE67" i="13"/>
  <c r="AD49" i="13"/>
  <c r="AE49" i="13"/>
  <c r="AE60" i="13"/>
  <c r="AD60" i="13"/>
  <c r="AJ58" i="13"/>
  <c r="AJ92" i="13"/>
  <c r="AJ66" i="13"/>
  <c r="AJ82" i="13"/>
  <c r="AJ51" i="13"/>
  <c r="AJ52" i="13"/>
  <c r="AE64" i="13"/>
  <c r="AD64" i="13"/>
  <c r="AJ95" i="13"/>
  <c r="AJ88" i="13"/>
  <c r="AJ59" i="13"/>
  <c r="AJ86" i="13"/>
  <c r="AE54" i="13"/>
  <c r="AD54" i="13"/>
  <c r="AD61" i="13"/>
  <c r="AE61" i="13"/>
  <c r="AD53" i="13"/>
  <c r="AE53" i="13"/>
  <c r="P48" i="13"/>
  <c r="AH48" i="13"/>
  <c r="K112" i="13"/>
  <c r="O80" i="13"/>
  <c r="I80" i="13"/>
  <c r="AJ48" i="13"/>
  <c r="I131" i="13"/>
  <c r="I98" i="13"/>
  <c r="E116" i="13"/>
  <c r="I83" i="13"/>
  <c r="G116" i="13"/>
  <c r="G148" i="13" s="1"/>
  <c r="G180" i="13" s="1"/>
  <c r="I118" i="13"/>
  <c r="I84" i="13"/>
  <c r="E83" i="13"/>
  <c r="G131" i="13"/>
  <c r="G163" i="13" s="1"/>
  <c r="K127" i="13"/>
  <c r="K159" i="13" s="1"/>
  <c r="K191" i="13" s="1"/>
  <c r="E113" i="13"/>
  <c r="I113" i="13"/>
  <c r="E127" i="13"/>
  <c r="I120" i="13"/>
  <c r="I119" i="13"/>
  <c r="I91" i="13"/>
  <c r="I117" i="13"/>
  <c r="G41" i="39"/>
  <c r="AG12" i="36"/>
  <c r="I34" i="37"/>
  <c r="K19" i="40" s="1"/>
  <c r="K44" i="38"/>
  <c r="K21" i="39"/>
  <c r="K43" i="39"/>
  <c r="J45" i="39"/>
  <c r="I44" i="40" s="1"/>
  <c r="K14" i="39"/>
  <c r="J37" i="40" s="1"/>
  <c r="K19" i="39"/>
  <c r="K20" i="39"/>
  <c r="K47" i="39"/>
  <c r="J54" i="39"/>
  <c r="K16" i="39"/>
  <c r="J38" i="40" s="1"/>
  <c r="H39" i="37"/>
  <c r="K138" i="35"/>
  <c r="H30" i="38" s="1"/>
  <c r="M19" i="48"/>
  <c r="M153" i="18" s="1"/>
  <c r="M163" i="18" s="1"/>
  <c r="L19" i="48"/>
  <c r="M40" i="35"/>
  <c r="M93" i="35"/>
  <c r="L53" i="35"/>
  <c r="L57" i="35" s="1"/>
  <c r="I124" i="13"/>
  <c r="I114" i="13"/>
  <c r="G130" i="13"/>
  <c r="G162" i="13" s="1"/>
  <c r="G125" i="13"/>
  <c r="G157" i="13" s="1"/>
  <c r="G189" i="13" s="1"/>
  <c r="I127" i="13"/>
  <c r="I129" i="13"/>
  <c r="E90" i="13"/>
  <c r="G129" i="13"/>
  <c r="G161" i="13" s="1"/>
  <c r="G115" i="13"/>
  <c r="G147" i="13" s="1"/>
  <c r="G179" i="13" s="1"/>
  <c r="K67" i="18"/>
  <c r="J17" i="38" s="1"/>
  <c r="J91" i="18"/>
  <c r="L74" i="18"/>
  <c r="K79" i="18"/>
  <c r="I94" i="13"/>
  <c r="E96" i="13"/>
  <c r="E89" i="13"/>
  <c r="G95" i="13"/>
  <c r="E82" i="13"/>
  <c r="J82" i="13" s="1"/>
  <c r="I90" i="13"/>
  <c r="E92" i="13"/>
  <c r="E93" i="13"/>
  <c r="K98" i="13"/>
  <c r="E88" i="13"/>
  <c r="E97" i="13"/>
  <c r="N17" i="29"/>
  <c r="N19" i="29" s="1"/>
  <c r="J41" i="37"/>
  <c r="AB113" i="13" l="1"/>
  <c r="I145" i="13"/>
  <c r="I177" i="13" s="1"/>
  <c r="AB129" i="13"/>
  <c r="I161" i="13"/>
  <c r="AB114" i="13"/>
  <c r="I146" i="13"/>
  <c r="I178" i="13" s="1"/>
  <c r="AB119" i="13"/>
  <c r="I151" i="13"/>
  <c r="I183" i="13" s="1"/>
  <c r="J113" i="13"/>
  <c r="E145" i="13"/>
  <c r="J116" i="13"/>
  <c r="E148" i="13"/>
  <c r="AK162" i="13"/>
  <c r="AL162" i="13" s="1"/>
  <c r="G194" i="13"/>
  <c r="AB127" i="13"/>
  <c r="I159" i="13"/>
  <c r="I191" i="13" s="1"/>
  <c r="AB124" i="13"/>
  <c r="I156" i="13"/>
  <c r="I188" i="13" s="1"/>
  <c r="AB120" i="13"/>
  <c r="I152" i="13"/>
  <c r="I184" i="13" s="1"/>
  <c r="AB118" i="13"/>
  <c r="I150" i="13"/>
  <c r="I182" i="13" s="1"/>
  <c r="AK148" i="13"/>
  <c r="AL148" i="13" s="1"/>
  <c r="AK161" i="13"/>
  <c r="AL161" i="13" s="1"/>
  <c r="G193" i="13"/>
  <c r="AB117" i="13"/>
  <c r="I149" i="13"/>
  <c r="I181" i="13" s="1"/>
  <c r="J127" i="13"/>
  <c r="E159" i="13"/>
  <c r="AK163" i="13"/>
  <c r="AL163" i="13" s="1"/>
  <c r="G195" i="13"/>
  <c r="AB131" i="13"/>
  <c r="I163" i="13"/>
  <c r="K144" i="13"/>
  <c r="K176" i="13" s="1"/>
  <c r="O176" i="13" s="1"/>
  <c r="AK157" i="13"/>
  <c r="AL157" i="13" s="1"/>
  <c r="K23" i="40"/>
  <c r="K24" i="40"/>
  <c r="J25" i="40"/>
  <c r="K22" i="40"/>
  <c r="J33" i="49"/>
  <c r="J34" i="49" s="1"/>
  <c r="K31" i="49"/>
  <c r="K182" i="31"/>
  <c r="K244" i="31"/>
  <c r="AB98" i="13"/>
  <c r="T83" i="13"/>
  <c r="AJ149" i="13"/>
  <c r="AB149" i="13"/>
  <c r="AB94" i="13"/>
  <c r="I121" i="13"/>
  <c r="P56" i="13"/>
  <c r="AH49" i="13"/>
  <c r="T94" i="13"/>
  <c r="T91" i="13"/>
  <c r="T96" i="13"/>
  <c r="J98" i="13"/>
  <c r="T87" i="13"/>
  <c r="AB85" i="13"/>
  <c r="AK98" i="13"/>
  <c r="AL98" i="13" s="1"/>
  <c r="AB89" i="13"/>
  <c r="T98" i="13"/>
  <c r="J93" i="13"/>
  <c r="AK95" i="13"/>
  <c r="AL95" i="13" s="1"/>
  <c r="J83" i="13"/>
  <c r="AB83" i="13"/>
  <c r="T97" i="13"/>
  <c r="T93" i="13"/>
  <c r="T99" i="13"/>
  <c r="J86" i="13"/>
  <c r="J87" i="13"/>
  <c r="J94" i="13"/>
  <c r="J85" i="13"/>
  <c r="AB96" i="13"/>
  <c r="S156" i="13"/>
  <c r="O156" i="13"/>
  <c r="R156" i="13"/>
  <c r="T156" i="13"/>
  <c r="U156" i="13"/>
  <c r="AB156" i="13"/>
  <c r="J88" i="13"/>
  <c r="AB90" i="13"/>
  <c r="J96" i="13"/>
  <c r="J90" i="13"/>
  <c r="AB91" i="13"/>
  <c r="T84" i="13"/>
  <c r="J99" i="13"/>
  <c r="J97" i="13"/>
  <c r="J92" i="13"/>
  <c r="J89" i="13"/>
  <c r="AB84" i="13"/>
  <c r="T86" i="13"/>
  <c r="T85" i="13"/>
  <c r="T89" i="13"/>
  <c r="J91" i="13"/>
  <c r="AB93" i="13"/>
  <c r="T88" i="13"/>
  <c r="T90" i="13"/>
  <c r="AB92" i="13"/>
  <c r="J80" i="13"/>
  <c r="AB80" i="13" s="1"/>
  <c r="O88" i="13"/>
  <c r="O90" i="13"/>
  <c r="AB48" i="13"/>
  <c r="T48" i="13" s="1"/>
  <c r="T68" i="13" s="1"/>
  <c r="E126" i="13"/>
  <c r="AJ96" i="13"/>
  <c r="U90" i="13"/>
  <c r="E117" i="13"/>
  <c r="AK129" i="13"/>
  <c r="AL129" i="13" s="1"/>
  <c r="AK193" i="13"/>
  <c r="AL193" i="13" s="1"/>
  <c r="AB182" i="13"/>
  <c r="AH55" i="13"/>
  <c r="AB178" i="13"/>
  <c r="AB183" i="13"/>
  <c r="T127" i="13"/>
  <c r="AJ93" i="13"/>
  <c r="R90" i="13"/>
  <c r="K122" i="13"/>
  <c r="AK125" i="13"/>
  <c r="AL125" i="13" s="1"/>
  <c r="AK189" i="13"/>
  <c r="AL189" i="13" s="1"/>
  <c r="AB181" i="13"/>
  <c r="AK130" i="13"/>
  <c r="AL130" i="13" s="1"/>
  <c r="AK194" i="13"/>
  <c r="AL194" i="13" s="1"/>
  <c r="I128" i="13"/>
  <c r="AK116" i="13"/>
  <c r="AL116" i="13" s="1"/>
  <c r="AK180" i="13"/>
  <c r="AL180" i="13" s="1"/>
  <c r="T124" i="13"/>
  <c r="AK115" i="13"/>
  <c r="AL115" i="13" s="1"/>
  <c r="AK179" i="13"/>
  <c r="AL179" i="13" s="1"/>
  <c r="AB191" i="13"/>
  <c r="AB188" i="13"/>
  <c r="AB184" i="13"/>
  <c r="AB177" i="13"/>
  <c r="AK131" i="13"/>
  <c r="AL131" i="13" s="1"/>
  <c r="AK195" i="13"/>
  <c r="AL195" i="13" s="1"/>
  <c r="K120" i="13"/>
  <c r="S90" i="13"/>
  <c r="H101" i="49"/>
  <c r="I18" i="24"/>
  <c r="O42" i="29"/>
  <c r="J17" i="18"/>
  <c r="O10" i="29" s="1"/>
  <c r="J18" i="18"/>
  <c r="O13" i="29" s="1"/>
  <c r="E10" i="22"/>
  <c r="P41" i="29"/>
  <c r="H108" i="49"/>
  <c r="I108" i="49"/>
  <c r="K108" i="49"/>
  <c r="L108" i="49"/>
  <c r="J108" i="49"/>
  <c r="J22" i="37"/>
  <c r="J25" i="37" s="1"/>
  <c r="L36" i="40" s="1"/>
  <c r="K162" i="31"/>
  <c r="S10" i="29"/>
  <c r="G114" i="13"/>
  <c r="G146" i="13" s="1"/>
  <c r="G178" i="13" s="1"/>
  <c r="E119" i="13"/>
  <c r="E123" i="13"/>
  <c r="O81" i="13"/>
  <c r="P81" i="13" s="1"/>
  <c r="I125" i="13"/>
  <c r="E118" i="13"/>
  <c r="H111" i="49"/>
  <c r="I111" i="49"/>
  <c r="I85" i="38"/>
  <c r="M31" i="37"/>
  <c r="M34" i="37" s="1"/>
  <c r="O73" i="35"/>
  <c r="L44" i="38"/>
  <c r="L20" i="49" s="1"/>
  <c r="L96" i="38"/>
  <c r="H80" i="31"/>
  <c r="I101" i="49" s="1"/>
  <c r="J54" i="49"/>
  <c r="J64" i="39"/>
  <c r="J52" i="40" s="1"/>
  <c r="H135" i="18"/>
  <c r="E7" i="22"/>
  <c r="E9" i="22"/>
  <c r="K113" i="13"/>
  <c r="K145" i="13" s="1"/>
  <c r="K177" i="13" s="1"/>
  <c r="E130" i="13"/>
  <c r="O87" i="13"/>
  <c r="AH87" i="13" s="1"/>
  <c r="K119" i="13"/>
  <c r="K151" i="13" s="1"/>
  <c r="K183" i="13" s="1"/>
  <c r="AH19" i="36"/>
  <c r="I25" i="37"/>
  <c r="K36" i="40" s="1"/>
  <c r="M55" i="18"/>
  <c r="S42" i="29"/>
  <c r="S46" i="29"/>
  <c r="S50" i="29"/>
  <c r="S54" i="29"/>
  <c r="S58" i="29"/>
  <c r="S62" i="29"/>
  <c r="S66" i="29"/>
  <c r="S70" i="29"/>
  <c r="S74" i="29"/>
  <c r="S78" i="29"/>
  <c r="S82" i="29"/>
  <c r="S86" i="29"/>
  <c r="S90" i="29"/>
  <c r="S94" i="29"/>
  <c r="S98" i="29"/>
  <c r="S102" i="29"/>
  <c r="S106" i="29"/>
  <c r="S110" i="29"/>
  <c r="S114" i="29"/>
  <c r="S118" i="29"/>
  <c r="S122" i="29"/>
  <c r="S126" i="29"/>
  <c r="S130" i="29"/>
  <c r="S134" i="29"/>
  <c r="S138" i="29"/>
  <c r="S45" i="29"/>
  <c r="S69" i="29"/>
  <c r="S81" i="29"/>
  <c r="S93" i="29"/>
  <c r="S101" i="29"/>
  <c r="S113" i="29"/>
  <c r="S125" i="29"/>
  <c r="S137" i="29"/>
  <c r="S43" i="29"/>
  <c r="S47" i="29"/>
  <c r="S51" i="29"/>
  <c r="S55" i="29"/>
  <c r="S59" i="29"/>
  <c r="S63" i="29"/>
  <c r="S67" i="29"/>
  <c r="S71" i="29"/>
  <c r="S75" i="29"/>
  <c r="S79" i="29"/>
  <c r="S83" i="29"/>
  <c r="S87" i="29"/>
  <c r="S91" i="29"/>
  <c r="S95" i="29"/>
  <c r="S99" i="29"/>
  <c r="S103" i="29"/>
  <c r="S107" i="29"/>
  <c r="S111" i="29"/>
  <c r="S115" i="29"/>
  <c r="S119" i="29"/>
  <c r="S123" i="29"/>
  <c r="S127" i="29"/>
  <c r="S131" i="29"/>
  <c r="S135" i="29"/>
  <c r="S139" i="29"/>
  <c r="S41" i="29"/>
  <c r="S53" i="29"/>
  <c r="S57" i="29"/>
  <c r="S65" i="29"/>
  <c r="S77" i="29"/>
  <c r="S89" i="29"/>
  <c r="S105" i="29"/>
  <c r="S117" i="29"/>
  <c r="S129" i="29"/>
  <c r="S44" i="29"/>
  <c r="S48" i="29"/>
  <c r="S52" i="29"/>
  <c r="S56" i="29"/>
  <c r="S60" i="29"/>
  <c r="S64" i="29"/>
  <c r="S68" i="29"/>
  <c r="S72" i="29"/>
  <c r="S76" i="29"/>
  <c r="S80" i="29"/>
  <c r="S84" i="29"/>
  <c r="S88" i="29"/>
  <c r="S92" i="29"/>
  <c r="S96" i="29"/>
  <c r="S100" i="29"/>
  <c r="S104" i="29"/>
  <c r="S108" i="29"/>
  <c r="S112" i="29"/>
  <c r="S116" i="29"/>
  <c r="S120" i="29"/>
  <c r="S124" i="29"/>
  <c r="S128" i="29"/>
  <c r="S132" i="29"/>
  <c r="S136" i="29"/>
  <c r="S140" i="29"/>
  <c r="S49" i="29"/>
  <c r="S61" i="29"/>
  <c r="S73" i="29"/>
  <c r="S85" i="29"/>
  <c r="S97" i="29"/>
  <c r="S109" i="29"/>
  <c r="S121" i="29"/>
  <c r="S133" i="29"/>
  <c r="K17" i="24"/>
  <c r="J31" i="18" s="1"/>
  <c r="J40" i="18" s="1"/>
  <c r="I16" i="38" s="1"/>
  <c r="K96" i="38"/>
  <c r="K20" i="49"/>
  <c r="H84" i="38"/>
  <c r="J18" i="24"/>
  <c r="L214" i="48"/>
  <c r="J82" i="38" s="1"/>
  <c r="L153" i="18"/>
  <c r="L163" i="18" s="1"/>
  <c r="K153" i="18"/>
  <c r="K163" i="18" s="1"/>
  <c r="AH48" i="36"/>
  <c r="AH38" i="36"/>
  <c r="AH51" i="36"/>
  <c r="AH32" i="36"/>
  <c r="AH22" i="36"/>
  <c r="AH43" i="36"/>
  <c r="AH70" i="36"/>
  <c r="AH67" i="36"/>
  <c r="AH35" i="36"/>
  <c r="AH64" i="36"/>
  <c r="AH54" i="36"/>
  <c r="AH59" i="36"/>
  <c r="AH27" i="36"/>
  <c r="AH60" i="36"/>
  <c r="AH44" i="36"/>
  <c r="AH28" i="36"/>
  <c r="AH66" i="36"/>
  <c r="AH50" i="36"/>
  <c r="AH34" i="36"/>
  <c r="AH18" i="36"/>
  <c r="AH65" i="36"/>
  <c r="AH57" i="36"/>
  <c r="AH49" i="36"/>
  <c r="AH41" i="36"/>
  <c r="AH33" i="36"/>
  <c r="AH25" i="36"/>
  <c r="AH17" i="36"/>
  <c r="K34" i="37"/>
  <c r="AH56" i="36"/>
  <c r="AH40" i="36"/>
  <c r="AH24" i="36"/>
  <c r="AH62" i="36"/>
  <c r="AH46" i="36"/>
  <c r="AH30" i="36"/>
  <c r="AH15" i="36"/>
  <c r="M22" i="37" s="1"/>
  <c r="AH63" i="36"/>
  <c r="AH55" i="36"/>
  <c r="AH47" i="36"/>
  <c r="AH39" i="36"/>
  <c r="AH31" i="36"/>
  <c r="AH23" i="36"/>
  <c r="AH16" i="36"/>
  <c r="AH68" i="36"/>
  <c r="AH52" i="36"/>
  <c r="AH36" i="36"/>
  <c r="AH20" i="36"/>
  <c r="AH58" i="36"/>
  <c r="AH42" i="36"/>
  <c r="AH26" i="36"/>
  <c r="AH69" i="36"/>
  <c r="AH61" i="36"/>
  <c r="AH53" i="36"/>
  <c r="AH45" i="36"/>
  <c r="AH37" i="36"/>
  <c r="AH29" i="36"/>
  <c r="AH21" i="36"/>
  <c r="AD50" i="13"/>
  <c r="AF50" i="13" s="1"/>
  <c r="AE12" i="36"/>
  <c r="X12" i="36"/>
  <c r="I84" i="38"/>
  <c r="H73" i="38"/>
  <c r="K70" i="38"/>
  <c r="K81" i="38"/>
  <c r="F32" i="38"/>
  <c r="O90" i="35"/>
  <c r="L31" i="49" s="1"/>
  <c r="L33" i="49" s="1"/>
  <c r="L34" i="49" s="1"/>
  <c r="J85" i="38"/>
  <c r="O34" i="35"/>
  <c r="H68" i="38"/>
  <c r="M214" i="48"/>
  <c r="K82" i="38" s="1"/>
  <c r="G90" i="31"/>
  <c r="K22" i="37"/>
  <c r="K25" i="37" s="1"/>
  <c r="AE82" i="13"/>
  <c r="AD56" i="13"/>
  <c r="AF56" i="13" s="1"/>
  <c r="S56" i="13" s="1"/>
  <c r="E112" i="13"/>
  <c r="E144" i="13" s="1"/>
  <c r="AL48" i="13"/>
  <c r="AL68" i="13" s="1"/>
  <c r="AK94" i="13"/>
  <c r="AL94" i="13" s="1"/>
  <c r="G126" i="13"/>
  <c r="AH90" i="13"/>
  <c r="P90" i="13"/>
  <c r="AK91" i="13"/>
  <c r="AL91" i="13" s="1"/>
  <c r="G123" i="13"/>
  <c r="R127" i="13"/>
  <c r="U127" i="13"/>
  <c r="S127" i="13"/>
  <c r="O127" i="13"/>
  <c r="K126" i="13"/>
  <c r="K158" i="13" s="1"/>
  <c r="K190" i="13" s="1"/>
  <c r="S94" i="13"/>
  <c r="R94" i="13"/>
  <c r="O94" i="13"/>
  <c r="U94" i="13"/>
  <c r="K129" i="13"/>
  <c r="K161" i="13" s="1"/>
  <c r="K193" i="13" s="1"/>
  <c r="R97" i="13"/>
  <c r="O97" i="13"/>
  <c r="U97" i="13"/>
  <c r="S97" i="13"/>
  <c r="AH92" i="13"/>
  <c r="P92" i="13"/>
  <c r="K125" i="13"/>
  <c r="K157" i="13" s="1"/>
  <c r="K189" i="13" s="1"/>
  <c r="U93" i="13"/>
  <c r="S93" i="13"/>
  <c r="R93" i="13"/>
  <c r="O93" i="13"/>
  <c r="K121" i="13"/>
  <c r="K153" i="13" s="1"/>
  <c r="K185" i="13" s="1"/>
  <c r="R89" i="13"/>
  <c r="O89" i="13"/>
  <c r="U89" i="13"/>
  <c r="S89" i="13"/>
  <c r="K128" i="13"/>
  <c r="K160" i="13" s="1"/>
  <c r="K192" i="13" s="1"/>
  <c r="R96" i="13"/>
  <c r="U96" i="13"/>
  <c r="O96" i="13"/>
  <c r="S96" i="13"/>
  <c r="P67" i="13"/>
  <c r="AH67" i="13"/>
  <c r="K131" i="13"/>
  <c r="K163" i="13" s="1"/>
  <c r="O99" i="13"/>
  <c r="U99" i="13"/>
  <c r="S99" i="13"/>
  <c r="R99" i="13"/>
  <c r="AK92" i="13"/>
  <c r="AL92" i="13" s="1"/>
  <c r="G124" i="13"/>
  <c r="P57" i="13"/>
  <c r="AH57" i="13"/>
  <c r="AH62" i="13"/>
  <c r="P62" i="13"/>
  <c r="AK90" i="13"/>
  <c r="AL90" i="13" s="1"/>
  <c r="G122" i="13"/>
  <c r="O124" i="13"/>
  <c r="R124" i="13"/>
  <c r="U124" i="13"/>
  <c r="S124" i="13"/>
  <c r="P61" i="13"/>
  <c r="AH61" i="13"/>
  <c r="E131" i="13"/>
  <c r="AH64" i="13"/>
  <c r="P64" i="13"/>
  <c r="AK89" i="13"/>
  <c r="AL89" i="13" s="1"/>
  <c r="G121" i="13"/>
  <c r="P65" i="13"/>
  <c r="AH65" i="13"/>
  <c r="G128" i="13"/>
  <c r="AK96" i="13"/>
  <c r="AL96" i="13" s="1"/>
  <c r="U98" i="13"/>
  <c r="O98" i="13"/>
  <c r="S98" i="13"/>
  <c r="R98" i="13"/>
  <c r="P59" i="13"/>
  <c r="AH59" i="13"/>
  <c r="K123" i="13"/>
  <c r="K155" i="13" s="1"/>
  <c r="K187" i="13" s="1"/>
  <c r="O91" i="13"/>
  <c r="U91" i="13"/>
  <c r="S91" i="13"/>
  <c r="R91" i="13"/>
  <c r="P95" i="13"/>
  <c r="AH95" i="13"/>
  <c r="AH66" i="13"/>
  <c r="P66" i="13"/>
  <c r="L67" i="18"/>
  <c r="K17" i="38" s="1"/>
  <c r="M74" i="18"/>
  <c r="O50" i="35"/>
  <c r="J248" i="31"/>
  <c r="K198" i="31"/>
  <c r="K161" i="31"/>
  <c r="K201" i="31"/>
  <c r="K217" i="31"/>
  <c r="K232" i="31"/>
  <c r="K160" i="31"/>
  <c r="K228" i="31"/>
  <c r="K230" i="31"/>
  <c r="K241" i="31"/>
  <c r="K204" i="31"/>
  <c r="K138" i="31"/>
  <c r="K185" i="31"/>
  <c r="K242" i="31"/>
  <c r="K120" i="31"/>
  <c r="K126" i="31"/>
  <c r="K144" i="31"/>
  <c r="K237" i="31"/>
  <c r="K236" i="31"/>
  <c r="K220" i="31"/>
  <c r="K214" i="31"/>
  <c r="K113" i="31"/>
  <c r="K188" i="31"/>
  <c r="F40" i="37"/>
  <c r="F43" i="37" s="1"/>
  <c r="AD55" i="13"/>
  <c r="AE55" i="13"/>
  <c r="R55" i="13" s="1"/>
  <c r="M102" i="35"/>
  <c r="M112" i="35" s="1"/>
  <c r="K118" i="13"/>
  <c r="K150" i="13" s="1"/>
  <c r="K182" i="13" s="1"/>
  <c r="O86" i="13"/>
  <c r="AK85" i="13"/>
  <c r="AL85" i="13" s="1"/>
  <c r="G117" i="13"/>
  <c r="P53" i="13"/>
  <c r="AH53" i="13"/>
  <c r="H108" i="18"/>
  <c r="AH52" i="13"/>
  <c r="P52" i="13"/>
  <c r="AH88" i="13"/>
  <c r="P88" i="13"/>
  <c r="AK86" i="13"/>
  <c r="AL86" i="13" s="1"/>
  <c r="G118" i="13"/>
  <c r="AK87" i="13"/>
  <c r="AL87" i="13" s="1"/>
  <c r="G119" i="13"/>
  <c r="AH50" i="13"/>
  <c r="P50" i="13"/>
  <c r="K114" i="13"/>
  <c r="K146" i="13" s="1"/>
  <c r="K178" i="13" s="1"/>
  <c r="O82" i="13"/>
  <c r="AK88" i="13"/>
  <c r="AL88" i="13" s="1"/>
  <c r="G120" i="13"/>
  <c r="K115" i="13"/>
  <c r="K147" i="13" s="1"/>
  <c r="K179" i="13" s="1"/>
  <c r="O83" i="13"/>
  <c r="K100" i="13"/>
  <c r="J119" i="49" s="1"/>
  <c r="O68" i="13"/>
  <c r="K116" i="13"/>
  <c r="K148" i="13" s="1"/>
  <c r="K180" i="13" s="1"/>
  <c r="O84" i="13"/>
  <c r="P51" i="13"/>
  <c r="AH51" i="13"/>
  <c r="R56" i="13"/>
  <c r="AH54" i="13"/>
  <c r="P54" i="13"/>
  <c r="AK81" i="13"/>
  <c r="AL81" i="13" s="1"/>
  <c r="G113" i="13"/>
  <c r="J102" i="49"/>
  <c r="R49" i="13"/>
  <c r="K117" i="13"/>
  <c r="K149" i="13" s="1"/>
  <c r="K181" i="13" s="1"/>
  <c r="U85" i="13"/>
  <c r="O85" i="13"/>
  <c r="R85" i="13"/>
  <c r="S85" i="13"/>
  <c r="Q8" i="29"/>
  <c r="I88" i="31"/>
  <c r="AF12" i="36"/>
  <c r="N69" i="35"/>
  <c r="N73" i="35" s="1"/>
  <c r="J34" i="37"/>
  <c r="Y12" i="36"/>
  <c r="AI21" i="36"/>
  <c r="AI37" i="36"/>
  <c r="AI53" i="36"/>
  <c r="AI69" i="36"/>
  <c r="AI30" i="36"/>
  <c r="AI46" i="36"/>
  <c r="AI62" i="36"/>
  <c r="AI19" i="36"/>
  <c r="AI35" i="36"/>
  <c r="AI51" i="36"/>
  <c r="AI67" i="36"/>
  <c r="AI28" i="36"/>
  <c r="AI44" i="36"/>
  <c r="AI60" i="36"/>
  <c r="AI25" i="36"/>
  <c r="AI41" i="36"/>
  <c r="AI57" i="36"/>
  <c r="AI18" i="36"/>
  <c r="AI34" i="36"/>
  <c r="AI50" i="36"/>
  <c r="AI66" i="36"/>
  <c r="AI23" i="36"/>
  <c r="AI39" i="36"/>
  <c r="AI55" i="36"/>
  <c r="AI15" i="36"/>
  <c r="AI32" i="36"/>
  <c r="AI48" i="36"/>
  <c r="AI64" i="36"/>
  <c r="AI14" i="36"/>
  <c r="AI29" i="36"/>
  <c r="AI45" i="36"/>
  <c r="AI61" i="36"/>
  <c r="AI22" i="36"/>
  <c r="AI38" i="36"/>
  <c r="AI54" i="36"/>
  <c r="AI70" i="36"/>
  <c r="AI27" i="36"/>
  <c r="AI43" i="36"/>
  <c r="AI59" i="36"/>
  <c r="AI20" i="36"/>
  <c r="AI36" i="36"/>
  <c r="AI52" i="36"/>
  <c r="AI68" i="36"/>
  <c r="AI17" i="36"/>
  <c r="AI33" i="36"/>
  <c r="AI49" i="36"/>
  <c r="AI65" i="36"/>
  <c r="AI26" i="36"/>
  <c r="AI42" i="36"/>
  <c r="AI58" i="36"/>
  <c r="AI16" i="36"/>
  <c r="AI31" i="36"/>
  <c r="AI47" i="36"/>
  <c r="AI63" i="36"/>
  <c r="AI24" i="36"/>
  <c r="AI40" i="36"/>
  <c r="AI56" i="36"/>
  <c r="J76" i="31"/>
  <c r="K98" i="49" s="1"/>
  <c r="J77" i="31"/>
  <c r="K99" i="49" s="1"/>
  <c r="I87" i="31"/>
  <c r="H89" i="31"/>
  <c r="L133" i="24"/>
  <c r="L15" i="24" s="1"/>
  <c r="K133" i="18" s="1"/>
  <c r="J25" i="38" s="1"/>
  <c r="I78" i="31"/>
  <c r="J100" i="49" s="1"/>
  <c r="I86" i="31"/>
  <c r="J75" i="31"/>
  <c r="K97" i="49" s="1"/>
  <c r="AK80" i="13"/>
  <c r="AL80" i="13" s="1"/>
  <c r="G112" i="13"/>
  <c r="AF64" i="13"/>
  <c r="AF60" i="13"/>
  <c r="AF67" i="13"/>
  <c r="AF57" i="13"/>
  <c r="AF49" i="13"/>
  <c r="S49" i="13" s="1"/>
  <c r="AF65" i="13"/>
  <c r="AJ118" i="13"/>
  <c r="AJ131" i="13"/>
  <c r="AJ94" i="13"/>
  <c r="AJ121" i="13"/>
  <c r="AJ119" i="13"/>
  <c r="AJ113" i="13"/>
  <c r="AF53" i="13"/>
  <c r="AF61" i="13"/>
  <c r="AF54" i="13"/>
  <c r="AD59" i="13"/>
  <c r="AE59" i="13"/>
  <c r="AE52" i="13"/>
  <c r="AD52" i="13"/>
  <c r="AE96" i="13"/>
  <c r="AD96" i="13"/>
  <c r="AE58" i="13"/>
  <c r="AD58" i="13"/>
  <c r="AD99" i="13"/>
  <c r="AE99" i="13"/>
  <c r="AD81" i="13"/>
  <c r="AE81" i="13"/>
  <c r="AD97" i="13"/>
  <c r="AE97" i="13"/>
  <c r="AJ91" i="13"/>
  <c r="AJ129" i="13"/>
  <c r="AJ114" i="13"/>
  <c r="AD95" i="13"/>
  <c r="AE95" i="13"/>
  <c r="AE92" i="13"/>
  <c r="AD92" i="13"/>
  <c r="AF63" i="13"/>
  <c r="AJ90" i="13"/>
  <c r="AD93" i="13"/>
  <c r="AE93" i="13"/>
  <c r="AJ127" i="13"/>
  <c r="AJ124" i="13"/>
  <c r="AJ117" i="13"/>
  <c r="AJ120" i="13"/>
  <c r="AJ84" i="13"/>
  <c r="AJ83" i="13"/>
  <c r="AJ98" i="13"/>
  <c r="AE86" i="13"/>
  <c r="AD86" i="13"/>
  <c r="AD89" i="13"/>
  <c r="AE89" i="13"/>
  <c r="AD51" i="13"/>
  <c r="AE51" i="13"/>
  <c r="AE66" i="13"/>
  <c r="AD66" i="13"/>
  <c r="AD85" i="13"/>
  <c r="AE85" i="13"/>
  <c r="AE62" i="13"/>
  <c r="AD62" i="13"/>
  <c r="AE48" i="13"/>
  <c r="R48" i="13" s="1"/>
  <c r="AD48" i="13"/>
  <c r="AH80" i="13"/>
  <c r="P80" i="13"/>
  <c r="I112" i="13"/>
  <c r="I144" i="13" s="1"/>
  <c r="I176" i="13" s="1"/>
  <c r="AJ80" i="13"/>
  <c r="O112" i="13"/>
  <c r="I130" i="13"/>
  <c r="E115" i="13"/>
  <c r="I116" i="13"/>
  <c r="I115" i="13"/>
  <c r="E125" i="13"/>
  <c r="E124" i="13"/>
  <c r="E121" i="13"/>
  <c r="E114" i="13"/>
  <c r="E120" i="13"/>
  <c r="E129" i="13"/>
  <c r="E128" i="13"/>
  <c r="I123" i="13"/>
  <c r="L25" i="37"/>
  <c r="M73" i="35"/>
  <c r="L34" i="37"/>
  <c r="H26" i="40"/>
  <c r="H55" i="49"/>
  <c r="L16" i="39"/>
  <c r="L47" i="39"/>
  <c r="K54" i="39"/>
  <c r="L20" i="39"/>
  <c r="L23" i="40" s="1"/>
  <c r="L19" i="39"/>
  <c r="L22" i="40" s="1"/>
  <c r="L14" i="39"/>
  <c r="L43" i="39"/>
  <c r="K45" i="39"/>
  <c r="J44" i="40" s="1"/>
  <c r="L21" i="39"/>
  <c r="L24" i="40" s="1"/>
  <c r="I12" i="37"/>
  <c r="L138" i="35"/>
  <c r="M53" i="35"/>
  <c r="M57" i="35" s="1"/>
  <c r="N40" i="35"/>
  <c r="K130" i="13"/>
  <c r="K162" i="13" s="1"/>
  <c r="G127" i="13"/>
  <c r="G159" i="13" s="1"/>
  <c r="G191" i="13" s="1"/>
  <c r="I126" i="13"/>
  <c r="I122" i="13"/>
  <c r="E122" i="13"/>
  <c r="K91" i="18"/>
  <c r="L79" i="18"/>
  <c r="N21" i="29"/>
  <c r="N24" i="29" s="1"/>
  <c r="J60" i="31"/>
  <c r="K14" i="37"/>
  <c r="H39" i="39" l="1"/>
  <c r="H41" i="39" s="1"/>
  <c r="H232" i="13"/>
  <c r="AH176" i="13"/>
  <c r="P176" i="13"/>
  <c r="AB126" i="13"/>
  <c r="I158" i="13"/>
  <c r="J129" i="13"/>
  <c r="E161" i="13"/>
  <c r="J124" i="13"/>
  <c r="E156" i="13"/>
  <c r="J115" i="13"/>
  <c r="E147" i="13"/>
  <c r="G144" i="13"/>
  <c r="G151" i="13"/>
  <c r="J118" i="13"/>
  <c r="E150" i="13"/>
  <c r="J119" i="13"/>
  <c r="E151" i="13"/>
  <c r="R122" i="13"/>
  <c r="K154" i="13"/>
  <c r="K186" i="13" s="1"/>
  <c r="T153" i="13"/>
  <c r="AK146" i="13"/>
  <c r="AL146" i="13" s="1"/>
  <c r="J120" i="13"/>
  <c r="E152" i="13"/>
  <c r="J125" i="13"/>
  <c r="E157" i="13"/>
  <c r="AB130" i="13"/>
  <c r="I162" i="13"/>
  <c r="G145" i="13"/>
  <c r="G154" i="13"/>
  <c r="T163" i="13"/>
  <c r="K195" i="13"/>
  <c r="U163" i="13"/>
  <c r="O163" i="13"/>
  <c r="R163" i="13"/>
  <c r="S163" i="13"/>
  <c r="J130" i="13"/>
  <c r="E162" i="13"/>
  <c r="AB125" i="13"/>
  <c r="I157" i="13"/>
  <c r="I189" i="13" s="1"/>
  <c r="AJ156" i="13"/>
  <c r="U153" i="13"/>
  <c r="AK159" i="13"/>
  <c r="AL159" i="13" s="1"/>
  <c r="J145" i="13"/>
  <c r="E177" i="13"/>
  <c r="J177" i="13" s="1"/>
  <c r="J122" i="13"/>
  <c r="E154" i="13"/>
  <c r="O162" i="13"/>
  <c r="T162" i="13"/>
  <c r="K194" i="13"/>
  <c r="R162" i="13"/>
  <c r="U162" i="13"/>
  <c r="S162" i="13"/>
  <c r="AB123" i="13"/>
  <c r="I155" i="13"/>
  <c r="I187" i="13" s="1"/>
  <c r="J114" i="13"/>
  <c r="E146" i="13"/>
  <c r="AB115" i="13"/>
  <c r="I147" i="13"/>
  <c r="G152" i="13"/>
  <c r="G150" i="13"/>
  <c r="G153" i="13"/>
  <c r="J131" i="13"/>
  <c r="E163" i="13"/>
  <c r="E176" i="13"/>
  <c r="O120" i="13"/>
  <c r="K152" i="13"/>
  <c r="K184" i="13" s="1"/>
  <c r="AB128" i="13"/>
  <c r="I160" i="13"/>
  <c r="J126" i="13"/>
  <c r="E158" i="13"/>
  <c r="R153" i="13"/>
  <c r="AB122" i="13"/>
  <c r="I154" i="13"/>
  <c r="I186" i="13" s="1"/>
  <c r="J128" i="13"/>
  <c r="E160" i="13"/>
  <c r="J121" i="13"/>
  <c r="E153" i="13"/>
  <c r="AB116" i="13"/>
  <c r="I148" i="13"/>
  <c r="G149" i="13"/>
  <c r="G160" i="13"/>
  <c r="G156" i="13"/>
  <c r="G155" i="13"/>
  <c r="G158" i="13"/>
  <c r="J123" i="13"/>
  <c r="E155" i="13"/>
  <c r="J117" i="13"/>
  <c r="E149" i="13"/>
  <c r="O153" i="13"/>
  <c r="P153" i="13" s="1"/>
  <c r="S153" i="13"/>
  <c r="AB121" i="13"/>
  <c r="I153" i="13"/>
  <c r="I185" i="13" s="1"/>
  <c r="AB185" i="13" s="1"/>
  <c r="I195" i="13"/>
  <c r="AB195" i="13" s="1"/>
  <c r="AJ163" i="13"/>
  <c r="AB163" i="13"/>
  <c r="E191" i="13"/>
  <c r="J191" i="13" s="1"/>
  <c r="J159" i="13"/>
  <c r="E180" i="13"/>
  <c r="J180" i="13" s="1"/>
  <c r="J148" i="13"/>
  <c r="I193" i="13"/>
  <c r="AB193" i="13" s="1"/>
  <c r="AJ161" i="13"/>
  <c r="AB161" i="13"/>
  <c r="K25" i="40"/>
  <c r="J32" i="38"/>
  <c r="J111" i="49" s="1"/>
  <c r="K32" i="38"/>
  <c r="K111" i="49" s="1"/>
  <c r="L32" i="38"/>
  <c r="L111" i="49" s="1"/>
  <c r="L37" i="40"/>
  <c r="L38" i="40"/>
  <c r="L69" i="38"/>
  <c r="L18" i="38"/>
  <c r="AJ153" i="13"/>
  <c r="AB153" i="13"/>
  <c r="T149" i="13"/>
  <c r="O149" i="13"/>
  <c r="S149" i="13"/>
  <c r="R149" i="13"/>
  <c r="U149" i="13"/>
  <c r="U146" i="13"/>
  <c r="T146" i="13"/>
  <c r="R146" i="13"/>
  <c r="O146" i="13"/>
  <c r="S146" i="13"/>
  <c r="AJ145" i="13"/>
  <c r="AB145" i="13"/>
  <c r="AJ152" i="13"/>
  <c r="AB152" i="13"/>
  <c r="AE156" i="13"/>
  <c r="AD156" i="13"/>
  <c r="AJ157" i="13"/>
  <c r="AB157" i="13"/>
  <c r="U154" i="13"/>
  <c r="T154" i="13"/>
  <c r="R154" i="13"/>
  <c r="O154" i="13"/>
  <c r="S154" i="13"/>
  <c r="AJ144" i="13"/>
  <c r="T159" i="13"/>
  <c r="U159" i="13"/>
  <c r="R159" i="13"/>
  <c r="O159" i="13"/>
  <c r="S159" i="13"/>
  <c r="AJ150" i="13"/>
  <c r="AB150" i="13"/>
  <c r="AJ146" i="13"/>
  <c r="AB146" i="13"/>
  <c r="S152" i="13"/>
  <c r="U152" i="13"/>
  <c r="O144" i="13"/>
  <c r="AH156" i="13"/>
  <c r="P156" i="13"/>
  <c r="AE149" i="13"/>
  <c r="AD149" i="13"/>
  <c r="AB68" i="13"/>
  <c r="T151" i="13"/>
  <c r="U151" i="13"/>
  <c r="R151" i="13"/>
  <c r="S151" i="13"/>
  <c r="O151" i="13"/>
  <c r="AJ154" i="13"/>
  <c r="AB154" i="13"/>
  <c r="U150" i="13"/>
  <c r="O150" i="13"/>
  <c r="T150" i="13"/>
  <c r="R150" i="13"/>
  <c r="S150" i="13"/>
  <c r="T147" i="13"/>
  <c r="U147" i="13"/>
  <c r="O147" i="13"/>
  <c r="R147" i="13"/>
  <c r="S147" i="13"/>
  <c r="S145" i="13"/>
  <c r="T145" i="13"/>
  <c r="R145" i="13"/>
  <c r="O145" i="13"/>
  <c r="U145" i="13"/>
  <c r="AJ151" i="13"/>
  <c r="AB151" i="13"/>
  <c r="S160" i="13"/>
  <c r="T160" i="13"/>
  <c r="R160" i="13"/>
  <c r="O160" i="13"/>
  <c r="U160" i="13"/>
  <c r="U158" i="13"/>
  <c r="R158" i="13"/>
  <c r="O158" i="13"/>
  <c r="T158" i="13"/>
  <c r="S158" i="13"/>
  <c r="S148" i="13"/>
  <c r="O148" i="13"/>
  <c r="T148" i="13"/>
  <c r="R148" i="13"/>
  <c r="U148" i="13"/>
  <c r="R157" i="13"/>
  <c r="T157" i="13"/>
  <c r="U157" i="13"/>
  <c r="S157" i="13"/>
  <c r="O157" i="13"/>
  <c r="T155" i="13"/>
  <c r="U155" i="13"/>
  <c r="R155" i="13"/>
  <c r="O155" i="13"/>
  <c r="S155" i="13"/>
  <c r="AJ159" i="13"/>
  <c r="AB159" i="13"/>
  <c r="AJ155" i="13"/>
  <c r="AB155" i="13"/>
  <c r="J112" i="13"/>
  <c r="AB112" i="13" s="1"/>
  <c r="O122" i="13"/>
  <c r="U122" i="13"/>
  <c r="AH81" i="13"/>
  <c r="P87" i="13"/>
  <c r="T116" i="13"/>
  <c r="T131" i="13"/>
  <c r="T121" i="13"/>
  <c r="T129" i="13"/>
  <c r="T113" i="13"/>
  <c r="AB189" i="13"/>
  <c r="AJ184" i="13"/>
  <c r="AJ191" i="13"/>
  <c r="S188" i="13"/>
  <c r="O188" i="13"/>
  <c r="T188" i="13"/>
  <c r="U188" i="13"/>
  <c r="R188" i="13"/>
  <c r="AE128" i="13"/>
  <c r="T130" i="13"/>
  <c r="AB187" i="13"/>
  <c r="AJ128" i="13"/>
  <c r="T115" i="13"/>
  <c r="T114" i="13"/>
  <c r="T125" i="13"/>
  <c r="T126" i="13"/>
  <c r="AK114" i="13"/>
  <c r="AL114" i="13" s="1"/>
  <c r="AK178" i="13"/>
  <c r="AL178" i="13" s="1"/>
  <c r="AJ181" i="13"/>
  <c r="T122" i="13"/>
  <c r="S191" i="13"/>
  <c r="U191" i="13"/>
  <c r="O191" i="13"/>
  <c r="T191" i="13"/>
  <c r="R191" i="13"/>
  <c r="AJ185" i="13"/>
  <c r="AJ193" i="13"/>
  <c r="AB186" i="13"/>
  <c r="O113" i="13"/>
  <c r="P113" i="13" s="1"/>
  <c r="S122" i="13"/>
  <c r="T123" i="13"/>
  <c r="AJ177" i="13"/>
  <c r="AJ188" i="13"/>
  <c r="AJ182" i="13"/>
  <c r="AK127" i="13"/>
  <c r="AL127" i="13" s="1"/>
  <c r="AK191" i="13"/>
  <c r="AL191" i="13" s="1"/>
  <c r="T117" i="13"/>
  <c r="T118" i="13"/>
  <c r="T128" i="13"/>
  <c r="T119" i="13"/>
  <c r="AJ125" i="13"/>
  <c r="T120" i="13"/>
  <c r="AJ195" i="13"/>
  <c r="AJ183" i="13"/>
  <c r="AJ178" i="13"/>
  <c r="F9" i="22"/>
  <c r="P42" i="29"/>
  <c r="P37" i="29" s="1"/>
  <c r="P14" i="29" s="1"/>
  <c r="K18" i="18"/>
  <c r="P13" i="29" s="1"/>
  <c r="K17" i="18"/>
  <c r="P10" i="29" s="1"/>
  <c r="O37" i="29"/>
  <c r="O14" i="29" s="1"/>
  <c r="O142" i="29"/>
  <c r="O38" i="29" s="1"/>
  <c r="F7" i="22"/>
  <c r="K15" i="18"/>
  <c r="P20" i="29" s="1"/>
  <c r="P36" i="29"/>
  <c r="P11" i="29" s="1"/>
  <c r="F10" i="22"/>
  <c r="Q41" i="29"/>
  <c r="J84" i="38"/>
  <c r="L19" i="40"/>
  <c r="S17" i="29"/>
  <c r="O119" i="13"/>
  <c r="P119" i="13" s="1"/>
  <c r="T80" i="13"/>
  <c r="T100" i="13" s="1"/>
  <c r="L17" i="24"/>
  <c r="K31" i="18" s="1"/>
  <c r="K40" i="18" s="1"/>
  <c r="J16" i="38" s="1"/>
  <c r="S20" i="29"/>
  <c r="L45" i="39"/>
  <c r="L44" i="40" s="1"/>
  <c r="I80" i="31"/>
  <c r="J101" i="49" s="1"/>
  <c r="O93" i="35"/>
  <c r="K33" i="49"/>
  <c r="K34" i="49" s="1"/>
  <c r="K54" i="49"/>
  <c r="K55" i="49" s="1"/>
  <c r="K64" i="39"/>
  <c r="K52" i="40" s="1"/>
  <c r="K37" i="40"/>
  <c r="L54" i="39"/>
  <c r="L25" i="40" s="1"/>
  <c r="K38" i="40"/>
  <c r="L86" i="38"/>
  <c r="F62" i="49"/>
  <c r="M67" i="18"/>
  <c r="L17" i="38" s="1"/>
  <c r="K69" i="38"/>
  <c r="L84" i="38"/>
  <c r="O102" i="35"/>
  <c r="O112" i="35" s="1"/>
  <c r="S36" i="29"/>
  <c r="S11" i="29" s="1"/>
  <c r="S142" i="29"/>
  <c r="S38" i="29" s="1"/>
  <c r="S37" i="29"/>
  <c r="S14" i="29" s="1"/>
  <c r="S15" i="29" s="1"/>
  <c r="K18" i="24"/>
  <c r="AH12" i="36"/>
  <c r="F111" i="49"/>
  <c r="K84" i="38"/>
  <c r="I73" i="38"/>
  <c r="H77" i="38"/>
  <c r="O40" i="35"/>
  <c r="O53" i="35" s="1"/>
  <c r="O57" i="35" s="1"/>
  <c r="I68" i="38"/>
  <c r="AD82" i="13"/>
  <c r="AF82" i="13" s="1"/>
  <c r="O100" i="13"/>
  <c r="J72" i="38"/>
  <c r="H83" i="38"/>
  <c r="AD120" i="13"/>
  <c r="AE114" i="13"/>
  <c r="P68" i="13"/>
  <c r="P99" i="13"/>
  <c r="AH99" i="13"/>
  <c r="AH94" i="13"/>
  <c r="P94" i="13"/>
  <c r="S130" i="13"/>
  <c r="U130" i="13"/>
  <c r="R130" i="13"/>
  <c r="O130" i="13"/>
  <c r="U123" i="13"/>
  <c r="O123" i="13"/>
  <c r="S123" i="13"/>
  <c r="R123" i="13"/>
  <c r="AK122" i="13"/>
  <c r="AL122" i="13" s="1"/>
  <c r="P89" i="13"/>
  <c r="AH89" i="13"/>
  <c r="P93" i="13"/>
  <c r="AH93" i="13"/>
  <c r="P127" i="13"/>
  <c r="AH127" i="13"/>
  <c r="AK128" i="13"/>
  <c r="AL128" i="13" s="1"/>
  <c r="AH124" i="13"/>
  <c r="P124" i="13"/>
  <c r="R131" i="13"/>
  <c r="O131" i="13"/>
  <c r="U131" i="13"/>
  <c r="S131" i="13"/>
  <c r="AH96" i="13"/>
  <c r="P96" i="13"/>
  <c r="R128" i="13"/>
  <c r="O128" i="13"/>
  <c r="U128" i="13"/>
  <c r="S128" i="13"/>
  <c r="S125" i="13"/>
  <c r="U125" i="13"/>
  <c r="O125" i="13"/>
  <c r="R125" i="13"/>
  <c r="U129" i="13"/>
  <c r="O129" i="13"/>
  <c r="S129" i="13"/>
  <c r="R129" i="13"/>
  <c r="AK123" i="13"/>
  <c r="AL123" i="13" s="1"/>
  <c r="AK126" i="13"/>
  <c r="AL126" i="13" s="1"/>
  <c r="AH98" i="13"/>
  <c r="P98" i="13"/>
  <c r="S121" i="13"/>
  <c r="R121" i="13"/>
  <c r="O121" i="13"/>
  <c r="U121" i="13"/>
  <c r="U126" i="13"/>
  <c r="S126" i="13"/>
  <c r="R126" i="13"/>
  <c r="O126" i="13"/>
  <c r="AH122" i="13"/>
  <c r="P122" i="13"/>
  <c r="P91" i="13"/>
  <c r="AH91" i="13"/>
  <c r="AK121" i="13"/>
  <c r="AL121" i="13" s="1"/>
  <c r="AK124" i="13"/>
  <c r="AL124" i="13" s="1"/>
  <c r="P97" i="13"/>
  <c r="AH97" i="13"/>
  <c r="K72" i="38"/>
  <c r="H90" i="31"/>
  <c r="M79" i="18"/>
  <c r="I19" i="18"/>
  <c r="AE87" i="13"/>
  <c r="K248" i="31"/>
  <c r="K75" i="31"/>
  <c r="L97" i="49" s="1"/>
  <c r="K77" i="31"/>
  <c r="L99" i="49" s="1"/>
  <c r="K76" i="31"/>
  <c r="L98" i="49" s="1"/>
  <c r="R8" i="29"/>
  <c r="G13" i="37"/>
  <c r="O17" i="29"/>
  <c r="O12" i="29"/>
  <c r="AD87" i="13"/>
  <c r="AF55" i="13"/>
  <c r="S55" i="13" s="1"/>
  <c r="U55" i="13" s="1"/>
  <c r="AE88" i="13"/>
  <c r="R88" i="13" s="1"/>
  <c r="N102" i="35"/>
  <c r="N112" i="35" s="1"/>
  <c r="AD88" i="13"/>
  <c r="U56" i="13"/>
  <c r="O115" i="13"/>
  <c r="P85" i="13"/>
  <c r="AH85" i="13"/>
  <c r="U49" i="13"/>
  <c r="R54" i="13"/>
  <c r="S54" i="13"/>
  <c r="R81" i="13"/>
  <c r="P83" i="13"/>
  <c r="AH83" i="13"/>
  <c r="AK120" i="13"/>
  <c r="AL120" i="13" s="1"/>
  <c r="AK119" i="13"/>
  <c r="AL119" i="13" s="1"/>
  <c r="O118" i="13"/>
  <c r="R52" i="13"/>
  <c r="O116" i="13"/>
  <c r="O114" i="13"/>
  <c r="AK117" i="13"/>
  <c r="AL117" i="13" s="1"/>
  <c r="AH86" i="13"/>
  <c r="P86" i="13"/>
  <c r="AL100" i="13"/>
  <c r="U117" i="13"/>
  <c r="O117" i="13"/>
  <c r="S117" i="13"/>
  <c r="R117" i="13"/>
  <c r="AK113" i="13"/>
  <c r="AL113" i="13" s="1"/>
  <c r="R51" i="13"/>
  <c r="AH84" i="13"/>
  <c r="P84" i="13"/>
  <c r="P82" i="13"/>
  <c r="AH82" i="13"/>
  <c r="S50" i="13"/>
  <c r="R50" i="13"/>
  <c r="AK118" i="13"/>
  <c r="AL118" i="13" s="1"/>
  <c r="AH120" i="13"/>
  <c r="P120" i="13"/>
  <c r="R87" i="13"/>
  <c r="J78" i="31"/>
  <c r="K100" i="49" s="1"/>
  <c r="M25" i="37"/>
  <c r="AI12" i="36"/>
  <c r="I89" i="31"/>
  <c r="I40" i="40"/>
  <c r="M133" i="24"/>
  <c r="M15" i="24" s="1"/>
  <c r="L133" i="18" s="1"/>
  <c r="K25" i="38" s="1"/>
  <c r="AK112" i="13"/>
  <c r="AB100" i="13"/>
  <c r="AF86" i="13"/>
  <c r="AF93" i="13"/>
  <c r="AF62" i="13"/>
  <c r="AF66" i="13"/>
  <c r="AF89" i="13"/>
  <c r="AF97" i="13"/>
  <c r="AF99" i="13"/>
  <c r="AD91" i="13"/>
  <c r="AE91" i="13"/>
  <c r="AJ126" i="13"/>
  <c r="AD83" i="13"/>
  <c r="AE83" i="13"/>
  <c r="AE124" i="13"/>
  <c r="AD124" i="13"/>
  <c r="AF95" i="13"/>
  <c r="AF96" i="13"/>
  <c r="AF52" i="13"/>
  <c r="S52" i="13" s="1"/>
  <c r="AF59" i="13"/>
  <c r="AE121" i="13"/>
  <c r="AD121" i="13"/>
  <c r="AE94" i="13"/>
  <c r="AD94" i="13"/>
  <c r="AE131" i="13"/>
  <c r="AD131" i="13"/>
  <c r="AJ123" i="13"/>
  <c r="AJ116" i="13"/>
  <c r="AJ130" i="13"/>
  <c r="AE84" i="13"/>
  <c r="AD84" i="13"/>
  <c r="AE117" i="13"/>
  <c r="AD117" i="13"/>
  <c r="AE129" i="13"/>
  <c r="AD129" i="13"/>
  <c r="AJ122" i="13"/>
  <c r="AJ115" i="13"/>
  <c r="AF85" i="13"/>
  <c r="AF51" i="13"/>
  <c r="S51" i="13" s="1"/>
  <c r="AE98" i="13"/>
  <c r="AD98" i="13"/>
  <c r="AD127" i="13"/>
  <c r="AE127" i="13"/>
  <c r="AE90" i="13"/>
  <c r="AD90" i="13"/>
  <c r="AF92" i="13"/>
  <c r="AF81" i="13"/>
  <c r="S81" i="13" s="1"/>
  <c r="AF58" i="13"/>
  <c r="AE118" i="13"/>
  <c r="AD118" i="13"/>
  <c r="AD80" i="13"/>
  <c r="AE80" i="13"/>
  <c r="R80" i="13" s="1"/>
  <c r="AH112" i="13"/>
  <c r="P112" i="13"/>
  <c r="AJ112" i="13"/>
  <c r="AF48" i="13"/>
  <c r="S48" i="13" s="1"/>
  <c r="J40" i="40"/>
  <c r="I55" i="49"/>
  <c r="I26" i="40"/>
  <c r="J55" i="49"/>
  <c r="I39" i="37"/>
  <c r="N138" i="35"/>
  <c r="M138" i="35"/>
  <c r="N53" i="35"/>
  <c r="N57" i="35" s="1"/>
  <c r="K132" i="13"/>
  <c r="L91" i="18"/>
  <c r="N22" i="29"/>
  <c r="N26" i="29" s="1"/>
  <c r="J87" i="31"/>
  <c r="J86" i="31"/>
  <c r="J88" i="31"/>
  <c r="K41" i="37"/>
  <c r="P142" i="29" l="1"/>
  <c r="P38" i="29" s="1"/>
  <c r="AF156" i="13"/>
  <c r="F232" i="13"/>
  <c r="E232" i="13"/>
  <c r="E233" i="13"/>
  <c r="F233" i="13"/>
  <c r="I39" i="39"/>
  <c r="I41" i="39" s="1"/>
  <c r="I28" i="40" s="1"/>
  <c r="H233" i="13"/>
  <c r="K119" i="49"/>
  <c r="K102" i="49" s="1"/>
  <c r="AH153" i="13"/>
  <c r="T152" i="13"/>
  <c r="AD163" i="13"/>
  <c r="AE163" i="13"/>
  <c r="I192" i="13"/>
  <c r="AB192" i="13" s="1"/>
  <c r="AB160" i="13"/>
  <c r="AJ160" i="13"/>
  <c r="G185" i="13"/>
  <c r="AK185" i="13" s="1"/>
  <c r="AL185" i="13" s="1"/>
  <c r="AK153" i="13"/>
  <c r="AL153" i="13" s="1"/>
  <c r="G184" i="13"/>
  <c r="AK184" i="13" s="1"/>
  <c r="AL184" i="13" s="1"/>
  <c r="AK152" i="13"/>
  <c r="AL152" i="13" s="1"/>
  <c r="E178" i="13"/>
  <c r="J178" i="13" s="1"/>
  <c r="J146" i="13"/>
  <c r="AH163" i="13"/>
  <c r="P163" i="13"/>
  <c r="G186" i="13"/>
  <c r="AK186" i="13" s="1"/>
  <c r="AL186" i="13" s="1"/>
  <c r="AK154" i="13"/>
  <c r="AL154" i="13" s="1"/>
  <c r="I194" i="13"/>
  <c r="AB194" i="13" s="1"/>
  <c r="AJ162" i="13"/>
  <c r="AB162" i="13"/>
  <c r="E184" i="13"/>
  <c r="J184" i="13" s="1"/>
  <c r="J152" i="13"/>
  <c r="E182" i="13"/>
  <c r="J182" i="13" s="1"/>
  <c r="J150" i="13"/>
  <c r="G176" i="13"/>
  <c r="AK176" i="13" s="1"/>
  <c r="AL176" i="13" s="1"/>
  <c r="AK144" i="13"/>
  <c r="AL144" i="13" s="1"/>
  <c r="E188" i="13"/>
  <c r="J188" i="13" s="1"/>
  <c r="J156" i="13"/>
  <c r="I190" i="13"/>
  <c r="AB190" i="13" s="1"/>
  <c r="AJ158" i="13"/>
  <c r="AB158" i="13"/>
  <c r="O152" i="13"/>
  <c r="AD161" i="13"/>
  <c r="AE161" i="13"/>
  <c r="E187" i="13"/>
  <c r="J187" i="13" s="1"/>
  <c r="J155" i="13"/>
  <c r="G187" i="13"/>
  <c r="AK187" i="13" s="1"/>
  <c r="AL187" i="13" s="1"/>
  <c r="AK155" i="13"/>
  <c r="AL155" i="13" s="1"/>
  <c r="G192" i="13"/>
  <c r="AK192" i="13" s="1"/>
  <c r="AL192" i="13" s="1"/>
  <c r="AK160" i="13"/>
  <c r="AL160" i="13" s="1"/>
  <c r="I180" i="13"/>
  <c r="AB180" i="13" s="1"/>
  <c r="AB148" i="13"/>
  <c r="AJ148" i="13"/>
  <c r="E192" i="13"/>
  <c r="J192" i="13" s="1"/>
  <c r="J160" i="13"/>
  <c r="J144" i="13"/>
  <c r="AB144" i="13" s="1"/>
  <c r="T144" i="13" s="1"/>
  <c r="P162" i="13"/>
  <c r="AH162" i="13"/>
  <c r="E190" i="13"/>
  <c r="J190" i="13" s="1"/>
  <c r="J158" i="13"/>
  <c r="E195" i="13"/>
  <c r="J195" i="13" s="1"/>
  <c r="J163" i="13"/>
  <c r="G182" i="13"/>
  <c r="AK182" i="13" s="1"/>
  <c r="AL182" i="13" s="1"/>
  <c r="AK150" i="13"/>
  <c r="AL150" i="13" s="1"/>
  <c r="I179" i="13"/>
  <c r="AB179" i="13" s="1"/>
  <c r="AB147" i="13"/>
  <c r="AJ147" i="13"/>
  <c r="E186" i="13"/>
  <c r="J186" i="13" s="1"/>
  <c r="J154" i="13"/>
  <c r="G177" i="13"/>
  <c r="AK177" i="13" s="1"/>
  <c r="AL177" i="13" s="1"/>
  <c r="AK145" i="13"/>
  <c r="AL145" i="13" s="1"/>
  <c r="J157" i="13"/>
  <c r="E189" i="13"/>
  <c r="J189" i="13" s="1"/>
  <c r="E183" i="13"/>
  <c r="J183" i="13" s="1"/>
  <c r="J151" i="13"/>
  <c r="G183" i="13"/>
  <c r="AK183" i="13" s="1"/>
  <c r="AL183" i="13" s="1"/>
  <c r="AK151" i="13"/>
  <c r="AL151" i="13" s="1"/>
  <c r="E179" i="13"/>
  <c r="J179" i="13" s="1"/>
  <c r="J147" i="13"/>
  <c r="J161" i="13"/>
  <c r="E193" i="13"/>
  <c r="J193" i="13" s="1"/>
  <c r="AF149" i="13"/>
  <c r="R152" i="13"/>
  <c r="J149" i="13"/>
  <c r="E181" i="13"/>
  <c r="J181" i="13" s="1"/>
  <c r="G190" i="13"/>
  <c r="AK190" i="13" s="1"/>
  <c r="AL190" i="13" s="1"/>
  <c r="AK158" i="13"/>
  <c r="AL158" i="13" s="1"/>
  <c r="G188" i="13"/>
  <c r="AK188" i="13" s="1"/>
  <c r="AL188" i="13" s="1"/>
  <c r="AK156" i="13"/>
  <c r="AL156" i="13" s="1"/>
  <c r="G181" i="13"/>
  <c r="AK181" i="13" s="1"/>
  <c r="AL181" i="13" s="1"/>
  <c r="AK149" i="13"/>
  <c r="AL149" i="13" s="1"/>
  <c r="J153" i="13"/>
  <c r="E185" i="13"/>
  <c r="J185" i="13" s="1"/>
  <c r="E194" i="13"/>
  <c r="J194" i="13" s="1"/>
  <c r="J162" i="13"/>
  <c r="K44" i="40"/>
  <c r="L40" i="40"/>
  <c r="K40" i="40"/>
  <c r="L26" i="40"/>
  <c r="J26" i="40"/>
  <c r="L85" i="38"/>
  <c r="P17" i="29"/>
  <c r="AH147" i="13"/>
  <c r="P147" i="13"/>
  <c r="AH149" i="13"/>
  <c r="P149" i="13"/>
  <c r="AH155" i="13"/>
  <c r="P155" i="13"/>
  <c r="AH157" i="13"/>
  <c r="P157" i="13"/>
  <c r="P148" i="13"/>
  <c r="AH148" i="13"/>
  <c r="O161" i="13"/>
  <c r="O164" i="13" s="1"/>
  <c r="T161" i="13"/>
  <c r="AH159" i="13"/>
  <c r="P159" i="13"/>
  <c r="P146" i="13"/>
  <c r="AH146" i="13"/>
  <c r="AE146" i="13"/>
  <c r="AD146" i="13"/>
  <c r="P154" i="13"/>
  <c r="AH154" i="13"/>
  <c r="AE155" i="13"/>
  <c r="AD155" i="13"/>
  <c r="AE159" i="13"/>
  <c r="AD159" i="13"/>
  <c r="P145" i="13"/>
  <c r="AH145" i="13"/>
  <c r="P150" i="13"/>
  <c r="AH150" i="13"/>
  <c r="AH151" i="13"/>
  <c r="P151" i="13"/>
  <c r="K164" i="13"/>
  <c r="L119" i="49" s="1"/>
  <c r="L102" i="49" s="1"/>
  <c r="P152" i="13"/>
  <c r="AH152" i="13"/>
  <c r="AE150" i="13"/>
  <c r="AD150" i="13"/>
  <c r="AE145" i="13"/>
  <c r="AD145" i="13"/>
  <c r="AD153" i="13"/>
  <c r="AE153" i="13"/>
  <c r="AE154" i="13"/>
  <c r="AD154" i="13"/>
  <c r="AH144" i="13"/>
  <c r="P144" i="13"/>
  <c r="AD157" i="13"/>
  <c r="AE157" i="13"/>
  <c r="AE152" i="13"/>
  <c r="AD152" i="13"/>
  <c r="P158" i="13"/>
  <c r="AH158" i="13"/>
  <c r="P160" i="13"/>
  <c r="AH160" i="13"/>
  <c r="AE151" i="13"/>
  <c r="AD151" i="13"/>
  <c r="AJ176" i="13"/>
  <c r="AD183" i="13"/>
  <c r="AE183" i="13"/>
  <c r="S184" i="13"/>
  <c r="U184" i="13"/>
  <c r="T184" i="13"/>
  <c r="O184" i="13"/>
  <c r="R184" i="13"/>
  <c r="AD182" i="13"/>
  <c r="AE182" i="13"/>
  <c r="AD193" i="13"/>
  <c r="AE193" i="13"/>
  <c r="U186" i="13"/>
  <c r="T186" i="13"/>
  <c r="R186" i="13"/>
  <c r="O186" i="13"/>
  <c r="S186" i="13"/>
  <c r="S190" i="13"/>
  <c r="R190" i="13"/>
  <c r="U190" i="13"/>
  <c r="T190" i="13"/>
  <c r="O190" i="13"/>
  <c r="S179" i="13"/>
  <c r="T179" i="13"/>
  <c r="R179" i="13"/>
  <c r="O179" i="13"/>
  <c r="U179" i="13"/>
  <c r="AH188" i="13"/>
  <c r="P188" i="13"/>
  <c r="AD184" i="13"/>
  <c r="AE184" i="13"/>
  <c r="AJ189" i="13"/>
  <c r="T193" i="13"/>
  <c r="S193" i="13"/>
  <c r="O193" i="13"/>
  <c r="U193" i="13"/>
  <c r="R193" i="13"/>
  <c r="S195" i="13"/>
  <c r="R195" i="13"/>
  <c r="U195" i="13"/>
  <c r="O195" i="13"/>
  <c r="T195" i="13"/>
  <c r="AD128" i="13"/>
  <c r="AF128" i="13" s="1"/>
  <c r="S192" i="13"/>
  <c r="U192" i="13"/>
  <c r="T192" i="13"/>
  <c r="O192" i="13"/>
  <c r="R192" i="13"/>
  <c r="AJ180" i="13"/>
  <c r="T181" i="13"/>
  <c r="S181" i="13"/>
  <c r="O181" i="13"/>
  <c r="R181" i="13"/>
  <c r="U181" i="13"/>
  <c r="AD188" i="13"/>
  <c r="AE188" i="13"/>
  <c r="S187" i="13"/>
  <c r="R187" i="13"/>
  <c r="U187" i="13"/>
  <c r="O187" i="13"/>
  <c r="T187" i="13"/>
  <c r="AJ179" i="13"/>
  <c r="AJ186" i="13"/>
  <c r="AH191" i="13"/>
  <c r="P191" i="13"/>
  <c r="AJ187" i="13"/>
  <c r="AD125" i="13"/>
  <c r="AE125" i="13"/>
  <c r="AH113" i="13"/>
  <c r="AD195" i="13"/>
  <c r="AE195" i="13"/>
  <c r="AD185" i="13"/>
  <c r="AE185" i="13"/>
  <c r="R189" i="13"/>
  <c r="U189" i="13"/>
  <c r="O189" i="13"/>
  <c r="S189" i="13"/>
  <c r="T189" i="13"/>
  <c r="S178" i="13"/>
  <c r="R178" i="13"/>
  <c r="U178" i="13"/>
  <c r="T178" i="13"/>
  <c r="O178" i="13"/>
  <c r="K196" i="13"/>
  <c r="S177" i="13"/>
  <c r="O177" i="13"/>
  <c r="T177" i="13"/>
  <c r="R177" i="13"/>
  <c r="U177" i="13"/>
  <c r="T185" i="13"/>
  <c r="O185" i="13"/>
  <c r="S185" i="13"/>
  <c r="R185" i="13"/>
  <c r="U185" i="13"/>
  <c r="S180" i="13"/>
  <c r="O180" i="13"/>
  <c r="U180" i="13"/>
  <c r="T180" i="13"/>
  <c r="R180" i="13"/>
  <c r="AD178" i="13"/>
  <c r="AE178" i="13"/>
  <c r="S183" i="13"/>
  <c r="T183" i="13"/>
  <c r="U183" i="13"/>
  <c r="O183" i="13"/>
  <c r="R183" i="13"/>
  <c r="S182" i="13"/>
  <c r="R182" i="13"/>
  <c r="U182" i="13"/>
  <c r="T182" i="13"/>
  <c r="O182" i="13"/>
  <c r="AJ190" i="13"/>
  <c r="AD177" i="13"/>
  <c r="AE177" i="13"/>
  <c r="AD181" i="13"/>
  <c r="AE181" i="13"/>
  <c r="AJ194" i="13"/>
  <c r="U194" i="13"/>
  <c r="R194" i="13"/>
  <c r="O194" i="13"/>
  <c r="T194" i="13"/>
  <c r="S194" i="13"/>
  <c r="AJ192" i="13"/>
  <c r="AD191" i="13"/>
  <c r="AE191" i="13"/>
  <c r="T112" i="13"/>
  <c r="T132" i="13" s="1"/>
  <c r="P15" i="29"/>
  <c r="O15" i="29"/>
  <c r="J113" i="18"/>
  <c r="I28" i="38" s="1"/>
  <c r="O18" i="29"/>
  <c r="O19" i="29" s="1"/>
  <c r="O21" i="29" s="1"/>
  <c r="O24" i="29" s="1"/>
  <c r="G9" i="22"/>
  <c r="Q42" i="29"/>
  <c r="Q37" i="29" s="1"/>
  <c r="Q14" i="29" s="1"/>
  <c r="L18" i="18"/>
  <c r="Q13" i="29" s="1"/>
  <c r="L17" i="18"/>
  <c r="Q10" i="29" s="1"/>
  <c r="K113" i="18"/>
  <c r="J28" i="38" s="1"/>
  <c r="G10" i="22"/>
  <c r="R41" i="29"/>
  <c r="Q36" i="29"/>
  <c r="Q11" i="29" s="1"/>
  <c r="K112" i="18"/>
  <c r="J27" i="38" s="1"/>
  <c r="P18" i="29"/>
  <c r="P12" i="29"/>
  <c r="G7" i="22"/>
  <c r="M15" i="18" s="1"/>
  <c r="R20" i="29" s="1"/>
  <c r="L15" i="18"/>
  <c r="Q20" i="29" s="1"/>
  <c r="G40" i="37"/>
  <c r="G43" i="37" s="1"/>
  <c r="H62" i="49" s="1"/>
  <c r="I15" i="39"/>
  <c r="AH119" i="13"/>
  <c r="K85" i="38"/>
  <c r="M17" i="24"/>
  <c r="L31" i="18" s="1"/>
  <c r="L40" i="18" s="1"/>
  <c r="K16" i="38" s="1"/>
  <c r="I90" i="31"/>
  <c r="L54" i="49"/>
  <c r="L55" i="49" s="1"/>
  <c r="L64" i="39"/>
  <c r="L52" i="40" s="1"/>
  <c r="S34" i="29"/>
  <c r="E6" i="22"/>
  <c r="L9" i="24" s="1"/>
  <c r="I15" i="31"/>
  <c r="K87" i="31"/>
  <c r="K88" i="31"/>
  <c r="K86" i="31"/>
  <c r="S18" i="29"/>
  <c r="S19" i="29" s="1"/>
  <c r="S21" i="29" s="1"/>
  <c r="S12" i="29"/>
  <c r="L18" i="24"/>
  <c r="AE120" i="13"/>
  <c r="AF120" i="13" s="1"/>
  <c r="S120" i="13" s="1"/>
  <c r="F4" i="22"/>
  <c r="I77" i="38"/>
  <c r="J68" i="38"/>
  <c r="K68" i="38"/>
  <c r="H86" i="38"/>
  <c r="H87" i="38" s="1"/>
  <c r="L68" i="38"/>
  <c r="J73" i="38"/>
  <c r="K26" i="40"/>
  <c r="J80" i="31"/>
  <c r="K101" i="49" s="1"/>
  <c r="AD114" i="13"/>
  <c r="AF114" i="13" s="1"/>
  <c r="P129" i="13"/>
  <c r="AH129" i="13"/>
  <c r="O132" i="13"/>
  <c r="AF87" i="13"/>
  <c r="S87" i="13" s="1"/>
  <c r="P125" i="13"/>
  <c r="AH125" i="13"/>
  <c r="P121" i="13"/>
  <c r="AH121" i="13"/>
  <c r="AH126" i="13"/>
  <c r="P126" i="13"/>
  <c r="AH128" i="13"/>
  <c r="P128" i="13"/>
  <c r="P131" i="13"/>
  <c r="AH131" i="13"/>
  <c r="P123" i="13"/>
  <c r="AH123" i="13"/>
  <c r="AH130" i="13"/>
  <c r="P130" i="13"/>
  <c r="M91" i="18"/>
  <c r="I22" i="18"/>
  <c r="I24" i="18" s="1"/>
  <c r="H15" i="38" s="1"/>
  <c r="J89" i="31"/>
  <c r="N133" i="24"/>
  <c r="K78" i="31"/>
  <c r="L100" i="49" s="1"/>
  <c r="G16" i="37"/>
  <c r="P100" i="13"/>
  <c r="AF88" i="13"/>
  <c r="S88" i="13" s="1"/>
  <c r="U88" i="13" s="1"/>
  <c r="U54" i="13"/>
  <c r="AD119" i="13"/>
  <c r="AD113" i="13"/>
  <c r="AE119" i="13"/>
  <c r="R119" i="13" s="1"/>
  <c r="AE113" i="13"/>
  <c r="R113" i="13" s="1"/>
  <c r="U50" i="13"/>
  <c r="R68" i="13"/>
  <c r="AH118" i="13"/>
  <c r="P118" i="13"/>
  <c r="R84" i="13"/>
  <c r="U51" i="13"/>
  <c r="AH114" i="13"/>
  <c r="P114" i="13"/>
  <c r="R83" i="13"/>
  <c r="P116" i="13"/>
  <c r="AH116" i="13"/>
  <c r="S68" i="13"/>
  <c r="G232" i="13" s="1"/>
  <c r="S86" i="13"/>
  <c r="R86" i="13"/>
  <c r="U52" i="13"/>
  <c r="U81" i="13"/>
  <c r="R120" i="13"/>
  <c r="U87" i="13"/>
  <c r="R82" i="13"/>
  <c r="S82" i="13"/>
  <c r="P117" i="13"/>
  <c r="AH117" i="13"/>
  <c r="P115" i="13"/>
  <c r="AH115" i="13"/>
  <c r="AF90" i="13"/>
  <c r="AF84" i="13"/>
  <c r="S84" i="13" s="1"/>
  <c r="AF131" i="13"/>
  <c r="AF121" i="13"/>
  <c r="AF124" i="13"/>
  <c r="AF83" i="13"/>
  <c r="S83" i="13" s="1"/>
  <c r="AF91" i="13"/>
  <c r="AF94" i="13"/>
  <c r="AF127" i="13"/>
  <c r="AD115" i="13"/>
  <c r="AE115" i="13"/>
  <c r="AF129" i="13"/>
  <c r="AE116" i="13"/>
  <c r="AD116" i="13"/>
  <c r="AF118" i="13"/>
  <c r="AE122" i="13"/>
  <c r="AD122" i="13"/>
  <c r="AF117" i="13"/>
  <c r="AF98" i="13"/>
  <c r="AE130" i="13"/>
  <c r="AD130" i="13"/>
  <c r="AD123" i="13"/>
  <c r="AE123" i="13"/>
  <c r="AE126" i="13"/>
  <c r="AD126" i="13"/>
  <c r="AF80" i="13"/>
  <c r="S80" i="13" s="1"/>
  <c r="AE112" i="13"/>
  <c r="R112" i="13" s="1"/>
  <c r="AD112" i="13"/>
  <c r="U48" i="13"/>
  <c r="H13" i="37"/>
  <c r="J15" i="39" s="1"/>
  <c r="J12" i="37"/>
  <c r="L14" i="37"/>
  <c r="K59" i="38" l="1"/>
  <c r="K8" i="40"/>
  <c r="K8" i="38"/>
  <c r="N8" i="35"/>
  <c r="N63" i="35" s="1"/>
  <c r="K8" i="48"/>
  <c r="K13" i="48" s="1"/>
  <c r="K7" i="49"/>
  <c r="K8" i="39"/>
  <c r="K61" i="39" s="1"/>
  <c r="AF159" i="13"/>
  <c r="AL196" i="13"/>
  <c r="H236" i="13" s="1"/>
  <c r="AF154" i="13"/>
  <c r="AF145" i="13"/>
  <c r="AB164" i="13"/>
  <c r="AF163" i="13"/>
  <c r="F235" i="13"/>
  <c r="E235" i="13"/>
  <c r="AE144" i="13"/>
  <c r="AD144" i="13"/>
  <c r="T164" i="13"/>
  <c r="AE158" i="13"/>
  <c r="AD158" i="13"/>
  <c r="J176" i="13"/>
  <c r="AB176" i="13" s="1"/>
  <c r="AE176" i="13" s="1"/>
  <c r="AE148" i="13"/>
  <c r="AD148" i="13"/>
  <c r="AF161" i="13"/>
  <c r="AL164" i="13"/>
  <c r="H235" i="13" s="1"/>
  <c r="AE160" i="13"/>
  <c r="AD160" i="13"/>
  <c r="AF151" i="13"/>
  <c r="AF155" i="13"/>
  <c r="AD147" i="13"/>
  <c r="AE147" i="13"/>
  <c r="AD162" i="13"/>
  <c r="AE162" i="13"/>
  <c r="P19" i="29"/>
  <c r="F21" i="22"/>
  <c r="J65" i="31"/>
  <c r="AF177" i="13"/>
  <c r="AF146" i="13"/>
  <c r="AF153" i="13"/>
  <c r="R144" i="13"/>
  <c r="AF152" i="13"/>
  <c r="AF150" i="13"/>
  <c r="P161" i="13"/>
  <c r="AH161" i="13"/>
  <c r="AF193" i="13"/>
  <c r="AF157" i="13"/>
  <c r="AF195" i="13"/>
  <c r="AF191" i="13"/>
  <c r="AF125" i="13"/>
  <c r="O196" i="13"/>
  <c r="AL112" i="13"/>
  <c r="AL132" i="13" s="1"/>
  <c r="H234" i="13" s="1"/>
  <c r="AB132" i="13"/>
  <c r="AF184" i="13"/>
  <c r="AF183" i="13"/>
  <c r="AD189" i="13"/>
  <c r="AE189" i="13"/>
  <c r="P192" i="13"/>
  <c r="AH192" i="13"/>
  <c r="P186" i="13"/>
  <c r="AH186" i="13"/>
  <c r="AD192" i="13"/>
  <c r="AE192" i="13"/>
  <c r="P194" i="13"/>
  <c r="AH194" i="13"/>
  <c r="AD194" i="13"/>
  <c r="AE194" i="13"/>
  <c r="P177" i="13"/>
  <c r="AH177" i="13"/>
  <c r="AD180" i="13"/>
  <c r="AE180" i="13"/>
  <c r="AH184" i="13"/>
  <c r="P184" i="13"/>
  <c r="AD190" i="13"/>
  <c r="AE190" i="13"/>
  <c r="AH180" i="13"/>
  <c r="P180" i="13"/>
  <c r="P189" i="13"/>
  <c r="AH189" i="13"/>
  <c r="P182" i="13"/>
  <c r="AH182" i="13"/>
  <c r="AH185" i="13"/>
  <c r="P185" i="13"/>
  <c r="AH178" i="13"/>
  <c r="P178" i="13"/>
  <c r="AD179" i="13"/>
  <c r="AE179" i="13"/>
  <c r="P193" i="13"/>
  <c r="AH193" i="13"/>
  <c r="AF181" i="13"/>
  <c r="AH183" i="13"/>
  <c r="P183" i="13"/>
  <c r="AF178" i="13"/>
  <c r="AF185" i="13"/>
  <c r="AD187" i="13"/>
  <c r="AE187" i="13"/>
  <c r="AD186" i="13"/>
  <c r="AE186" i="13"/>
  <c r="AH187" i="13"/>
  <c r="P187" i="13"/>
  <c r="AF188" i="13"/>
  <c r="P181" i="13"/>
  <c r="AH181" i="13"/>
  <c r="AH195" i="13"/>
  <c r="P195" i="13"/>
  <c r="AH179" i="13"/>
  <c r="P179" i="13"/>
  <c r="P190" i="13"/>
  <c r="AH190" i="13"/>
  <c r="AF182" i="13"/>
  <c r="N15" i="24"/>
  <c r="Q15" i="29"/>
  <c r="L113" i="18"/>
  <c r="K28" i="38" s="1"/>
  <c r="J114" i="18"/>
  <c r="L14" i="24"/>
  <c r="L22" i="24"/>
  <c r="Q142" i="29"/>
  <c r="Q38" i="29" s="1"/>
  <c r="R42" i="29"/>
  <c r="R37" i="29" s="1"/>
  <c r="R14" i="29" s="1"/>
  <c r="M18" i="18"/>
  <c r="R13" i="29" s="1"/>
  <c r="M17" i="18"/>
  <c r="R10" i="29" s="1"/>
  <c r="P21" i="29"/>
  <c r="K19" i="18" s="1"/>
  <c r="K22" i="18" s="1"/>
  <c r="K24" i="18" s="1"/>
  <c r="J15" i="38" s="1"/>
  <c r="J80" i="38"/>
  <c r="I80" i="38"/>
  <c r="K114" i="18"/>
  <c r="R36" i="29"/>
  <c r="R11" i="29" s="1"/>
  <c r="F15" i="22"/>
  <c r="J15" i="31"/>
  <c r="L8" i="18"/>
  <c r="K16" i="31"/>
  <c r="K84" i="31" s="1"/>
  <c r="F40" i="22"/>
  <c r="L112" i="18"/>
  <c r="K27" i="38" s="1"/>
  <c r="Q18" i="29"/>
  <c r="F12" i="22"/>
  <c r="F6" i="22"/>
  <c r="M9" i="24" s="1"/>
  <c r="G4" i="22"/>
  <c r="S24" i="29"/>
  <c r="J77" i="38"/>
  <c r="S8" i="29"/>
  <c r="N216" i="48"/>
  <c r="N204" i="48"/>
  <c r="N144" i="48"/>
  <c r="N41" i="48"/>
  <c r="N124" i="48"/>
  <c r="N184" i="48"/>
  <c r="N101" i="48"/>
  <c r="N164" i="48"/>
  <c r="N81" i="48"/>
  <c r="N61" i="48"/>
  <c r="I83" i="38"/>
  <c r="K86" i="38"/>
  <c r="J86" i="38"/>
  <c r="I86" i="38"/>
  <c r="L72" i="38"/>
  <c r="K73" i="38"/>
  <c r="J83" i="38"/>
  <c r="M18" i="24"/>
  <c r="O22" i="29"/>
  <c r="O26" i="29" s="1"/>
  <c r="J19" i="18"/>
  <c r="K89" i="31"/>
  <c r="K80" i="31"/>
  <c r="L101" i="49" s="1"/>
  <c r="J90" i="31"/>
  <c r="Q17" i="29"/>
  <c r="Q12" i="29"/>
  <c r="AF119" i="13"/>
  <c r="S119" i="13" s="1"/>
  <c r="U119" i="13" s="1"/>
  <c r="R100" i="13"/>
  <c r="AF113" i="13"/>
  <c r="S113" i="13" s="1"/>
  <c r="U113" i="13" s="1"/>
  <c r="U82" i="13"/>
  <c r="U120" i="13"/>
  <c r="U83" i="13"/>
  <c r="U68" i="13"/>
  <c r="S100" i="13"/>
  <c r="G233" i="13" s="1"/>
  <c r="R115" i="13"/>
  <c r="S114" i="13"/>
  <c r="R114" i="13"/>
  <c r="R118" i="13"/>
  <c r="S118" i="13"/>
  <c r="R116" i="13"/>
  <c r="P132" i="13"/>
  <c r="U86" i="13"/>
  <c r="U84" i="13"/>
  <c r="AF122" i="13"/>
  <c r="AF116" i="13"/>
  <c r="S116" i="13" s="1"/>
  <c r="AF126" i="13"/>
  <c r="AF130" i="13"/>
  <c r="AF123" i="13"/>
  <c r="AF115" i="13"/>
  <c r="S115" i="13" s="1"/>
  <c r="U80" i="13"/>
  <c r="AF112" i="13"/>
  <c r="S112" i="13" s="1"/>
  <c r="H40" i="37"/>
  <c r="H16" i="37"/>
  <c r="J39" i="37"/>
  <c r="L41" i="37"/>
  <c r="L59" i="38" l="1"/>
  <c r="L7" i="49"/>
  <c r="L8" i="39"/>
  <c r="L61" i="39" s="1"/>
  <c r="L8" i="40"/>
  <c r="L8" i="38"/>
  <c r="O8" i="35"/>
  <c r="O63" i="35" s="1"/>
  <c r="L8" i="48"/>
  <c r="L13" i="48" s="1"/>
  <c r="K117" i="49"/>
  <c r="K89" i="49"/>
  <c r="K21" i="48"/>
  <c r="K213" i="48"/>
  <c r="K176" i="48"/>
  <c r="K93" i="48"/>
  <c r="K156" i="48"/>
  <c r="K73" i="48"/>
  <c r="K33" i="48"/>
  <c r="K136" i="48"/>
  <c r="K53" i="48"/>
  <c r="K196" i="48"/>
  <c r="K116" i="48"/>
  <c r="AF147" i="13"/>
  <c r="AF144" i="13"/>
  <c r="S144" i="13" s="1"/>
  <c r="R142" i="29"/>
  <c r="R38" i="29" s="1"/>
  <c r="T176" i="13"/>
  <c r="T196" i="13" s="1"/>
  <c r="E234" i="13"/>
  <c r="F234" i="13"/>
  <c r="AB196" i="13"/>
  <c r="AD176" i="13"/>
  <c r="AF160" i="13"/>
  <c r="AF148" i="13"/>
  <c r="AF162" i="13"/>
  <c r="J39" i="39"/>
  <c r="AF158" i="13"/>
  <c r="H4" i="22"/>
  <c r="M8" i="48" s="1"/>
  <c r="M13" i="48" s="1"/>
  <c r="K65" i="31"/>
  <c r="G21" i="22"/>
  <c r="M133" i="18"/>
  <c r="L25" i="38" s="1"/>
  <c r="U144" i="13"/>
  <c r="P164" i="13"/>
  <c r="R161" i="13"/>
  <c r="S161" i="13"/>
  <c r="I108" i="18"/>
  <c r="AF189" i="13"/>
  <c r="P196" i="13"/>
  <c r="AF186" i="13"/>
  <c r="AF179" i="13"/>
  <c r="AF190" i="13"/>
  <c r="AF180" i="13"/>
  <c r="AF194" i="13"/>
  <c r="AF192" i="13"/>
  <c r="AF187" i="13"/>
  <c r="AF176" i="13"/>
  <c r="S176" i="13" s="1"/>
  <c r="S196" i="13" s="1"/>
  <c r="G236" i="13" s="1"/>
  <c r="R176" i="13"/>
  <c r="R17" i="29"/>
  <c r="N17" i="24"/>
  <c r="M31" i="18" s="1"/>
  <c r="M40" i="18" s="1"/>
  <c r="L16" i="38" s="1"/>
  <c r="R15" i="29"/>
  <c r="H80" i="38"/>
  <c r="M113" i="18"/>
  <c r="L28" i="38" s="1"/>
  <c r="P22" i="29"/>
  <c r="P26" i="29" s="1"/>
  <c r="M14" i="24"/>
  <c r="M22" i="24"/>
  <c r="P24" i="29"/>
  <c r="Q19" i="29"/>
  <c r="Q21" i="29" s="1"/>
  <c r="R18" i="29"/>
  <c r="R12" i="29"/>
  <c r="M112" i="18"/>
  <c r="L27" i="38" s="1"/>
  <c r="L114" i="18"/>
  <c r="G15" i="22"/>
  <c r="G40" i="22"/>
  <c r="K15" i="31"/>
  <c r="M8" i="18"/>
  <c r="L110" i="18"/>
  <c r="L131" i="18"/>
  <c r="L101" i="18"/>
  <c r="L71" i="18"/>
  <c r="L28" i="18"/>
  <c r="L47" i="18"/>
  <c r="I79" i="38"/>
  <c r="J79" i="38"/>
  <c r="G12" i="22"/>
  <c r="G6" i="22"/>
  <c r="N9" i="24" s="1"/>
  <c r="I87" i="38"/>
  <c r="J87" i="38"/>
  <c r="L73" i="38"/>
  <c r="K83" i="38"/>
  <c r="K90" i="31"/>
  <c r="J22" i="18"/>
  <c r="J24" i="18" s="1"/>
  <c r="I15" i="38" s="1"/>
  <c r="U118" i="13"/>
  <c r="U114" i="13"/>
  <c r="S132" i="13"/>
  <c r="G234" i="13" s="1"/>
  <c r="U115" i="13"/>
  <c r="R132" i="13"/>
  <c r="U100" i="13"/>
  <c r="U116" i="13"/>
  <c r="F86" i="49"/>
  <c r="F26" i="49"/>
  <c r="U112" i="13"/>
  <c r="I13" i="37"/>
  <c r="K15" i="39" s="1"/>
  <c r="H43" i="37"/>
  <c r="I62" i="49" s="1"/>
  <c r="K12" i="37"/>
  <c r="M14" i="37"/>
  <c r="L21" i="48" l="1"/>
  <c r="L213" i="48"/>
  <c r="L116" i="48"/>
  <c r="L33" i="48"/>
  <c r="L156" i="48"/>
  <c r="L136" i="48"/>
  <c r="L176" i="48"/>
  <c r="L73" i="48"/>
  <c r="L53" i="48"/>
  <c r="L196" i="48"/>
  <c r="L93" i="48"/>
  <c r="M21" i="48"/>
  <c r="M53" i="48"/>
  <c r="M136" i="48"/>
  <c r="M213" i="48"/>
  <c r="M196" i="48"/>
  <c r="M156" i="48"/>
  <c r="M116" i="48"/>
  <c r="M73" i="48"/>
  <c r="M33" i="48"/>
  <c r="M176" i="48"/>
  <c r="M93" i="48"/>
  <c r="K124" i="48"/>
  <c r="K164" i="48"/>
  <c r="K184" i="48"/>
  <c r="K204" i="48"/>
  <c r="K144" i="48"/>
  <c r="K61" i="48"/>
  <c r="K101" i="48"/>
  <c r="K41" i="48"/>
  <c r="K216" i="48"/>
  <c r="K81" i="48"/>
  <c r="L117" i="49"/>
  <c r="L89" i="49"/>
  <c r="S164" i="13"/>
  <c r="G235" i="13" s="1"/>
  <c r="F236" i="13"/>
  <c r="E236" i="13"/>
  <c r="H25" i="49"/>
  <c r="H86" i="49" s="1"/>
  <c r="K39" i="39"/>
  <c r="J41" i="39"/>
  <c r="J28" i="40" s="1"/>
  <c r="R19" i="29"/>
  <c r="R21" i="29" s="1"/>
  <c r="R24" i="29" s="1"/>
  <c r="U161" i="13"/>
  <c r="U164" i="13" s="1"/>
  <c r="R164" i="13"/>
  <c r="J108" i="18"/>
  <c r="U176" i="13"/>
  <c r="U196" i="13" s="1"/>
  <c r="M108" i="18" s="1"/>
  <c r="R196" i="13"/>
  <c r="N18" i="24"/>
  <c r="L80" i="38"/>
  <c r="N14" i="24"/>
  <c r="N22" i="24"/>
  <c r="K80" i="38"/>
  <c r="Q24" i="29"/>
  <c r="M110" i="18"/>
  <c r="M131" i="18"/>
  <c r="M101" i="18"/>
  <c r="M71" i="18"/>
  <c r="M47" i="18"/>
  <c r="M28" i="18"/>
  <c r="K79" i="38"/>
  <c r="M114" i="18"/>
  <c r="O124" i="35"/>
  <c r="O141" i="35" s="1"/>
  <c r="S22" i="29"/>
  <c r="L83" i="38"/>
  <c r="F78" i="49"/>
  <c r="L19" i="18"/>
  <c r="Q22" i="29"/>
  <c r="Q26" i="29" s="1"/>
  <c r="U132" i="13"/>
  <c r="F103" i="49"/>
  <c r="F27" i="49"/>
  <c r="G17" i="39"/>
  <c r="I40" i="37"/>
  <c r="I16" i="37"/>
  <c r="K39" i="37"/>
  <c r="M41" i="37"/>
  <c r="M101" i="48" l="1"/>
  <c r="M81" i="48"/>
  <c r="M41" i="48"/>
  <c r="M124" i="48"/>
  <c r="M144" i="48"/>
  <c r="M61" i="48"/>
  <c r="M216" i="48"/>
  <c r="M164" i="48"/>
  <c r="M204" i="48"/>
  <c r="M184" i="48"/>
  <c r="L101" i="48"/>
  <c r="L81" i="48"/>
  <c r="L124" i="48"/>
  <c r="L164" i="48"/>
  <c r="L41" i="48"/>
  <c r="L144" i="48"/>
  <c r="L61" i="48"/>
  <c r="L184" i="48"/>
  <c r="L216" i="48"/>
  <c r="L204" i="48"/>
  <c r="I25" i="49"/>
  <c r="I86" i="49" s="1"/>
  <c r="L108" i="18"/>
  <c r="L39" i="39"/>
  <c r="L41" i="39" s="1"/>
  <c r="K41" i="39"/>
  <c r="K28" i="40" s="1"/>
  <c r="K108" i="18"/>
  <c r="L67" i="38"/>
  <c r="L79" i="38"/>
  <c r="M19" i="18"/>
  <c r="M22" i="18" s="1"/>
  <c r="M24" i="18" s="1"/>
  <c r="L15" i="38" s="1"/>
  <c r="R22" i="29"/>
  <c r="R26" i="29" s="1"/>
  <c r="O145" i="35"/>
  <c r="K77" i="38"/>
  <c r="K87" i="38" s="1"/>
  <c r="L77" i="38"/>
  <c r="L87" i="38" s="1"/>
  <c r="M135" i="18"/>
  <c r="M166" i="18" s="1"/>
  <c r="I66" i="38"/>
  <c r="S26" i="29"/>
  <c r="H66" i="38"/>
  <c r="L22" i="18"/>
  <c r="L24" i="18" s="1"/>
  <c r="K15" i="38" s="1"/>
  <c r="H26" i="49"/>
  <c r="H27" i="49" s="1"/>
  <c r="J13" i="37"/>
  <c r="L15" i="39" s="1"/>
  <c r="I43" i="37"/>
  <c r="J62" i="49" s="1"/>
  <c r="L12" i="37"/>
  <c r="L77" i="49" l="1"/>
  <c r="L28" i="40"/>
  <c r="K25" i="49"/>
  <c r="K86" i="49" s="1"/>
  <c r="J25" i="49"/>
  <c r="J86" i="49" s="1"/>
  <c r="O150" i="35"/>
  <c r="H78" i="49"/>
  <c r="H103" i="49"/>
  <c r="L25" i="49"/>
  <c r="L86" i="49" s="1"/>
  <c r="I26" i="49"/>
  <c r="H17" i="39"/>
  <c r="J40" i="37"/>
  <c r="J16" i="37"/>
  <c r="L39" i="37"/>
  <c r="J26" i="49" l="1"/>
  <c r="J27" i="49" s="1"/>
  <c r="K26" i="49"/>
  <c r="K78" i="49" s="1"/>
  <c r="I78" i="49"/>
  <c r="I27" i="49"/>
  <c r="J78" i="49"/>
  <c r="I103" i="49"/>
  <c r="L26" i="49"/>
  <c r="L66" i="38"/>
  <c r="K66" i="38"/>
  <c r="J66" i="38"/>
  <c r="K13" i="37"/>
  <c r="J43" i="37"/>
  <c r="K62" i="49" s="1"/>
  <c r="M12" i="37"/>
  <c r="J103" i="49" l="1"/>
  <c r="K103" i="49"/>
  <c r="K27" i="49"/>
  <c r="L103" i="49"/>
  <c r="L27" i="49"/>
  <c r="L78" i="49"/>
  <c r="L35" i="38"/>
  <c r="M171" i="18"/>
  <c r="I17" i="39"/>
  <c r="K40" i="37"/>
  <c r="K16" i="37"/>
  <c r="M39" i="37"/>
  <c r="L19" i="49" l="1"/>
  <c r="L21" i="49" s="1"/>
  <c r="L84" i="49" s="1"/>
  <c r="L63" i="49"/>
  <c r="L65" i="38"/>
  <c r="L74" i="38" s="1"/>
  <c r="L89" i="38" s="1"/>
  <c r="L102" i="38" s="1"/>
  <c r="L13" i="37"/>
  <c r="K43" i="37"/>
  <c r="L62" i="49" s="1"/>
  <c r="L22" i="49" l="1"/>
  <c r="L82" i="49"/>
  <c r="L81" i="49"/>
  <c r="L40" i="37"/>
  <c r="L16" i="37"/>
  <c r="J17" i="39"/>
  <c r="M13" i="37" l="1"/>
  <c r="L43" i="37"/>
  <c r="K17" i="39" l="1"/>
  <c r="M40" i="37"/>
  <c r="M43" i="37" s="1"/>
  <c r="M16" i="37"/>
  <c r="L17" i="39" l="1"/>
  <c r="K135" i="18" l="1"/>
  <c r="K166" i="18" s="1"/>
  <c r="J77" i="49" l="1"/>
  <c r="I135" i="18"/>
  <c r="I166" i="18" s="1"/>
  <c r="J135" i="18"/>
  <c r="J166" i="18" s="1"/>
  <c r="H77" i="49" l="1"/>
  <c r="H110" i="49"/>
  <c r="L110" i="49"/>
  <c r="I110" i="49"/>
  <c r="I77" i="49"/>
  <c r="J110" i="49"/>
  <c r="H166" i="18"/>
  <c r="L135" i="18"/>
  <c r="L166" i="18" s="1"/>
  <c r="K77" i="49" l="1"/>
  <c r="K110" i="49"/>
  <c r="K43" i="18"/>
  <c r="K95" i="18" l="1"/>
  <c r="J171" i="18" s="1"/>
  <c r="J14" i="38"/>
  <c r="K124" i="35"/>
  <c r="K141" i="35" s="1"/>
  <c r="J43" i="18"/>
  <c r="I43" i="18"/>
  <c r="G131" i="18"/>
  <c r="J76" i="49" l="1"/>
  <c r="I95" i="18"/>
  <c r="H76" i="49" s="1"/>
  <c r="H14" i="38"/>
  <c r="J95" i="18"/>
  <c r="I76" i="49" s="1"/>
  <c r="I14" i="38"/>
  <c r="K35" i="38"/>
  <c r="M43" i="18"/>
  <c r="K145" i="35"/>
  <c r="F87" i="38"/>
  <c r="F19" i="49" s="1"/>
  <c r="M124" i="35"/>
  <c r="M141" i="35" s="1"/>
  <c r="L124" i="35"/>
  <c r="L141" i="35" s="1"/>
  <c r="L145" i="35" s="1"/>
  <c r="I171" i="18" l="1"/>
  <c r="H171" i="18"/>
  <c r="M95" i="18"/>
  <c r="L76" i="49" s="1"/>
  <c r="L14" i="38"/>
  <c r="K63" i="49"/>
  <c r="K19" i="49"/>
  <c r="K21" i="49" s="1"/>
  <c r="M145" i="35"/>
  <c r="I35" i="38"/>
  <c r="H35" i="38"/>
  <c r="N124" i="35"/>
  <c r="N141" i="35" s="1"/>
  <c r="L43" i="18"/>
  <c r="K22" i="49" l="1"/>
  <c r="L171" i="18"/>
  <c r="L95" i="18"/>
  <c r="K76" i="49" s="1"/>
  <c r="K14" i="38"/>
  <c r="L23" i="38"/>
  <c r="K82" i="49"/>
  <c r="K81" i="49"/>
  <c r="I63" i="49"/>
  <c r="I19" i="49"/>
  <c r="H63" i="49"/>
  <c r="H19" i="49"/>
  <c r="N145" i="35"/>
  <c r="K84" i="49" s="1"/>
  <c r="K171" i="18" l="1"/>
  <c r="L58" i="49"/>
  <c r="L13" i="49"/>
  <c r="L37" i="38"/>
  <c r="J35" i="38"/>
  <c r="L42" i="49" l="1"/>
  <c r="L40" i="49"/>
  <c r="L39" i="49"/>
  <c r="J63" i="49"/>
  <c r="J19" i="49"/>
  <c r="K67" i="38" l="1"/>
  <c r="K65" i="38" l="1"/>
  <c r="K74" i="38" s="1"/>
  <c r="K89" i="38" s="1"/>
  <c r="K23" i="38"/>
  <c r="N150" i="35"/>
  <c r="K58" i="49" l="1"/>
  <c r="K13" i="49"/>
  <c r="J21" i="49"/>
  <c r="K37" i="38"/>
  <c r="J22" i="49" l="1"/>
  <c r="J84" i="49"/>
  <c r="K42" i="49"/>
  <c r="J82" i="49"/>
  <c r="K39" i="49"/>
  <c r="K40" i="49"/>
  <c r="J81" i="49"/>
  <c r="H149" i="18" l="1"/>
  <c r="F110" i="49" l="1"/>
  <c r="F77" i="49"/>
  <c r="F35" i="38"/>
  <c r="H95" i="18" l="1"/>
  <c r="F76" i="49" l="1"/>
  <c r="F63" i="49"/>
  <c r="F37" i="38" l="1"/>
  <c r="J67" i="38" l="1"/>
  <c r="I67" i="38"/>
  <c r="F74" i="38"/>
  <c r="J23" i="38" l="1"/>
  <c r="H67" i="38"/>
  <c r="M150" i="35"/>
  <c r="L150" i="35"/>
  <c r="F89" i="38"/>
  <c r="F13" i="49"/>
  <c r="J65" i="38" l="1"/>
  <c r="J74" i="38" s="1"/>
  <c r="J89" i="38" s="1"/>
  <c r="K150" i="35"/>
  <c r="H23" i="38"/>
  <c r="H13" i="49" s="1"/>
  <c r="J58" i="49"/>
  <c r="J13" i="49"/>
  <c r="I65" i="38"/>
  <c r="I74" i="38" s="1"/>
  <c r="I23" i="38"/>
  <c r="F40" i="49"/>
  <c r="F39" i="49"/>
  <c r="F41" i="49"/>
  <c r="F38" i="49"/>
  <c r="F42" i="49"/>
  <c r="I21" i="49"/>
  <c r="J37" i="38"/>
  <c r="I22" i="49" l="1"/>
  <c r="I84" i="49"/>
  <c r="J42" i="49"/>
  <c r="H42" i="49"/>
  <c r="I82" i="49"/>
  <c r="J105" i="49"/>
  <c r="K105" i="49"/>
  <c r="L105" i="49"/>
  <c r="I105" i="49"/>
  <c r="H105" i="49"/>
  <c r="I58" i="49"/>
  <c r="I13" i="49"/>
  <c r="I37" i="38"/>
  <c r="H65" i="38"/>
  <c r="H74" i="38" s="1"/>
  <c r="I81" i="49"/>
  <c r="J39" i="49"/>
  <c r="J40" i="49"/>
  <c r="J41" i="49"/>
  <c r="H37" i="38"/>
  <c r="H58" i="49"/>
  <c r="I89" i="38"/>
  <c r="H21" i="49"/>
  <c r="H84" i="49" s="1"/>
  <c r="I42" i="49" l="1"/>
  <c r="H22" i="49"/>
  <c r="H82" i="49"/>
  <c r="J109" i="49"/>
  <c r="K109" i="49"/>
  <c r="L109" i="49"/>
  <c r="I109" i="49"/>
  <c r="H109" i="49"/>
  <c r="H81" i="49"/>
  <c r="I41" i="49"/>
  <c r="I39" i="49"/>
  <c r="I40" i="49"/>
  <c r="H89" i="38"/>
  <c r="F21" i="49"/>
  <c r="F82" i="49" l="1"/>
  <c r="F84" i="49"/>
  <c r="F81" i="49"/>
  <c r="H41" i="49"/>
  <c r="H40" i="49"/>
  <c r="H39" i="49"/>
  <c r="F22" i="49"/>
  <c r="F109" i="49"/>
  <c r="F46" i="38"/>
  <c r="F50" i="38" s="1"/>
  <c r="F67" i="49"/>
  <c r="F57" i="49" l="1"/>
  <c r="F59" i="49" s="1"/>
  <c r="F75" i="49"/>
  <c r="F98" i="38" l="1"/>
  <c r="F102" i="38" s="1"/>
  <c r="F14" i="49"/>
  <c r="F15" i="49" s="1"/>
  <c r="G36" i="39"/>
  <c r="H46" i="38"/>
  <c r="H50" i="38" s="1"/>
  <c r="H57" i="49" l="1"/>
  <c r="H59" i="49" s="1"/>
  <c r="H32" i="39"/>
  <c r="F80" i="49"/>
  <c r="F83" i="49"/>
  <c r="F104" i="49"/>
  <c r="F16" i="49"/>
  <c r="H17" i="40"/>
  <c r="H30" i="40" s="1"/>
  <c r="H48" i="40" s="1"/>
  <c r="H65" i="39"/>
  <c r="I46" i="38"/>
  <c r="I50" i="38" s="1"/>
  <c r="I57" i="49" s="1"/>
  <c r="I59" i="49" s="1"/>
  <c r="H67" i="49"/>
  <c r="F61" i="49"/>
  <c r="F64" i="49" s="1"/>
  <c r="F49" i="49"/>
  <c r="G56" i="39"/>
  <c r="F45" i="49"/>
  <c r="I17" i="40" l="1"/>
  <c r="I30" i="40" s="1"/>
  <c r="I48" i="40" s="1"/>
  <c r="I65" i="39"/>
  <c r="K43" i="38"/>
  <c r="J46" i="38"/>
  <c r="J50" i="38" s="1"/>
  <c r="J57" i="49" s="1"/>
  <c r="J59" i="49" s="1"/>
  <c r="H36" i="39"/>
  <c r="I67" i="49"/>
  <c r="G22" i="39"/>
  <c r="I32" i="39" l="1"/>
  <c r="H66" i="39"/>
  <c r="H38" i="49"/>
  <c r="L43" i="38"/>
  <c r="L95" i="38"/>
  <c r="L98" i="38" s="1"/>
  <c r="H61" i="49"/>
  <c r="H49" i="49"/>
  <c r="H45" i="49"/>
  <c r="K95" i="38"/>
  <c r="K98" i="38" s="1"/>
  <c r="K102" i="38" s="1"/>
  <c r="K14" i="49"/>
  <c r="K15" i="49" s="1"/>
  <c r="K41" i="49"/>
  <c r="H98" i="38"/>
  <c r="H102" i="38" s="1"/>
  <c r="H15" i="49"/>
  <c r="J17" i="40"/>
  <c r="J30" i="40" s="1"/>
  <c r="J48" i="40" s="1"/>
  <c r="J65" i="39"/>
  <c r="G23" i="39"/>
  <c r="J15" i="49"/>
  <c r="K46" i="38"/>
  <c r="K50" i="38" s="1"/>
  <c r="H56" i="39"/>
  <c r="J67" i="49"/>
  <c r="J80" i="49" l="1"/>
  <c r="J83" i="49"/>
  <c r="K83" i="49"/>
  <c r="K80" i="49"/>
  <c r="H83" i="49"/>
  <c r="H80" i="49"/>
  <c r="K16" i="49"/>
  <c r="J16" i="49"/>
  <c r="H16" i="49"/>
  <c r="J104" i="49"/>
  <c r="H104" i="49"/>
  <c r="K104" i="49"/>
  <c r="L46" i="38"/>
  <c r="L50" i="38" s="1"/>
  <c r="L14" i="49"/>
  <c r="L15" i="49" s="1"/>
  <c r="L41" i="49"/>
  <c r="K75" i="49"/>
  <c r="K65" i="39"/>
  <c r="K57" i="49"/>
  <c r="K59" i="49" s="1"/>
  <c r="I98" i="38"/>
  <c r="I102" i="38" s="1"/>
  <c r="I15" i="49"/>
  <c r="H75" i="49"/>
  <c r="L65" i="39"/>
  <c r="K17" i="40"/>
  <c r="K30" i="40" s="1"/>
  <c r="K48" i="40" s="1"/>
  <c r="J98" i="38"/>
  <c r="J102" i="38" s="1"/>
  <c r="H22" i="39"/>
  <c r="H63" i="39"/>
  <c r="J75" i="49"/>
  <c r="F53" i="49"/>
  <c r="G25" i="39"/>
  <c r="I36" i="39"/>
  <c r="L80" i="49" l="1"/>
  <c r="L83" i="49"/>
  <c r="I16" i="49"/>
  <c r="I83" i="49"/>
  <c r="I80" i="49"/>
  <c r="J32" i="39"/>
  <c r="I66" i="39"/>
  <c r="I38" i="49"/>
  <c r="L16" i="49"/>
  <c r="L104" i="49"/>
  <c r="I104" i="49"/>
  <c r="L75" i="49"/>
  <c r="L17" i="40"/>
  <c r="L30" i="40" s="1"/>
  <c r="L57" i="49"/>
  <c r="L59" i="49" s="1"/>
  <c r="G67" i="39"/>
  <c r="I49" i="49"/>
  <c r="I45" i="49"/>
  <c r="I61" i="49"/>
  <c r="I75" i="49"/>
  <c r="H64" i="49"/>
  <c r="I56" i="39"/>
  <c r="F50" i="49"/>
  <c r="F51" i="49" s="1"/>
  <c r="F46" i="49"/>
  <c r="F47" i="49" s="1"/>
  <c r="F66" i="49"/>
  <c r="F68" i="49" s="1"/>
  <c r="H11" i="40"/>
  <c r="H51" i="40" s="1"/>
  <c r="H23" i="39"/>
  <c r="H53" i="49" s="1"/>
  <c r="L48" i="40" l="1"/>
  <c r="J36" i="39"/>
  <c r="H25" i="39"/>
  <c r="I22" i="39"/>
  <c r="I63" i="39"/>
  <c r="K32" i="39" l="1"/>
  <c r="J66" i="39"/>
  <c r="J38" i="49"/>
  <c r="H67" i="39"/>
  <c r="H50" i="49"/>
  <c r="H46" i="49"/>
  <c r="J49" i="49"/>
  <c r="J45" i="49"/>
  <c r="J61" i="49"/>
  <c r="I64" i="49"/>
  <c r="J56" i="39"/>
  <c r="I11" i="40"/>
  <c r="I51" i="40" s="1"/>
  <c r="H49" i="40"/>
  <c r="I23" i="39"/>
  <c r="I53" i="49" s="1"/>
  <c r="K36" i="39" l="1"/>
  <c r="I25" i="39"/>
  <c r="J22" i="39"/>
  <c r="J63" i="39"/>
  <c r="L32" i="39" l="1"/>
  <c r="K66" i="39"/>
  <c r="K38" i="49"/>
  <c r="I67" i="39"/>
  <c r="I50" i="49"/>
  <c r="I46" i="49"/>
  <c r="K61" i="49"/>
  <c r="K49" i="49"/>
  <c r="K45" i="49"/>
  <c r="J64" i="49"/>
  <c r="I49" i="40"/>
  <c r="J23" i="39"/>
  <c r="J53" i="49" s="1"/>
  <c r="J11" i="40"/>
  <c r="J51" i="40" s="1"/>
  <c r="H47" i="49"/>
  <c r="H66" i="49"/>
  <c r="H68" i="49" s="1"/>
  <c r="H51" i="49"/>
  <c r="K56" i="39"/>
  <c r="K22" i="39" l="1"/>
  <c r="J49" i="40" s="1"/>
  <c r="K63" i="39"/>
  <c r="L36" i="39"/>
  <c r="J25" i="39"/>
  <c r="L66" i="39" l="1"/>
  <c r="L38" i="49"/>
  <c r="L45" i="49"/>
  <c r="L49" i="49"/>
  <c r="L61" i="49"/>
  <c r="J67" i="39"/>
  <c r="J50" i="49"/>
  <c r="J46" i="49"/>
  <c r="K64" i="49"/>
  <c r="L56" i="39"/>
  <c r="I51" i="49"/>
  <c r="I66" i="49"/>
  <c r="I68" i="49" s="1"/>
  <c r="I47" i="49"/>
  <c r="K11" i="40"/>
  <c r="K51" i="40" s="1"/>
  <c r="K23" i="39"/>
  <c r="K53" i="49" s="1"/>
  <c r="L64" i="49" l="1"/>
  <c r="K25" i="39"/>
  <c r="L22" i="39"/>
  <c r="L63" i="39"/>
  <c r="L11" i="40" l="1"/>
  <c r="L51" i="40" s="1"/>
  <c r="K67" i="39"/>
  <c r="K50" i="49"/>
  <c r="K46" i="49"/>
  <c r="K49" i="40"/>
  <c r="L23" i="39"/>
  <c r="L53" i="49" s="1"/>
  <c r="J51" i="49"/>
  <c r="J66" i="49"/>
  <c r="J68" i="49" s="1"/>
  <c r="J47" i="49"/>
  <c r="L25" i="39" l="1"/>
  <c r="L50" i="49" l="1"/>
  <c r="L46" i="49"/>
  <c r="K51" i="49"/>
  <c r="K47" i="49"/>
  <c r="K66" i="49"/>
  <c r="K68" i="49" s="1"/>
  <c r="L67" i="39"/>
  <c r="L47" i="49" l="1"/>
  <c r="L51" i="49"/>
  <c r="L66" i="49"/>
  <c r="L68"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E23" authorId="0" shapeId="0" xr:uid="{00000000-0006-0000-0100-000001000000}">
      <text>
        <r>
          <rPr>
            <sz val="9"/>
            <color indexed="81"/>
            <rFont val="Tahoma"/>
            <family val="2"/>
          </rPr>
          <t xml:space="preserve">
Inclusief nieuwkomers korter dan 1 jaar op 1 okt. en met leerlingen VAVO TG die voor 0,5 tellen. </t>
        </r>
      </text>
    </comment>
    <comment ref="F30" authorId="0" shapeId="0" xr:uid="{00000000-0006-0000-0100-000002000000}">
      <text>
        <r>
          <rPr>
            <sz val="9"/>
            <color indexed="81"/>
            <rFont val="Tahoma"/>
            <family val="2"/>
          </rPr>
          <t xml:space="preserve">
Percentage t.o.v. totaal aantal leerlingen wordt o.b.v. telling 1 okt. 2012 gefixeerd en vanaf 1 okt. 2015 gebruikt voor budgettering SWV.</t>
        </r>
      </text>
    </comment>
    <comment ref="F31" authorId="0" shapeId="0" xr:uid="{00000000-0006-0000-0100-000003000000}">
      <text>
        <r>
          <rPr>
            <sz val="9"/>
            <color indexed="81"/>
            <rFont val="Tahoma"/>
            <family val="2"/>
          </rPr>
          <t xml:space="preserve">
Percentage t.o.v. totaal aantal leerlingen wordt o.b.v. telling 1 okt. 2012 gefixeerd en vanaf 1 okt. 2015 gebruikt voor budgettering SWV.</t>
        </r>
      </text>
    </comment>
    <comment ref="F32" authorId="0" shapeId="0" xr:uid="{00000000-0006-0000-0100-000004000000}">
      <text>
        <r>
          <rPr>
            <sz val="9"/>
            <color indexed="81"/>
            <rFont val="Tahoma"/>
            <family val="2"/>
          </rPr>
          <t xml:space="preserve">
Aantal wordt o.b.v. telling 1 okt. 2012 gefixeerd voor bepaling aantal ll lwoo en pro in latere jaren.</t>
        </r>
      </text>
    </comment>
    <comment ref="D44" authorId="0" shapeId="0" xr:uid="{00000000-0006-0000-0100-000005000000}">
      <text>
        <r>
          <rPr>
            <sz val="9"/>
            <color indexed="81"/>
            <rFont val="Tahoma"/>
            <family val="2"/>
          </rPr>
          <t xml:space="preserve">
Op landelijk niveau is er sprake van een stevige daling die veroorzaakt wordt doordat lwoo-leerlingen niet als zodanig meer geteld hoeven te worden bij opting out. </t>
        </r>
      </text>
    </comment>
    <comment ref="D50" authorId="0" shapeId="0" xr:uid="{00000000-0006-0000-0100-000006000000}">
      <text>
        <r>
          <rPr>
            <sz val="9"/>
            <color indexed="81"/>
            <rFont val="Tahoma"/>
            <family val="2"/>
          </rPr>
          <t xml:space="preserve">
Ophalen uit Ofb van 2015-2016.</t>
        </r>
      </text>
    </comment>
    <comment ref="D51" authorId="0" shapeId="0" xr:uid="{00000000-0006-0000-0100-000007000000}">
      <text>
        <r>
          <rPr>
            <sz val="9"/>
            <color indexed="81"/>
            <rFont val="Tahoma"/>
            <family val="2"/>
          </rPr>
          <t xml:space="preserve">
Ophalen uit Ofb van 2015.</t>
        </r>
      </text>
    </comment>
    <comment ref="F75" authorId="0" shapeId="0" xr:uid="{00000000-0006-0000-0100-000008000000}">
      <text>
        <r>
          <rPr>
            <sz val="9"/>
            <color indexed="81"/>
            <rFont val="Tahoma"/>
            <family val="2"/>
          </rPr>
          <t xml:space="preserve">
1 staat voor categorie laag en de ondersteuningsbekostiging is afgeleid van de gemiddelde kosten ondersteuning van de schoolsoorten ZMLK, LZsomatisch en cluster 4.</t>
        </r>
      </text>
    </comment>
    <comment ref="F76" authorId="0" shapeId="0" xr:uid="{00000000-0006-0000-0100-000009000000}">
      <text>
        <r>
          <rPr>
            <sz val="9"/>
            <color indexed="81"/>
            <rFont val="Tahoma"/>
            <family val="2"/>
          </rPr>
          <t xml:space="preserve">
2 staat voor categorie middel en de ondersteuningsbekostiging is afgeleid van de gemiddelde kosten ondersteuning van de schoolsoort Lichamelijk gehandicapt (LG).</t>
        </r>
      </text>
    </comment>
    <comment ref="F77" authorId="0" shapeId="0" xr:uid="{00000000-0006-0000-0100-00000A000000}">
      <text>
        <r>
          <rPr>
            <sz val="9"/>
            <color indexed="81"/>
            <rFont val="Tahoma"/>
            <family val="2"/>
          </rPr>
          <t xml:space="preserve">
3 staat voor categorie hoog en de ondersteuningsbekostiging is afgeleid van de gemiddelde kosten ondersteuning van de schoolsoort Meervoudig Gehandicapt (MG) en betreft LG + ZMLK.</t>
        </r>
      </text>
    </comment>
    <comment ref="D84" authorId="0" shapeId="0" xr:uid="{00000000-0006-0000-0100-00000B000000}">
      <text>
        <r>
          <rPr>
            <sz val="9"/>
            <color indexed="81"/>
            <rFont val="Tahoma"/>
            <family val="2"/>
          </rPr>
          <t xml:space="preserve">
Laatst bekende deelname-percentage is opgegeven, ook voor de nog niet bekende jaren. </t>
        </r>
      </text>
    </comment>
    <comment ref="D106" authorId="0" shapeId="0" xr:uid="{00000000-0006-0000-0100-00000C000000}">
      <text>
        <r>
          <rPr>
            <sz val="9"/>
            <color indexed="81"/>
            <rFont val="Tahoma"/>
            <family val="2"/>
          </rPr>
          <t xml:space="preserve">
Het betreft hier het aantal leerlingen van de VSO-school dat uitsluitend aan dit samenwerkingsverband wordt toegerekend.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6" authorId="0" shapeId="0" xr:uid="{EAA678D0-6EB7-4F3D-89EE-BAD69E1A8257}">
      <text>
        <r>
          <rPr>
            <sz val="9"/>
            <color indexed="81"/>
            <rFont val="Tahoma"/>
            <family val="2"/>
          </rPr>
          <t xml:space="preserve">
Aanpassing min. loon per 1-1-2023 zorgt dat de aanloopschalen dan tenminste 1934,40 zijn.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2" authorId="0" shapeId="0" xr:uid="{1C6A888C-FAAC-45E2-A733-634CA5508B2A}">
      <text>
        <r>
          <rPr>
            <sz val="9"/>
            <color indexed="81"/>
            <rFont val="Tahoma"/>
            <family val="2"/>
          </rPr>
          <t xml:space="preserve">
Incl. kosten vervanging en uitkeringslasten van gemiddeld ongeveer 6%.</t>
        </r>
      </text>
    </comment>
    <comment ref="D42" authorId="0" shapeId="0" xr:uid="{00000000-0006-0000-1400-000002000000}">
      <text>
        <r>
          <rPr>
            <sz val="9"/>
            <color indexed="81"/>
            <rFont val="Tahoma"/>
            <family val="2"/>
          </rPr>
          <t xml:space="preserve">
Incl. kosten vervanging en uitkeringslasten van gemiddeld ongeveer 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22" authorId="0" shapeId="0" xr:uid="{00000000-0006-0000-0200-000001000000}">
      <text>
        <r>
          <rPr>
            <sz val="9"/>
            <color indexed="81"/>
            <rFont val="Tahoma"/>
            <family val="2"/>
          </rPr>
          <t xml:space="preserve">
Dit betreft alle besturen in het SWV, ook die van het VSO.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27" authorId="0" shapeId="0" xr:uid="{00000000-0006-0000-0400-000001000000}">
      <text>
        <r>
          <rPr>
            <sz val="9"/>
            <color indexed="81"/>
            <rFont val="Tahoma"/>
            <family val="2"/>
          </rPr>
          <t xml:space="preserve">
De ondersteuningsbekostiging van categorie 1 (laag) is afgeleid van de gemiddelde kosten ondersteuning van de schoolsoorten ZMLK, LZsomatisch en cluster 4.</t>
        </r>
      </text>
    </comment>
    <comment ref="F28" authorId="0" shapeId="0" xr:uid="{00000000-0006-0000-0400-000002000000}">
      <text>
        <r>
          <rPr>
            <sz val="9"/>
            <color indexed="81"/>
            <rFont val="Tahoma"/>
            <family val="2"/>
          </rPr>
          <t xml:space="preserve">
De ondersteuningsbekostiging van categorie 2 (middel) is afgeleid van de gemiddelde kosten ondersteuning van de schoolsoort Lichamelijk gehandicapt (LG).</t>
        </r>
      </text>
    </comment>
    <comment ref="F29" authorId="0" shapeId="0" xr:uid="{00000000-0006-0000-0400-000003000000}">
      <text>
        <r>
          <rPr>
            <sz val="9"/>
            <color indexed="81"/>
            <rFont val="Tahoma"/>
            <family val="2"/>
          </rPr>
          <t xml:space="preserve">
De ondersteuningsbekostiging van categorie 3 (hoog) is afgeleid van de gemiddelde kosten ondersteuning van de schoolsoort Meervoudig Gehandicapt (MG) en betreft LG + ZMLK.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30" authorId="0" shapeId="0" xr:uid="{00000000-0006-0000-0300-000002000000}">
      <text>
        <r>
          <rPr>
            <sz val="9"/>
            <color indexed="81"/>
            <rFont val="Tahoma"/>
            <family val="2"/>
          </rPr>
          <t xml:space="preserve">
Komt overeen met 7/12e van 2019/20 plus 5/12e van 2020/21.</t>
        </r>
      </text>
    </comment>
    <comment ref="D134" authorId="0" shapeId="0" xr:uid="{00000000-0006-0000-0300-000003000000}">
      <text>
        <r>
          <rPr>
            <sz val="9"/>
            <color indexed="81"/>
            <rFont val="Tahoma"/>
            <family val="2"/>
          </rPr>
          <t xml:space="preserve">
Berekening is gebaseerd op de opgave van het aantal leerlingen als opgegeven in werkblad 'geg ll' op rij 66 en volgende.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Q13" authorId="0" shapeId="0" xr:uid="{00000000-0006-0000-0600-000001000000}">
      <text>
        <r>
          <rPr>
            <sz val="9"/>
            <color indexed="81"/>
            <rFont val="Tahoma"/>
            <family val="2"/>
          </rPr>
          <t xml:space="preserve">
Over dit verlof moet de WG wel pensioenpremie betalen. Ook de WN moet pensioenpremie betalen.</t>
        </r>
      </text>
    </comment>
    <comment ref="T13" authorId="0" shapeId="0" xr:uid="{00000000-0006-0000-0600-000002000000}">
      <text>
        <r>
          <rPr>
            <sz val="9"/>
            <color indexed="81"/>
            <rFont val="Tahoma"/>
            <family val="2"/>
          </rPr>
          <t xml:space="preserve">
Dit is globaal berekend de te betalen WG-premie ABP.</t>
        </r>
      </text>
    </comment>
    <comment ref="Q46" authorId="0" shapeId="0" xr:uid="{00000000-0006-0000-0600-000009000000}">
      <text>
        <r>
          <rPr>
            <sz val="9"/>
            <color indexed="81"/>
            <rFont val="Tahoma"/>
            <family val="2"/>
          </rPr>
          <t xml:space="preserve">
Over dit verlof moet de WG wel pensioenpremie betalen. Ook de WN moet pensioenpremie betalen.</t>
        </r>
      </text>
    </comment>
    <comment ref="T46" authorId="0" shapeId="0" xr:uid="{00000000-0006-0000-0600-00000A000000}">
      <text>
        <r>
          <rPr>
            <sz val="9"/>
            <color indexed="81"/>
            <rFont val="Tahoma"/>
            <family val="2"/>
          </rPr>
          <t xml:space="preserve">
Dit is globaal berekend de te betalen WG-premie ABP.</t>
        </r>
      </text>
    </comment>
    <comment ref="Q78" authorId="0" shapeId="0" xr:uid="{00000000-0006-0000-0600-00000B000000}">
      <text>
        <r>
          <rPr>
            <sz val="9"/>
            <color indexed="81"/>
            <rFont val="Tahoma"/>
            <family val="2"/>
          </rPr>
          <t xml:space="preserve">
Over dit verlof moet de WG wel pensioenpremie betalen. Ook de WN moet pensioenpremie betalen.</t>
        </r>
      </text>
    </comment>
    <comment ref="T78" authorId="0" shapeId="0" xr:uid="{00000000-0006-0000-0600-00000C000000}">
      <text>
        <r>
          <rPr>
            <sz val="9"/>
            <color indexed="81"/>
            <rFont val="Tahoma"/>
            <family val="2"/>
          </rPr>
          <t xml:space="preserve">
Dit is globaal berekend de te betalen WG-premie ABP.</t>
        </r>
      </text>
    </comment>
    <comment ref="Q110" authorId="0" shapeId="0" xr:uid="{00000000-0006-0000-0600-00000D000000}">
      <text>
        <r>
          <rPr>
            <sz val="9"/>
            <color indexed="81"/>
            <rFont val="Tahoma"/>
            <family val="2"/>
          </rPr>
          <t xml:space="preserve">
Over dit verlof moet de WG wel pensioenpremie betalen. Ook de WN moet pensioenpremie betalen.</t>
        </r>
      </text>
    </comment>
    <comment ref="T110" authorId="0" shapeId="0" xr:uid="{00000000-0006-0000-0600-00000E000000}">
      <text>
        <r>
          <rPr>
            <sz val="9"/>
            <color indexed="81"/>
            <rFont val="Tahoma"/>
            <family val="2"/>
          </rPr>
          <t xml:space="preserve">
Dit is globaal berekend de te betalen WG-premie ABP.</t>
        </r>
      </text>
    </comment>
    <comment ref="Q142" authorId="0" shapeId="0" xr:uid="{B78B608F-1D48-4F02-A1C4-BA219E47B616}">
      <text>
        <r>
          <rPr>
            <sz val="9"/>
            <color indexed="81"/>
            <rFont val="Tahoma"/>
            <family val="2"/>
          </rPr>
          <t xml:space="preserve">
Over dit verlof moet de WG wel pensioenpremie betalen. Ook de WN moet pensioenpremie betalen.</t>
        </r>
      </text>
    </comment>
    <comment ref="T142" authorId="0" shapeId="0" xr:uid="{564403BE-CC65-4385-A2F9-82CC4E1ACFF6}">
      <text>
        <r>
          <rPr>
            <sz val="9"/>
            <color indexed="81"/>
            <rFont val="Tahoma"/>
            <family val="2"/>
          </rPr>
          <t xml:space="preserve">
Dit is globaal berekend de te betalen WG-premie ABP.</t>
        </r>
      </text>
    </comment>
    <comment ref="Q174" authorId="0" shapeId="0" xr:uid="{16367D8E-384B-4992-8D1B-F371E3EF47AD}">
      <text>
        <r>
          <rPr>
            <sz val="9"/>
            <color indexed="81"/>
            <rFont val="Tahoma"/>
            <family val="2"/>
          </rPr>
          <t xml:space="preserve">
Over dit verlof moet de WG wel pensioenpremie betalen. Ook de WN moet pensioenpremie betalen.</t>
        </r>
      </text>
    </comment>
    <comment ref="T174" authorId="0" shapeId="0" xr:uid="{02EDA7C6-24E7-4569-932F-DDBC454BC392}">
      <text>
        <r>
          <rPr>
            <sz val="9"/>
            <color indexed="81"/>
            <rFont val="Tahoma"/>
            <family val="2"/>
          </rPr>
          <t xml:space="preserve">
Dit is globaal berekend de te betalen WG-premie ABP.</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E8" authorId="0" shapeId="0" xr:uid="{00000000-0006-0000-0900-000001000000}">
      <text>
        <r>
          <rPr>
            <sz val="8"/>
            <color indexed="81"/>
            <rFont val="Tahoma"/>
            <family val="2"/>
          </rPr>
          <t xml:space="preserve">
hoeft niet te worden ingevuld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64" authorId="0" shapeId="0" xr:uid="{F0FA1A9E-CB11-4FBB-9594-501401753AD7}">
      <text>
        <r>
          <rPr>
            <sz val="9"/>
            <color indexed="81"/>
            <rFont val="Tahoma"/>
            <family val="2"/>
          </rPr>
          <t xml:space="preserve">
Klein:    &lt; 3 mlj.
Middel: &lt; 3 - 12 mln. 
Groot:    &gt; 12 mln.</t>
        </r>
      </text>
    </comment>
    <comment ref="E65" authorId="0" shapeId="0" xr:uid="{00000000-0006-0000-0C00-000001000000}">
      <text>
        <r>
          <rPr>
            <sz val="9"/>
            <color indexed="81"/>
            <rFont val="Tahoma"/>
            <family val="2"/>
          </rPr>
          <t xml:space="preserve">
gemiddeld over 3 jaar</t>
        </r>
      </text>
    </comment>
    <comment ref="E66" authorId="0" shapeId="0" xr:uid="{00000000-0006-0000-0C00-000002000000}">
      <text>
        <r>
          <rPr>
            <sz val="9"/>
            <color indexed="81"/>
            <rFont val="Tahoma"/>
            <family val="2"/>
          </rPr>
          <t xml:space="preserve">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7" authorId="0" shapeId="0" xr:uid="{00000000-0006-0000-0C00-00000300000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44" authorId="0" shapeId="0" xr:uid="{00000000-0006-0000-0E00-00000100000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48" authorId="0" shapeId="0" xr:uid="{00000000-0006-0000-0E00-000002000000}">
      <text>
        <r>
          <rPr>
            <sz val="8"/>
            <color indexed="81"/>
            <rFont val="Tahoma"/>
            <family val="2"/>
          </rPr>
          <t xml:space="preserve">
de solvabiliteit geeft aan in welke verhouding de bezittingen op de activazijde van de balans incl. de voorzieningen, zijn gefinancieerd met eigen- en/of vreemd vermogen.  De solvabiliteit geeft inzicht in het vermogen van de school om aan haar verplichtingen op de lange termijn te voldoen.</t>
        </r>
      </text>
    </comment>
    <comment ref="D52" authorId="0" shapeId="0" xr:uid="{00000000-0006-0000-0E00-000003000000}">
      <text>
        <r>
          <rPr>
            <sz val="8"/>
            <color indexed="81"/>
            <rFont val="Tahoma"/>
            <family val="2"/>
          </rPr>
          <t xml:space="preserve">
de liquiditeit geeft inzicht in het vermogen van de school om aan haar verplichtingen op de korte termijn te voldoen.</t>
        </r>
      </text>
    </comment>
    <comment ref="D56" authorId="0" shapeId="0" xr:uid="{00000000-0006-0000-0E00-000004000000}">
      <text>
        <r>
          <rPr>
            <sz val="8"/>
            <color indexed="81"/>
            <rFont val="Tahoma"/>
            <family val="2"/>
          </rPr>
          <t xml:space="preserve">
de rentabiliteit geeft inzicht in de relatieve omvang van het resultaat. In hoeverre gaat er meer geld uit, dan er binnenkomt (zodat de reserves interen)</t>
        </r>
      </text>
    </comment>
    <comment ref="E56" authorId="0" shapeId="0" xr:uid="{00000000-0006-0000-0E00-000005000000}">
      <text>
        <r>
          <rPr>
            <sz val="9"/>
            <color indexed="81"/>
            <rFont val="Tahoma"/>
            <family val="2"/>
          </rPr>
          <t xml:space="preserve">
gemiddeld over 3 jaar</t>
        </r>
      </text>
    </comment>
    <comment ref="D60" authorId="0" shapeId="0" xr:uid="{00000000-0006-0000-0E00-000006000000}">
      <text>
        <r>
          <rPr>
            <sz val="8"/>
            <color indexed="81"/>
            <rFont val="Tahoma"/>
            <family val="2"/>
          </rPr>
          <t xml:space="preserve">
Dit percentage geeft inzicht in de capaciteit om onvoorziene tegenvallers in de exploitatie op te vangen (Ernst&amp;Young, juli 2004). De omvang van dit percentage is afhankelijk van: (1) kwaliteit planning &amp; controlcyclus, (2) de mate waarin risico's gezamenlijk worden gedragen (3) gesignaleerde risico's</t>
        </r>
      </text>
    </comment>
    <comment ref="E60" authorId="0" shapeId="0" xr:uid="{00000000-0006-0000-0E00-00000700000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5" authorId="0" shapeId="0" xr:uid="{00000000-0006-0000-0E00-00000800000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32" authorId="0" shapeId="0" xr:uid="{E3E0A426-22BC-4389-B37D-D01FFBAB940C}">
      <text>
        <r>
          <rPr>
            <sz val="9"/>
            <color indexed="81"/>
            <rFont val="Tahoma"/>
            <family val="2"/>
          </rPr>
          <t xml:space="preserve">
In deze opgave WG-lasten zijn de hogere kosten als gevolg van de inkorting schalen, de schaaluitlooptoeslag en de hogere premies sociale zekerheid geraamd. Ieder bestuur dient op basis van historische gegevens de raming zelf te bepalen.
Daarom kan volstaan worden met één salaristabel. De kosten ziektevervanging en uitkeringskosten zoals hieronder geraamd, zijn hier</t>
        </r>
        <r>
          <rPr>
            <sz val="9"/>
            <color indexed="81"/>
            <rFont val="Tahoma"/>
            <family val="2"/>
          </rPr>
          <t xml:space="preserve">in verwerkt.
</t>
        </r>
      </text>
    </comment>
    <comment ref="A34" authorId="0" shapeId="0" xr:uid="{00000000-0006-0000-1000-000011000000}">
      <text>
        <r>
          <rPr>
            <sz val="9"/>
            <color indexed="81"/>
            <rFont val="Tahoma"/>
            <family val="2"/>
          </rPr>
          <t xml:space="preserve">
De kosten ziektevervanging en uitkeringskosten zijn hier ruwweg geraamd op 6%.
</t>
        </r>
      </text>
    </comment>
  </commentList>
</comments>
</file>

<file path=xl/sharedStrings.xml><?xml version="1.0" encoding="utf-8"?>
<sst xmlns="http://schemas.openxmlformats.org/spreadsheetml/2006/main" count="1383" uniqueCount="720">
  <si>
    <t xml:space="preserve">De kosten van personeelsleden - niet aangesteld bij het SWV - moeten geraamd worden. Het betreft dan werknemers die in dienst zijn bij een </t>
  </si>
  <si>
    <t xml:space="preserve"> </t>
  </si>
  <si>
    <t xml:space="preserve">Rijksbijdragen OCW </t>
  </si>
  <si>
    <t>PERSONEEL SAMENWERKINGSVERBAND</t>
  </si>
  <si>
    <t>Categorie</t>
  </si>
  <si>
    <t>baten en lasten steeds zo weergegeven en verwerkt dat het mogelijk is de ontwikkeling van de lichte en de zware ondersteuning afzonderlijk te volgen.</t>
  </si>
  <si>
    <t xml:space="preserve">De hierna volgende toelichting bij de werkbladen heeft betrekking op de werkbladen met veelal het onderscheid Lichte Ondersteuning (LO) resp.  </t>
  </si>
  <si>
    <t>Zware Ondersteuning (ZO).</t>
  </si>
  <si>
    <t xml:space="preserve">Werkblad 'mat' </t>
  </si>
  <si>
    <t>Werkblad 'mip'</t>
  </si>
  <si>
    <t>Werkblad 'act'</t>
  </si>
  <si>
    <t>gegevens uit het meerjareninvesteringsplan (werkblad 'mip') automatisch verwerkt, evenals de afschrijvingsbedragen.</t>
  </si>
  <si>
    <t>Werkblad 'begr'</t>
  </si>
  <si>
    <t>Werkblad 'hlpbl' (verborgen)</t>
  </si>
  <si>
    <t xml:space="preserve">werkbladen. Alleen de gegevens omtrent de financiële baten en lasten moeten nog worden opgegeven. </t>
  </si>
  <si>
    <t>Werkblad 'bal'</t>
  </si>
  <si>
    <t>Werkblad 'liq'</t>
  </si>
  <si>
    <t>Daarnaast is het nodig om een liquiditeitenplanning te maken van maand tot maand zodat duidelijk is dat er altijd voldoende geld beschikbaar is.</t>
  </si>
  <si>
    <t>Lichte ondersteuning</t>
  </si>
  <si>
    <t>Zware ondersteuning</t>
  </si>
  <si>
    <t>BEGROTING SAMENWERKINGSVERBAND</t>
  </si>
  <si>
    <t>al dan niet in het verband deelnemend bevoegd gezag of op een andere wijze ingeschakeld worden. Daarvoor is dit hulpblad bedoeld.</t>
  </si>
  <si>
    <t>MATERIEEL SAMENWERKINGSVERBAND</t>
  </si>
  <si>
    <t>MEERJARENINVESTERINGSPLAN SAMENWERKINGSVERBAND</t>
  </si>
  <si>
    <t>ACTIVAOVERZICHT SAMENWERKINGSVERBAND</t>
  </si>
  <si>
    <t>MEERJARENBALANS SAMENWERKINGSVERBAND</t>
  </si>
  <si>
    <t>KASSTROOMOVERZICHT SAMENWERKINGSVERBAND</t>
  </si>
  <si>
    <t>Werktijdfactor</t>
  </si>
  <si>
    <t>Functie</t>
  </si>
  <si>
    <t>Gem Pers Last</t>
  </si>
  <si>
    <t>Naam werknemer</t>
  </si>
  <si>
    <t>P. Werknemer</t>
  </si>
  <si>
    <t>regel</t>
  </si>
  <si>
    <t>norm maandsalaris</t>
  </si>
  <si>
    <t>wtf x maandsalaris</t>
  </si>
  <si>
    <t>Opslagpercentage werkgeverslasten</t>
  </si>
  <si>
    <t>Ook de Balans volgt de indeling conform de voorschriften voor de jaarrekening.</t>
  </si>
  <si>
    <t>Een dergelijke raming van kosten kan heel gedetailleerd (en tijdrovend) gebeuren, maar men kan ook een meer globale benadering kiezen.</t>
  </si>
  <si>
    <t xml:space="preserve">Het is sterk af te raden om loonkosten bij het samenwerkingsverband te laten declareren. Een duidelijke afspraak van te voren over de te betalen </t>
  </si>
  <si>
    <t>kosten geeft beide partijen duidelijkheid en zekerheid.</t>
  </si>
  <si>
    <t>Het werkblad geeft ook een overzicht van hetgeen is ingevuld als meerjareninvestering, de activa en de afschrijvingen.</t>
  </si>
  <si>
    <t>Werkblad 'toelichting'</t>
  </si>
  <si>
    <t xml:space="preserve">Geadviseerd wordt om kritisch te zijn ten aanzien van de omvang van de algemene reserve en slechts een omvang aan te houden die </t>
  </si>
  <si>
    <t>Administratienummer</t>
  </si>
  <si>
    <t>totaal</t>
  </si>
  <si>
    <t>Algemeen</t>
  </si>
  <si>
    <t>Wellicht overbodig te zeggen dat het verstandig is een beveiligd exemplaar achter de hand te houden.</t>
  </si>
  <si>
    <t>in Excel te veranderen.</t>
  </si>
  <si>
    <t>Bevat de toelichting zoals hiervoor is weergegeven.</t>
  </si>
  <si>
    <t>DA</t>
  </si>
  <si>
    <t>DB</t>
  </si>
  <si>
    <t>DBuit</t>
  </si>
  <si>
    <t>DC</t>
  </si>
  <si>
    <t>DCuit</t>
  </si>
  <si>
    <t>DD</t>
  </si>
  <si>
    <t>DE</t>
  </si>
  <si>
    <t>LB</t>
  </si>
  <si>
    <t>LC</t>
  </si>
  <si>
    <t>LD</t>
  </si>
  <si>
    <t>LE</t>
  </si>
  <si>
    <t>LIOa</t>
  </si>
  <si>
    <t>schaal</t>
  </si>
  <si>
    <t>Rijksbijdragen OCW</t>
  </si>
  <si>
    <t>Overige baten</t>
  </si>
  <si>
    <t>Afschrijvingen</t>
  </si>
  <si>
    <t>Huisvestingslasten</t>
  </si>
  <si>
    <t>Leermiddelen</t>
  </si>
  <si>
    <t>Financiële baten</t>
  </si>
  <si>
    <t>Financiële lasten</t>
  </si>
  <si>
    <t>Vaste activa</t>
  </si>
  <si>
    <t>Gebouwen en terreinen</t>
  </si>
  <si>
    <t>Inventaris en apparatuur</t>
  </si>
  <si>
    <t>Overige materiële vaste activa</t>
  </si>
  <si>
    <t>Vlottende activa</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</si>
  <si>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</si>
  <si>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</si>
  <si>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</si>
  <si>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</si>
  <si>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</si>
  <si>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</si>
  <si>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</si>
  <si>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</si>
  <si>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</si>
  <si>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</si>
  <si>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ID1</t>
  </si>
  <si>
    <t>ID2</t>
  </si>
  <si>
    <t>ID3</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</si>
  <si>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</si>
  <si>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</si>
  <si>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</si>
  <si>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</si>
  <si>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</si>
  <si>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</si>
  <si>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</si>
  <si>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</si>
  <si>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</si>
  <si>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</si>
  <si>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</si>
  <si>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</si>
  <si>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</si>
  <si>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</si>
  <si>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</si>
  <si>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</si>
  <si>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</si>
  <si>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 xml:space="preserve">vs </t>
  </si>
  <si>
    <t>kalenderjaar</t>
  </si>
  <si>
    <t>activagroep</t>
  </si>
  <si>
    <t>omschrijving</t>
  </si>
  <si>
    <t>aantal /</t>
  </si>
  <si>
    <t>aanschafprijs</t>
  </si>
  <si>
    <t>jaar van</t>
  </si>
  <si>
    <t>afschrijvings-</t>
  </si>
  <si>
    <t>beslisregel</t>
  </si>
  <si>
    <t>aanschaf-</t>
  </si>
  <si>
    <t>afschrijving</t>
  </si>
  <si>
    <t>laatste</t>
  </si>
  <si>
    <t>eenheden</t>
  </si>
  <si>
    <t>(per eenheid)</t>
  </si>
  <si>
    <t>aanschaf</t>
  </si>
  <si>
    <t>termijn</t>
  </si>
  <si>
    <t>waarde</t>
  </si>
  <si>
    <t>per jaar</t>
  </si>
  <si>
    <t>investering</t>
  </si>
  <si>
    <t>Investeringen</t>
  </si>
  <si>
    <t>Waarde activa per 31-12</t>
  </si>
  <si>
    <t xml:space="preserve">Na invoering van persoonsgegevens, salarisgegevens en de werktijdfactor worden de totale loonkosten berekend. Daarbij wordt uitgegaan van </t>
  </si>
  <si>
    <t xml:space="preserve">De gegevens van het personeel worden voor de jaren daarna automatisch aangepast. Dat impliceert ook dat wanneer volgend jaar een nieuw </t>
  </si>
  <si>
    <t>latere jaren kan deze WTF dan overschreven worden en op de juiste omvang worden vastgesteld.</t>
  </si>
  <si>
    <t>Werkblad 'tab'</t>
  </si>
  <si>
    <t>teldatum</t>
  </si>
  <si>
    <t>Financiële baten en lasten</t>
  </si>
  <si>
    <t>Activa</t>
  </si>
  <si>
    <t>Financiële kengetallen</t>
  </si>
  <si>
    <t>Solvabiliteit 1</t>
  </si>
  <si>
    <t>Liquiditeit</t>
  </si>
  <si>
    <t xml:space="preserve">In dit werkblad worden de gegevens in verband met de activa verwerkt. Na opgave van de beginstand van de activa worden de </t>
  </si>
  <si>
    <t>Overige overheidsbijdragen en -subsidies</t>
  </si>
  <si>
    <t xml:space="preserve">Overige baten </t>
  </si>
  <si>
    <t>baten werk in opdracht derden</t>
  </si>
  <si>
    <t xml:space="preserve">Overige personele lasten </t>
  </si>
  <si>
    <t>Totaal lasten personeel</t>
  </si>
  <si>
    <t xml:space="preserve">Saldo personeel </t>
  </si>
  <si>
    <t>lokaal onderwijsbeleid</t>
  </si>
  <si>
    <t>Overige lasten</t>
  </si>
  <si>
    <t>Totaal lasten materieel</t>
  </si>
  <si>
    <t>Saldo materieel</t>
  </si>
  <si>
    <t>Totaal baten materieel</t>
  </si>
  <si>
    <t>College-, cursus-, les- en examengelden</t>
  </si>
  <si>
    <t>Baten werk in opdracht van derden</t>
  </si>
  <si>
    <t>Lasten</t>
  </si>
  <si>
    <t xml:space="preserve">Overige lasten </t>
  </si>
  <si>
    <t>Saldo baten en lasten</t>
  </si>
  <si>
    <t>Saldo fianciële baten en lasten</t>
  </si>
  <si>
    <t>Resultaat</t>
  </si>
  <si>
    <t>Deelnamepercentages 1 oktober T-1</t>
  </si>
  <si>
    <t>Weerstandsvermogen (EV / totale lasten)</t>
  </si>
  <si>
    <t>Kredietinstellingen</t>
  </si>
  <si>
    <t>Overige langlopende schulden</t>
  </si>
  <si>
    <t>Crediteuren</t>
  </si>
  <si>
    <t>Ministerie van OCW</t>
  </si>
  <si>
    <t>Belastingen en premies sociale verzekeringen</t>
  </si>
  <si>
    <t>Schulden terzake pensioenen</t>
  </si>
  <si>
    <t>Overige kortlopende schulden</t>
  </si>
  <si>
    <t>Overlopende passiva</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</si>
  <si>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</si>
  <si>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</si>
  <si>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</si>
  <si>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</si>
  <si>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</si>
  <si>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</si>
  <si>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</si>
  <si>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</si>
  <si>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</si>
  <si>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</si>
  <si>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</si>
  <si>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</si>
  <si>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</si>
  <si>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Grootboeknr.</t>
  </si>
  <si>
    <t>Passiva</t>
  </si>
  <si>
    <t>Activa totaal</t>
  </si>
  <si>
    <t>Algemene reserve</t>
  </si>
  <si>
    <t>Bestemmingsreserve 1</t>
  </si>
  <si>
    <t>Bestemmingsreserve 2</t>
  </si>
  <si>
    <t>Bestemmingsreserve 3</t>
  </si>
  <si>
    <t>Passiva totaal</t>
  </si>
  <si>
    <t>Normatieve Rijksbijdrage OCW</t>
  </si>
  <si>
    <t>HULPBLAD: KOSTEN VAN EEN FUNCTIE</t>
  </si>
  <si>
    <t xml:space="preserve">Globale (= normale) benadering </t>
  </si>
  <si>
    <t xml:space="preserve">Salarisgegevens per 1 augustus (na toekenning reguliere periodieke verhoging) </t>
  </si>
  <si>
    <t>Opzet van dit instrument</t>
  </si>
  <si>
    <t>Voorziening Jubilea</t>
  </si>
  <si>
    <t>Rentabiliteit</t>
  </si>
  <si>
    <t>teldatum leerlingen (t-1) per 1 oktober</t>
  </si>
  <si>
    <t>Baten</t>
  </si>
  <si>
    <t>Voorziening Groot Onderhoud</t>
  </si>
  <si>
    <t>35%-60%</t>
  </si>
  <si>
    <t>Investeringen materiële vaste activa</t>
  </si>
  <si>
    <t>Investeringen immateriële vaste activa</t>
  </si>
  <si>
    <t>Investeringen financiële vaste activa</t>
  </si>
  <si>
    <t>signalering</t>
  </si>
  <si>
    <t>0,5 tot 1,5</t>
  </si>
  <si>
    <t>0% - 5%</t>
  </si>
  <si>
    <t>Kapitalisatiefactor (bovengrens)</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</si>
  <si>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</si>
  <si>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</si>
  <si>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</si>
  <si>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deugdelijk onderbouwd kan worden.</t>
  </si>
  <si>
    <t xml:space="preserve">Baten en lasten </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</si>
  <si>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</si>
  <si>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</si>
  <si>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</si>
  <si>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</si>
  <si>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</si>
  <si>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</si>
  <si>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</si>
  <si>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</si>
  <si>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</si>
  <si>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</si>
  <si>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</si>
  <si>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</si>
  <si>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</si>
  <si>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</si>
  <si>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</si>
  <si>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11AA</t>
  </si>
  <si>
    <t xml:space="preserve">In de werkbladen kunnen de witte cellen binnen de grijze omlijsting ingevuld worden. </t>
  </si>
  <si>
    <t>Op grond van de opgegeven diensttijd wordt ook de omvang van de jubileumuitkering berekend.</t>
  </si>
  <si>
    <t>Bé Keizer, tel.: 06-22939674 of e-mail:</t>
  </si>
  <si>
    <t xml:space="preserve">be.keizer@wxs.nl </t>
  </si>
  <si>
    <t>Naam SWV Passend onderwijs</t>
  </si>
  <si>
    <t>categorie 1</t>
  </si>
  <si>
    <t>categorie 2</t>
  </si>
  <si>
    <t>categorie 3</t>
  </si>
  <si>
    <t>Personeel</t>
  </si>
  <si>
    <t>Totaal overdrachtsverplichting via DUO 1 okt T-1 per schooljaar</t>
  </si>
  <si>
    <t>Personeel in dienst van SWV</t>
  </si>
  <si>
    <t>Dotatie voorziening jubilea</t>
  </si>
  <si>
    <t>Aantal leerlingen LWOO</t>
  </si>
  <si>
    <t>Totaal aantal leerlingen VO</t>
  </si>
  <si>
    <t>Aantal leerlingen PRO</t>
  </si>
  <si>
    <t>Aantal leerlingen Overig VO</t>
  </si>
  <si>
    <t>Budgettoekenning Lichte Ondersteuning</t>
  </si>
  <si>
    <t xml:space="preserve">Aantal leerlingen per VSO op  teldatum </t>
  </si>
  <si>
    <t>Sommatie per categorie VSO</t>
  </si>
  <si>
    <t>Aantal leerlingen VO (incl. LWOO, PRO en VSO) op 1 oktober T-1</t>
  </si>
  <si>
    <t>Leerlingen VSO t.o.v. alle leerlingen SWV</t>
  </si>
  <si>
    <t>Leerlingen VSO t.o.v leerlingen VO</t>
  </si>
  <si>
    <t>Leerlingen VSO cat 1 t.o.v. alle leerlingen VO</t>
  </si>
  <si>
    <t>Leerlingen VSO cat 2 t.o.v. alle leerlingen VO</t>
  </si>
  <si>
    <t>Leerlingen VSO cat 3 t.o.v. alle leerlingen VO</t>
  </si>
  <si>
    <t>OVERDRACHTSVERPLICHTING AAN VSO</t>
  </si>
  <si>
    <t>benodigd ondersteuningsbedrag Pers aan VSO</t>
  </si>
  <si>
    <t>bijdrage per leerling VO en VSO</t>
  </si>
  <si>
    <t>salaristabellen</t>
  </si>
  <si>
    <t>LIO</t>
  </si>
  <si>
    <t>www.voraad.nl</t>
  </si>
  <si>
    <t>BRIN-nr.</t>
  </si>
  <si>
    <t>school 27</t>
  </si>
  <si>
    <t>school 28</t>
  </si>
  <si>
    <t>school 29</t>
  </si>
  <si>
    <t>school 30</t>
  </si>
  <si>
    <t>Totale baten</t>
  </si>
  <si>
    <t>baten bedrijfsvoering</t>
  </si>
  <si>
    <t>baten financiële bedrijfsvoering</t>
  </si>
  <si>
    <t>totaal per leerling</t>
  </si>
  <si>
    <t xml:space="preserve">Totale lasten </t>
  </si>
  <si>
    <t>lasten bedrijfsvoering</t>
  </si>
  <si>
    <t>lasten financiële bedrijfsvoering</t>
  </si>
  <si>
    <t>Huisvesting</t>
  </si>
  <si>
    <t>afschrijving gebouwen</t>
  </si>
  <si>
    <t>eigen vermogen/  baten bedrijfsvoering</t>
  </si>
  <si>
    <t>rijksbijdragen/  baten bedrijfsvoering</t>
  </si>
  <si>
    <t>overige overheidsbijdragen/ baten bedrijfsvoering</t>
  </si>
  <si>
    <t>overige baten/  baten bedrijfsvoering</t>
  </si>
  <si>
    <t>investeringen/  baten bedrijfsvoering</t>
  </si>
  <si>
    <t xml:space="preserve">eigen vermogen </t>
  </si>
  <si>
    <t>balanstotaal</t>
  </si>
  <si>
    <t>vlottende activa</t>
  </si>
  <si>
    <t>resultaat bedrijfsvoering</t>
  </si>
  <si>
    <t>Weerstandsvermogen</t>
  </si>
  <si>
    <t>eigen vermogen</t>
  </si>
  <si>
    <t>materiële vaste activa</t>
  </si>
  <si>
    <t>Kapitalisatiefactor</t>
  </si>
  <si>
    <t>totaal vermogen</t>
  </si>
  <si>
    <t>totale baten</t>
  </si>
  <si>
    <t xml:space="preserve">Exploitatie kengetallen </t>
  </si>
  <si>
    <t>totale baten / totale lasten</t>
  </si>
  <si>
    <t>baten personeel / lasten personeel</t>
  </si>
  <si>
    <t xml:space="preserve">salarissen/ per FTE </t>
  </si>
  <si>
    <t>baten personeel/ totale baten</t>
  </si>
  <si>
    <t>personele lasten/ totale lasten</t>
  </si>
  <si>
    <t>salarissen / totale lasten</t>
  </si>
  <si>
    <t>baten materieel / totale baten</t>
  </si>
  <si>
    <t>lasten materieel / totale lasten</t>
  </si>
  <si>
    <t>Indices</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</si>
  <si>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</si>
  <si>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</si>
  <si>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</si>
  <si>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</si>
  <si>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</si>
  <si>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</si>
  <si>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</si>
  <si>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</si>
  <si>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</si>
  <si>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</si>
  <si>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</si>
  <si>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</si>
  <si>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huisvestingslasten lichte ondersteuning</t>
  </si>
  <si>
    <t>huisvestingslasten zware ondersteuning</t>
  </si>
  <si>
    <t>Ontwikkeling aantal leerlingen PRO</t>
  </si>
  <si>
    <t>Ontwikkeling aantal leerlingen Overig VO</t>
  </si>
  <si>
    <t>Ontwikkeling totaal aantal leerlingen VO</t>
  </si>
  <si>
    <t>Ontwikkeling aantal leerlingen VO + VSO</t>
  </si>
  <si>
    <t>Ontwikkeling totaal aantal leerlingen VSO</t>
  </si>
  <si>
    <t>Ontwikkeling totaal aantal leerlingen VSO categorie 1</t>
  </si>
  <si>
    <t>Ontwikkeling totaal aantal leerlingen VSO categorie 2</t>
  </si>
  <si>
    <t>Ontwikkeling totaal aantal leerlingen VSO categorie 3</t>
  </si>
  <si>
    <t>Werkblad 'ken'</t>
  </si>
  <si>
    <t>De exploitatie levert ook tal van kengetallen die er toe doen zoals relevante bedragen per leerling en verhoudingsgetallen. Die spreken voor zich.</t>
  </si>
  <si>
    <t>GRAFIEKEN</t>
  </si>
  <si>
    <t>school 24</t>
  </si>
  <si>
    <t>school 25</t>
  </si>
  <si>
    <t>school 26</t>
  </si>
  <si>
    <t xml:space="preserve">Daarbij wordt ook meteen berekend wat de bijdrage is van de schoolbesturen wanneer er sprake is van uitputting van het normatieve budget. </t>
  </si>
  <si>
    <t xml:space="preserve">Een goed inzicht in de prognose van de leerlingen in de meerjarenbegroting van de VSO-school is essentieel. </t>
  </si>
  <si>
    <t>In percentage per 1 okt T-1:</t>
  </si>
  <si>
    <r>
      <t xml:space="preserve">Aantal leerlingen VSO: </t>
    </r>
    <r>
      <rPr>
        <sz val="10"/>
        <rFont val="Calibri"/>
        <family val="2"/>
      </rPr>
      <t>Er is ruimte voor 35 scholen VSO.</t>
    </r>
  </si>
  <si>
    <t xml:space="preserve">In dit werkblad wordt de omvang berekend van de overdrachtsverplichtingen aan het VSO die gelden in verband met het aantal leerlingen op de teldatum. </t>
  </si>
  <si>
    <t xml:space="preserve">De verrekening van de overdracht wordt uitgevoerd door DUO, inclusief de bekostiging van de eventuele uitputting - als daar sprake van is - door </t>
  </si>
  <si>
    <t>de deelnemende schoolbesturen in het SWV.</t>
  </si>
  <si>
    <t>Projecten</t>
  </si>
  <si>
    <t xml:space="preserve">maximumsalaris van elke schaal. </t>
  </si>
  <si>
    <t>Landelijke deelnamepercentages:</t>
  </si>
  <si>
    <t>Landelijke deelname percentages:</t>
  </si>
  <si>
    <r>
      <t>Aantal leerlingen VO:</t>
    </r>
    <r>
      <rPr>
        <sz val="10"/>
        <rFont val="Calibri"/>
        <family val="2"/>
      </rPr>
      <t xml:space="preserve"> Het feitelijk aantal leerlingen LWOO, PRO en Overig VO op 1 oktober T-1. </t>
    </r>
  </si>
  <si>
    <t>In dit werkblad zijn relevante kengetallen opgenomen zoals die deels zijn voorgeschreven in de OCW-richtlijn financiële verslaggeving.</t>
  </si>
  <si>
    <t>Overdracht ivm leerlingen VSO op 1 okt T-1</t>
  </si>
  <si>
    <t>Overdracht ivm leerlingen VSO Totaal</t>
  </si>
  <si>
    <t>NB: lichtgele cellen zijn voorzien van formule, maar overschrijfbaar.</t>
  </si>
  <si>
    <t>personeel</t>
  </si>
  <si>
    <t>materieel</t>
  </si>
  <si>
    <t>LOONKOSTEN PERSONEEL ONDERSTEUNING SWV</t>
  </si>
  <si>
    <t>loonkosten SWV per leerling</t>
  </si>
  <si>
    <t>Ontwikkeling aantal FTE SWV</t>
  </si>
  <si>
    <t>1 okt.</t>
  </si>
  <si>
    <t xml:space="preserve">De opgegeven leerlingen betreffen alleen de leerlingen van een VSO-school - die meestal in meerdere verbanden functioneert - voor dat aantal </t>
  </si>
  <si>
    <t>ingevoerd. Invoer is mogelijk op de witte velden.</t>
  </si>
  <si>
    <t xml:space="preserve">Werkblad 'sal SWV' </t>
  </si>
  <si>
    <t>In dit werkblad kunnen de personele lasten worden opgevoerd van het personeel dat rechtstreeks is aangesteld bij het samenwerkingsverband.</t>
  </si>
  <si>
    <t>Het onderscheid lichte en zware ondersteuning is hierbij niet gehanteerd.</t>
  </si>
  <si>
    <t xml:space="preserve">De financiële kengetallen worden ook direct berekend en weergegeven, met daarbij de kanttekening dat de relevantie voor SWV-en beperkt is </t>
  </si>
  <si>
    <t>Werkblad 'graf'</t>
  </si>
  <si>
    <t>Uitvoering door DUO</t>
  </si>
  <si>
    <t>Deze grafieken kunnen ook in het Ondersteuningsplan resp. het Jaarverslag van het verband worden opgenomen.</t>
  </si>
  <si>
    <r>
      <t xml:space="preserve">Voor de werkgeverslasten is een </t>
    </r>
    <r>
      <rPr>
        <b/>
        <sz val="10"/>
        <rFont val="Calibri"/>
        <family val="2"/>
      </rPr>
      <t>raming</t>
    </r>
    <r>
      <rPr>
        <sz val="10"/>
        <rFont val="Calibri"/>
        <family val="2"/>
      </rPr>
      <t xml:space="preserve"> opgenomen waarbij het dringende advies geldt deze raming bij te stellen op basis van het percentage zoals dat </t>
    </r>
  </si>
  <si>
    <t>voor een functie geldt.</t>
  </si>
  <si>
    <t>personeel SWV</t>
  </si>
  <si>
    <t>schaal / regel</t>
  </si>
  <si>
    <t>regels</t>
  </si>
  <si>
    <t>lwoo</t>
  </si>
  <si>
    <t>pro</t>
  </si>
  <si>
    <t>Totaal aantal leerlingen lwoo</t>
  </si>
  <si>
    <t>Totaal aantal leerlingen pro</t>
  </si>
  <si>
    <t>Naam</t>
  </si>
  <si>
    <t>Brinnummer</t>
  </si>
  <si>
    <t xml:space="preserve">Totaal aantal leerlingen lwoo en pro </t>
  </si>
  <si>
    <t>per 1 oktober</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</si>
  <si>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</si>
  <si>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</si>
  <si>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</si>
  <si>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</si>
  <si>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</si>
  <si>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</si>
  <si>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</si>
  <si>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</si>
  <si>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</si>
  <si>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</si>
  <si>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</si>
  <si>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</si>
  <si>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</si>
  <si>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</si>
  <si>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</si>
  <si>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</si>
  <si>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Zware ondersteuning kalenderjaar</t>
  </si>
  <si>
    <t>Rijksbijdrage OCW lichte ondersteuning</t>
  </si>
  <si>
    <t>&gt; 30%</t>
  </si>
  <si>
    <t>loonkosten personeel SWV</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</si>
  <si>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</si>
  <si>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</si>
  <si>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</si>
  <si>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</si>
  <si>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</si>
  <si>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</si>
  <si>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</si>
  <si>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</si>
  <si>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</si>
  <si>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</si>
  <si>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</si>
  <si>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</si>
  <si>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</si>
  <si>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</si>
  <si>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</si>
  <si>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</si>
  <si>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</si>
  <si>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</si>
  <si>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</si>
  <si>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</si>
  <si>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landelijke percentages opgenomen.</t>
  </si>
  <si>
    <t>Reacties graag naar Adviesbureau Keizer:</t>
  </si>
  <si>
    <t>Overzicht baten en lasten LWOO en PRO en berekening Uitputting per leerling</t>
  </si>
  <si>
    <t>Werkblad 'LWOO-PRO'</t>
  </si>
  <si>
    <t xml:space="preserve">In dit werkblad dienen alle VO-scholen te worden opgenomen met de opgave van het aantal LWOO- en/of PRO-leerlingen per school. </t>
  </si>
  <si>
    <t>Berekening kosten (afgerond) op basis van GPL.</t>
  </si>
  <si>
    <t>TOTAAL Lichte Ondersteuning LWOO en PRO VO-SCHOLEN</t>
  </si>
  <si>
    <r>
      <t xml:space="preserve">In het programma zelf is het mogelijk bij cellen met een </t>
    </r>
    <r>
      <rPr>
        <b/>
        <sz val="10"/>
        <color rgb="FF993300"/>
        <rFont val="Calibri"/>
        <family val="2"/>
      </rPr>
      <t>rood driehoekje</t>
    </r>
    <r>
      <rPr>
        <sz val="10"/>
        <rFont val="Calibri"/>
        <family val="2"/>
      </rPr>
      <t xml:space="preserve"> in de rechterbovenhoek informatie te verkrijgen door de muiscursor </t>
    </r>
  </si>
  <si>
    <t>op die cel te plaatsen. De programma's zijn beveiligd zodat invoer alleen mogelijk is op de witte en - in een beperkt aantal gevallen - de lichtgele velden.</t>
  </si>
  <si>
    <t>Overige lichte ondersteuning</t>
  </si>
  <si>
    <t>Uitputting</t>
  </si>
  <si>
    <t>Bijdrage van besturen per leerling aan SWV</t>
  </si>
  <si>
    <t>Saldo voor SWV</t>
  </si>
  <si>
    <t>Bijdrage besturen ivm uitputting zware ondersteuning 1 oktober</t>
  </si>
  <si>
    <t xml:space="preserve">De bijdrage van de besturen aan de uitputting, verwerkt door DUO-CFI, wordt hier geboekt als rijksbijdragen cf. de voorschriften jaarverslaggeving. </t>
  </si>
  <si>
    <t>prognose:</t>
  </si>
  <si>
    <t>School 17</t>
  </si>
  <si>
    <t>School 18</t>
  </si>
  <si>
    <t>School 19</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</si>
  <si>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</si>
  <si>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</si>
  <si>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</si>
  <si>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</si>
  <si>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</si>
  <si>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</si>
  <si>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</si>
  <si>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</si>
  <si>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</si>
  <si>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</si>
  <si>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</si>
  <si>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</si>
  <si>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</si>
  <si>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</si>
  <si>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</si>
  <si>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</si>
  <si>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</si>
  <si>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</si>
  <si>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</si>
  <si>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</si>
  <si>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</si>
  <si>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</si>
  <si>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</si>
  <si>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 xml:space="preserve">Totale loonkosten jaar (incl. werkg. lasten) </t>
  </si>
  <si>
    <t>Levensfasebewust personeelsbeleid</t>
  </si>
  <si>
    <t>Loonkosten</t>
  </si>
  <si>
    <t>aanv. verlof</t>
  </si>
  <si>
    <t>overgangs-</t>
  </si>
  <si>
    <t>basis-</t>
  </si>
  <si>
    <t>uren</t>
  </si>
  <si>
    <t>onbetaald</t>
  </si>
  <si>
    <t>kosten uren</t>
  </si>
  <si>
    <t>pensioenpr.</t>
  </si>
  <si>
    <t>werk ln.</t>
  </si>
  <si>
    <t>loonkn uur</t>
  </si>
  <si>
    <t xml:space="preserve">werkg ln </t>
  </si>
  <si>
    <t>zonder</t>
  </si>
  <si>
    <t>met</t>
  </si>
  <si>
    <t>% eigen</t>
  </si>
  <si>
    <t>budget 57 jr</t>
  </si>
  <si>
    <t>reg. bapo</t>
  </si>
  <si>
    <t>budget</t>
  </si>
  <si>
    <t>verlof</t>
  </si>
  <si>
    <t>excl. uren LFB</t>
  </si>
  <si>
    <t>LFB</t>
  </si>
  <si>
    <t>onbet verlof</t>
  </si>
  <si>
    <t>maand</t>
  </si>
  <si>
    <t>excl. wg ln</t>
  </si>
  <si>
    <t>incl. wg ln</t>
  </si>
  <si>
    <t>per uur</t>
  </si>
  <si>
    <t>eigen bijdr</t>
  </si>
  <si>
    <t>bijdrage</t>
  </si>
  <si>
    <t>Pensioenpremie ABP</t>
  </si>
  <si>
    <t>Werkgever</t>
  </si>
  <si>
    <t>Werknemer</t>
  </si>
  <si>
    <t>Franchise</t>
  </si>
  <si>
    <t>EJU</t>
  </si>
  <si>
    <t>Vak. Uitk.</t>
  </si>
  <si>
    <t>2023/24</t>
  </si>
  <si>
    <t>LFB-PB</t>
  </si>
  <si>
    <t>bruto maandsalaris</t>
  </si>
  <si>
    <t>eigen bijdrage LFB verlof (oop ≤ 8)</t>
  </si>
  <si>
    <t>eigen bijdrage LFB verlof (dir, op en oop &gt; 8)</t>
  </si>
  <si>
    <t>werkgeverslasten bij opname LFB verlof</t>
  </si>
  <si>
    <t xml:space="preserve">In dit werkblad zijn grafieken opgenomen van belangrijke ontwikkelingen in het SWV, zowel wat leerlingen, financiën als kengetallen betreft. </t>
  </si>
  <si>
    <t xml:space="preserve">De afdruk van ieder werkblad in het instrument is 'geregeld', maar de instellingen daarvan zijn door iemand met ervaring </t>
  </si>
  <si>
    <t xml:space="preserve">personeelslid wordt aangenomen de gegevens in het eerste jaar al kunnen worden ingevuld, zij het dan met werktijdfactor 0. In de </t>
  </si>
  <si>
    <t>bijgebogen moeten worden.</t>
  </si>
  <si>
    <t>Leerlingen VSO t.o.v alle leerlingen VO</t>
  </si>
  <si>
    <t>Solvabiliteit 2</t>
  </si>
  <si>
    <t>waarde per 01/01</t>
  </si>
  <si>
    <t>Bekostiging lichte ondersteuning per lln VO</t>
  </si>
  <si>
    <t xml:space="preserve">Totaal lichte ondersteuning incl. onderst. LWOO en PRO </t>
  </si>
  <si>
    <t>en bijdrage besturen ivm uitputting</t>
  </si>
  <si>
    <t>Overige rijksbijdragen OCW</t>
  </si>
  <si>
    <t>Kengetallen VO</t>
  </si>
  <si>
    <t>eigen vermogen + voorzieningen</t>
  </si>
  <si>
    <t>Ondersteuningsbekostiging LWOO personeel</t>
  </si>
  <si>
    <t>Ondersteuningsbekostiging PRO personeel</t>
  </si>
  <si>
    <t>Bijdrage besturen ivm uitputting lichte ondersteuning personeel</t>
  </si>
  <si>
    <t>Uitputting per leerling P+M</t>
  </si>
  <si>
    <t>Verrekening vindt plaats door DUO door korting op lumpsumbekostiging per school</t>
  </si>
  <si>
    <t>Ondersteuningsbekostiging SWV voor LWOO M</t>
  </si>
  <si>
    <t>Ondersteuningsbekostiging SWV voor PRO M</t>
  </si>
  <si>
    <t>Waarde activa per 01-01</t>
  </si>
  <si>
    <t>Die dient onderbouwd geleverd te worden door de VSO-school zelf, zo nodig in overleg.</t>
  </si>
  <si>
    <t xml:space="preserve">Op die wijze wordt berekend wat de omvang van de overdrachtsverplichting van het SWV per school is en van het totaal. Tegelijkertijd wordt berekend </t>
  </si>
  <si>
    <t>Totaal personeel</t>
  </si>
  <si>
    <t>Totaal materieel</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</si>
  <si>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</si>
  <si>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</si>
  <si>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</si>
  <si>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</si>
  <si>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</si>
  <si>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</si>
  <si>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</si>
  <si>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</si>
  <si>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</si>
  <si>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</si>
  <si>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</si>
  <si>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</si>
  <si>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</si>
  <si>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</si>
  <si>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</si>
  <si>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</si>
  <si>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Saldo SWV m.b.t. LWOO baten lasten</t>
  </si>
  <si>
    <t>Saldo SWV m.b.t. PRO baten lasten</t>
  </si>
  <si>
    <t>Baten OCW</t>
  </si>
  <si>
    <t xml:space="preserve">Dit instrument levert de meerjarenbegroting voor het samenwerkingsverband. De indeling volgt daarbij de indeling van de jaarrekening </t>
  </si>
  <si>
    <t>Prognose-instrumenten:</t>
  </si>
  <si>
    <t>Scenariomodel-VO</t>
  </si>
  <si>
    <t>Generieke doorbetaling aan scholen/schoolbesturen</t>
  </si>
  <si>
    <t>piet</t>
  </si>
  <si>
    <t>chef</t>
  </si>
  <si>
    <t>2024/25</t>
  </si>
  <si>
    <t>Perc. LWOO-ll 1 okt. 2012</t>
  </si>
  <si>
    <t>Perc. PRO-ll okt. 2012</t>
  </si>
  <si>
    <t>BASISGEGEVENS LEERLINGEN</t>
  </si>
  <si>
    <t>Leerlingprognose VO op teldatum</t>
  </si>
  <si>
    <t>Totaal saldo SWV voor SWV lichte ondersteuning VO</t>
  </si>
  <si>
    <t>Generieke toekenning aan besturen/scholen</t>
  </si>
  <si>
    <t>Leerlingprognose VSO op teldatum 1 okt T-1</t>
  </si>
  <si>
    <t>Saldo liquide middelen 31 dec T-1</t>
  </si>
  <si>
    <t>Totaal ondersteuningsbekostiging LWOO M en PRO M</t>
  </si>
  <si>
    <t>totale lasten</t>
  </si>
  <si>
    <t>Het meestal grote aantal VSO-scholen dat bij het SWV betrokken is, vergt een zorgvuldige registratie.</t>
  </si>
  <si>
    <t>Voor het berekenen van de bekostiging voor de Lichte resp. Zware Ondersteuning en de overdrachtsverplichtingen aan het VSO kan volstaan</t>
  </si>
  <si>
    <r>
      <t xml:space="preserve">van het </t>
    </r>
    <r>
      <rPr>
        <u/>
        <sz val="10"/>
        <rFont val="Calibri"/>
        <family val="2"/>
      </rPr>
      <t>fictieve</t>
    </r>
    <r>
      <rPr>
        <sz val="10"/>
        <rFont val="Calibri"/>
        <family val="2"/>
      </rPr>
      <t xml:space="preserve"> aantal leerlingen LWOO resp. PRO dat de grondslag vormt voor de bekostiging van het samenwerkingsverband vanaf </t>
    </r>
  </si>
  <si>
    <t xml:space="preserve">De lichte ondersteuning is nader uitgesplitst in Lichte ondersteuning, LWOO en PRO. </t>
  </si>
  <si>
    <t>Correctiebedrag personeel 100%</t>
  </si>
  <si>
    <t>Correctiebedrag materieel 100%</t>
  </si>
  <si>
    <t>Voor bepaling overgangsbudget SWV Zware Ondersteuning</t>
  </si>
  <si>
    <t>waarvan Rijksbijdragen lichte ondersteuning</t>
  </si>
  <si>
    <t>waarvan Rijksbijdragen zware ondersteuning</t>
  </si>
  <si>
    <t>waarvan overige overheidsbijdragen lichte ondersteuning</t>
  </si>
  <si>
    <t>waarvan overige overheidsbijdragen zware ondersteuning</t>
  </si>
  <si>
    <t>Verplichte afdrachten aan VSO-instellingen</t>
  </si>
  <si>
    <t>Doorbetaling aan VSO o.b.v. 1 februari</t>
  </si>
  <si>
    <t>Doorbetaling aan LWOO</t>
  </si>
  <si>
    <t>Doorbetaling aan PRO</t>
  </si>
  <si>
    <t>Overige doorbetalingen aan schoolbesturen</t>
  </si>
  <si>
    <t>Programma's</t>
  </si>
  <si>
    <t>programma 2</t>
  </si>
  <si>
    <t>programma 3</t>
  </si>
  <si>
    <t>programma 4</t>
  </si>
  <si>
    <t>programma 5</t>
  </si>
  <si>
    <t>programma 6</t>
  </si>
  <si>
    <t>programma 7</t>
  </si>
  <si>
    <t>programma 8</t>
  </si>
  <si>
    <t>programma 9</t>
  </si>
  <si>
    <t>programma 10</t>
  </si>
  <si>
    <t>arrangementen</t>
  </si>
  <si>
    <t>Naar schooljaar</t>
  </si>
  <si>
    <t>(de overdrachten vallen onder de lasten)</t>
  </si>
  <si>
    <t>programma 1 Arrangementen</t>
  </si>
  <si>
    <t>Overige personeelslasten</t>
  </si>
  <si>
    <t>2025/26</t>
  </si>
  <si>
    <t>Zodra nieuwe bedragen bekend worden, kunnen die overgenomen worden in dit werkblad. Bij ingrijpende veranderingen zal een bijgestelde versie</t>
  </si>
  <si>
    <t>voorlopige cijfers</t>
  </si>
  <si>
    <t>voorlopige cijfers:</t>
  </si>
  <si>
    <t>SPECIFICATIE PROGRAMMA'S</t>
  </si>
  <si>
    <t>Rijksbijdrage OCW zware ondersteuning incl. uitputtingsbijdrage</t>
  </si>
  <si>
    <t>Overige generieke doorbetalingen aan schoolbesturen</t>
  </si>
  <si>
    <t xml:space="preserve">KENGETALLEN </t>
  </si>
  <si>
    <t>Werkblad 'programma's'</t>
  </si>
  <si>
    <t>In dit werkblad worden de gegevens in verband met specifieke programma's verwerkt. Denk hierbij aan o.a. projectactiviteiten van meer tijdelijke aard.</t>
  </si>
  <si>
    <t>Het onderscheid LO en ZO is hierbij niet reëel en is daarom achterwege gebleven.</t>
  </si>
  <si>
    <t>In dit werkblad wordt de Staat van Baten en Lasten integraal weergegeven. Vrijwel alle gegevens worden ontleend aan de hiervoor ingevulde</t>
  </si>
  <si>
    <t>De indeling van de Staat van Baten en Lasten volgt de nu geldende voorschriften omtrent de jaarrekening.</t>
  </si>
  <si>
    <t>Het samenwerkingsverband hoeft er niet rijk van te worden, maar evenmin een schoolbestuur of andere werkgever of een uitzendbureau.</t>
  </si>
  <si>
    <t>Salaristabellen personeel</t>
  </si>
  <si>
    <t>2026/27</t>
  </si>
  <si>
    <t xml:space="preserve">Het instrument volgt de compartimentering van de lichte en de zware ondersteuning (LO resp. ZO) zoals die in de wet is aangegeven. Daarom worden de </t>
  </si>
  <si>
    <t>De 'overall' verwerking in de begroting en de balans ed. is zonder die opsplitsing.</t>
  </si>
  <si>
    <t xml:space="preserve">Dit wordt omgerekend in een bedrag per leerling SWV. </t>
  </si>
  <si>
    <t xml:space="preserve">leerlingen dat tot dit verband moet worden gerekend. </t>
  </si>
  <si>
    <t>M worden dan in het werkblad 'mat' verwerkt.</t>
  </si>
  <si>
    <r>
      <t xml:space="preserve">een </t>
    </r>
    <r>
      <rPr>
        <b/>
        <u/>
        <sz val="10"/>
        <rFont val="Calibri"/>
        <family val="2"/>
      </rPr>
      <t>raming</t>
    </r>
    <r>
      <rPr>
        <sz val="10"/>
        <rFont val="Calibri"/>
        <family val="2"/>
      </rPr>
      <t xml:space="preserve"> van de werkgevers</t>
    </r>
    <r>
      <rPr>
        <b/>
        <sz val="10"/>
        <rFont val="Calibri"/>
        <family val="2"/>
      </rPr>
      <t>lasten</t>
    </r>
    <r>
      <rPr>
        <sz val="10"/>
        <rFont val="Calibri"/>
        <family val="2"/>
      </rPr>
      <t>. Onderdeel van de berekening is ook de afzonderlijk berekende en zichtbare LeeftijdFase Bewust (LFB) verlof-</t>
    </r>
  </si>
  <si>
    <t xml:space="preserve">kosten als daar sprake van is. Daartoe moeten de verschillende uren verlof worden ingevuld in de betreffende kolommen. </t>
  </si>
  <si>
    <r>
      <t>worden ook de geraamde werkgeverslasten zichtbaar gemaakt. Die zijn in dit model geraamd zoals in het werkblad 'tab' is opgenomen</t>
    </r>
    <r>
      <rPr>
        <sz val="10"/>
        <rFont val="Calibri"/>
        <family val="2"/>
      </rPr>
      <t xml:space="preserve">, maar het </t>
    </r>
  </si>
  <si>
    <r>
      <t>wordt dringend aangeraden het percentage zelf te berekenen voor de eigen situatie</t>
    </r>
    <r>
      <rPr>
        <sz val="10"/>
        <rFont val="Calibri"/>
        <family val="2"/>
      </rPr>
      <t xml:space="preserve"> omdat dit een nogal groot effect kan hebben. Buiten beeld </t>
    </r>
  </si>
  <si>
    <t xml:space="preserve">blijven dan de 'kosten van vervanging en de uitkering' (~ 6%) en nog de eventuele 'overhead'-kosten van incidentele of specifieke aard en kosten die </t>
  </si>
  <si>
    <t>verband houden met huisvesting, administratie, personeelsbeleid e.d.</t>
  </si>
  <si>
    <t>De financiële informatie over de VSO-school is voor iedereen beschikbaar via de website van DUO onder instellingsinformatie.</t>
  </si>
  <si>
    <t>Aantal leerlingen LWOO en PRO</t>
  </si>
  <si>
    <t>Vanaf rij 95 de leerlingaantallen per school en per categorie invullen.</t>
  </si>
  <si>
    <t>Voorbeeld SWV VO Alkmaar</t>
  </si>
  <si>
    <t>VO2703</t>
  </si>
  <si>
    <t>Voor het jaarverslag geldt dat de verplichte overdrachten en de generieke afdrachten als lasten worden geboekt.</t>
  </si>
  <si>
    <t>Aantal VAVO-TG leerlingen SWV VO lichte ondersteuning</t>
  </si>
  <si>
    <t>Aantal Nieuwkomers</t>
  </si>
  <si>
    <t>inventaris en apparatuur</t>
  </si>
  <si>
    <t>PC</t>
  </si>
  <si>
    <t xml:space="preserve">worden met de invulling van dit werkblad. </t>
  </si>
  <si>
    <t>omdat de risico's bij een samenwerkingsverband wezenlijk anders zijn dan die van een schoolbestuur.</t>
  </si>
  <si>
    <t>Regionale ondersteuning</t>
  </si>
  <si>
    <t>2027/28</t>
  </si>
  <si>
    <t>Bekostiging Zware Ondersteuning</t>
  </si>
  <si>
    <t>Bekostiging aan VSO-school (P en M)</t>
  </si>
  <si>
    <t>Ondersteuningsbedrag per leerling LWOO/PRO aan SWV</t>
  </si>
  <si>
    <t>Ondersteuningsbekostiging LWOO/PRO van SWV aan school</t>
  </si>
  <si>
    <t>Ondersteuningsbekostiging LWOO van Rijk aan SWV</t>
  </si>
  <si>
    <t>Ondersteuningsbekostiging PRO van Rijk aan SWV</t>
  </si>
  <si>
    <t>Ondersteuningsbekostiging SWV aan PRO</t>
  </si>
  <si>
    <t>Ondersteuningsbekostiging LWOO en PRO van Rijk aan SWV</t>
  </si>
  <si>
    <t>Ondersteuningsbekostiging SWV aan LWOO en PRO</t>
  </si>
  <si>
    <t>Bekostiging zware ondersteuning</t>
  </si>
  <si>
    <t>Overdrachtsverplichting bekostiging via DUO 1 okt T-1</t>
  </si>
  <si>
    <t>bekostiging SWV voor ZO</t>
  </si>
  <si>
    <t>bijdrage besturen</t>
  </si>
  <si>
    <t>Totaal LO en ZO</t>
  </si>
  <si>
    <t>Meerjarenbegroting Samenwerkingsverband Passend Onderwijs VO 2023</t>
  </si>
  <si>
    <t>2022/2023</t>
  </si>
  <si>
    <t>Bedrag per leerling VO</t>
  </si>
  <si>
    <t>Over te dragen Bekostiging P en M</t>
  </si>
  <si>
    <t>2023/2024</t>
  </si>
  <si>
    <t>2028/29</t>
  </si>
  <si>
    <t>Ondersteuningsbekostiging SWV aan LWOO</t>
  </si>
  <si>
    <t>Ondersteuningsbekostiging SWV voor LWOO</t>
  </si>
  <si>
    <t>Ondersteuningsbekostiging SWV voor PRO</t>
  </si>
  <si>
    <t>Totaal ondersteuningsbekostiging LWOO en PRO</t>
  </si>
  <si>
    <t xml:space="preserve">Lasten </t>
  </si>
  <si>
    <r>
      <t xml:space="preserve">Bedrag overdracht bekostiging per leerling </t>
    </r>
    <r>
      <rPr>
        <b/>
        <sz val="10"/>
        <color rgb="FFFF0000"/>
        <rFont val="Calibri"/>
        <family val="2"/>
      </rPr>
      <t>boven</t>
    </r>
    <r>
      <rPr>
        <b/>
        <sz val="10"/>
        <rFont val="Calibri"/>
        <family val="2"/>
      </rPr>
      <t xml:space="preserve"> het aantal van de gemiddelde toename na 1 februari </t>
    </r>
  </si>
  <si>
    <t>per leerling VSO categorie 1</t>
  </si>
  <si>
    <t>per leerling VSO categorie 2</t>
  </si>
  <si>
    <t>per leerling VSO categorie 3</t>
  </si>
  <si>
    <r>
      <t xml:space="preserve">Aantal ll voor overdracht bekostiging per leerling </t>
    </r>
    <r>
      <rPr>
        <b/>
        <sz val="10"/>
        <color rgb="FFFF0000"/>
        <rFont val="Calibri"/>
        <family val="2"/>
      </rPr>
      <t>boven</t>
    </r>
    <r>
      <rPr>
        <b/>
        <sz val="10"/>
        <rFont val="Calibri"/>
        <family val="2"/>
      </rPr>
      <t xml:space="preserve"> het aantal van de gemiddelde toename na 1 februari </t>
    </r>
  </si>
  <si>
    <t>Overdracht aantal leerlingen vangnetbepaling per categorie</t>
  </si>
  <si>
    <t>per leerling VSO vangnetbepaling categorie 1</t>
  </si>
  <si>
    <t>per leerling VSO vangnetbepaling categorie 2</t>
  </si>
  <si>
    <t>per leerling VSO vangnetbepaling categorie 3</t>
  </si>
  <si>
    <t>Raming ziektevervanging en uitkeringskosten</t>
  </si>
  <si>
    <t>GPL LB OP</t>
  </si>
  <si>
    <t>Doorbetaling aan VSO o.b.v. vangnetbepaling 1 februari</t>
  </si>
  <si>
    <t>Overige personele lasten</t>
  </si>
  <si>
    <t>lasten per leerling</t>
  </si>
  <si>
    <t xml:space="preserve">Totaal baten </t>
  </si>
  <si>
    <t>Dit is het instrument voor de meerjarenbegroting van het SWV Passend Onderwijs VO voor het kalenderjaar 2023 en volgende.</t>
  </si>
  <si>
    <t>De bekostigingsdata zijn bijgewerkt t/m januari 2023 evenals de kengetallen i.v.m. de bekostiging PO en VO die betrekking hebben op het SWV.</t>
  </si>
  <si>
    <t>De salaristabellen zijn opgenomen zoals vastgesteld in de laatste CAO VO.</t>
  </si>
  <si>
    <t xml:space="preserve">Daarbij zijn de gele velden voorzien van een formule die niet overschreven kan worden. De lichtgele velden hebben ook ee formule maar die kan </t>
  </si>
  <si>
    <t>desgewenst wel overschreven worden. Alleen in het werkblad tab zijn het daarentegen de gele cellen die toegankelijk zijn en niet de witte.</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</si>
  <si>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vosabb</t>
    </r>
  </si>
  <si>
    <t>Ook is er een verborgen werkblad 'hlpbl' als hulpblad beschikbaar voor de snelle raming van de kosten van een functie.</t>
  </si>
  <si>
    <t xml:space="preserve">Dit instrument beperkt zich tot alleen de begroting van het samenwerkingsverband VO. </t>
  </si>
  <si>
    <t>Daardoor blijft de begroting (V)SO als zodanig buiten beeld. Die wordt als instrument MJB (V)SO via de website van de PO-Raad beschikbaar gesteld.</t>
  </si>
  <si>
    <t>van het SWV in verband met het aantal leerlingen op de teldatum. En wanneer er sprake is van een meer dan gemiddelde toename na 1 februari.</t>
  </si>
  <si>
    <t>De inkomsten en uitgaven van de VSO-school worden hier alleen berekend resp. overgenomen voorzover het gaat om de overdrachtsverplichtingen</t>
  </si>
  <si>
    <t>De onderbrenging van LWOO en PRO  in het samenwerkingsverband is ook in dit instrument opgenomen. De bekostiging die daar mee samenhangt</t>
  </si>
  <si>
    <t>Werkblad 'geg ll'</t>
  </si>
  <si>
    <t xml:space="preserve">De teldatum voor het VSO is wettelijk op 1 februari gesteld. </t>
  </si>
  <si>
    <r>
      <t>Percentages ll VO 1 oktober T-1:</t>
    </r>
    <r>
      <rPr>
        <sz val="10"/>
        <rFont val="Calibri"/>
        <family val="2"/>
      </rPr>
      <t xml:space="preserve"> Het percentage wordt hier berekend per soort leerlingen. Ook zijn de laatst bekende landelijke percentages - voor</t>
    </r>
  </si>
  <si>
    <t>zover bekend - opgenomen. Het percentage leerlingen LWOO resp. PRO wordt berekend op basis van de telling 1 okt. 2012: Dat aandeel leerlingen is</t>
  </si>
  <si>
    <t>bepalend voor de berekening voor het kalenderjaar 2016 en volgende zolang de aangekondigde nieuwe systematiek nog niet is vastgesteld.</t>
  </si>
  <si>
    <r>
      <t>Percentages ll VSO 1 februari T-1:</t>
    </r>
    <r>
      <rPr>
        <sz val="10"/>
        <rFont val="Calibri"/>
        <family val="2"/>
      </rPr>
      <t xml:space="preserve"> De verwijzingspercentages worden hier berekend per categorie en totaal. Ook zijn hier </t>
    </r>
    <r>
      <rPr>
        <b/>
        <sz val="10"/>
        <rFont val="Calibri"/>
        <family val="2"/>
      </rPr>
      <t xml:space="preserve">- </t>
    </r>
    <r>
      <rPr>
        <sz val="10"/>
        <rFont val="Calibri"/>
        <family val="2"/>
      </rPr>
      <t>voor zover bekend</t>
    </r>
    <r>
      <rPr>
        <b/>
        <sz val="10"/>
        <rFont val="Calibri"/>
        <family val="2"/>
      </rPr>
      <t xml:space="preserve"> - </t>
    </r>
  </si>
  <si>
    <t>https://www.duo.nl/open_onderwijsdata/</t>
  </si>
  <si>
    <t>wat de omvang van de uitputting is, als daar sprake van is, met een specificatie voor LWOO resp. PRO.</t>
  </si>
  <si>
    <t xml:space="preserve">De omvang van de uitputting wordt berekend in een bedrag per leerling. </t>
  </si>
  <si>
    <t>Zowel de overdrachtsverplichting als de omvang van de uitputting wordt overgebracht naar het werkblad 'bekost' (vanaf rij 17).</t>
  </si>
  <si>
    <t>Daarbij wordt geen onderscheid meer gemaakt tussen personeel en materieel, maar wordt wel rekening gehouden met de categorieën.</t>
  </si>
  <si>
    <t xml:space="preserve">Werkblad 'bekost' </t>
  </si>
  <si>
    <t>De zware ondersteuning wordt nu ook per kalenderjaar toegekend.</t>
  </si>
  <si>
    <t xml:space="preserve">Vanaf rij 153 kunt u de programma's in het SWV definiëren en die in het werkblad 'programma's' nader specificeren naar P en M. De uitgaven m.b.t. </t>
  </si>
  <si>
    <t xml:space="preserve">In dit werkblad worden in beperkte mate de baten en lasten van de materiële exploitatie verwerkt, uitgesplitst naar LO en ZO. </t>
  </si>
  <si>
    <t>Vanaf rij 128 worden de gegevens verwerkt die u in het werkblad 'programma's' per programma voor materiële uitgaven hebt opgegeven.</t>
  </si>
  <si>
    <t>t.o.v.LB</t>
  </si>
  <si>
    <t xml:space="preserve">m.b.t. de staat van baten en lasten en de balans. </t>
  </si>
  <si>
    <t>0,75 - 1,0 - 1,5</t>
  </si>
  <si>
    <t>Liquiditeit (klein, middel, groot)  &lt; dan</t>
  </si>
  <si>
    <t xml:space="preserve">Signaleringswaarde bovenmatig eigen vermogen: </t>
  </si>
  <si>
    <t xml:space="preserve">https://www.onderwijsinspectie.nl/onderwerpen/toezicht-op-financieel-beheer/toezicht-op-publiek-eigen-vermogen </t>
  </si>
  <si>
    <t>Werkgeverslasten</t>
  </si>
  <si>
    <t>Werkgeverslasten excl. ziekte en uitkering</t>
  </si>
  <si>
    <t>maximum</t>
  </si>
  <si>
    <t xml:space="preserve">Dit betreft de uitputting die aan de orde kan zijn per 1 okt. T-1 (verrekening door DUO) alswel de uitputting die in een beperkt aantal gevallen aan </t>
  </si>
  <si>
    <r>
      <t>de orde kan zijn op basis van de meer dan gemiddelde toename na 1 februari (</t>
    </r>
    <r>
      <rPr>
        <i/>
        <sz val="10"/>
        <rFont val="Calibri"/>
        <family val="2"/>
      </rPr>
      <t>verrekening door het SWV zelf!</t>
    </r>
    <r>
      <rPr>
        <sz val="10"/>
        <rFont val="Calibri"/>
        <family val="2"/>
      </rPr>
      <t xml:space="preserve">). Daarvoor is ook het hulpmiddel </t>
    </r>
  </si>
  <si>
    <t>Rekentool vangnetbepaling' beschikbaar op de website Steunpunt Passend Onderwijs.</t>
  </si>
  <si>
    <t xml:space="preserve">is in het instrument verwerkt. Daarbij kan ook sprake zijn van uitputting voor PRO en in bijzondere gevallen ook voor LWOO. Ook deze berekeningen </t>
  </si>
  <si>
    <t xml:space="preserve">zijn verwerkt en opgenomen in het werkblad LWOO-PRO. </t>
  </si>
  <si>
    <t xml:space="preserve">In dit werkblad wordt de bekostiging verwerkt van P en M samen van enerzijds de Lichte Ondersteuning en anderzijds de Zware Ondersteuning en </t>
  </si>
  <si>
    <t xml:space="preserve">worden de overige baten en lasten LO en ZO weergegeven, waaronder de kosten van programma's zoals arrangementenverplichtingen. </t>
  </si>
  <si>
    <t>Die bedragen dienen door u ingevuld te worden o.b.v. de gemaakte afspraken.</t>
  </si>
  <si>
    <t>Hierbij worden lasten per programma onderscheiden naar personeel en materieel conform de aanduiding van het programma in werkblad 'bekost'.</t>
  </si>
  <si>
    <t>De hier vermelde opgaven worden verwerkt in de werkbladen 'bekost' en 'mat' bij programma's.</t>
  </si>
  <si>
    <t xml:space="preserve">worden gebracht. Hiervoor is het vereist dat alle investeringen en afschrijvigen vanaf 1 augustus 2014 met effect in 2023 en de toekomstige </t>
  </si>
  <si>
    <t>investeringen (gedurende tenminste de komende vijf jaren) in kaart worden gebracht.</t>
  </si>
  <si>
    <t xml:space="preserve">Ook worden diverse ontwikkelingen geïndexeerd met als vertrekpunt het kalenderjaar 2023. Die signaleren tendensen die al dan niet </t>
  </si>
  <si>
    <t xml:space="preserve">van dit instrument nodig zijn. </t>
  </si>
  <si>
    <t xml:space="preserve">https://www.poraad.nl/toolbox-werkgeverslasten-primair-onderwijs </t>
  </si>
  <si>
    <t>De kosten van personeel aangesteld bij het SWV worden in het werkblad 'sal SWV' berekend en verwerkt.</t>
  </si>
  <si>
    <t xml:space="preserve">Zie ook het instrument 'Werkgeverslasten' van de PO-Raad, als hierboven vermeld onder Werkblad 'tab'. </t>
  </si>
  <si>
    <t>Houd ook rekening met de al dan niet van toepassing zijnde BTW-verplichting voor extern personeel.</t>
  </si>
  <si>
    <r>
      <t xml:space="preserve">Bepaling percentage LWOO-leerlingen en PRO-leerlingen per </t>
    </r>
    <r>
      <rPr>
        <b/>
        <sz val="10"/>
        <rFont val="Calibri"/>
        <family val="2"/>
      </rPr>
      <t>1 okt. 2012</t>
    </r>
    <r>
      <rPr>
        <sz val="10"/>
        <rFont val="Calibri"/>
        <family val="2"/>
      </rPr>
      <t xml:space="preserve"> voor berekening bekostiging aantal leerlingen:</t>
    </r>
  </si>
  <si>
    <t xml:space="preserve">voor de eigen situatie daadwerkelijk van toepassing is. Zie daarvoor ook het instrument dat door de PO-Raad voor het PO is ontwikkeld: </t>
  </si>
  <si>
    <t>Werkblad 'overdracht VSO'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</si>
</sst>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_-&quot;€&quot;\ * #,##0_-;_-&quot;€&quot;\ * #,##0\-;_-&quot;€&quot;\ * &quot;-&quot;??_-;_-@_-"/>
    <numFmt numFmtId="171" formatCode="&quot;€&quot;\ #,##0_-"/>
    <numFmt numFmtId="172" formatCode="#,##0_ ;\-#,##0\ "/>
    <numFmt numFmtId="173" formatCode="0.0%"/>
    <numFmt numFmtId="174" formatCode="dd/mm/yy"/>
    <numFmt numFmtId="175" formatCode="d\ mmmm\ yyyy"/>
    <numFmt numFmtId="176" formatCode="[$-413]d/mmm/yy;@"/>
    <numFmt numFmtId="177" formatCode="0.0000%"/>
    <numFmt numFmtId="178" formatCode="#,##0.00_ ;\-#,##0.00\ "/>
    <numFmt numFmtId="179" formatCode="0_ ;\-0\ "/>
    <numFmt numFmtId="180" formatCode="0.0"/>
    <numFmt numFmtId="181" formatCode="_(&quot;€&quot;* #,##0_);_(&quot;€&quot;* \(#,##0\);_(&quot;€&quot;* &quot;-&quot;_);_(@_)"/>
    <numFmt numFmtId="182" formatCode="_(&quot;€&quot;* #,##0.00_);_(&quot;€&quot;* \(#,##0.00\);_(&quot;€&quot;* &quot;-&quot;??_);_(@_)"/>
    <numFmt numFmtId="183" formatCode="0.000%"/>
    <numFmt numFmtId="184" formatCode="#,##0.0"/>
    <numFmt numFmtId="185" formatCode="[$-413]d\ mmmm\ yyyy;@"/>
  </numFmts>
  <fonts count="138"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b/>
      <i/>
      <sz val="14"/>
      <color indexed="10"/>
      <name val="Calibri"/>
      <family val="2"/>
    </font>
    <font>
      <i/>
      <sz val="14"/>
      <color indexed="10"/>
      <name val="Calibri"/>
      <family val="2"/>
    </font>
    <font>
      <sz val="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12"/>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i/>
      <sz val="10"/>
      <color indexed="9"/>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sz val="10"/>
      <color indexed="60"/>
      <name val="Calibri"/>
      <family val="2"/>
    </font>
    <font>
      <i/>
      <sz val="10"/>
      <color indexed="60"/>
      <name val="Calibri"/>
      <family val="2"/>
    </font>
    <font>
      <b/>
      <i/>
      <sz val="10"/>
      <color indexed="60"/>
      <name val="Calibri"/>
      <family val="2"/>
    </font>
    <font>
      <b/>
      <sz val="10"/>
      <color indexed="60"/>
      <name val="Calibri"/>
      <family val="2"/>
    </font>
    <font>
      <b/>
      <sz val="14"/>
      <color indexed="60"/>
      <name val="Calibri"/>
      <family val="2"/>
    </font>
    <font>
      <sz val="10"/>
      <color indexed="9"/>
      <name val="Calibri"/>
      <family val="2"/>
    </font>
    <font>
      <b/>
      <sz val="10"/>
      <color indexed="30"/>
      <name val="Calibri"/>
      <family val="2"/>
    </font>
    <font>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4"/>
      <name val="Arial"/>
      <family val="2"/>
    </font>
    <font>
      <b/>
      <sz val="10"/>
      <name val="Arial"/>
      <family val="2"/>
    </font>
    <font>
      <i/>
      <sz val="10"/>
      <color indexed="8"/>
      <name val="Calibri"/>
      <family val="2"/>
    </font>
    <font>
      <i/>
      <sz val="10"/>
      <color indexed="9"/>
      <name val="Calibri"/>
      <family val="2"/>
    </font>
    <font>
      <b/>
      <sz val="12"/>
      <color indexed="60"/>
      <name val="Calibri"/>
      <family val="2"/>
    </font>
    <font>
      <sz val="10"/>
      <color indexed="8"/>
      <name val="Calibri"/>
      <family val="2"/>
    </font>
    <font>
      <b/>
      <sz val="10"/>
      <color indexed="60"/>
      <name val="Calibri"/>
      <family val="2"/>
    </font>
    <font>
      <b/>
      <i/>
      <sz val="10"/>
      <color indexed="60"/>
      <name val="Calibri"/>
      <family val="2"/>
    </font>
    <font>
      <b/>
      <sz val="10"/>
      <color indexed="9"/>
      <name val="Calibri"/>
      <family val="2"/>
    </font>
    <font>
      <sz val="10"/>
      <color indexed="60"/>
      <name val="Calibri"/>
      <family val="2"/>
    </font>
    <font>
      <i/>
      <sz val="10"/>
      <color indexed="60"/>
      <name val="Calibri"/>
      <family val="2"/>
    </font>
    <font>
      <b/>
      <sz val="14"/>
      <color indexed="60"/>
      <name val="Calibri"/>
      <family val="2"/>
    </font>
    <font>
      <sz val="10"/>
      <color theme="0"/>
      <name val="Calibri"/>
      <family val="2"/>
    </font>
    <font>
      <sz val="10"/>
      <name val="Calibri"/>
      <family val="2"/>
      <scheme val="minor"/>
    </font>
    <font>
      <b/>
      <i/>
      <sz val="10"/>
      <color theme="0"/>
      <name val="Calibri"/>
      <family val="2"/>
    </font>
    <font>
      <u/>
      <sz val="10"/>
      <color theme="0"/>
      <name val="Arial"/>
      <family val="2"/>
    </font>
    <font>
      <b/>
      <sz val="14"/>
      <color rgb="FFC00000"/>
      <name val="Calibri"/>
      <family val="2"/>
    </font>
    <font>
      <b/>
      <i/>
      <sz val="10"/>
      <color rgb="FFC00000"/>
      <name val="Calibri"/>
      <family val="2"/>
    </font>
    <font>
      <b/>
      <sz val="10"/>
      <color rgb="FFC00000"/>
      <name val="Calibri"/>
      <family val="2"/>
    </font>
    <font>
      <i/>
      <sz val="10"/>
      <color rgb="FFC00000"/>
      <name val="Calibri"/>
      <family val="2"/>
    </font>
    <font>
      <b/>
      <sz val="10"/>
      <color theme="0"/>
      <name val="Calibri"/>
      <family val="2"/>
    </font>
    <font>
      <i/>
      <sz val="10"/>
      <color rgb="FF0070C0"/>
      <name val="Calibri"/>
      <family val="2"/>
    </font>
    <font>
      <sz val="10"/>
      <color theme="0" tint="-4.9989318521683403E-2"/>
      <name val="Calibri"/>
      <family val="2"/>
    </font>
    <font>
      <b/>
      <sz val="10"/>
      <color rgb="FFA40000"/>
      <name val="Calibri"/>
      <family val="2"/>
    </font>
    <font>
      <b/>
      <sz val="10"/>
      <name val="Calibri"/>
      <family val="2"/>
      <scheme val="minor"/>
    </font>
    <font>
      <b/>
      <i/>
      <sz val="12"/>
      <color indexed="60"/>
      <name val="Calibri"/>
      <family val="2"/>
    </font>
    <font>
      <sz val="10"/>
      <color rgb="FFFF0000"/>
      <name val="Calibri"/>
      <family val="2"/>
    </font>
    <font>
      <b/>
      <i/>
      <sz val="10"/>
      <color rgb="FFA40000"/>
      <name val="Calibri"/>
      <family val="2"/>
      <scheme val="minor"/>
    </font>
    <font>
      <b/>
      <sz val="14"/>
      <color rgb="FF993300"/>
      <name val="Calibri"/>
      <family val="2"/>
    </font>
    <font>
      <b/>
      <i/>
      <sz val="10"/>
      <color rgb="FF993300"/>
      <name val="Calibri"/>
      <family val="2"/>
      <scheme val="minor"/>
    </font>
    <font>
      <b/>
      <sz val="11"/>
      <name val="Calibri"/>
      <family val="2"/>
      <scheme val="minor"/>
    </font>
    <font>
      <b/>
      <i/>
      <sz val="11"/>
      <color rgb="FF993300"/>
      <name val="Calibri"/>
      <family val="2"/>
    </font>
    <font>
      <i/>
      <sz val="10"/>
      <color rgb="FF993300"/>
      <name val="Calibri"/>
      <family val="2"/>
    </font>
    <font>
      <b/>
      <i/>
      <sz val="10"/>
      <color rgb="FF993300"/>
      <name val="Calibri"/>
      <family val="2"/>
    </font>
    <font>
      <b/>
      <i/>
      <sz val="10"/>
      <color theme="0"/>
      <name val="Calibri"/>
      <family val="2"/>
      <scheme val="minor"/>
    </font>
    <font>
      <sz val="10"/>
      <color rgb="FF993300"/>
      <name val="Calibri"/>
      <family val="2"/>
    </font>
    <font>
      <b/>
      <sz val="12"/>
      <color rgb="FFC00000"/>
      <name val="Calibri"/>
      <family val="2"/>
    </font>
    <font>
      <u/>
      <sz val="10"/>
      <name val="Calibri"/>
      <family val="2"/>
    </font>
    <font>
      <i/>
      <sz val="10"/>
      <color theme="0"/>
      <name val="Calibri"/>
      <family val="2"/>
    </font>
    <font>
      <b/>
      <sz val="10"/>
      <color rgb="FF993300"/>
      <name val="Calibri"/>
      <family val="2"/>
    </font>
    <font>
      <sz val="10"/>
      <color indexed="10"/>
      <name val="Calibri"/>
      <family val="2"/>
      <scheme val="minor"/>
    </font>
    <font>
      <b/>
      <sz val="10"/>
      <color rgb="FFA40000"/>
      <name val="Calibri"/>
      <family val="2"/>
      <scheme val="minor"/>
    </font>
    <font>
      <sz val="10"/>
      <color rgb="FFA40000"/>
      <name val="Calibri"/>
      <family val="2"/>
      <scheme val="minor"/>
    </font>
    <font>
      <i/>
      <sz val="10"/>
      <color rgb="FF993300"/>
      <name val="Calibri"/>
      <family val="2"/>
      <scheme val="minor"/>
    </font>
    <font>
      <i/>
      <sz val="10"/>
      <color rgb="FFA40000"/>
      <name val="Calibri"/>
      <family val="2"/>
      <scheme val="minor"/>
    </font>
    <font>
      <i/>
      <sz val="10"/>
      <name val="Calibri"/>
      <family val="2"/>
      <scheme val="minor"/>
    </font>
    <font>
      <sz val="10"/>
      <color theme="0"/>
      <name val="Calibri"/>
      <family val="2"/>
      <scheme val="minor"/>
    </font>
    <font>
      <sz val="10"/>
      <color theme="0" tint="-0.249977111117893"/>
      <name val="Calibri"/>
      <family val="2"/>
      <scheme val="minor"/>
    </font>
    <font>
      <b/>
      <sz val="10"/>
      <color theme="0" tint="-0.14999847407452621"/>
      <name val="Calibri"/>
      <family val="2"/>
      <scheme val="minor"/>
    </font>
    <font>
      <b/>
      <sz val="10"/>
      <color indexed="10"/>
      <name val="Calibri"/>
      <family val="2"/>
      <scheme val="minor"/>
    </font>
    <font>
      <sz val="10"/>
      <color rgb="FFA40000"/>
      <name val="Calibri"/>
      <family val="2"/>
    </font>
    <font>
      <b/>
      <i/>
      <sz val="12"/>
      <color rgb="FFA40000"/>
      <name val="Calibri"/>
      <family val="2"/>
    </font>
    <font>
      <b/>
      <i/>
      <sz val="11"/>
      <name val="Calibri"/>
      <family val="2"/>
    </font>
    <font>
      <sz val="10"/>
      <color theme="0" tint="-0.14999847407452621"/>
      <name val="Calibri"/>
      <family val="2"/>
      <scheme val="minor"/>
    </font>
    <font>
      <i/>
      <sz val="12"/>
      <color indexed="60"/>
      <name val="Calibri"/>
      <family val="2"/>
    </font>
    <font>
      <b/>
      <sz val="12"/>
      <name val="Arial"/>
      <family val="2"/>
    </font>
    <font>
      <b/>
      <sz val="10"/>
      <color rgb="FFFF0000"/>
      <name val="Calibri"/>
      <family val="2"/>
    </font>
    <font>
      <b/>
      <sz val="10"/>
      <color indexed="8"/>
      <name val="Calibri"/>
      <family val="2"/>
    </font>
    <font>
      <sz val="10"/>
      <color rgb="FFFF0000"/>
      <name val="Calibri"/>
      <family val="2"/>
      <scheme val="minor"/>
    </font>
    <font>
      <sz val="10"/>
      <color indexed="8"/>
      <name val="Calibri"/>
      <family val="2"/>
      <scheme val="minor"/>
    </font>
    <font>
      <sz val="10"/>
      <color theme="0" tint="-0.249977111117893"/>
      <name val="Calibri"/>
      <family val="2"/>
    </font>
    <font>
      <i/>
      <sz val="10"/>
      <color theme="0" tint="-0.249977111117893"/>
      <name val="Calibri"/>
      <family val="2"/>
    </font>
    <font>
      <b/>
      <sz val="14"/>
      <color theme="0" tint="-0.249977111117893"/>
      <name val="Calibri"/>
      <family val="2"/>
    </font>
    <font>
      <b/>
      <i/>
      <sz val="12"/>
      <color theme="0" tint="-0.249977111117893"/>
      <name val="Calibri"/>
      <family val="2"/>
    </font>
    <font>
      <b/>
      <i/>
      <sz val="11"/>
      <color theme="0" tint="-0.249977111117893"/>
      <name val="Calibri"/>
      <family val="2"/>
    </font>
    <font>
      <b/>
      <i/>
      <sz val="10"/>
      <color theme="0" tint="-0.249977111117893"/>
      <name val="Calibri"/>
      <family val="2"/>
    </font>
    <font>
      <b/>
      <i/>
      <sz val="10"/>
      <color theme="0" tint="-0.249977111117893"/>
      <name val="Calibri"/>
      <family val="2"/>
      <scheme val="minor"/>
    </font>
    <font>
      <b/>
      <sz val="10"/>
      <color theme="0" tint="-0.249977111117893"/>
      <name val="Calibri"/>
      <family val="2"/>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rgb="FF0070C0"/>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rgb="FF0066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6EC0"/>
        <bgColor indexed="64"/>
      </patternFill>
    </fill>
    <fill>
      <patternFill patternType="solid">
        <fgColor rgb="FFFFFF99"/>
        <bgColor indexed="64"/>
      </patternFill>
    </fill>
    <fill>
      <patternFill patternType="solid">
        <fgColor indexed="43"/>
        <bgColor indexed="64"/>
      </patternFill>
    </fill>
    <fill>
      <patternFill patternType="solid">
        <fgColor rgb="FFFFFF66"/>
        <bgColor indexed="64"/>
      </patternFill>
    </fill>
  </fills>
  <borders count="82">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9"/>
      </bottom>
      <diagonal/>
    </border>
    <border>
      <left/>
      <right/>
      <top/>
      <bottom style="thin">
        <color indexed="22"/>
      </bottom>
      <diagonal/>
    </border>
    <border>
      <left style="thin">
        <color indexed="22"/>
      </left>
      <right style="thin">
        <color indexed="22"/>
      </right>
      <top/>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22"/>
      </top>
      <bottom style="thin">
        <color indexed="22"/>
      </bottom>
      <diagonal/>
    </border>
    <border>
      <left/>
      <right style="thin">
        <color indexed="22"/>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auto="1"/>
      </right>
      <top/>
      <bottom/>
      <diagonal/>
    </border>
    <border>
      <left style="thin">
        <color theme="0"/>
      </left>
      <right style="thin">
        <color theme="0"/>
      </right>
      <top style="thin">
        <color rgb="FFC0C0C0"/>
      </top>
      <bottom style="thin">
        <color rgb="FFC0C0C0"/>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22"/>
      </top>
      <bottom style="thin">
        <color indexed="22"/>
      </bottom>
      <diagonal/>
    </border>
    <border>
      <left style="thin">
        <color indexed="9"/>
      </left>
      <right style="thin">
        <color indexed="22"/>
      </right>
      <top style="thin">
        <color indexed="22"/>
      </top>
      <bottom style="thin">
        <color indexed="22"/>
      </bottom>
      <diagonal/>
    </border>
    <border>
      <left style="thin">
        <color theme="0" tint="-0.24994659260841701"/>
      </left>
      <right style="thin">
        <color theme="0" tint="-0.24994659260841701"/>
      </right>
      <top/>
      <bottom/>
      <diagonal/>
    </border>
    <border>
      <left/>
      <right/>
      <top/>
      <bottom style="thin">
        <color theme="0"/>
      </bottom>
      <diagonal/>
    </border>
    <border>
      <left/>
      <right/>
      <top style="thin">
        <color theme="0"/>
      </top>
      <bottom/>
      <diagonal/>
    </border>
    <border>
      <left style="thin">
        <color theme="0" tint="-0.24994659260841701"/>
      </left>
      <right style="thin">
        <color theme="0" tint="-0.24994659260841701"/>
      </right>
      <top style="thin">
        <color theme="0"/>
      </top>
      <bottom/>
      <diagonal/>
    </border>
    <border>
      <left style="thin">
        <color rgb="FFC0C0C0"/>
      </left>
      <right/>
      <top style="thin">
        <color rgb="FFC0C0C0"/>
      </top>
      <bottom style="thin">
        <color rgb="FFC0C0C0"/>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rgb="FFC0C0C0"/>
      </top>
      <bottom style="thin">
        <color rgb="FFC0C0C0"/>
      </bottom>
      <diagonal/>
    </border>
    <border>
      <left style="thin">
        <color theme="0"/>
      </left>
      <right/>
      <top style="thin">
        <color theme="0"/>
      </top>
      <bottom style="thin">
        <color theme="0"/>
      </bottom>
      <diagonal/>
    </border>
    <border>
      <left style="thin">
        <color indexed="22"/>
      </left>
      <right style="thin">
        <color theme="0"/>
      </right>
      <top style="thin">
        <color indexed="22"/>
      </top>
      <bottom style="thin">
        <color indexed="22"/>
      </bottom>
      <diagonal/>
    </border>
    <border>
      <left style="thin">
        <color theme="0"/>
      </left>
      <right style="thin">
        <color indexed="22"/>
      </right>
      <top style="thin">
        <color indexed="22"/>
      </top>
      <bottom style="thin">
        <color indexed="22"/>
      </bottom>
      <diagonal/>
    </border>
    <border>
      <left style="thin">
        <color indexed="22"/>
      </left>
      <right style="thin">
        <color auto="1"/>
      </right>
      <top/>
      <bottom/>
      <diagonal/>
    </border>
    <border>
      <left/>
      <right/>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theme="0"/>
      </bottom>
      <diagonal/>
    </border>
    <border>
      <left style="thin">
        <color indexed="22"/>
      </left>
      <right style="thin">
        <color indexed="22"/>
      </right>
      <top style="thin">
        <color theme="0"/>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64"/>
      </left>
      <right/>
      <top/>
      <bottom style="thin">
        <color auto="1"/>
      </bottom>
      <diagonal/>
    </border>
    <border>
      <left style="thin">
        <color indexed="22"/>
      </left>
      <right/>
      <top style="thin">
        <color theme="0"/>
      </top>
      <bottom style="thin">
        <color indexed="22"/>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top style="thin">
        <color theme="0" tint="-0.24994659260841701"/>
      </top>
      <bottom/>
      <diagonal/>
    </border>
    <border>
      <left style="thin">
        <color indexed="64"/>
      </left>
      <right style="thin">
        <color indexed="22"/>
      </right>
      <top/>
      <bottom/>
      <diagonal/>
    </border>
    <border>
      <left style="thin">
        <color indexed="22"/>
      </left>
      <right/>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bottom style="thin">
        <color indexed="22"/>
      </bottom>
      <diagonal/>
    </border>
    <border>
      <left style="thin">
        <color theme="0"/>
      </left>
      <right/>
      <top/>
      <bottom/>
      <diagonal/>
    </border>
    <border>
      <left style="thin">
        <color theme="0" tint="-0.24994659260841701"/>
      </left>
      <right style="thin">
        <color indexed="9"/>
      </right>
      <top style="thin">
        <color indexed="22"/>
      </top>
      <bottom style="thin">
        <color indexed="22"/>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165">
    <xf numFmtId="0" fontId="0" fillId="0" borderId="0" xfId="0"/>
    <xf numFmtId="0" fontId="10" fillId="0" borderId="0" xfId="0" applyFont="1"/>
    <xf numFmtId="0" fontId="7" fillId="0" borderId="0" xfId="0" applyFont="1"/>
    <xf numFmtId="0" fontId="35" fillId="2" borderId="0" xfId="0" applyFont="1" applyFill="1"/>
    <xf numFmtId="0" fontId="4" fillId="0" borderId="0" xfId="1" applyAlignment="1" applyProtection="1"/>
    <xf numFmtId="0" fontId="6" fillId="2" borderId="0" xfId="0" applyFont="1" applyFill="1"/>
    <xf numFmtId="0" fontId="11" fillId="3" borderId="0" xfId="0" applyFont="1" applyFill="1"/>
    <xf numFmtId="0" fontId="12" fillId="3" borderId="0" xfId="0" applyFont="1" applyFill="1"/>
    <xf numFmtId="0" fontId="16" fillId="3" borderId="0" xfId="0" applyFont="1" applyFill="1"/>
    <xf numFmtId="0" fontId="11" fillId="3" borderId="0" xfId="0" applyFont="1" applyFill="1" applyAlignment="1">
      <alignment horizontal="left"/>
    </xf>
    <xf numFmtId="0" fontId="14" fillId="3" borderId="0" xfId="0" applyFont="1" applyFill="1"/>
    <xf numFmtId="0" fontId="15" fillId="3" borderId="0" xfId="0" applyFont="1" applyFill="1"/>
    <xf numFmtId="0" fontId="13" fillId="3" borderId="0" xfId="0" applyFont="1" applyFill="1" applyAlignment="1">
      <alignment horizontal="center"/>
    </xf>
    <xf numFmtId="0" fontId="26" fillId="3" borderId="0" xfId="0" applyFont="1" applyFill="1"/>
    <xf numFmtId="1" fontId="11" fillId="3" borderId="0" xfId="0" applyNumberFormat="1" applyFont="1" applyFill="1"/>
    <xf numFmtId="49" fontId="29" fillId="3" borderId="0" xfId="0" applyNumberFormat="1" applyFont="1" applyFill="1" applyAlignment="1">
      <alignment horizontal="right"/>
    </xf>
    <xf numFmtId="0" fontId="29" fillId="3" borderId="0" xfId="0" applyFont="1" applyFill="1" applyAlignment="1">
      <alignment horizontal="right"/>
    </xf>
    <xf numFmtId="0" fontId="11" fillId="2" borderId="2" xfId="0" applyFont="1" applyFill="1" applyBorder="1"/>
    <xf numFmtId="0" fontId="11" fillId="2" borderId="3" xfId="0" applyFont="1" applyFill="1" applyBorder="1"/>
    <xf numFmtId="0" fontId="11" fillId="2" borderId="4" xfId="0" applyFont="1" applyFill="1" applyBorder="1"/>
    <xf numFmtId="0" fontId="11" fillId="2" borderId="5" xfId="0" applyFont="1" applyFill="1" applyBorder="1"/>
    <xf numFmtId="0" fontId="11" fillId="2" borderId="0" xfId="0" applyFont="1" applyFill="1"/>
    <xf numFmtId="0" fontId="12" fillId="2" borderId="0" xfId="0" applyFont="1" applyFill="1"/>
    <xf numFmtId="0" fontId="11" fillId="2" borderId="0" xfId="0" applyFont="1" applyFill="1" applyAlignment="1">
      <alignment horizontal="center"/>
    </xf>
    <xf numFmtId="0" fontId="11" fillId="2" borderId="6" xfId="0" applyFont="1" applyFill="1" applyBorder="1"/>
    <xf numFmtId="0" fontId="16" fillId="2" borderId="5" xfId="0" applyFont="1" applyFill="1" applyBorder="1"/>
    <xf numFmtId="0" fontId="16" fillId="2" borderId="0" xfId="0" applyFont="1" applyFill="1"/>
    <xf numFmtId="0" fontId="16" fillId="2" borderId="6" xfId="0" applyFont="1" applyFill="1" applyBorder="1"/>
    <xf numFmtId="0" fontId="13" fillId="2" borderId="5" xfId="0" applyFont="1" applyFill="1" applyBorder="1"/>
    <xf numFmtId="0" fontId="13" fillId="2" borderId="6" xfId="0" applyFont="1" applyFill="1" applyBorder="1"/>
    <xf numFmtId="0" fontId="11" fillId="3" borderId="8" xfId="0" applyFont="1" applyFill="1" applyBorder="1"/>
    <xf numFmtId="0" fontId="11" fillId="3" borderId="9" xfId="0" applyFont="1" applyFill="1" applyBorder="1"/>
    <xf numFmtId="0" fontId="11" fillId="3" borderId="11" xfId="0" applyFont="1" applyFill="1" applyBorder="1"/>
    <xf numFmtId="0" fontId="11" fillId="3" borderId="1" xfId="0" applyFont="1" applyFill="1" applyBorder="1"/>
    <xf numFmtId="0" fontId="11" fillId="3" borderId="12" xfId="0" applyFont="1" applyFill="1" applyBorder="1"/>
    <xf numFmtId="0" fontId="12" fillId="3" borderId="1" xfId="0" applyFont="1" applyFill="1" applyBorder="1"/>
    <xf numFmtId="0" fontId="15" fillId="3" borderId="1" xfId="0" applyFont="1" applyFill="1" applyBorder="1"/>
    <xf numFmtId="0" fontId="11" fillId="3" borderId="13" xfId="0" applyFont="1" applyFill="1" applyBorder="1"/>
    <xf numFmtId="0" fontId="11" fillId="3" borderId="14" xfId="0" applyFont="1" applyFill="1" applyBorder="1"/>
    <xf numFmtId="0" fontId="11" fillId="3" borderId="14" xfId="0" applyFont="1" applyFill="1" applyBorder="1" applyAlignment="1">
      <alignment horizontal="center"/>
    </xf>
    <xf numFmtId="0" fontId="12" fillId="3" borderId="9" xfId="0" applyFont="1" applyFill="1" applyBorder="1"/>
    <xf numFmtId="0" fontId="11" fillId="2" borderId="1" xfId="0" applyFont="1" applyFill="1" applyBorder="1" applyAlignment="1" applyProtection="1">
      <alignment horizontal="center"/>
      <protection locked="0"/>
    </xf>
    <xf numFmtId="0" fontId="26" fillId="2" borderId="5" xfId="0" applyFont="1" applyFill="1" applyBorder="1"/>
    <xf numFmtId="0" fontId="26" fillId="2" borderId="0" xfId="0" applyFont="1" applyFill="1"/>
    <xf numFmtId="0" fontId="26" fillId="2" borderId="6" xfId="0" applyFont="1" applyFill="1" applyBorder="1"/>
    <xf numFmtId="0" fontId="6" fillId="3" borderId="1" xfId="0" applyFont="1" applyFill="1" applyBorder="1" applyAlignment="1">
      <alignment horizontal="left"/>
    </xf>
    <xf numFmtId="0" fontId="12" fillId="3" borderId="14" xfId="0" applyFont="1" applyFill="1" applyBorder="1"/>
    <xf numFmtId="0" fontId="13" fillId="2" borderId="0" xfId="0" applyFont="1" applyFill="1" applyAlignment="1">
      <alignment horizontal="left"/>
    </xf>
    <xf numFmtId="0" fontId="13" fillId="2" borderId="0" xfId="0" applyFont="1" applyFill="1" applyAlignment="1">
      <alignment horizontal="center"/>
    </xf>
    <xf numFmtId="0" fontId="36" fillId="2" borderId="0" xfId="0" applyFont="1" applyFill="1" applyAlignment="1">
      <alignment horizontal="left"/>
    </xf>
    <xf numFmtId="0" fontId="15" fillId="2" borderId="0" xfId="0" applyFont="1" applyFill="1"/>
    <xf numFmtId="0" fontId="7" fillId="2" borderId="0" xfId="0" applyFont="1" applyFill="1"/>
    <xf numFmtId="0" fontId="14" fillId="2" borderId="0" xfId="0" applyFont="1" applyFill="1"/>
    <xf numFmtId="0" fontId="40" fillId="2" borderId="0" xfId="0" applyFont="1" applyFill="1"/>
    <xf numFmtId="0" fontId="39" fillId="2" borderId="0" xfId="0" applyFont="1" applyFill="1" applyAlignment="1">
      <alignment horizontal="center"/>
    </xf>
    <xf numFmtId="0" fontId="15" fillId="2" borderId="5" xfId="0" applyFont="1" applyFill="1" applyBorder="1"/>
    <xf numFmtId="0" fontId="15" fillId="2" borderId="6" xfId="0" applyFont="1" applyFill="1" applyBorder="1"/>
    <xf numFmtId="0" fontId="15" fillId="2" borderId="0" xfId="0" applyFont="1" applyFill="1" applyAlignment="1">
      <alignment horizontal="left"/>
    </xf>
    <xf numFmtId="0" fontId="12" fillId="3" borderId="8" xfId="0" applyFont="1" applyFill="1" applyBorder="1"/>
    <xf numFmtId="0" fontId="13" fillId="3" borderId="1" xfId="0" applyFont="1" applyFill="1" applyBorder="1" applyAlignment="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lignment horizontal="center"/>
    </xf>
    <xf numFmtId="0" fontId="6" fillId="3" borderId="14" xfId="0" applyFont="1" applyFill="1" applyBorder="1" applyAlignment="1">
      <alignment horizontal="center"/>
    </xf>
    <xf numFmtId="0" fontId="6" fillId="2" borderId="0" xfId="0" applyFont="1" applyFill="1" applyAlignment="1">
      <alignment horizontal="center"/>
    </xf>
    <xf numFmtId="0" fontId="6" fillId="3" borderId="1" xfId="0" applyFont="1" applyFill="1" applyBorder="1" applyAlignment="1">
      <alignment horizontal="center"/>
    </xf>
    <xf numFmtId="0" fontId="6" fillId="2" borderId="2" xfId="0" applyFont="1" applyFill="1" applyBorder="1"/>
    <xf numFmtId="0" fontId="6" fillId="2" borderId="3" xfId="0" applyFont="1" applyFill="1" applyBorder="1"/>
    <xf numFmtId="0" fontId="6" fillId="2" borderId="3" xfId="0" applyFont="1" applyFill="1" applyBorder="1" applyAlignment="1">
      <alignment horizontal="center"/>
    </xf>
    <xf numFmtId="0" fontId="6" fillId="2" borderId="4" xfId="0" applyFont="1" applyFill="1" applyBorder="1"/>
    <xf numFmtId="0" fontId="6" fillId="2" borderId="5" xfId="0" applyFont="1" applyFill="1" applyBorder="1"/>
    <xf numFmtId="0" fontId="6" fillId="2" borderId="6" xfId="0" applyFont="1" applyFill="1" applyBorder="1"/>
    <xf numFmtId="0" fontId="6" fillId="3" borderId="9" xfId="0" applyFont="1" applyFill="1" applyBorder="1" applyAlignment="1">
      <alignment horizontal="center"/>
    </xf>
    <xf numFmtId="0" fontId="7" fillId="2" borderId="5" xfId="0" applyFont="1" applyFill="1" applyBorder="1"/>
    <xf numFmtId="0" fontId="6" fillId="3" borderId="13" xfId="0" applyFont="1" applyFill="1" applyBorder="1"/>
    <xf numFmtId="0" fontId="6" fillId="3" borderId="14" xfId="0" applyFont="1" applyFill="1" applyBorder="1"/>
    <xf numFmtId="0" fontId="6" fillId="2" borderId="7" xfId="0" applyFont="1" applyFill="1" applyBorder="1"/>
    <xf numFmtId="0" fontId="6" fillId="2" borderId="7" xfId="0" applyFont="1" applyFill="1" applyBorder="1" applyAlignment="1">
      <alignment horizontal="center"/>
    </xf>
    <xf numFmtId="0" fontId="6" fillId="2" borderId="16" xfId="0" applyFont="1" applyFill="1" applyBorder="1"/>
    <xf numFmtId="0" fontId="6" fillId="2" borderId="17" xfId="0" applyFont="1" applyFill="1" applyBorder="1"/>
    <xf numFmtId="0" fontId="14" fillId="2" borderId="0" xfId="0" applyFont="1" applyFill="1" applyAlignment="1">
      <alignment horizontal="center"/>
    </xf>
    <xf numFmtId="0" fontId="14" fillId="2" borderId="0" xfId="0" applyFont="1" applyFill="1" applyAlignment="1">
      <alignment horizontal="left"/>
    </xf>
    <xf numFmtId="0" fontId="14" fillId="2" borderId="6" xfId="0" applyFont="1" applyFill="1" applyBorder="1"/>
    <xf numFmtId="0" fontId="6" fillId="3" borderId="10" xfId="0" applyFont="1" applyFill="1" applyBorder="1" applyAlignment="1">
      <alignment horizontal="center"/>
    </xf>
    <xf numFmtId="0" fontId="7" fillId="2" borderId="6" xfId="0" applyFont="1" applyFill="1" applyBorder="1"/>
    <xf numFmtId="0" fontId="6" fillId="3" borderId="12" xfId="0" applyFont="1" applyFill="1" applyBorder="1" applyAlignment="1">
      <alignment horizontal="center"/>
    </xf>
    <xf numFmtId="0" fontId="13" fillId="3" borderId="1" xfId="0" applyFont="1" applyFill="1" applyBorder="1" applyAlignment="1">
      <alignment horizontal="left"/>
    </xf>
    <xf numFmtId="0" fontId="37" fillId="2" borderId="0" xfId="0" applyFont="1" applyFill="1" applyAlignment="1">
      <alignment horizontal="center"/>
    </xf>
    <xf numFmtId="0" fontId="37" fillId="2" borderId="0" xfId="0" applyFont="1" applyFill="1" applyAlignment="1">
      <alignment horizontal="left"/>
    </xf>
    <xf numFmtId="0" fontId="11" fillId="2" borderId="1" xfId="0" applyFont="1" applyFill="1" applyBorder="1" applyAlignment="1" applyProtection="1">
      <alignment horizontal="left"/>
      <protection locked="0"/>
    </xf>
    <xf numFmtId="0" fontId="6" fillId="0" borderId="0" xfId="0" applyFont="1"/>
    <xf numFmtId="0" fontId="13" fillId="0" borderId="0" xfId="0" applyFont="1"/>
    <xf numFmtId="0" fontId="10" fillId="2" borderId="0" xfId="0" applyFont="1" applyFill="1"/>
    <xf numFmtId="0" fontId="47" fillId="3" borderId="1" xfId="0" applyFont="1" applyFill="1" applyBorder="1"/>
    <xf numFmtId="0" fontId="48" fillId="2" borderId="0" xfId="0" applyFont="1" applyFill="1"/>
    <xf numFmtId="169" fontId="11" fillId="2" borderId="1" xfId="0" applyNumberFormat="1" applyFont="1" applyFill="1" applyBorder="1" applyAlignment="1" applyProtection="1">
      <alignment horizontal="center"/>
      <protection locked="0"/>
    </xf>
    <xf numFmtId="173" fontId="11" fillId="2" borderId="1" xfId="0" applyNumberFormat="1" applyFont="1" applyFill="1" applyBorder="1" applyAlignment="1" applyProtection="1">
      <alignment horizontal="center"/>
      <protection locked="0"/>
    </xf>
    <xf numFmtId="165" fontId="11" fillId="5" borderId="1" xfId="0" applyNumberFormat="1" applyFont="1" applyFill="1" applyBorder="1" applyAlignment="1">
      <alignment horizontal="center"/>
    </xf>
    <xf numFmtId="165" fontId="49" fillId="4" borderId="1" xfId="0" applyNumberFormat="1" applyFont="1" applyFill="1" applyBorder="1" applyAlignment="1">
      <alignment horizontal="center"/>
    </xf>
    <xf numFmtId="164" fontId="50" fillId="4" borderId="1" xfId="0" applyNumberFormat="1" applyFont="1" applyFill="1" applyBorder="1" applyAlignment="1">
      <alignment horizontal="center"/>
    </xf>
    <xf numFmtId="0" fontId="52" fillId="2" borderId="0" xfId="0" applyFont="1" applyFill="1"/>
    <xf numFmtId="0" fontId="6" fillId="3" borderId="0" xfId="0" applyFont="1" applyFill="1"/>
    <xf numFmtId="0" fontId="6" fillId="3" borderId="0" xfId="0" applyFont="1" applyFill="1" applyAlignment="1">
      <alignment horizontal="left"/>
    </xf>
    <xf numFmtId="0" fontId="6" fillId="3" borderId="0" xfId="0" applyFont="1" applyFill="1" applyAlignment="1">
      <alignment horizontal="center"/>
    </xf>
    <xf numFmtId="0" fontId="7" fillId="3" borderId="0" xfId="0" applyFont="1" applyFill="1"/>
    <xf numFmtId="0" fontId="7" fillId="3" borderId="0" xfId="0" applyFont="1" applyFill="1" applyAlignment="1">
      <alignment horizontal="center"/>
    </xf>
    <xf numFmtId="0" fontId="13" fillId="3" borderId="0" xfId="0" applyFont="1" applyFill="1"/>
    <xf numFmtId="0" fontId="6" fillId="0" borderId="1" xfId="0" applyFont="1" applyBorder="1" applyAlignment="1" applyProtection="1">
      <alignment horizontal="center"/>
      <protection locked="0"/>
    </xf>
    <xf numFmtId="0" fontId="6" fillId="2" borderId="0" xfId="0" applyFont="1" applyFill="1" applyAlignment="1">
      <alignment horizontal="left"/>
    </xf>
    <xf numFmtId="0" fontId="7" fillId="2" borderId="0" xfId="0" applyFont="1" applyFill="1" applyAlignment="1">
      <alignment horizontal="left"/>
    </xf>
    <xf numFmtId="0" fontId="7" fillId="2" borderId="0" xfId="0" applyFont="1" applyFill="1" applyAlignment="1">
      <alignment horizontal="center"/>
    </xf>
    <xf numFmtId="0" fontId="6" fillId="2" borderId="3" xfId="0" applyFont="1" applyFill="1" applyBorder="1" applyAlignment="1">
      <alignment horizontal="left"/>
    </xf>
    <xf numFmtId="0" fontId="14" fillId="2" borderId="5" xfId="0" applyFont="1" applyFill="1" applyBorder="1"/>
    <xf numFmtId="0" fontId="6" fillId="2" borderId="6" xfId="0" applyFont="1" applyFill="1" applyBorder="1" applyAlignment="1">
      <alignment horizontal="center"/>
    </xf>
    <xf numFmtId="0" fontId="6" fillId="2" borderId="7" xfId="0" applyFont="1" applyFill="1" applyBorder="1" applyAlignment="1">
      <alignment horizontal="left"/>
    </xf>
    <xf numFmtId="0" fontId="53" fillId="2" borderId="0" xfId="0" applyFont="1" applyFill="1" applyAlignment="1">
      <alignment horizontal="left"/>
    </xf>
    <xf numFmtId="0" fontId="53" fillId="2" borderId="0" xfId="0" applyFont="1" applyFill="1"/>
    <xf numFmtId="0" fontId="51" fillId="2" borderId="0" xfId="0" applyFont="1" applyFill="1" applyAlignment="1">
      <alignment horizontal="center"/>
    </xf>
    <xf numFmtId="0" fontId="51" fillId="2" borderId="0" xfId="0" applyFont="1" applyFill="1"/>
    <xf numFmtId="0" fontId="52" fillId="2" borderId="0" xfId="0" applyFont="1" applyFill="1" applyAlignment="1">
      <alignment horizontal="left"/>
    </xf>
    <xf numFmtId="0" fontId="52" fillId="2" borderId="0" xfId="0" applyFont="1" applyFill="1" applyAlignment="1">
      <alignment horizontal="center"/>
    </xf>
    <xf numFmtId="0" fontId="53" fillId="2" borderId="0" xfId="0" applyFont="1" applyFill="1" applyAlignment="1">
      <alignment horizontal="center"/>
    </xf>
    <xf numFmtId="0" fontId="51" fillId="2" borderId="0" xfId="0" applyFont="1" applyFill="1" applyAlignment="1">
      <alignment horizontal="left"/>
    </xf>
    <xf numFmtId="0" fontId="6" fillId="3" borderId="9" xfId="0" applyFont="1" applyFill="1" applyBorder="1"/>
    <xf numFmtId="0" fontId="6" fillId="3" borderId="11" xfId="0" applyFont="1" applyFill="1" applyBorder="1" applyAlignment="1">
      <alignment horizontal="center"/>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Protection="1">
      <protection locked="0"/>
    </xf>
    <xf numFmtId="0" fontId="37" fillId="2" borderId="0" xfId="0" applyFont="1" applyFill="1"/>
    <xf numFmtId="0" fontId="38" fillId="2" borderId="0" xfId="0" applyFont="1" applyFill="1" applyAlignment="1">
      <alignment horizontal="left"/>
    </xf>
    <xf numFmtId="0" fontId="11" fillId="2" borderId="7" xfId="0" applyFont="1" applyFill="1" applyBorder="1"/>
    <xf numFmtId="0" fontId="11" fillId="3" borderId="0" xfId="0" applyFont="1" applyFill="1" applyAlignment="1">
      <alignment horizontal="center"/>
    </xf>
    <xf numFmtId="0" fontId="59" fillId="3" borderId="0" xfId="0" applyFont="1" applyFill="1"/>
    <xf numFmtId="0" fontId="64" fillId="3" borderId="0" xfId="0" applyFont="1" applyFill="1"/>
    <xf numFmtId="0" fontId="11" fillId="2" borderId="3" xfId="0" applyFont="1" applyFill="1" applyBorder="1" applyAlignment="1">
      <alignment horizontal="center"/>
    </xf>
    <xf numFmtId="0" fontId="64" fillId="2" borderId="5" xfId="0" applyFont="1" applyFill="1" applyBorder="1"/>
    <xf numFmtId="0" fontId="59" fillId="2" borderId="0" xfId="0" applyFont="1" applyFill="1"/>
    <xf numFmtId="0" fontId="64" fillId="2" borderId="0" xfId="0" applyFont="1" applyFill="1"/>
    <xf numFmtId="0" fontId="64" fillId="2" borderId="0" xfId="0" applyFont="1" applyFill="1" applyAlignment="1">
      <alignment horizontal="center"/>
    </xf>
    <xf numFmtId="0" fontId="64" fillId="2" borderId="6" xfId="0" applyFont="1" applyFill="1" applyBorder="1"/>
    <xf numFmtId="0" fontId="16" fillId="2" borderId="0" xfId="0" applyFont="1" applyFill="1" applyAlignment="1">
      <alignment horizontal="center"/>
    </xf>
    <xf numFmtId="0" fontId="42" fillId="2" borderId="0" xfId="0" applyFont="1" applyFill="1"/>
    <xf numFmtId="0" fontId="42" fillId="2" borderId="0" xfId="0" applyFont="1" applyFill="1" applyAlignment="1">
      <alignment horizontal="center"/>
    </xf>
    <xf numFmtId="0" fontId="11" fillId="2" borderId="17" xfId="0" applyFont="1" applyFill="1" applyBorder="1"/>
    <xf numFmtId="0" fontId="11" fillId="2" borderId="16" xfId="0" applyFont="1" applyFill="1" applyBorder="1"/>
    <xf numFmtId="0" fontId="11" fillId="3" borderId="1" xfId="0" applyFont="1" applyFill="1" applyBorder="1" applyAlignment="1">
      <alignment horizontal="center"/>
    </xf>
    <xf numFmtId="0" fontId="11" fillId="3" borderId="1" xfId="0" applyFont="1" applyFill="1" applyBorder="1" applyAlignment="1">
      <alignment horizontal="left"/>
    </xf>
    <xf numFmtId="49" fontId="11" fillId="3" borderId="1" xfId="0" applyNumberFormat="1" applyFont="1" applyFill="1" applyBorder="1" applyAlignment="1">
      <alignment horizontal="center"/>
    </xf>
    <xf numFmtId="0" fontId="40" fillId="3" borderId="1" xfId="0" applyFont="1" applyFill="1" applyBorder="1"/>
    <xf numFmtId="0" fontId="13" fillId="3" borderId="1" xfId="0" applyFont="1" applyFill="1" applyBorder="1"/>
    <xf numFmtId="0" fontId="6" fillId="3" borderId="1" xfId="0" applyFont="1" applyFill="1" applyBorder="1"/>
    <xf numFmtId="0" fontId="12" fillId="3" borderId="1" xfId="0" applyFont="1" applyFill="1" applyBorder="1" applyAlignment="1">
      <alignment horizontal="center"/>
    </xf>
    <xf numFmtId="174" fontId="11" fillId="3" borderId="1" xfId="0" applyNumberFormat="1" applyFont="1" applyFill="1" applyBorder="1" applyAlignment="1">
      <alignment horizontal="center"/>
    </xf>
    <xf numFmtId="0" fontId="55" fillId="3" borderId="0" xfId="0" applyFont="1" applyFill="1"/>
    <xf numFmtId="0" fontId="7" fillId="3" borderId="1" xfId="0" applyFont="1" applyFill="1" applyBorder="1"/>
    <xf numFmtId="49" fontId="6" fillId="3" borderId="1" xfId="0" applyNumberFormat="1" applyFont="1" applyFill="1" applyBorder="1" applyAlignment="1">
      <alignment horizontal="center"/>
    </xf>
    <xf numFmtId="0" fontId="7" fillId="3" borderId="1" xfId="0" applyFont="1" applyFill="1" applyBorder="1" applyAlignment="1">
      <alignment horizontal="center"/>
    </xf>
    <xf numFmtId="0" fontId="56" fillId="2" borderId="0" xfId="0" applyFont="1" applyFill="1" applyAlignment="1">
      <alignment horizontal="right"/>
    </xf>
    <xf numFmtId="0" fontId="55" fillId="2" borderId="0" xfId="0" applyFont="1" applyFill="1"/>
    <xf numFmtId="0" fontId="42" fillId="2" borderId="7" xfId="0" applyFont="1" applyFill="1" applyBorder="1"/>
    <xf numFmtId="0" fontId="42" fillId="2" borderId="7" xfId="0" applyFont="1" applyFill="1" applyBorder="1" applyAlignment="1">
      <alignment horizontal="center"/>
    </xf>
    <xf numFmtId="0" fontId="42" fillId="2" borderId="3" xfId="0" applyFont="1" applyFill="1" applyBorder="1"/>
    <xf numFmtId="0" fontId="42" fillId="2" borderId="3" xfId="0" applyFont="1" applyFill="1" applyBorder="1" applyAlignment="1">
      <alignment horizontal="center"/>
    </xf>
    <xf numFmtId="0" fontId="58" fillId="3" borderId="1" xfId="0" applyFont="1" applyFill="1" applyBorder="1"/>
    <xf numFmtId="0" fontId="40" fillId="3" borderId="1" xfId="0" applyFont="1" applyFill="1" applyBorder="1" applyAlignment="1">
      <alignment horizontal="center"/>
    </xf>
    <xf numFmtId="0" fontId="15" fillId="3" borderId="1" xfId="0" applyFont="1" applyFill="1" applyBorder="1" applyAlignment="1">
      <alignment horizontal="center"/>
    </xf>
    <xf numFmtId="0" fontId="25" fillId="3" borderId="0" xfId="0" applyFont="1" applyFill="1"/>
    <xf numFmtId="0" fontId="25" fillId="2" borderId="5" xfId="0" applyFont="1" applyFill="1" applyBorder="1"/>
    <xf numFmtId="0" fontId="25" fillId="2" borderId="0" xfId="0" applyFont="1" applyFill="1"/>
    <xf numFmtId="0" fontId="25" fillId="2" borderId="6" xfId="0" applyFont="1" applyFill="1" applyBorder="1"/>
    <xf numFmtId="0" fontId="43" fillId="2" borderId="0" xfId="0" applyFont="1" applyFill="1"/>
    <xf numFmtId="0" fontId="43" fillId="2" borderId="7" xfId="0" applyFont="1" applyFill="1" applyBorder="1"/>
    <xf numFmtId="0" fontId="43" fillId="2" borderId="3" xfId="0" applyFont="1" applyFill="1" applyBorder="1"/>
    <xf numFmtId="164" fontId="6" fillId="3" borderId="1" xfId="0" applyNumberFormat="1" applyFont="1" applyFill="1" applyBorder="1"/>
    <xf numFmtId="164" fontId="6" fillId="3" borderId="1" xfId="0" applyNumberFormat="1" applyFont="1" applyFill="1" applyBorder="1" applyAlignment="1">
      <alignment horizontal="center"/>
    </xf>
    <xf numFmtId="0" fontId="55" fillId="2" borderId="0" xfId="0" applyFont="1" applyFill="1" applyAlignment="1">
      <alignment horizontal="center"/>
    </xf>
    <xf numFmtId="174" fontId="11" fillId="3" borderId="0" xfId="0" applyNumberFormat="1" applyFont="1" applyFill="1" applyAlignment="1">
      <alignment horizontal="center"/>
    </xf>
    <xf numFmtId="169" fontId="11" fillId="3" borderId="0" xfId="0" applyNumberFormat="1" applyFont="1" applyFill="1" applyAlignment="1">
      <alignment horizontal="center"/>
    </xf>
    <xf numFmtId="169" fontId="11" fillId="3" borderId="0" xfId="0" applyNumberFormat="1" applyFont="1" applyFill="1"/>
    <xf numFmtId="170" fontId="6" fillId="3" borderId="0" xfId="0" applyNumberFormat="1" applyFont="1" applyFill="1"/>
    <xf numFmtId="2" fontId="11" fillId="3" borderId="0" xfId="0" applyNumberFormat="1" applyFont="1" applyFill="1"/>
    <xf numFmtId="164" fontId="15" fillId="3" borderId="0" xfId="0" applyNumberFormat="1" applyFont="1" applyFill="1"/>
    <xf numFmtId="171" fontId="11" fillId="3" borderId="0" xfId="0" applyNumberFormat="1" applyFont="1" applyFill="1"/>
    <xf numFmtId="0" fontId="66" fillId="3" borderId="0" xfId="0" applyFont="1" applyFill="1"/>
    <xf numFmtId="0" fontId="66" fillId="3" borderId="0" xfId="0" applyFont="1" applyFill="1" applyAlignment="1">
      <alignment horizontal="center"/>
    </xf>
    <xf numFmtId="169" fontId="66" fillId="3" borderId="0" xfId="0" applyNumberFormat="1" applyFont="1" applyFill="1" applyAlignment="1">
      <alignment horizontal="center"/>
    </xf>
    <xf numFmtId="169" fontId="66" fillId="3" borderId="0" xfId="0" applyNumberFormat="1" applyFont="1" applyFill="1"/>
    <xf numFmtId="164" fontId="66" fillId="3" borderId="0" xfId="0" applyNumberFormat="1" applyFont="1" applyFill="1"/>
    <xf numFmtId="1" fontId="66" fillId="3" borderId="0" xfId="0" applyNumberFormat="1" applyFont="1" applyFill="1"/>
    <xf numFmtId="0" fontId="28" fillId="3" borderId="0" xfId="0" applyFont="1" applyFill="1"/>
    <xf numFmtId="0" fontId="28" fillId="3" borderId="0" xfId="0" applyFont="1" applyFill="1" applyAlignment="1">
      <alignment horizontal="center"/>
    </xf>
    <xf numFmtId="169" fontId="28" fillId="3" borderId="0" xfId="0" applyNumberFormat="1" applyFont="1" applyFill="1" applyAlignment="1">
      <alignment horizontal="center"/>
    </xf>
    <xf numFmtId="169" fontId="28" fillId="3" borderId="0" xfId="0" applyNumberFormat="1" applyFont="1" applyFill="1"/>
    <xf numFmtId="164" fontId="28" fillId="3" borderId="0" xfId="0" applyNumberFormat="1" applyFont="1" applyFill="1"/>
    <xf numFmtId="1" fontId="28" fillId="3" borderId="0" xfId="0" applyNumberFormat="1" applyFont="1" applyFill="1"/>
    <xf numFmtId="164" fontId="11" fillId="3" borderId="0" xfId="0" applyNumberFormat="1" applyFont="1" applyFill="1"/>
    <xf numFmtId="0" fontId="17" fillId="3" borderId="0" xfId="0" applyFont="1" applyFill="1"/>
    <xf numFmtId="0" fontId="17" fillId="3" borderId="0" xfId="0" applyFont="1" applyFill="1" applyAlignment="1">
      <alignment horizontal="center"/>
    </xf>
    <xf numFmtId="169" fontId="17" fillId="3" borderId="0" xfId="0" applyNumberFormat="1" applyFont="1" applyFill="1" applyAlignment="1">
      <alignment horizontal="center"/>
    </xf>
    <xf numFmtId="169" fontId="17" fillId="3" borderId="0" xfId="0" applyNumberFormat="1" applyFont="1" applyFill="1"/>
    <xf numFmtId="164" fontId="17" fillId="3" borderId="0" xfId="0" applyNumberFormat="1" applyFont="1" applyFill="1"/>
    <xf numFmtId="1" fontId="17" fillId="3" borderId="0" xfId="0" applyNumberFormat="1" applyFont="1" applyFill="1"/>
    <xf numFmtId="175" fontId="12" fillId="3" borderId="0" xfId="0" applyNumberFormat="1" applyFont="1" applyFill="1" applyAlignment="1">
      <alignment horizontal="left"/>
    </xf>
    <xf numFmtId="170" fontId="25" fillId="3" borderId="0" xfId="0" applyNumberFormat="1" applyFont="1" applyFill="1" applyAlignment="1">
      <alignment horizontal="center"/>
    </xf>
    <xf numFmtId="0" fontId="37" fillId="3" borderId="0" xfId="0" applyFont="1" applyFill="1" applyAlignment="1">
      <alignment horizontal="center"/>
    </xf>
    <xf numFmtId="170" fontId="21" fillId="3" borderId="0" xfId="0" applyNumberFormat="1" applyFont="1" applyFill="1" applyAlignment="1">
      <alignment horizontal="center"/>
    </xf>
    <xf numFmtId="170" fontId="25" fillId="3" borderId="0" xfId="3" applyNumberFormat="1" applyFont="1" applyFill="1" applyBorder="1" applyProtection="1"/>
    <xf numFmtId="170" fontId="15" fillId="3" borderId="0" xfId="0" applyNumberFormat="1" applyFont="1" applyFill="1" applyAlignment="1">
      <alignment horizontal="center"/>
    </xf>
    <xf numFmtId="170" fontId="11" fillId="3" borderId="0" xfId="0" applyNumberFormat="1" applyFont="1" applyFill="1" applyAlignment="1">
      <alignment horizontal="center"/>
    </xf>
    <xf numFmtId="170" fontId="11" fillId="3" borderId="0" xfId="3" applyNumberFormat="1" applyFont="1" applyFill="1" applyBorder="1" applyProtection="1"/>
    <xf numFmtId="169" fontId="11" fillId="3" borderId="0" xfId="3" applyNumberFormat="1" applyFont="1" applyFill="1" applyBorder="1" applyAlignment="1" applyProtection="1">
      <alignment horizontal="center"/>
    </xf>
    <xf numFmtId="170" fontId="11" fillId="3" borderId="0" xfId="3" applyNumberFormat="1" applyFont="1" applyFill="1" applyBorder="1" applyAlignment="1" applyProtection="1"/>
    <xf numFmtId="170" fontId="6" fillId="3" borderId="0" xfId="3" applyNumberFormat="1" applyFont="1" applyFill="1" applyBorder="1" applyAlignment="1" applyProtection="1">
      <alignment horizontal="left"/>
    </xf>
    <xf numFmtId="2" fontId="11" fillId="3" borderId="0" xfId="0" applyNumberFormat="1" applyFont="1" applyFill="1" applyAlignment="1">
      <alignment horizontal="center"/>
    </xf>
    <xf numFmtId="0" fontId="12" fillId="3" borderId="0" xfId="0" applyFont="1" applyFill="1" applyAlignment="1">
      <alignment horizontal="left"/>
    </xf>
    <xf numFmtId="0" fontId="12" fillId="3" borderId="0" xfId="0" applyFont="1" applyFill="1" applyAlignment="1">
      <alignment horizontal="center"/>
    </xf>
    <xf numFmtId="174" fontId="12" fillId="3" borderId="0" xfId="0" applyNumberFormat="1" applyFont="1" applyFill="1" applyAlignment="1">
      <alignment horizontal="center"/>
    </xf>
    <xf numFmtId="169" fontId="12" fillId="3" borderId="0" xfId="3" applyNumberFormat="1" applyFont="1" applyFill="1" applyBorder="1" applyAlignment="1" applyProtection="1">
      <alignment horizontal="center"/>
    </xf>
    <xf numFmtId="169" fontId="12" fillId="3" borderId="0" xfId="0" applyNumberFormat="1" applyFont="1" applyFill="1" applyAlignment="1">
      <alignment horizontal="center"/>
    </xf>
    <xf numFmtId="170" fontId="12" fillId="3" borderId="0" xfId="3" applyNumberFormat="1" applyFont="1" applyFill="1" applyBorder="1" applyAlignment="1" applyProtection="1"/>
    <xf numFmtId="170" fontId="12" fillId="3" borderId="0" xfId="3" applyNumberFormat="1" applyFont="1" applyFill="1" applyBorder="1" applyProtection="1"/>
    <xf numFmtId="2" fontId="12" fillId="3" borderId="0" xfId="0" applyNumberFormat="1" applyFont="1" applyFill="1" applyAlignment="1">
      <alignment horizontal="center"/>
    </xf>
    <xf numFmtId="171" fontId="12" fillId="3" borderId="0" xfId="0" applyNumberFormat="1" applyFont="1" applyFill="1"/>
    <xf numFmtId="169" fontId="12" fillId="3" borderId="0" xfId="0" applyNumberFormat="1" applyFont="1" applyFill="1"/>
    <xf numFmtId="2" fontId="12" fillId="3" borderId="0" xfId="0" applyNumberFormat="1" applyFont="1" applyFill="1"/>
    <xf numFmtId="0" fontId="11" fillId="2" borderId="3" xfId="0" applyFont="1" applyFill="1" applyBorder="1" applyAlignment="1">
      <alignment horizontal="left"/>
    </xf>
    <xf numFmtId="174" fontId="11" fillId="2" borderId="3" xfId="0" applyNumberFormat="1" applyFont="1" applyFill="1" applyBorder="1" applyAlignment="1">
      <alignment horizontal="center"/>
    </xf>
    <xf numFmtId="169" fontId="11" fillId="2" borderId="3" xfId="0" applyNumberFormat="1" applyFont="1" applyFill="1" applyBorder="1" applyAlignment="1">
      <alignment horizontal="center"/>
    </xf>
    <xf numFmtId="169" fontId="11" fillId="2" borderId="3" xfId="0" applyNumberFormat="1" applyFont="1" applyFill="1" applyBorder="1"/>
    <xf numFmtId="170" fontId="6" fillId="2" borderId="3" xfId="0" applyNumberFormat="1" applyFont="1" applyFill="1" applyBorder="1"/>
    <xf numFmtId="2" fontId="11" fillId="2" borderId="3" xfId="0" applyNumberFormat="1" applyFont="1" applyFill="1" applyBorder="1"/>
    <xf numFmtId="0" fontId="11" fillId="2" borderId="0" xfId="0" applyFont="1" applyFill="1" applyAlignment="1">
      <alignment horizontal="left"/>
    </xf>
    <xf numFmtId="174" fontId="11" fillId="2" borderId="0" xfId="0" applyNumberFormat="1" applyFont="1" applyFill="1" applyAlignment="1">
      <alignment horizontal="center"/>
    </xf>
    <xf numFmtId="169" fontId="11" fillId="2" borderId="0" xfId="0" applyNumberFormat="1" applyFont="1" applyFill="1" applyAlignment="1">
      <alignment horizontal="center"/>
    </xf>
    <xf numFmtId="169" fontId="11" fillId="2" borderId="0" xfId="0" applyNumberFormat="1" applyFont="1" applyFill="1"/>
    <xf numFmtId="170" fontId="6" fillId="2" borderId="0" xfId="0" applyNumberFormat="1" applyFont="1" applyFill="1"/>
    <xf numFmtId="2" fontId="11" fillId="2" borderId="0" xfId="0" applyNumberFormat="1" applyFont="1" applyFill="1"/>
    <xf numFmtId="0" fontId="65" fillId="2" borderId="5" xfId="0" applyFont="1" applyFill="1" applyBorder="1" applyAlignment="1">
      <alignment horizontal="left"/>
    </xf>
    <xf numFmtId="0" fontId="59" fillId="2" borderId="0" xfId="0" applyFont="1" applyFill="1" applyAlignment="1">
      <alignment horizontal="left"/>
    </xf>
    <xf numFmtId="0" fontId="66" fillId="2" borderId="0" xfId="0" applyFont="1" applyFill="1"/>
    <xf numFmtId="0" fontId="66" fillId="2" borderId="0" xfId="0" applyFont="1" applyFill="1" applyAlignment="1">
      <alignment horizontal="left"/>
    </xf>
    <xf numFmtId="0" fontId="66" fillId="2" borderId="0" xfId="0" applyFont="1" applyFill="1" applyAlignment="1">
      <alignment horizontal="center"/>
    </xf>
    <xf numFmtId="174" fontId="66" fillId="2" borderId="0" xfId="0" applyNumberFormat="1" applyFont="1" applyFill="1" applyAlignment="1">
      <alignment horizontal="center"/>
    </xf>
    <xf numFmtId="169" fontId="66" fillId="2" borderId="0" xfId="0" applyNumberFormat="1" applyFont="1" applyFill="1" applyAlignment="1">
      <alignment horizontal="center"/>
    </xf>
    <xf numFmtId="169" fontId="66" fillId="2" borderId="0" xfId="0" applyNumberFormat="1" applyFont="1" applyFill="1"/>
    <xf numFmtId="170" fontId="66" fillId="2" borderId="0" xfId="0" applyNumberFormat="1" applyFont="1" applyFill="1"/>
    <xf numFmtId="2" fontId="66" fillId="2" borderId="0" xfId="0" applyNumberFormat="1" applyFont="1" applyFill="1"/>
    <xf numFmtId="0" fontId="66" fillId="2" borderId="6" xfId="0" applyFont="1" applyFill="1" applyBorder="1"/>
    <xf numFmtId="0" fontId="27" fillId="2" borderId="5" xfId="0" applyFont="1" applyFill="1" applyBorder="1" applyAlignment="1">
      <alignment horizontal="left"/>
    </xf>
    <xf numFmtId="0" fontId="28" fillId="2" borderId="0" xfId="0" applyFont="1" applyFill="1"/>
    <xf numFmtId="0" fontId="28" fillId="2" borderId="0" xfId="0" applyFont="1" applyFill="1" applyAlignment="1">
      <alignment horizontal="left"/>
    </xf>
    <xf numFmtId="0" fontId="28" fillId="2" borderId="0" xfId="0" applyFont="1" applyFill="1" applyAlignment="1">
      <alignment horizontal="center"/>
    </xf>
    <xf numFmtId="174" fontId="28" fillId="2" borderId="0" xfId="0" applyNumberFormat="1" applyFont="1" applyFill="1" applyAlignment="1">
      <alignment horizontal="center"/>
    </xf>
    <xf numFmtId="169" fontId="28" fillId="2" borderId="0" xfId="0" applyNumberFormat="1" applyFont="1" applyFill="1" applyAlignment="1">
      <alignment horizontal="center"/>
    </xf>
    <xf numFmtId="169" fontId="28" fillId="2" borderId="0" xfId="0" applyNumberFormat="1" applyFont="1" applyFill="1"/>
    <xf numFmtId="170" fontId="28" fillId="2" borderId="0" xfId="0" applyNumberFormat="1" applyFont="1" applyFill="1"/>
    <xf numFmtId="2" fontId="28" fillId="2" borderId="0" xfId="0" applyNumberFormat="1" applyFont="1" applyFill="1"/>
    <xf numFmtId="0" fontId="28" fillId="2" borderId="6" xfId="0" applyFont="1" applyFill="1" applyBorder="1"/>
    <xf numFmtId="0" fontId="17" fillId="2" borderId="5" xfId="0" applyFont="1" applyFill="1" applyBorder="1"/>
    <xf numFmtId="0" fontId="17" fillId="2" borderId="0" xfId="0" applyFont="1" applyFill="1"/>
    <xf numFmtId="0" fontId="18" fillId="2" borderId="0" xfId="0" applyFont="1" applyFill="1" applyAlignment="1">
      <alignment horizontal="left"/>
    </xf>
    <xf numFmtId="0" fontId="20" fillId="2" borderId="0" xfId="0" applyFont="1" applyFill="1" applyAlignment="1">
      <alignment horizontal="left"/>
    </xf>
    <xf numFmtId="0" fontId="20" fillId="2" borderId="0" xfId="0" applyFont="1" applyFill="1" applyAlignment="1">
      <alignment horizontal="center"/>
    </xf>
    <xf numFmtId="174" fontId="20" fillId="2" borderId="0" xfId="0" applyNumberFormat="1" applyFont="1" applyFill="1" applyAlignment="1">
      <alignment horizontal="center"/>
    </xf>
    <xf numFmtId="0" fontId="17" fillId="2" borderId="0" xfId="0" applyFont="1" applyFill="1" applyAlignment="1">
      <alignment horizontal="center"/>
    </xf>
    <xf numFmtId="169" fontId="17" fillId="2" borderId="0" xfId="0" applyNumberFormat="1" applyFont="1" applyFill="1" applyAlignment="1">
      <alignment horizontal="center"/>
    </xf>
    <xf numFmtId="169" fontId="17" fillId="2" borderId="0" xfId="0" applyNumberFormat="1" applyFont="1" applyFill="1"/>
    <xf numFmtId="170" fontId="17" fillId="2" borderId="0" xfId="0" applyNumberFormat="1" applyFont="1" applyFill="1"/>
    <xf numFmtId="2" fontId="17" fillId="2" borderId="0" xfId="0" applyNumberFormat="1" applyFont="1" applyFill="1"/>
    <xf numFmtId="0" fontId="17" fillId="2" borderId="6" xfId="0" applyFont="1" applyFill="1" applyBorder="1"/>
    <xf numFmtId="175" fontId="12" fillId="2" borderId="0" xfId="0" applyNumberFormat="1" applyFont="1" applyFill="1" applyAlignment="1">
      <alignment horizontal="left"/>
    </xf>
    <xf numFmtId="174" fontId="13" fillId="2" borderId="0" xfId="0" applyNumberFormat="1" applyFont="1" applyFill="1" applyAlignment="1">
      <alignment horizontal="center"/>
    </xf>
    <xf numFmtId="0" fontId="19" fillId="2" borderId="0" xfId="0" applyFont="1" applyFill="1" applyAlignment="1">
      <alignment horizontal="left"/>
    </xf>
    <xf numFmtId="0" fontId="15" fillId="2" borderId="0" xfId="0" applyFont="1" applyFill="1" applyAlignment="1">
      <alignment horizontal="center"/>
    </xf>
    <xf numFmtId="169" fontId="11" fillId="2" borderId="0" xfId="3" applyNumberFormat="1" applyFont="1" applyFill="1" applyBorder="1" applyAlignment="1" applyProtection="1">
      <alignment horizontal="center"/>
    </xf>
    <xf numFmtId="170" fontId="11" fillId="2" borderId="0" xfId="3" applyNumberFormat="1" applyFont="1" applyFill="1" applyBorder="1" applyAlignment="1" applyProtection="1"/>
    <xf numFmtId="170" fontId="11" fillId="2" borderId="0" xfId="3" applyNumberFormat="1" applyFont="1" applyFill="1" applyBorder="1" applyProtection="1"/>
    <xf numFmtId="170" fontId="6" fillId="2" borderId="0" xfId="3" applyNumberFormat="1" applyFont="1" applyFill="1" applyBorder="1" applyAlignment="1" applyProtection="1">
      <alignment horizontal="left"/>
    </xf>
    <xf numFmtId="2" fontId="11" fillId="2" borderId="0" xfId="0" applyNumberFormat="1" applyFont="1" applyFill="1" applyAlignment="1">
      <alignment horizontal="center"/>
    </xf>
    <xf numFmtId="169" fontId="11" fillId="3" borderId="1" xfId="0" applyNumberFormat="1" applyFont="1" applyFill="1" applyBorder="1" applyAlignment="1">
      <alignment horizontal="center"/>
    </xf>
    <xf numFmtId="169" fontId="11" fillId="3" borderId="1" xfId="0" applyNumberFormat="1" applyFont="1" applyFill="1" applyBorder="1"/>
    <xf numFmtId="170" fontId="6" fillId="3" borderId="1" xfId="0" applyNumberFormat="1" applyFont="1" applyFill="1" applyBorder="1"/>
    <xf numFmtId="2" fontId="11" fillId="3" borderId="1" xfId="0" applyNumberFormat="1" applyFont="1" applyFill="1" applyBorder="1"/>
    <xf numFmtId="0" fontId="25" fillId="3" borderId="1" xfId="0" applyFont="1" applyFill="1" applyBorder="1"/>
    <xf numFmtId="169" fontId="15" fillId="3" borderId="1" xfId="0" applyNumberFormat="1" applyFont="1" applyFill="1" applyBorder="1" applyAlignment="1">
      <alignment horizontal="center"/>
    </xf>
    <xf numFmtId="170" fontId="15" fillId="3" borderId="1" xfId="0" applyNumberFormat="1" applyFont="1" applyFill="1" applyBorder="1" applyAlignment="1">
      <alignment horizontal="center"/>
    </xf>
    <xf numFmtId="170" fontId="15" fillId="3" borderId="1" xfId="0" applyNumberFormat="1" applyFont="1" applyFill="1" applyBorder="1" applyAlignment="1">
      <alignment horizontal="left"/>
    </xf>
    <xf numFmtId="170" fontId="11" fillId="3" borderId="1" xfId="0" applyNumberFormat="1" applyFont="1" applyFill="1" applyBorder="1" applyAlignment="1">
      <alignment horizontal="center"/>
    </xf>
    <xf numFmtId="170" fontId="6" fillId="3" borderId="1" xfId="0" applyNumberFormat="1" applyFont="1" applyFill="1" applyBorder="1" applyAlignment="1">
      <alignment horizontal="center"/>
    </xf>
    <xf numFmtId="2" fontId="15" fillId="3" borderId="1" xfId="0" applyNumberFormat="1" applyFont="1" applyFill="1" applyBorder="1" applyAlignment="1">
      <alignment horizontal="center"/>
    </xf>
    <xf numFmtId="170" fontId="11" fillId="3" borderId="1" xfId="3" applyNumberFormat="1" applyFont="1" applyFill="1" applyBorder="1" applyProtection="1"/>
    <xf numFmtId="0" fontId="12" fillId="3" borderId="1" xfId="0" applyFont="1" applyFill="1" applyBorder="1" applyAlignment="1">
      <alignment horizontal="left"/>
    </xf>
    <xf numFmtId="174" fontId="12" fillId="3" borderId="1" xfId="0" applyNumberFormat="1" applyFont="1" applyFill="1" applyBorder="1" applyAlignment="1">
      <alignment horizontal="center"/>
    </xf>
    <xf numFmtId="170" fontId="12" fillId="3" borderId="1" xfId="0" applyNumberFormat="1" applyFont="1" applyFill="1" applyBorder="1"/>
    <xf numFmtId="2" fontId="12" fillId="3" borderId="1" xfId="0" applyNumberFormat="1" applyFont="1" applyFill="1" applyBorder="1"/>
    <xf numFmtId="0" fontId="57" fillId="3" borderId="1" xfId="0" applyFont="1" applyFill="1" applyBorder="1" applyAlignment="1">
      <alignment horizontal="center"/>
    </xf>
    <xf numFmtId="0" fontId="56" fillId="3" borderId="1" xfId="0" applyFont="1" applyFill="1" applyBorder="1" applyAlignment="1">
      <alignment horizontal="left"/>
    </xf>
    <xf numFmtId="0" fontId="56" fillId="3" borderId="1" xfId="0" applyFont="1" applyFill="1" applyBorder="1" applyAlignment="1">
      <alignment horizontal="center"/>
    </xf>
    <xf numFmtId="174" fontId="56" fillId="3" borderId="1" xfId="0" applyNumberFormat="1" applyFont="1" applyFill="1" applyBorder="1" applyAlignment="1">
      <alignment horizontal="center"/>
    </xf>
    <xf numFmtId="169" fontId="56" fillId="3" borderId="1" xfId="0" applyNumberFormat="1" applyFont="1" applyFill="1" applyBorder="1" applyAlignment="1">
      <alignment horizontal="center"/>
    </xf>
    <xf numFmtId="2" fontId="56" fillId="3" borderId="1" xfId="0" applyNumberFormat="1" applyFont="1" applyFill="1" applyBorder="1" applyAlignment="1">
      <alignment horizontal="center"/>
    </xf>
    <xf numFmtId="0" fontId="55" fillId="3" borderId="1" xfId="0" applyFont="1" applyFill="1" applyBorder="1" applyAlignment="1">
      <alignment horizontal="left"/>
    </xf>
    <xf numFmtId="1" fontId="56" fillId="3" borderId="1" xfId="0" applyNumberFormat="1" applyFont="1" applyFill="1" applyBorder="1" applyAlignment="1">
      <alignment horizontal="left"/>
    </xf>
    <xf numFmtId="174" fontId="11" fillId="2" borderId="1" xfId="0" applyNumberFormat="1" applyFont="1" applyFill="1" applyBorder="1" applyAlignment="1" applyProtection="1">
      <alignment horizontal="center"/>
      <protection locked="0"/>
    </xf>
    <xf numFmtId="169" fontId="11" fillId="2" borderId="1" xfId="3" applyNumberFormat="1" applyFont="1" applyFill="1" applyBorder="1" applyAlignment="1" applyProtection="1">
      <alignment horizontal="center"/>
      <protection locked="0"/>
    </xf>
    <xf numFmtId="170" fontId="11" fillId="5" borderId="1" xfId="3" applyNumberFormat="1" applyFont="1" applyFill="1" applyBorder="1" applyProtection="1"/>
    <xf numFmtId="170" fontId="6" fillId="5" borderId="1" xfId="3" applyNumberFormat="1" applyFont="1" applyFill="1" applyBorder="1" applyAlignment="1" applyProtection="1">
      <alignment horizontal="left"/>
    </xf>
    <xf numFmtId="169" fontId="68" fillId="4" borderId="1" xfId="0" applyNumberFormat="1" applyFont="1" applyFill="1" applyBorder="1" applyAlignment="1">
      <alignment horizontal="center"/>
    </xf>
    <xf numFmtId="49" fontId="37" fillId="2" borderId="0" xfId="0" applyNumberFormat="1" applyFont="1" applyFill="1" applyAlignment="1">
      <alignment horizontal="center"/>
    </xf>
    <xf numFmtId="0" fontId="46" fillId="3" borderId="0" xfId="0" applyFont="1" applyFill="1"/>
    <xf numFmtId="177" fontId="46" fillId="3" borderId="0" xfId="0" applyNumberFormat="1" applyFont="1" applyFill="1"/>
    <xf numFmtId="177" fontId="11" fillId="3" borderId="0" xfId="0" applyNumberFormat="1" applyFont="1" applyFill="1"/>
    <xf numFmtId="0" fontId="54" fillId="3" borderId="0" xfId="0" applyFont="1" applyFill="1"/>
    <xf numFmtId="166" fontId="42" fillId="3" borderId="0" xfId="0" applyNumberFormat="1" applyFont="1" applyFill="1"/>
    <xf numFmtId="0" fontId="24" fillId="3" borderId="1" xfId="0" applyFont="1" applyFill="1" applyBorder="1"/>
    <xf numFmtId="0" fontId="15" fillId="3" borderId="0" xfId="0" applyFont="1" applyFill="1" applyAlignment="1">
      <alignment horizontal="left"/>
    </xf>
    <xf numFmtId="0" fontId="7" fillId="3" borderId="0" xfId="0" applyFont="1" applyFill="1" applyAlignment="1">
      <alignment horizontal="right"/>
    </xf>
    <xf numFmtId="49" fontId="6" fillId="2" borderId="0" xfId="0" applyNumberFormat="1" applyFont="1" applyFill="1" applyAlignment="1">
      <alignment horizontal="center"/>
    </xf>
    <xf numFmtId="164" fontId="6" fillId="2" borderId="7" xfId="0" applyNumberFormat="1" applyFont="1" applyFill="1" applyBorder="1" applyAlignment="1">
      <alignment horizontal="center"/>
    </xf>
    <xf numFmtId="164" fontId="7" fillId="3" borderId="1" xfId="0" applyNumberFormat="1" applyFont="1" applyFill="1" applyBorder="1" applyAlignment="1">
      <alignment horizontal="center"/>
    </xf>
    <xf numFmtId="0" fontId="15" fillId="3" borderId="0" xfId="0" applyFont="1" applyFill="1" applyAlignment="1">
      <alignment horizontal="center"/>
    </xf>
    <xf numFmtId="164" fontId="6" fillId="3" borderId="0" xfId="0" applyNumberFormat="1" applyFont="1" applyFill="1"/>
    <xf numFmtId="0" fontId="59" fillId="2" borderId="5" xfId="0" applyFont="1" applyFill="1" applyBorder="1"/>
    <xf numFmtId="0" fontId="59" fillId="2" borderId="0" xfId="0" applyFont="1" applyFill="1" applyAlignment="1">
      <alignment horizontal="center"/>
    </xf>
    <xf numFmtId="0" fontId="65" fillId="2" borderId="0" xfId="0" applyFont="1" applyFill="1"/>
    <xf numFmtId="0" fontId="59" fillId="2" borderId="6" xfId="0" applyFont="1" applyFill="1" applyBorder="1"/>
    <xf numFmtId="0" fontId="6" fillId="2" borderId="0" xfId="0" applyFont="1" applyFill="1" applyAlignment="1">
      <alignment horizontal="left" indent="4"/>
    </xf>
    <xf numFmtId="0" fontId="7" fillId="2" borderId="0" xfId="0" applyFont="1" applyFill="1" applyAlignment="1">
      <alignment horizontal="right"/>
    </xf>
    <xf numFmtId="0" fontId="32" fillId="2" borderId="0" xfId="0" applyFont="1" applyFill="1"/>
    <xf numFmtId="164" fontId="6" fillId="2" borderId="0" xfId="0" applyNumberFormat="1" applyFont="1" applyFill="1"/>
    <xf numFmtId="164" fontId="37" fillId="2" borderId="0" xfId="0" applyNumberFormat="1" applyFont="1" applyFill="1"/>
    <xf numFmtId="0" fontId="37" fillId="2" borderId="5" xfId="0" applyFont="1" applyFill="1" applyBorder="1" applyAlignment="1">
      <alignment horizontal="center"/>
    </xf>
    <xf numFmtId="0" fontId="37" fillId="2" borderId="6" xfId="0" applyFont="1" applyFill="1" applyBorder="1" applyAlignment="1">
      <alignment horizontal="center"/>
    </xf>
    <xf numFmtId="0" fontId="15" fillId="2" borderId="5" xfId="0" applyFont="1" applyFill="1" applyBorder="1" applyAlignment="1">
      <alignment horizontal="center"/>
    </xf>
    <xf numFmtId="0" fontId="15" fillId="2" borderId="6" xfId="0" applyFont="1" applyFill="1" applyBorder="1" applyAlignment="1">
      <alignment horizontal="center"/>
    </xf>
    <xf numFmtId="0" fontId="15" fillId="3" borderId="1" xfId="0" applyFont="1" applyFill="1" applyBorder="1" applyAlignment="1">
      <alignment horizontal="left"/>
    </xf>
    <xf numFmtId="0" fontId="30" fillId="3" borderId="0" xfId="0" applyFont="1" applyFill="1"/>
    <xf numFmtId="0" fontId="31" fillId="3" borderId="0" xfId="0" applyFont="1" applyFill="1"/>
    <xf numFmtId="0" fontId="21" fillId="3" borderId="0" xfId="0" applyFont="1" applyFill="1"/>
    <xf numFmtId="0" fontId="33" fillId="3" borderId="0" xfId="0" applyFont="1" applyFill="1"/>
    <xf numFmtId="0" fontId="23" fillId="2" borderId="5" xfId="0" applyFont="1" applyFill="1" applyBorder="1"/>
    <xf numFmtId="0" fontId="23" fillId="2" borderId="0" xfId="0" applyFont="1" applyFill="1"/>
    <xf numFmtId="49" fontId="25" fillId="2" borderId="0" xfId="0" applyNumberFormat="1" applyFont="1" applyFill="1" applyAlignment="1">
      <alignment horizontal="center"/>
    </xf>
    <xf numFmtId="0" fontId="40" fillId="3" borderId="1" xfId="0" applyFont="1" applyFill="1" applyBorder="1" applyAlignment="1">
      <alignment horizontal="left"/>
    </xf>
    <xf numFmtId="0" fontId="7" fillId="3" borderId="1" xfId="0" applyFont="1" applyFill="1" applyBorder="1" applyAlignment="1">
      <alignment horizontal="left"/>
    </xf>
    <xf numFmtId="0" fontId="55" fillId="2" borderId="6" xfId="0" applyFont="1" applyFill="1" applyBorder="1"/>
    <xf numFmtId="0" fontId="13" fillId="2" borderId="0" xfId="0" applyFont="1" applyFill="1" applyAlignment="1">
      <alignment horizontal="right"/>
    </xf>
    <xf numFmtId="165" fontId="15" fillId="2" borderId="0" xfId="3" applyNumberFormat="1" applyFont="1" applyFill="1" applyBorder="1" applyProtection="1"/>
    <xf numFmtId="165" fontId="15" fillId="2" borderId="6" xfId="3" applyNumberFormat="1" applyFont="1" applyFill="1" applyBorder="1" applyProtection="1"/>
    <xf numFmtId="16" fontId="13" fillId="2" borderId="0" xfId="0" applyNumberFormat="1" applyFont="1" applyFill="1" applyAlignment="1">
      <alignment horizontal="center"/>
    </xf>
    <xf numFmtId="0" fontId="22" fillId="2" borderId="0" xfId="0" applyFont="1" applyFill="1" applyAlignment="1">
      <alignment horizontal="right"/>
    </xf>
    <xf numFmtId="165" fontId="21" fillId="2" borderId="0" xfId="3" applyNumberFormat="1" applyFont="1" applyFill="1" applyBorder="1" applyProtection="1"/>
    <xf numFmtId="165" fontId="21" fillId="2" borderId="6" xfId="3" applyNumberFormat="1" applyFont="1" applyFill="1" applyBorder="1" applyProtection="1"/>
    <xf numFmtId="164" fontId="6" fillId="2" borderId="0" xfId="0" applyNumberFormat="1" applyFont="1" applyFill="1" applyAlignment="1">
      <alignment horizontal="left"/>
    </xf>
    <xf numFmtId="164" fontId="7" fillId="2" borderId="0" xfId="0" applyNumberFormat="1" applyFont="1" applyFill="1" applyAlignment="1">
      <alignment horizontal="left"/>
    </xf>
    <xf numFmtId="0" fontId="13" fillId="3" borderId="1" xfId="0" applyFont="1" applyFill="1" applyBorder="1" applyAlignment="1">
      <alignment horizontal="right"/>
    </xf>
    <xf numFmtId="165" fontId="15" fillId="3" borderId="1" xfId="3" applyNumberFormat="1" applyFont="1" applyFill="1" applyBorder="1" applyProtection="1"/>
    <xf numFmtId="164" fontId="6" fillId="3" borderId="1" xfId="0" applyNumberFormat="1" applyFont="1" applyFill="1" applyBorder="1" applyAlignment="1">
      <alignment horizontal="left"/>
    </xf>
    <xf numFmtId="164" fontId="7" fillId="3" borderId="1" xfId="0" applyNumberFormat="1" applyFont="1" applyFill="1" applyBorder="1" applyAlignment="1">
      <alignment horizontal="left"/>
    </xf>
    <xf numFmtId="0" fontId="15" fillId="3" borderId="1" xfId="0" applyFont="1" applyFill="1" applyBorder="1" applyAlignment="1">
      <alignment horizontal="right"/>
    </xf>
    <xf numFmtId="164" fontId="15" fillId="3" borderId="1" xfId="0" applyNumberFormat="1" applyFont="1" applyFill="1" applyBorder="1" applyAlignment="1">
      <alignment horizontal="left"/>
    </xf>
    <xf numFmtId="164" fontId="55" fillId="3" borderId="0" xfId="0" applyNumberFormat="1" applyFont="1" applyFill="1"/>
    <xf numFmtId="164" fontId="25" fillId="3" borderId="0" xfId="0" applyNumberFormat="1" applyFont="1" applyFill="1"/>
    <xf numFmtId="164" fontId="6" fillId="3" borderId="0" xfId="0" applyNumberFormat="1" applyFont="1" applyFill="1" applyAlignment="1">
      <alignment horizontal="center"/>
    </xf>
    <xf numFmtId="0" fontId="34" fillId="3" borderId="0" xfId="0" applyFont="1" applyFill="1" applyAlignment="1">
      <alignment horizontal="center"/>
    </xf>
    <xf numFmtId="164" fontId="16" fillId="3" borderId="0" xfId="0" applyNumberFormat="1" applyFont="1" applyFill="1"/>
    <xf numFmtId="164" fontId="7" fillId="3" borderId="0" xfId="0" applyNumberFormat="1" applyFont="1" applyFill="1"/>
    <xf numFmtId="0" fontId="65" fillId="2" borderId="5" xfId="0" applyFont="1" applyFill="1" applyBorder="1"/>
    <xf numFmtId="0" fontId="58" fillId="2" borderId="0" xfId="0" applyFont="1" applyFill="1" applyAlignment="1">
      <alignment horizontal="center"/>
    </xf>
    <xf numFmtId="0" fontId="32" fillId="2" borderId="5" xfId="0" applyFont="1" applyFill="1" applyBorder="1"/>
    <xf numFmtId="0" fontId="13" fillId="2" borderId="0" xfId="0" applyFont="1" applyFill="1"/>
    <xf numFmtId="49" fontId="15" fillId="2" borderId="0" xfId="0" applyNumberFormat="1" applyFont="1" applyFill="1" applyAlignment="1">
      <alignment horizontal="center"/>
    </xf>
    <xf numFmtId="0" fontId="8" fillId="2" borderId="5" xfId="0" applyFont="1" applyFill="1" applyBorder="1"/>
    <xf numFmtId="0" fontId="8" fillId="2" borderId="0" xfId="0" applyFont="1" applyFill="1"/>
    <xf numFmtId="0" fontId="21" fillId="2" borderId="0" xfId="0" applyFont="1" applyFill="1"/>
    <xf numFmtId="0" fontId="22" fillId="2" borderId="0" xfId="0" applyFont="1" applyFill="1" applyAlignment="1">
      <alignment horizontal="center"/>
    </xf>
    <xf numFmtId="0" fontId="6" fillId="2" borderId="0" xfId="0" applyFont="1" applyFill="1" applyAlignment="1">
      <alignment horizontal="right"/>
    </xf>
    <xf numFmtId="164" fontId="7" fillId="2" borderId="0" xfId="0" applyNumberFormat="1" applyFont="1" applyFill="1" applyAlignment="1">
      <alignment horizontal="center"/>
    </xf>
    <xf numFmtId="0" fontId="6" fillId="2" borderId="6" xfId="0" applyFont="1" applyFill="1" applyBorder="1" applyAlignment="1">
      <alignment horizontal="right"/>
    </xf>
    <xf numFmtId="9" fontId="6" fillId="2" borderId="6" xfId="2" applyFont="1" applyFill="1" applyBorder="1" applyAlignment="1" applyProtection="1">
      <alignment horizontal="right"/>
    </xf>
    <xf numFmtId="0" fontId="25" fillId="2" borderId="6" xfId="0" applyFont="1" applyFill="1" applyBorder="1" applyAlignment="1">
      <alignment horizontal="right"/>
    </xf>
    <xf numFmtId="0" fontId="7" fillId="2" borderId="7" xfId="0" applyFont="1" applyFill="1" applyBorder="1"/>
    <xf numFmtId="172" fontId="7" fillId="2" borderId="7" xfId="0" applyNumberFormat="1" applyFont="1" applyFill="1" applyBorder="1" applyAlignment="1">
      <alignment horizontal="center"/>
    </xf>
    <xf numFmtId="0" fontId="6" fillId="3" borderId="1" xfId="0" applyFont="1" applyFill="1" applyBorder="1" applyAlignment="1">
      <alignment horizontal="right"/>
    </xf>
    <xf numFmtId="0" fontId="1" fillId="3" borderId="0" xfId="0" applyFont="1" applyFill="1"/>
    <xf numFmtId="0" fontId="1" fillId="3" borderId="0" xfId="0" applyFont="1" applyFill="1" applyAlignment="1">
      <alignment horizontal="center"/>
    </xf>
    <xf numFmtId="164" fontId="1" fillId="3" borderId="0" xfId="0" applyNumberFormat="1" applyFont="1" applyFill="1"/>
    <xf numFmtId="0" fontId="27" fillId="2" borderId="5" xfId="0" applyFont="1" applyFill="1" applyBorder="1"/>
    <xf numFmtId="0" fontId="25" fillId="2" borderId="0" xfId="0" applyFont="1" applyFill="1" applyAlignment="1">
      <alignment horizontal="center"/>
    </xf>
    <xf numFmtId="164" fontId="69" fillId="3" borderId="0" xfId="0" applyNumberFormat="1" applyFont="1" applyFill="1"/>
    <xf numFmtId="0" fontId="69" fillId="3" borderId="0" xfId="0" applyFont="1" applyFill="1"/>
    <xf numFmtId="164" fontId="70" fillId="3" borderId="0" xfId="0" applyNumberFormat="1" applyFont="1" applyFill="1"/>
    <xf numFmtId="0" fontId="70" fillId="3" borderId="0" xfId="0" applyFont="1" applyFill="1"/>
    <xf numFmtId="0" fontId="22" fillId="2" borderId="0" xfId="0" applyFont="1" applyFill="1"/>
    <xf numFmtId="0" fontId="6" fillId="3" borderId="8" xfId="0" applyFont="1" applyFill="1" applyBorder="1"/>
    <xf numFmtId="0" fontId="7" fillId="3" borderId="11" xfId="0" applyFont="1" applyFill="1" applyBorder="1"/>
    <xf numFmtId="164" fontId="7" fillId="5" borderId="1" xfId="0" applyNumberFormat="1" applyFont="1" applyFill="1" applyBorder="1" applyAlignment="1">
      <alignment horizontal="center"/>
    </xf>
    <xf numFmtId="0" fontId="7" fillId="3" borderId="12" xfId="0" applyFont="1" applyFill="1" applyBorder="1" applyAlignment="1">
      <alignment horizontal="center"/>
    </xf>
    <xf numFmtId="164" fontId="71" fillId="3" borderId="0" xfId="0" applyNumberFormat="1" applyFont="1" applyFill="1"/>
    <xf numFmtId="0" fontId="71" fillId="3" borderId="0" xfId="0" applyFont="1" applyFill="1"/>
    <xf numFmtId="0" fontId="55" fillId="3" borderId="14" xfId="0" applyFont="1" applyFill="1" applyBorder="1"/>
    <xf numFmtId="0" fontId="6" fillId="3" borderId="15" xfId="0" applyFont="1" applyFill="1" applyBorder="1" applyAlignment="1">
      <alignment horizontal="center"/>
    </xf>
    <xf numFmtId="0" fontId="6" fillId="3" borderId="11" xfId="0" applyFont="1" applyFill="1" applyBorder="1"/>
    <xf numFmtId="164" fontId="6" fillId="5" borderId="1" xfId="0" applyNumberFormat="1" applyFont="1" applyFill="1" applyBorder="1" applyAlignment="1">
      <alignment horizontal="left"/>
    </xf>
    <xf numFmtId="0" fontId="72" fillId="3" borderId="1" xfId="0" applyFont="1" applyFill="1" applyBorder="1"/>
    <xf numFmtId="164" fontId="73" fillId="4" borderId="1" xfId="0" applyNumberFormat="1" applyFont="1" applyFill="1" applyBorder="1" applyAlignment="1">
      <alignment horizontal="center"/>
    </xf>
    <xf numFmtId="0" fontId="6" fillId="3" borderId="1" xfId="0" quotePrefix="1" applyFont="1" applyFill="1" applyBorder="1"/>
    <xf numFmtId="164" fontId="68" fillId="4" borderId="1" xfId="0" applyNumberFormat="1" applyFont="1" applyFill="1" applyBorder="1" applyAlignment="1">
      <alignment horizontal="center"/>
    </xf>
    <xf numFmtId="164" fontId="60" fillId="4" borderId="1" xfId="0" applyNumberFormat="1" applyFont="1" applyFill="1" applyBorder="1" applyAlignment="1">
      <alignment horizontal="center"/>
    </xf>
    <xf numFmtId="0" fontId="63" fillId="3" borderId="1" xfId="0" applyFont="1" applyFill="1" applyBorder="1" applyAlignment="1">
      <alignment horizontal="left"/>
    </xf>
    <xf numFmtId="0" fontId="62" fillId="3" borderId="1" xfId="0" applyFont="1" applyFill="1" applyBorder="1" applyAlignment="1">
      <alignment horizontal="center"/>
    </xf>
    <xf numFmtId="164" fontId="63" fillId="3" borderId="1" xfId="0" applyNumberFormat="1" applyFont="1" applyFill="1" applyBorder="1" applyAlignment="1">
      <alignment horizontal="center"/>
    </xf>
    <xf numFmtId="0" fontId="63" fillId="3" borderId="1" xfId="0" applyFont="1" applyFill="1" applyBorder="1"/>
    <xf numFmtId="0" fontId="61" fillId="3" borderId="1" xfId="0" applyFont="1" applyFill="1" applyBorder="1" applyAlignment="1">
      <alignment horizontal="center"/>
    </xf>
    <xf numFmtId="178" fontId="63" fillId="3" borderId="1" xfId="0" applyNumberFormat="1" applyFont="1" applyFill="1" applyBorder="1" applyAlignment="1">
      <alignment horizontal="center"/>
    </xf>
    <xf numFmtId="164" fontId="6" fillId="3" borderId="14" xfId="0" applyNumberFormat="1" applyFont="1" applyFill="1" applyBorder="1" applyAlignment="1">
      <alignment horizontal="center"/>
    </xf>
    <xf numFmtId="164" fontId="6" fillId="2" borderId="0" xfId="0" applyNumberFormat="1" applyFont="1" applyFill="1" applyAlignment="1">
      <alignment horizontal="center"/>
    </xf>
    <xf numFmtId="0" fontId="11" fillId="2" borderId="1" xfId="0" applyFont="1" applyFill="1" applyBorder="1" applyProtection="1">
      <protection locked="0"/>
    </xf>
    <xf numFmtId="0" fontId="6" fillId="2" borderId="1" xfId="0" applyFont="1" applyFill="1" applyBorder="1" applyProtection="1">
      <protection locked="0"/>
    </xf>
    <xf numFmtId="0" fontId="6" fillId="5" borderId="1" xfId="0" applyFont="1" applyFill="1" applyBorder="1" applyAlignment="1">
      <alignment horizontal="center"/>
    </xf>
    <xf numFmtId="164" fontId="11" fillId="2" borderId="1" xfId="0" applyNumberFormat="1" applyFont="1" applyFill="1" applyBorder="1" applyAlignment="1" applyProtection="1">
      <alignment horizontal="center"/>
      <protection locked="0"/>
    </xf>
    <xf numFmtId="0" fontId="7" fillId="3" borderId="9" xfId="0" applyFont="1" applyFill="1" applyBorder="1"/>
    <xf numFmtId="0" fontId="12" fillId="3" borderId="18" xfId="0" applyFont="1" applyFill="1" applyBorder="1"/>
    <xf numFmtId="0" fontId="11" fillId="3" borderId="18" xfId="0" applyFont="1" applyFill="1" applyBorder="1"/>
    <xf numFmtId="0" fontId="11" fillId="3" borderId="18" xfId="0" applyFont="1" applyFill="1" applyBorder="1" applyAlignment="1">
      <alignment horizontal="center"/>
    </xf>
    <xf numFmtId="164" fontId="11" fillId="2" borderId="1" xfId="0" applyNumberFormat="1" applyFont="1" applyFill="1" applyBorder="1" applyProtection="1">
      <protection locked="0"/>
    </xf>
    <xf numFmtId="164" fontId="43" fillId="4" borderId="1" xfId="0" applyNumberFormat="1" applyFont="1" applyFill="1" applyBorder="1" applyAlignment="1">
      <alignment horizontal="center"/>
    </xf>
    <xf numFmtId="164" fontId="34" fillId="4" borderId="1" xfId="0" applyNumberFormat="1" applyFont="1" applyFill="1" applyBorder="1" applyAlignment="1">
      <alignment horizontal="center"/>
    </xf>
    <xf numFmtId="164" fontId="41" fillId="4" borderId="1" xfId="0" applyNumberFormat="1" applyFont="1" applyFill="1" applyBorder="1" applyAlignment="1">
      <alignment horizontal="center"/>
    </xf>
    <xf numFmtId="164" fontId="42" fillId="4" borderId="1" xfId="0" applyNumberFormat="1" applyFont="1" applyFill="1" applyBorder="1"/>
    <xf numFmtId="164" fontId="6" fillId="5" borderId="1" xfId="0" applyNumberFormat="1" applyFont="1" applyFill="1" applyBorder="1"/>
    <xf numFmtId="0" fontId="8" fillId="0" borderId="0" xfId="0" applyFont="1"/>
    <xf numFmtId="164" fontId="11" fillId="5" borderId="1" xfId="0" applyNumberFormat="1" applyFont="1" applyFill="1" applyBorder="1"/>
    <xf numFmtId="166" fontId="42" fillId="4" borderId="1" xfId="0" applyNumberFormat="1" applyFont="1" applyFill="1" applyBorder="1"/>
    <xf numFmtId="167" fontId="34" fillId="4" borderId="1" xfId="0" applyNumberFormat="1" applyFont="1" applyFill="1" applyBorder="1"/>
    <xf numFmtId="49" fontId="6" fillId="2" borderId="1" xfId="0" applyNumberFormat="1" applyFont="1" applyFill="1" applyBorder="1" applyAlignment="1" applyProtection="1">
      <alignment horizontal="center"/>
      <protection locked="0"/>
    </xf>
    <xf numFmtId="164" fontId="42" fillId="4" borderId="1" xfId="0" applyNumberFormat="1" applyFont="1" applyFill="1" applyBorder="1" applyAlignment="1">
      <alignment horizontal="center"/>
    </xf>
    <xf numFmtId="0" fontId="42" fillId="4" borderId="1" xfId="0" applyFont="1" applyFill="1" applyBorder="1" applyAlignment="1">
      <alignment horizontal="center"/>
    </xf>
    <xf numFmtId="164" fontId="34" fillId="4" borderId="1" xfId="0" applyNumberFormat="1" applyFont="1" applyFill="1" applyBorder="1"/>
    <xf numFmtId="164" fontId="6" fillId="5" borderId="1" xfId="3" applyNumberFormat="1" applyFont="1" applyFill="1" applyBorder="1" applyAlignment="1" applyProtection="1">
      <alignment horizontal="left"/>
    </xf>
    <xf numFmtId="164" fontId="6" fillId="2" borderId="1" xfId="0" applyNumberFormat="1" applyFont="1" applyFill="1" applyBorder="1" applyAlignment="1" applyProtection="1">
      <alignment horizontal="left"/>
      <protection locked="0"/>
    </xf>
    <xf numFmtId="164" fontId="34" fillId="4" borderId="1" xfId="0" applyNumberFormat="1" applyFont="1" applyFill="1" applyBorder="1" applyAlignment="1">
      <alignment horizontal="left"/>
    </xf>
    <xf numFmtId="164" fontId="44" fillId="4" borderId="1" xfId="0" applyNumberFormat="1" applyFont="1" applyFill="1" applyBorder="1" applyAlignment="1">
      <alignment horizontal="center"/>
    </xf>
    <xf numFmtId="173" fontId="75" fillId="5" borderId="1" xfId="2" applyNumberFormat="1" applyFont="1" applyFill="1" applyBorder="1" applyAlignment="1" applyProtection="1">
      <alignment horizontal="center"/>
    </xf>
    <xf numFmtId="2" fontId="75" fillId="5" borderId="1" xfId="0" applyNumberFormat="1" applyFont="1" applyFill="1" applyBorder="1" applyAlignment="1">
      <alignment horizontal="center"/>
    </xf>
    <xf numFmtId="9" fontId="75" fillId="5" borderId="1" xfId="2" applyFont="1" applyFill="1" applyBorder="1" applyAlignment="1" applyProtection="1">
      <alignment horizontal="center"/>
    </xf>
    <xf numFmtId="0" fontId="46" fillId="2" borderId="0" xfId="0" applyFont="1" applyFill="1"/>
    <xf numFmtId="0" fontId="6" fillId="3" borderId="19" xfId="0" applyFont="1" applyFill="1" applyBorder="1" applyAlignment="1">
      <alignment horizontal="center"/>
    </xf>
    <xf numFmtId="0" fontId="11" fillId="3" borderId="20" xfId="0" applyFont="1" applyFill="1" applyBorder="1"/>
    <xf numFmtId="0" fontId="11" fillId="3" borderId="20" xfId="0" applyFont="1" applyFill="1" applyBorder="1" applyAlignment="1">
      <alignment horizontal="center"/>
    </xf>
    <xf numFmtId="164" fontId="11" fillId="0" borderId="1" xfId="0" applyNumberFormat="1" applyFont="1" applyBorder="1" applyAlignment="1" applyProtection="1">
      <alignment horizontal="center"/>
      <protection locked="0"/>
    </xf>
    <xf numFmtId="166" fontId="6" fillId="3" borderId="1" xfId="0" applyNumberFormat="1" applyFont="1" applyFill="1" applyBorder="1"/>
    <xf numFmtId="0" fontId="11" fillId="0" borderId="1" xfId="0" applyFont="1" applyBorder="1" applyProtection="1">
      <protection locked="0"/>
    </xf>
    <xf numFmtId="0" fontId="6" fillId="0" borderId="0" xfId="0" quotePrefix="1" applyFont="1"/>
    <xf numFmtId="0" fontId="40" fillId="0" borderId="0" xfId="0" applyFont="1"/>
    <xf numFmtId="0" fontId="15" fillId="2" borderId="0" xfId="0" applyFont="1" applyFill="1" applyAlignment="1">
      <alignment horizontal="right"/>
    </xf>
    <xf numFmtId="0" fontId="77" fillId="2" borderId="0" xfId="0" applyFont="1" applyFill="1" applyAlignment="1">
      <alignment horizontal="right"/>
    </xf>
    <xf numFmtId="49" fontId="77" fillId="2" borderId="0" xfId="0" applyNumberFormat="1" applyFont="1" applyFill="1" applyAlignment="1">
      <alignment horizontal="center"/>
    </xf>
    <xf numFmtId="1" fontId="77" fillId="2" borderId="0" xfId="0" applyNumberFormat="1" applyFont="1" applyFill="1" applyAlignment="1">
      <alignment horizontal="center"/>
    </xf>
    <xf numFmtId="0" fontId="6" fillId="0" borderId="1" xfId="0" applyFont="1" applyBorder="1" applyProtection="1">
      <protection locked="0"/>
    </xf>
    <xf numFmtId="0" fontId="78" fillId="4" borderId="1" xfId="0" applyFont="1" applyFill="1" applyBorder="1" applyAlignment="1">
      <alignment horizontal="center"/>
    </xf>
    <xf numFmtId="3" fontId="78" fillId="4" borderId="1" xfId="0" applyNumberFormat="1" applyFont="1" applyFill="1" applyBorder="1" applyAlignment="1">
      <alignment horizontal="center"/>
    </xf>
    <xf numFmtId="0" fontId="6" fillId="5" borderId="1" xfId="0" applyFont="1" applyFill="1" applyBorder="1"/>
    <xf numFmtId="0" fontId="76" fillId="3" borderId="1" xfId="0" applyFont="1" applyFill="1" applyBorder="1"/>
    <xf numFmtId="0" fontId="80" fillId="3" borderId="1" xfId="0" applyFont="1" applyFill="1" applyBorder="1" applyAlignment="1">
      <alignment horizontal="center"/>
    </xf>
    <xf numFmtId="0" fontId="80" fillId="2" borderId="0" xfId="0" applyFont="1" applyFill="1" applyAlignment="1">
      <alignment horizontal="right"/>
    </xf>
    <xf numFmtId="0" fontId="79" fillId="2" borderId="0" xfId="0" applyFont="1" applyFill="1"/>
    <xf numFmtId="166" fontId="6" fillId="5" borderId="1" xfId="0" applyNumberFormat="1" applyFont="1" applyFill="1" applyBorder="1"/>
    <xf numFmtId="0" fontId="79" fillId="3" borderId="1" xfId="0" applyFont="1" applyFill="1" applyBorder="1"/>
    <xf numFmtId="0" fontId="77" fillId="2" borderId="0" xfId="0" applyFont="1" applyFill="1" applyAlignment="1">
      <alignment horizontal="center"/>
    </xf>
    <xf numFmtId="0" fontId="77" fillId="3" borderId="1" xfId="0" applyFont="1" applyFill="1" applyBorder="1" applyAlignment="1">
      <alignment horizontal="center"/>
    </xf>
    <xf numFmtId="0" fontId="76" fillId="3" borderId="1" xfId="0" applyFont="1" applyFill="1" applyBorder="1" applyAlignment="1">
      <alignment horizontal="left"/>
    </xf>
    <xf numFmtId="0" fontId="80" fillId="2" borderId="0" xfId="0" applyFont="1" applyFill="1" applyAlignment="1">
      <alignment horizontal="center"/>
    </xf>
    <xf numFmtId="0" fontId="81" fillId="2" borderId="0" xfId="0" applyFont="1" applyFill="1"/>
    <xf numFmtId="0" fontId="7" fillId="3" borderId="14" xfId="0" applyFont="1" applyFill="1" applyBorder="1"/>
    <xf numFmtId="0" fontId="76" fillId="3" borderId="9" xfId="0" applyFont="1" applyFill="1" applyBorder="1"/>
    <xf numFmtId="0" fontId="79" fillId="3" borderId="9" xfId="0" applyFont="1" applyFill="1" applyBorder="1"/>
    <xf numFmtId="0" fontId="79" fillId="3" borderId="0" xfId="0" applyFont="1" applyFill="1"/>
    <xf numFmtId="0" fontId="79" fillId="2" borderId="0" xfId="0" applyFont="1" applyFill="1" applyAlignment="1">
      <alignment horizontal="center"/>
    </xf>
    <xf numFmtId="0" fontId="37" fillId="2" borderId="0" xfId="0" applyFont="1" applyFill="1" applyAlignment="1">
      <alignment horizontal="right"/>
    </xf>
    <xf numFmtId="1" fontId="39" fillId="2" borderId="0" xfId="0" applyNumberFormat="1" applyFont="1" applyFill="1" applyAlignment="1">
      <alignment horizontal="center"/>
    </xf>
    <xf numFmtId="0" fontId="80" fillId="2" borderId="0" xfId="0" applyFont="1" applyFill="1" applyAlignment="1">
      <alignment horizontal="left"/>
    </xf>
    <xf numFmtId="1" fontId="80" fillId="2" borderId="0" xfId="0" quotePrefix="1" applyNumberFormat="1" applyFont="1" applyFill="1" applyAlignment="1">
      <alignment horizontal="center"/>
    </xf>
    <xf numFmtId="1" fontId="80" fillId="2" borderId="0" xfId="0" applyNumberFormat="1" applyFont="1" applyFill="1" applyAlignment="1">
      <alignment horizontal="center"/>
    </xf>
    <xf numFmtId="0" fontId="79" fillId="3" borderId="1" xfId="0" applyFont="1" applyFill="1" applyBorder="1" applyAlignment="1">
      <alignment horizontal="left"/>
    </xf>
    <xf numFmtId="0" fontId="81" fillId="2" borderId="0" xfId="0" applyFont="1" applyFill="1" applyAlignment="1">
      <alignment horizontal="left"/>
    </xf>
    <xf numFmtId="0" fontId="36" fillId="2" borderId="0" xfId="0" applyFont="1" applyFill="1"/>
    <xf numFmtId="0" fontId="6" fillId="8" borderId="0" xfId="0" applyFont="1" applyFill="1"/>
    <xf numFmtId="1" fontId="0" fillId="8" borderId="0" xfId="0" applyNumberFormat="1" applyFill="1" applyAlignment="1">
      <alignment horizontal="left"/>
    </xf>
    <xf numFmtId="0" fontId="7" fillId="8" borderId="0" xfId="0" applyFont="1" applyFill="1" applyAlignment="1">
      <alignment horizontal="left"/>
    </xf>
    <xf numFmtId="0" fontId="13" fillId="8" borderId="0" xfId="0" applyFont="1" applyFill="1" applyAlignment="1">
      <alignment horizontal="left"/>
    </xf>
    <xf numFmtId="0" fontId="39" fillId="8" borderId="0" xfId="0" applyFont="1" applyFill="1" applyAlignment="1">
      <alignment horizontal="center"/>
    </xf>
    <xf numFmtId="0" fontId="39" fillId="8" borderId="0" xfId="0" applyFont="1" applyFill="1"/>
    <xf numFmtId="42" fontId="84" fillId="6" borderId="21" xfId="0" applyNumberFormat="1" applyFont="1" applyFill="1" applyBorder="1" applyAlignment="1">
      <alignment horizontal="center"/>
    </xf>
    <xf numFmtId="0" fontId="85" fillId="2" borderId="7" xfId="1" applyFont="1" applyFill="1" applyBorder="1" applyAlignment="1" applyProtection="1">
      <alignment horizontal="right"/>
    </xf>
    <xf numFmtId="0" fontId="42" fillId="9" borderId="0" xfId="0" applyFont="1" applyFill="1" applyAlignment="1">
      <alignment horizontal="center"/>
    </xf>
    <xf numFmtId="0" fontId="6" fillId="9" borderId="0" xfId="0" applyFont="1" applyFill="1"/>
    <xf numFmtId="0" fontId="6" fillId="9" borderId="1" xfId="0" applyFont="1" applyFill="1" applyBorder="1"/>
    <xf numFmtId="0" fontId="6" fillId="11" borderId="0" xfId="0" applyFont="1" applyFill="1" applyAlignment="1">
      <alignment horizontal="center"/>
    </xf>
    <xf numFmtId="0" fontId="6" fillId="9" borderId="1" xfId="0" applyFont="1" applyFill="1" applyBorder="1" applyAlignment="1">
      <alignment horizontal="center"/>
    </xf>
    <xf numFmtId="164" fontId="6" fillId="9" borderId="1" xfId="0" applyNumberFormat="1" applyFont="1" applyFill="1" applyBorder="1" applyAlignment="1">
      <alignment horizontal="center"/>
    </xf>
    <xf numFmtId="0" fontId="6" fillId="3" borderId="12" xfId="0" applyFont="1" applyFill="1" applyBorder="1"/>
    <xf numFmtId="0" fontId="6" fillId="12" borderId="0" xfId="0" applyFont="1" applyFill="1"/>
    <xf numFmtId="181" fontId="6" fillId="12" borderId="0" xfId="0" applyNumberFormat="1" applyFont="1" applyFill="1" applyAlignment="1">
      <alignment horizontal="center"/>
    </xf>
    <xf numFmtId="181" fontId="6" fillId="12" borderId="0" xfId="0" applyNumberFormat="1" applyFont="1" applyFill="1"/>
    <xf numFmtId="0" fontId="6" fillId="11" borderId="24" xfId="0" applyFont="1" applyFill="1" applyBorder="1"/>
    <xf numFmtId="181" fontId="6" fillId="11" borderId="24" xfId="0" applyNumberFormat="1" applyFont="1" applyFill="1" applyBorder="1" applyAlignment="1">
      <alignment horizontal="center"/>
    </xf>
    <xf numFmtId="181" fontId="6" fillId="11" borderId="24" xfId="0" applyNumberFormat="1" applyFont="1" applyFill="1" applyBorder="1"/>
    <xf numFmtId="0" fontId="6" fillId="11" borderId="25" xfId="0" applyFont="1" applyFill="1" applyBorder="1"/>
    <xf numFmtId="0" fontId="6" fillId="11" borderId="5" xfId="0" applyFont="1" applyFill="1" applyBorder="1"/>
    <xf numFmtId="0" fontId="6" fillId="11" borderId="0" xfId="0" applyFont="1" applyFill="1"/>
    <xf numFmtId="181" fontId="6" fillId="11" borderId="0" xfId="0" applyNumberFormat="1" applyFont="1" applyFill="1" applyAlignment="1">
      <alignment horizontal="center"/>
    </xf>
    <xf numFmtId="181" fontId="6" fillId="11" borderId="0" xfId="0" applyNumberFormat="1" applyFont="1" applyFill="1"/>
    <xf numFmtId="0" fontId="23" fillId="11" borderId="5" xfId="0" applyFont="1" applyFill="1" applyBorder="1"/>
    <xf numFmtId="0" fontId="26" fillId="11" borderId="0" xfId="0" applyFont="1" applyFill="1"/>
    <xf numFmtId="181" fontId="26" fillId="11" borderId="0" xfId="0" applyNumberFormat="1" applyFont="1" applyFill="1" applyAlignment="1">
      <alignment horizontal="center"/>
    </xf>
    <xf numFmtId="181" fontId="16" fillId="11" borderId="0" xfId="0" applyNumberFormat="1" applyFont="1" applyFill="1"/>
    <xf numFmtId="0" fontId="26" fillId="12" borderId="0" xfId="0" applyFont="1" applyFill="1"/>
    <xf numFmtId="0" fontId="13" fillId="11" borderId="0" xfId="0" applyFont="1" applyFill="1" applyAlignment="1">
      <alignment horizontal="center"/>
    </xf>
    <xf numFmtId="0" fontId="13" fillId="11" borderId="5" xfId="0" applyFont="1" applyFill="1" applyBorder="1"/>
    <xf numFmtId="0" fontId="7" fillId="11" borderId="5" xfId="0" applyFont="1" applyFill="1" applyBorder="1"/>
    <xf numFmtId="181" fontId="6" fillId="11" borderId="5" xfId="0" applyNumberFormat="1" applyFont="1" applyFill="1" applyBorder="1"/>
    <xf numFmtId="0" fontId="6" fillId="11" borderId="17" xfId="0" applyFont="1" applyFill="1" applyBorder="1"/>
    <xf numFmtId="0" fontId="6" fillId="11" borderId="23" xfId="0" applyFont="1" applyFill="1" applyBorder="1"/>
    <xf numFmtId="1" fontId="87" fillId="11" borderId="0" xfId="0" applyNumberFormat="1" applyFont="1" applyFill="1" applyAlignment="1">
      <alignment horizontal="center"/>
    </xf>
    <xf numFmtId="42" fontId="6" fillId="5" borderId="1" xfId="0" applyNumberFormat="1" applyFont="1" applyFill="1" applyBorder="1" applyAlignment="1">
      <alignment horizontal="left"/>
    </xf>
    <xf numFmtId="183" fontId="6" fillId="7" borderId="1" xfId="0" applyNumberFormat="1" applyFont="1" applyFill="1" applyBorder="1" applyAlignment="1">
      <alignment horizontal="center"/>
    </xf>
    <xf numFmtId="183" fontId="6" fillId="5" borderId="1" xfId="0" applyNumberFormat="1" applyFont="1" applyFill="1" applyBorder="1" applyAlignment="1">
      <alignment horizontal="center"/>
    </xf>
    <xf numFmtId="0" fontId="93" fillId="0" borderId="0" xfId="0" applyFont="1"/>
    <xf numFmtId="0" fontId="18" fillId="11" borderId="0" xfId="0" applyFont="1" applyFill="1" applyAlignment="1">
      <alignment wrapText="1"/>
    </xf>
    <xf numFmtId="0" fontId="6" fillId="11" borderId="6" xfId="0" applyFont="1" applyFill="1" applyBorder="1"/>
    <xf numFmtId="0" fontId="25" fillId="11" borderId="0" xfId="0" applyFont="1" applyFill="1"/>
    <xf numFmtId="0" fontId="25" fillId="11" borderId="6" xfId="0" applyFont="1" applyFill="1" applyBorder="1"/>
    <xf numFmtId="0" fontId="25" fillId="12" borderId="0" xfId="0" applyFont="1" applyFill="1"/>
    <xf numFmtId="0" fontId="6" fillId="11" borderId="27" xfId="0" applyFont="1" applyFill="1" applyBorder="1"/>
    <xf numFmtId="0" fontId="6" fillId="11" borderId="28" xfId="0" applyFont="1" applyFill="1" applyBorder="1"/>
    <xf numFmtId="0" fontId="32" fillId="12" borderId="0" xfId="0" applyFont="1" applyFill="1"/>
    <xf numFmtId="0" fontId="42" fillId="9" borderId="19" xfId="0" applyFont="1" applyFill="1" applyBorder="1" applyAlignment="1">
      <alignment horizontal="center"/>
    </xf>
    <xf numFmtId="0" fontId="93" fillId="3" borderId="0" xfId="0" applyFont="1" applyFill="1"/>
    <xf numFmtId="0" fontId="42" fillId="2" borderId="27" xfId="0" applyFont="1" applyFill="1" applyBorder="1"/>
    <xf numFmtId="0" fontId="42" fillId="2" borderId="27" xfId="0" applyFont="1" applyFill="1" applyBorder="1" applyAlignment="1">
      <alignment horizontal="center"/>
    </xf>
    <xf numFmtId="0" fontId="6" fillId="2" borderId="27" xfId="0" applyFont="1" applyFill="1" applyBorder="1"/>
    <xf numFmtId="0" fontId="6" fillId="2" borderId="27" xfId="0" applyFont="1" applyFill="1" applyBorder="1" applyAlignment="1">
      <alignment horizontal="center"/>
    </xf>
    <xf numFmtId="0" fontId="6" fillId="3" borderId="19" xfId="0" applyFont="1" applyFill="1" applyBorder="1"/>
    <xf numFmtId="0" fontId="94" fillId="0" borderId="0" xfId="0" applyFont="1" applyAlignment="1">
      <alignment horizontal="left"/>
    </xf>
    <xf numFmtId="181" fontId="6" fillId="9" borderId="0" xfId="0" applyNumberFormat="1" applyFont="1" applyFill="1" applyAlignment="1">
      <alignment horizontal="center"/>
    </xf>
    <xf numFmtId="181" fontId="6" fillId="9" borderId="0" xfId="0" applyNumberFormat="1" applyFont="1" applyFill="1"/>
    <xf numFmtId="0" fontId="26" fillId="9" borderId="0" xfId="0" applyFont="1" applyFill="1"/>
    <xf numFmtId="0" fontId="1" fillId="9" borderId="0" xfId="0" applyFont="1" applyFill="1"/>
    <xf numFmtId="0" fontId="6" fillId="8" borderId="21" xfId="0" applyFont="1" applyFill="1" applyBorder="1"/>
    <xf numFmtId="0" fontId="6" fillId="8" borderId="21" xfId="0" applyFont="1" applyFill="1" applyBorder="1" applyAlignment="1">
      <alignment horizontal="center"/>
    </xf>
    <xf numFmtId="0" fontId="88" fillId="8" borderId="21" xfId="0" applyFont="1" applyFill="1" applyBorder="1"/>
    <xf numFmtId="0" fontId="89" fillId="8" borderId="21" xfId="0" applyFont="1" applyFill="1" applyBorder="1"/>
    <xf numFmtId="181" fontId="6" fillId="7" borderId="21" xfId="0" applyNumberFormat="1" applyFont="1" applyFill="1" applyBorder="1" applyAlignment="1">
      <alignment horizontal="center"/>
    </xf>
    <xf numFmtId="0" fontId="7" fillId="8" borderId="21" xfId="0" applyFont="1" applyFill="1" applyBorder="1" applyAlignment="1">
      <alignment horizontal="left"/>
    </xf>
    <xf numFmtId="181" fontId="90" fillId="6" borderId="21" xfId="0" applyNumberFormat="1" applyFont="1" applyFill="1" applyBorder="1" applyAlignment="1">
      <alignment horizontal="center"/>
    </xf>
    <xf numFmtId="0" fontId="15" fillId="8" borderId="21" xfId="0" applyFont="1" applyFill="1" applyBorder="1"/>
    <xf numFmtId="0" fontId="91" fillId="8" borderId="21" xfId="0" applyFont="1" applyFill="1" applyBorder="1" applyAlignment="1">
      <alignment horizontal="left"/>
    </xf>
    <xf numFmtId="0" fontId="91" fillId="8" borderId="21" xfId="0" applyFont="1" applyFill="1" applyBorder="1"/>
    <xf numFmtId="0" fontId="7" fillId="8" borderId="21" xfId="0" applyFont="1" applyFill="1" applyBorder="1"/>
    <xf numFmtId="181" fontId="6" fillId="8" borderId="21" xfId="0" applyNumberFormat="1" applyFont="1" applyFill="1" applyBorder="1" applyAlignment="1">
      <alignment horizontal="center"/>
    </xf>
    <xf numFmtId="181" fontId="7" fillId="8" borderId="21" xfId="0" applyNumberFormat="1" applyFont="1" applyFill="1" applyBorder="1" applyAlignment="1">
      <alignment horizontal="center"/>
    </xf>
    <xf numFmtId="0" fontId="89" fillId="8" borderId="21" xfId="0" applyFont="1" applyFill="1" applyBorder="1" applyAlignment="1">
      <alignment horizontal="left"/>
    </xf>
    <xf numFmtId="0" fontId="6" fillId="8" borderId="21" xfId="0" applyFont="1" applyFill="1" applyBorder="1" applyAlignment="1">
      <alignment horizontal="left"/>
    </xf>
    <xf numFmtId="0" fontId="87" fillId="8" borderId="21" xfId="0" applyFont="1" applyFill="1" applyBorder="1"/>
    <xf numFmtId="181" fontId="6" fillId="8" borderId="21" xfId="0" applyNumberFormat="1" applyFont="1" applyFill="1" applyBorder="1"/>
    <xf numFmtId="9" fontId="6" fillId="7" borderId="21" xfId="0" applyNumberFormat="1" applyFont="1" applyFill="1" applyBorder="1" applyAlignment="1">
      <alignment horizontal="center"/>
    </xf>
    <xf numFmtId="9" fontId="6" fillId="8" borderId="21" xfId="0" applyNumberFormat="1" applyFont="1" applyFill="1" applyBorder="1" applyAlignment="1">
      <alignment horizontal="center"/>
    </xf>
    <xf numFmtId="181" fontId="41" fillId="8" borderId="21" xfId="0" applyNumberFormat="1" applyFont="1" applyFill="1" applyBorder="1" applyAlignment="1">
      <alignment horizontal="center"/>
    </xf>
    <xf numFmtId="182" fontId="6" fillId="8" borderId="21" xfId="0" applyNumberFormat="1" applyFont="1" applyFill="1" applyBorder="1"/>
    <xf numFmtId="170" fontId="6" fillId="7" borderId="21" xfId="0" applyNumberFormat="1" applyFont="1" applyFill="1" applyBorder="1" applyAlignment="1">
      <alignment horizontal="center"/>
    </xf>
    <xf numFmtId="2" fontId="90" fillId="6" borderId="21" xfId="0" applyNumberFormat="1" applyFont="1" applyFill="1" applyBorder="1" applyAlignment="1">
      <alignment horizontal="center"/>
    </xf>
    <xf numFmtId="180" fontId="90" fillId="6" borderId="21" xfId="0" applyNumberFormat="1" applyFont="1" applyFill="1" applyBorder="1" applyAlignment="1">
      <alignment horizontal="center"/>
    </xf>
    <xf numFmtId="10" fontId="90" fillId="6" borderId="21" xfId="0" applyNumberFormat="1" applyFont="1" applyFill="1" applyBorder="1" applyAlignment="1">
      <alignment horizontal="center"/>
    </xf>
    <xf numFmtId="182" fontId="6" fillId="8" borderId="21" xfId="0" applyNumberFormat="1" applyFont="1" applyFill="1" applyBorder="1" applyAlignment="1">
      <alignment horizontal="center"/>
    </xf>
    <xf numFmtId="181" fontId="89" fillId="8" borderId="21" xfId="0" applyNumberFormat="1" applyFont="1" applyFill="1" applyBorder="1"/>
    <xf numFmtId="181" fontId="6" fillId="7" borderId="21" xfId="0" applyNumberFormat="1" applyFont="1" applyFill="1" applyBorder="1"/>
    <xf numFmtId="9" fontId="90" fillId="6" borderId="21" xfId="2" applyFont="1" applyFill="1" applyBorder="1" applyAlignment="1" applyProtection="1">
      <alignment horizontal="center"/>
    </xf>
    <xf numFmtId="0" fontId="13" fillId="8" borderId="21" xfId="0" applyFont="1" applyFill="1" applyBorder="1"/>
    <xf numFmtId="2" fontId="6" fillId="7" borderId="21" xfId="0" applyNumberFormat="1" applyFont="1" applyFill="1" applyBorder="1" applyAlignment="1">
      <alignment horizontal="center"/>
    </xf>
    <xf numFmtId="2" fontId="6" fillId="8" borderId="21" xfId="0" applyNumberFormat="1" applyFont="1" applyFill="1" applyBorder="1"/>
    <xf numFmtId="2" fontId="6" fillId="8" borderId="21" xfId="0" applyNumberFormat="1" applyFont="1" applyFill="1" applyBorder="1" applyAlignment="1">
      <alignment horizontal="center"/>
    </xf>
    <xf numFmtId="181" fontId="6" fillId="9" borderId="21" xfId="0" applyNumberFormat="1" applyFont="1" applyFill="1" applyBorder="1"/>
    <xf numFmtId="181" fontId="6" fillId="9" borderId="21" xfId="0" applyNumberFormat="1" applyFont="1" applyFill="1" applyBorder="1" applyAlignment="1">
      <alignment horizontal="center"/>
    </xf>
    <xf numFmtId="0" fontId="13" fillId="9" borderId="21" xfId="0" applyFont="1" applyFill="1" applyBorder="1"/>
    <xf numFmtId="0" fontId="87" fillId="9" borderId="21" xfId="0" applyFont="1" applyFill="1" applyBorder="1"/>
    <xf numFmtId="0" fontId="6" fillId="9" borderId="21" xfId="0" applyFont="1" applyFill="1" applyBorder="1"/>
    <xf numFmtId="0" fontId="6" fillId="9" borderId="21" xfId="0" applyFont="1" applyFill="1" applyBorder="1" applyAlignment="1">
      <alignment horizontal="left"/>
    </xf>
    <xf numFmtId="0" fontId="6" fillId="9" borderId="21" xfId="0" applyFont="1" applyFill="1" applyBorder="1" applyAlignment="1">
      <alignment horizontal="center"/>
    </xf>
    <xf numFmtId="0" fontId="89" fillId="9" borderId="21" xfId="0" applyFont="1" applyFill="1" applyBorder="1" applyAlignment="1">
      <alignment horizontal="left"/>
    </xf>
    <xf numFmtId="0" fontId="87" fillId="9" borderId="21" xfId="0" applyFont="1" applyFill="1" applyBorder="1" applyAlignment="1">
      <alignment horizontal="center"/>
    </xf>
    <xf numFmtId="2" fontId="92" fillId="9" borderId="21" xfId="0" applyNumberFormat="1" applyFont="1" applyFill="1" applyBorder="1" applyAlignment="1">
      <alignment horizontal="center"/>
    </xf>
    <xf numFmtId="181" fontId="6" fillId="8" borderId="31" xfId="0" applyNumberFormat="1" applyFont="1" applyFill="1" applyBorder="1"/>
    <xf numFmtId="181" fontId="6" fillId="8" borderId="31" xfId="0" applyNumberFormat="1" applyFont="1" applyFill="1" applyBorder="1" applyAlignment="1">
      <alignment horizontal="center"/>
    </xf>
    <xf numFmtId="0" fontId="6" fillId="8" borderId="31" xfId="0" applyFont="1" applyFill="1" applyBorder="1" applyAlignment="1">
      <alignment horizontal="center"/>
    </xf>
    <xf numFmtId="0" fontId="6" fillId="8" borderId="31" xfId="0" applyFont="1" applyFill="1" applyBorder="1"/>
    <xf numFmtId="2" fontId="6" fillId="8" borderId="31" xfId="0" applyNumberFormat="1" applyFont="1" applyFill="1" applyBorder="1" applyAlignment="1">
      <alignment horizontal="center"/>
    </xf>
    <xf numFmtId="0" fontId="6" fillId="9" borderId="31" xfId="0" applyFont="1" applyFill="1" applyBorder="1"/>
    <xf numFmtId="0" fontId="6" fillId="9" borderId="31" xfId="0" applyFont="1" applyFill="1" applyBorder="1" applyAlignment="1">
      <alignment horizontal="center"/>
    </xf>
    <xf numFmtId="181" fontId="6" fillId="9" borderId="31" xfId="0" applyNumberFormat="1" applyFont="1" applyFill="1" applyBorder="1"/>
    <xf numFmtId="0" fontId="13" fillId="8" borderId="32" xfId="0" applyFont="1" applyFill="1" applyBorder="1"/>
    <xf numFmtId="0" fontId="6" fillId="8" borderId="32" xfId="0" applyFont="1" applyFill="1" applyBorder="1"/>
    <xf numFmtId="181" fontId="6" fillId="9" borderId="32" xfId="0" applyNumberFormat="1" applyFont="1" applyFill="1" applyBorder="1"/>
    <xf numFmtId="181" fontId="6" fillId="9" borderId="32" xfId="0" applyNumberFormat="1" applyFont="1" applyFill="1" applyBorder="1" applyAlignment="1">
      <alignment horizontal="center"/>
    </xf>
    <xf numFmtId="0" fontId="6" fillId="9" borderId="32" xfId="0" applyFont="1" applyFill="1" applyBorder="1"/>
    <xf numFmtId="0" fontId="6" fillId="9" borderId="32" xfId="0" applyFont="1" applyFill="1" applyBorder="1" applyAlignment="1">
      <alignment horizontal="center"/>
    </xf>
    <xf numFmtId="0" fontId="6" fillId="11" borderId="33" xfId="0" applyFont="1" applyFill="1" applyBorder="1"/>
    <xf numFmtId="0" fontId="6" fillId="11" borderId="35" xfId="0" applyFont="1" applyFill="1" applyBorder="1"/>
    <xf numFmtId="181" fontId="6" fillId="11" borderId="34" xfId="0" applyNumberFormat="1" applyFont="1" applyFill="1" applyBorder="1"/>
    <xf numFmtId="181" fontId="6" fillId="11" borderId="33" xfId="0" applyNumberFormat="1" applyFont="1" applyFill="1" applyBorder="1"/>
    <xf numFmtId="181" fontId="6" fillId="11" borderId="34" xfId="0" applyNumberFormat="1" applyFont="1" applyFill="1" applyBorder="1" applyAlignment="1">
      <alignment horizontal="center"/>
    </xf>
    <xf numFmtId="181" fontId="6" fillId="11" borderId="35" xfId="0" applyNumberFormat="1" applyFont="1" applyFill="1" applyBorder="1"/>
    <xf numFmtId="0" fontId="87" fillId="11" borderId="34" xfId="3" applyNumberFormat="1" applyFont="1" applyFill="1" applyBorder="1" applyAlignment="1" applyProtection="1">
      <alignment horizontal="center"/>
    </xf>
    <xf numFmtId="0" fontId="6" fillId="11" borderId="39" xfId="0" applyFont="1" applyFill="1" applyBorder="1"/>
    <xf numFmtId="0" fontId="26" fillId="11" borderId="39" xfId="0" applyFont="1" applyFill="1" applyBorder="1"/>
    <xf numFmtId="0" fontId="6" fillId="11" borderId="36" xfId="0" applyFont="1" applyFill="1" applyBorder="1"/>
    <xf numFmtId="0" fontId="13" fillId="11" borderId="37" xfId="0" applyFont="1" applyFill="1" applyBorder="1"/>
    <xf numFmtId="0" fontId="6" fillId="11" borderId="37" xfId="0" applyFont="1" applyFill="1" applyBorder="1"/>
    <xf numFmtId="0" fontId="6" fillId="11" borderId="38" xfId="0" applyFont="1" applyFill="1" applyBorder="1"/>
    <xf numFmtId="0" fontId="6" fillId="11" borderId="40" xfId="0" applyFont="1" applyFill="1" applyBorder="1"/>
    <xf numFmtId="0" fontId="6" fillId="11" borderId="40" xfId="0" applyFont="1" applyFill="1" applyBorder="1" applyAlignment="1">
      <alignment horizontal="center"/>
    </xf>
    <xf numFmtId="181" fontId="6" fillId="11" borderId="40" xfId="0" applyNumberFormat="1" applyFont="1" applyFill="1" applyBorder="1"/>
    <xf numFmtId="0" fontId="13" fillId="11" borderId="24" xfId="0" applyFont="1" applyFill="1" applyBorder="1"/>
    <xf numFmtId="181" fontId="6" fillId="11" borderId="39" xfId="0" applyNumberFormat="1" applyFont="1" applyFill="1" applyBorder="1"/>
    <xf numFmtId="0" fontId="6" fillId="11" borderId="7" xfId="0" applyFont="1" applyFill="1" applyBorder="1"/>
    <xf numFmtId="181" fontId="6" fillId="11" borderId="7" xfId="0" applyNumberFormat="1" applyFont="1" applyFill="1" applyBorder="1" applyAlignment="1">
      <alignment horizontal="center"/>
    </xf>
    <xf numFmtId="181" fontId="6" fillId="11" borderId="7" xfId="0" applyNumberFormat="1" applyFont="1" applyFill="1" applyBorder="1"/>
    <xf numFmtId="0" fontId="6" fillId="11" borderId="16" xfId="0" applyFont="1" applyFill="1" applyBorder="1"/>
    <xf numFmtId="0" fontId="85" fillId="11" borderId="27" xfId="1" applyFont="1" applyFill="1" applyBorder="1" applyAlignment="1" applyProtection="1">
      <alignment horizontal="right"/>
    </xf>
    <xf numFmtId="0" fontId="95" fillId="2" borderId="0" xfId="0" applyFont="1" applyFill="1" applyAlignment="1">
      <alignment horizontal="right"/>
    </xf>
    <xf numFmtId="1" fontId="11" fillId="0" borderId="1" xfId="0" applyNumberFormat="1" applyFont="1" applyBorder="1" applyAlignment="1" applyProtection="1">
      <alignment horizontal="center"/>
      <protection locked="0"/>
    </xf>
    <xf numFmtId="0" fontId="0" fillId="8" borderId="0" xfId="0" applyFill="1"/>
    <xf numFmtId="183" fontId="6" fillId="0" borderId="1" xfId="0" applyNumberFormat="1" applyFont="1" applyBorder="1" applyAlignment="1" applyProtection="1">
      <alignment horizontal="center"/>
      <protection locked="0"/>
    </xf>
    <xf numFmtId="0" fontId="6" fillId="9" borderId="0" xfId="0" applyFont="1" applyFill="1" applyAlignment="1">
      <alignment horizontal="center"/>
    </xf>
    <xf numFmtId="174" fontId="6" fillId="9" borderId="0" xfId="0" applyNumberFormat="1" applyFont="1" applyFill="1" applyAlignment="1">
      <alignment horizontal="center"/>
    </xf>
    <xf numFmtId="174" fontId="77" fillId="9" borderId="0" xfId="0" applyNumberFormat="1" applyFont="1" applyFill="1" applyAlignment="1">
      <alignment horizontal="center"/>
    </xf>
    <xf numFmtId="0" fontId="0" fillId="3" borderId="1" xfId="0" applyFill="1" applyBorder="1"/>
    <xf numFmtId="164" fontId="82" fillId="10" borderId="1" xfId="0" applyNumberFormat="1" applyFont="1" applyFill="1" applyBorder="1"/>
    <xf numFmtId="164" fontId="82" fillId="9" borderId="1" xfId="0" applyNumberFormat="1" applyFont="1" applyFill="1" applyBorder="1"/>
    <xf numFmtId="0" fontId="11" fillId="13" borderId="1" xfId="0" applyFont="1" applyFill="1" applyBorder="1" applyAlignment="1" applyProtection="1">
      <alignment horizontal="left"/>
      <protection locked="0"/>
    </xf>
    <xf numFmtId="0" fontId="11" fillId="13" borderId="1" xfId="0" applyFont="1" applyFill="1" applyBorder="1" applyAlignment="1" applyProtection="1">
      <alignment horizontal="center"/>
      <protection locked="0"/>
    </xf>
    <xf numFmtId="174" fontId="11" fillId="13" borderId="1" xfId="0" applyNumberFormat="1" applyFont="1" applyFill="1" applyBorder="1" applyAlignment="1" applyProtection="1">
      <alignment horizontal="center"/>
      <protection locked="0"/>
    </xf>
    <xf numFmtId="0" fontId="6" fillId="13" borderId="1" xfId="0" applyFont="1" applyFill="1" applyBorder="1" applyAlignment="1" applyProtection="1">
      <alignment horizontal="center"/>
      <protection locked="0"/>
    </xf>
    <xf numFmtId="169" fontId="11" fillId="13" borderId="1" xfId="3" applyNumberFormat="1" applyFont="1" applyFill="1" applyBorder="1" applyAlignment="1" applyProtection="1">
      <alignment horizontal="center"/>
      <protection locked="0"/>
    </xf>
    <xf numFmtId="0" fontId="6" fillId="13" borderId="1" xfId="0" applyFont="1" applyFill="1" applyBorder="1" applyAlignment="1" applyProtection="1">
      <alignment horizontal="left"/>
      <protection locked="0"/>
    </xf>
    <xf numFmtId="174" fontId="6" fillId="13" borderId="1" xfId="0" applyNumberFormat="1" applyFont="1" applyFill="1" applyBorder="1" applyAlignment="1" applyProtection="1">
      <alignment horizontal="center"/>
      <protection locked="0"/>
    </xf>
    <xf numFmtId="169" fontId="6" fillId="13" borderId="1" xfId="3" applyNumberFormat="1" applyFont="1" applyFill="1" applyBorder="1" applyAlignment="1" applyProtection="1">
      <alignment horizontal="center"/>
      <protection locked="0"/>
    </xf>
    <xf numFmtId="164" fontId="11" fillId="13" borderId="1" xfId="0" applyNumberFormat="1" applyFont="1" applyFill="1" applyBorder="1" applyAlignment="1" applyProtection="1">
      <alignment horizontal="center"/>
      <protection locked="0"/>
    </xf>
    <xf numFmtId="0" fontId="13" fillId="8" borderId="0" xfId="0" applyFont="1" applyFill="1"/>
    <xf numFmtId="164" fontId="6" fillId="13" borderId="1" xfId="0" applyNumberFormat="1" applyFont="1" applyFill="1" applyBorder="1" applyAlignment="1" applyProtection="1">
      <alignment horizontal="center"/>
      <protection locked="0"/>
    </xf>
    <xf numFmtId="0" fontId="0" fillId="3" borderId="0" xfId="0" applyFill="1"/>
    <xf numFmtId="9" fontId="6" fillId="3" borderId="1" xfId="2" applyFont="1" applyFill="1" applyBorder="1" applyAlignment="1" applyProtection="1">
      <alignment horizontal="center"/>
    </xf>
    <xf numFmtId="173" fontId="6" fillId="3" borderId="1" xfId="2" applyNumberFormat="1" applyFont="1" applyFill="1" applyBorder="1" applyAlignment="1" applyProtection="1">
      <alignment horizontal="center"/>
    </xf>
    <xf numFmtId="9" fontId="6" fillId="3" borderId="1" xfId="0" applyNumberFormat="1" applyFont="1" applyFill="1" applyBorder="1" applyAlignment="1">
      <alignment horizontal="center"/>
    </xf>
    <xf numFmtId="181" fontId="91" fillId="7" borderId="21" xfId="0" applyNumberFormat="1" applyFont="1" applyFill="1" applyBorder="1" applyAlignment="1">
      <alignment horizontal="center"/>
    </xf>
    <xf numFmtId="0" fontId="6" fillId="2" borderId="39" xfId="0" applyFont="1" applyFill="1" applyBorder="1"/>
    <xf numFmtId="0" fontId="11" fillId="11" borderId="0" xfId="0" applyFont="1" applyFill="1"/>
    <xf numFmtId="0" fontId="11" fillId="11" borderId="3" xfId="0" applyFont="1" applyFill="1" applyBorder="1"/>
    <xf numFmtId="0" fontId="11" fillId="2" borderId="39" xfId="0" applyFont="1" applyFill="1" applyBorder="1"/>
    <xf numFmtId="0" fontId="83" fillId="0" borderId="0" xfId="0" applyFont="1" applyAlignment="1">
      <alignment horizontal="left"/>
    </xf>
    <xf numFmtId="0" fontId="83" fillId="0" borderId="0" xfId="0" applyFont="1"/>
    <xf numFmtId="0" fontId="6" fillId="9" borderId="1" xfId="0" applyFont="1" applyFill="1" applyBorder="1" applyProtection="1">
      <protection locked="0"/>
    </xf>
    <xf numFmtId="2" fontId="16" fillId="2" borderId="0" xfId="0" applyNumberFormat="1" applyFont="1" applyFill="1" applyAlignment="1">
      <alignment horizontal="left"/>
    </xf>
    <xf numFmtId="0" fontId="28" fillId="2" borderId="39" xfId="0" applyFont="1" applyFill="1" applyBorder="1"/>
    <xf numFmtId="42" fontId="11" fillId="5" borderId="1" xfId="0" applyNumberFormat="1" applyFont="1" applyFill="1" applyBorder="1"/>
    <xf numFmtId="170" fontId="11" fillId="3" borderId="0" xfId="0" applyNumberFormat="1" applyFont="1" applyFill="1" applyAlignment="1">
      <alignment horizontal="left"/>
    </xf>
    <xf numFmtId="165" fontId="6" fillId="9" borderId="0" xfId="3" applyNumberFormat="1" applyFont="1" applyFill="1" applyBorder="1" applyProtection="1"/>
    <xf numFmtId="44" fontId="83" fillId="9" borderId="0" xfId="0" applyNumberFormat="1" applyFont="1" applyFill="1" applyAlignment="1">
      <alignment horizontal="center"/>
    </xf>
    <xf numFmtId="0" fontId="6" fillId="2" borderId="12" xfId="0" applyFont="1" applyFill="1" applyBorder="1" applyProtection="1">
      <protection locked="0"/>
    </xf>
    <xf numFmtId="2" fontId="29" fillId="3" borderId="0" xfId="0" applyNumberFormat="1" applyFont="1" applyFill="1" applyAlignment="1">
      <alignment horizontal="right" wrapText="1"/>
    </xf>
    <xf numFmtId="3" fontId="34" fillId="4" borderId="1" xfId="0" applyNumberFormat="1" applyFont="1" applyFill="1" applyBorder="1" applyAlignment="1">
      <alignment horizontal="center"/>
    </xf>
    <xf numFmtId="0" fontId="7" fillId="9" borderId="0" xfId="0" applyFont="1" applyFill="1" applyAlignment="1">
      <alignment horizontal="left"/>
    </xf>
    <xf numFmtId="183" fontId="6" fillId="7" borderId="22" xfId="0" applyNumberFormat="1" applyFont="1" applyFill="1" applyBorder="1" applyAlignment="1">
      <alignment horizontal="center"/>
    </xf>
    <xf numFmtId="0" fontId="11" fillId="11" borderId="2" xfId="0" applyFont="1" applyFill="1" applyBorder="1"/>
    <xf numFmtId="0" fontId="96" fillId="0" borderId="0" xfId="0" applyFont="1"/>
    <xf numFmtId="42" fontId="84" fillId="6" borderId="0" xfId="0" applyNumberFormat="1" applyFont="1" applyFill="1" applyAlignment="1">
      <alignment horizontal="center"/>
    </xf>
    <xf numFmtId="0" fontId="11" fillId="2" borderId="43" xfId="0" applyFont="1" applyFill="1" applyBorder="1"/>
    <xf numFmtId="0" fontId="0" fillId="9" borderId="0" xfId="0" applyFill="1"/>
    <xf numFmtId="0" fontId="11" fillId="9" borderId="1" xfId="0" applyFont="1" applyFill="1" applyBorder="1" applyAlignment="1">
      <alignment horizontal="center"/>
    </xf>
    <xf numFmtId="42" fontId="11" fillId="7" borderId="1" xfId="0" applyNumberFormat="1" applyFont="1" applyFill="1" applyBorder="1" applyAlignment="1">
      <alignment horizontal="center"/>
    </xf>
    <xf numFmtId="0" fontId="98" fillId="2" borderId="0" xfId="0" applyFont="1" applyFill="1"/>
    <xf numFmtId="42" fontId="82" fillId="10" borderId="1" xfId="0" applyNumberFormat="1" applyFont="1" applyFill="1" applyBorder="1" applyAlignment="1">
      <alignment horizontal="center"/>
    </xf>
    <xf numFmtId="0" fontId="6" fillId="11" borderId="43" xfId="0" applyFont="1" applyFill="1" applyBorder="1"/>
    <xf numFmtId="0" fontId="11" fillId="9" borderId="0" xfId="0" applyFont="1" applyFill="1"/>
    <xf numFmtId="0" fontId="101" fillId="2" borderId="0" xfId="0" applyFont="1" applyFill="1"/>
    <xf numFmtId="164" fontId="41" fillId="9" borderId="1" xfId="0" applyNumberFormat="1" applyFont="1" applyFill="1" applyBorder="1" applyAlignment="1">
      <alignment horizontal="center"/>
    </xf>
    <xf numFmtId="164" fontId="34" fillId="9" borderId="1" xfId="0" applyNumberFormat="1" applyFont="1" applyFill="1" applyBorder="1" applyAlignment="1">
      <alignment horizontal="center"/>
    </xf>
    <xf numFmtId="0" fontId="6" fillId="9" borderId="9" xfId="0" applyFont="1" applyFill="1" applyBorder="1" applyAlignment="1">
      <alignment horizontal="center"/>
    </xf>
    <xf numFmtId="0" fontId="105" fillId="3" borderId="1" xfId="0" applyFont="1" applyFill="1" applyBorder="1"/>
    <xf numFmtId="164" fontId="11" fillId="2" borderId="0" xfId="0" applyNumberFormat="1" applyFont="1" applyFill="1" applyAlignment="1">
      <alignment horizontal="center"/>
    </xf>
    <xf numFmtId="0" fontId="85" fillId="2" borderId="0" xfId="1" applyFont="1" applyFill="1" applyBorder="1" applyAlignment="1" applyProtection="1">
      <alignment horizontal="right"/>
    </xf>
    <xf numFmtId="0" fontId="103" fillId="9" borderId="11" xfId="0" applyFont="1" applyFill="1" applyBorder="1" applyAlignment="1">
      <alignment horizontal="center"/>
    </xf>
    <xf numFmtId="1" fontId="39" fillId="2" borderId="45" xfId="0" applyNumberFormat="1" applyFont="1" applyFill="1" applyBorder="1" applyAlignment="1">
      <alignment horizontal="center"/>
    </xf>
    <xf numFmtId="1" fontId="39" fillId="2" borderId="46" xfId="0" applyNumberFormat="1" applyFont="1" applyFill="1" applyBorder="1" applyAlignment="1">
      <alignment horizontal="center"/>
    </xf>
    <xf numFmtId="164" fontId="43" fillId="4" borderId="14" xfId="0" applyNumberFormat="1" applyFont="1" applyFill="1" applyBorder="1" applyAlignment="1">
      <alignment horizontal="center"/>
    </xf>
    <xf numFmtId="0" fontId="103" fillId="9" borderId="47" xfId="0" applyFont="1" applyFill="1" applyBorder="1" applyAlignment="1">
      <alignment horizontal="center"/>
    </xf>
    <xf numFmtId="0" fontId="12" fillId="3" borderId="48" xfId="0" applyFont="1" applyFill="1" applyBorder="1"/>
    <xf numFmtId="0" fontId="11" fillId="3" borderId="48" xfId="0" applyFont="1" applyFill="1" applyBorder="1"/>
    <xf numFmtId="0" fontId="11" fillId="3" borderId="48" xfId="0" applyFont="1" applyFill="1" applyBorder="1" applyAlignment="1">
      <alignment horizontal="center"/>
    </xf>
    <xf numFmtId="0" fontId="102" fillId="3" borderId="49" xfId="0" applyFont="1" applyFill="1" applyBorder="1" applyAlignment="1">
      <alignment horizontal="right"/>
    </xf>
    <xf numFmtId="0" fontId="6" fillId="3" borderId="49" xfId="0" applyFont="1" applyFill="1" applyBorder="1"/>
    <xf numFmtId="0" fontId="6" fillId="3" borderId="49" xfId="0" applyFont="1" applyFill="1" applyBorder="1" applyAlignment="1">
      <alignment horizontal="center"/>
    </xf>
    <xf numFmtId="0" fontId="6" fillId="3" borderId="50" xfId="0" applyFont="1" applyFill="1" applyBorder="1" applyAlignment="1">
      <alignment horizontal="center"/>
    </xf>
    <xf numFmtId="164" fontId="43" fillId="9" borderId="14" xfId="0" applyNumberFormat="1" applyFont="1" applyFill="1" applyBorder="1" applyAlignment="1">
      <alignment horizontal="center"/>
    </xf>
    <xf numFmtId="164" fontId="11" fillId="9" borderId="1" xfId="0" applyNumberFormat="1" applyFont="1" applyFill="1" applyBorder="1" applyAlignment="1">
      <alignment horizontal="center"/>
    </xf>
    <xf numFmtId="0" fontId="6" fillId="2" borderId="43" xfId="0" applyFont="1" applyFill="1" applyBorder="1"/>
    <xf numFmtId="0" fontId="11" fillId="9" borderId="0" xfId="0" applyFont="1" applyFill="1" applyAlignment="1">
      <alignment horizontal="center"/>
    </xf>
    <xf numFmtId="164" fontId="11" fillId="9" borderId="0" xfId="0" applyNumberFormat="1" applyFont="1" applyFill="1" applyAlignment="1">
      <alignment horizontal="center"/>
    </xf>
    <xf numFmtId="0" fontId="6" fillId="9" borderId="1" xfId="0" applyFont="1" applyFill="1" applyBorder="1" applyAlignment="1" applyProtection="1">
      <alignment horizontal="center"/>
      <protection locked="0"/>
    </xf>
    <xf numFmtId="0" fontId="83" fillId="0" borderId="0" xfId="0" applyFont="1" applyProtection="1">
      <protection locked="0"/>
    </xf>
    <xf numFmtId="0" fontId="13" fillId="9" borderId="0" xfId="0" applyFont="1" applyFill="1" applyAlignment="1">
      <alignment horizontal="left"/>
    </xf>
    <xf numFmtId="0" fontId="13" fillId="9" borderId="0" xfId="0" applyFont="1" applyFill="1"/>
    <xf numFmtId="0" fontId="13" fillId="9" borderId="0" xfId="0" applyFont="1" applyFill="1" applyAlignment="1">
      <alignment horizontal="center"/>
    </xf>
    <xf numFmtId="0" fontId="6" fillId="9" borderId="0" xfId="0" applyFont="1" applyFill="1" applyAlignment="1">
      <alignment horizontal="left"/>
    </xf>
    <xf numFmtId="164" fontId="6" fillId="9" borderId="0" xfId="0" applyNumberFormat="1" applyFont="1" applyFill="1" applyAlignment="1">
      <alignment horizontal="center"/>
    </xf>
    <xf numFmtId="0" fontId="53" fillId="2" borderId="6" xfId="0" applyFont="1" applyFill="1" applyBorder="1" applyAlignment="1">
      <alignment horizontal="center"/>
    </xf>
    <xf numFmtId="0" fontId="6" fillId="2" borderId="24" xfId="0" applyFont="1" applyFill="1" applyBorder="1"/>
    <xf numFmtId="0" fontId="6" fillId="2" borderId="24" xfId="0" applyFont="1" applyFill="1" applyBorder="1" applyAlignment="1">
      <alignment horizontal="center"/>
    </xf>
    <xf numFmtId="0" fontId="14" fillId="2" borderId="43" xfId="0" applyFont="1" applyFill="1" applyBorder="1"/>
    <xf numFmtId="0" fontId="7" fillId="2" borderId="43" xfId="0" applyFont="1" applyFill="1" applyBorder="1"/>
    <xf numFmtId="0" fontId="15" fillId="2" borderId="43" xfId="0" applyFont="1" applyFill="1" applyBorder="1"/>
    <xf numFmtId="0" fontId="13" fillId="2" borderId="43" xfId="0" applyFont="1" applyFill="1" applyBorder="1" applyAlignment="1">
      <alignment horizontal="center"/>
    </xf>
    <xf numFmtId="0" fontId="6" fillId="2" borderId="43" xfId="0" applyFont="1" applyFill="1" applyBorder="1" applyAlignment="1">
      <alignment horizontal="center"/>
    </xf>
    <xf numFmtId="0" fontId="6" fillId="9" borderId="1" xfId="0" applyFont="1" applyFill="1" applyBorder="1" applyAlignment="1">
      <alignment horizontal="left"/>
    </xf>
    <xf numFmtId="0" fontId="6" fillId="3" borderId="13" xfId="0" applyFont="1" applyFill="1" applyBorder="1" applyAlignment="1">
      <alignment horizontal="center"/>
    </xf>
    <xf numFmtId="0" fontId="6" fillId="2" borderId="14" xfId="0" applyFont="1" applyFill="1" applyBorder="1" applyAlignment="1" applyProtection="1">
      <alignment horizontal="left"/>
      <protection locked="0"/>
    </xf>
    <xf numFmtId="0" fontId="6" fillId="2" borderId="15" xfId="0" applyFont="1" applyFill="1" applyBorder="1" applyProtection="1">
      <protection locked="0"/>
    </xf>
    <xf numFmtId="0" fontId="83" fillId="0" borderId="1" xfId="0" applyFont="1" applyBorder="1" applyProtection="1">
      <protection locked="0"/>
    </xf>
    <xf numFmtId="0" fontId="6" fillId="2" borderId="27" xfId="0" applyFont="1" applyFill="1" applyBorder="1" applyAlignment="1">
      <alignment horizontal="left"/>
    </xf>
    <xf numFmtId="0" fontId="52" fillId="2" borderId="6" xfId="0" applyFont="1" applyFill="1" applyBorder="1" applyAlignment="1">
      <alignment horizontal="center"/>
    </xf>
    <xf numFmtId="0" fontId="6" fillId="11" borderId="24" xfId="0" applyFont="1" applyFill="1" applyBorder="1" applyAlignment="1">
      <alignment horizontal="left"/>
    </xf>
    <xf numFmtId="0" fontId="6" fillId="11" borderId="24" xfId="0" applyFont="1" applyFill="1" applyBorder="1" applyAlignment="1">
      <alignment horizontal="center"/>
    </xf>
    <xf numFmtId="0" fontId="6" fillId="11" borderId="26" xfId="0" applyFont="1" applyFill="1" applyBorder="1"/>
    <xf numFmtId="0" fontId="6" fillId="11" borderId="27" xfId="0" applyFont="1" applyFill="1" applyBorder="1" applyAlignment="1">
      <alignment horizontal="left"/>
    </xf>
    <xf numFmtId="0" fontId="6" fillId="11" borderId="27" xfId="0" applyFont="1" applyFill="1" applyBorder="1" applyAlignment="1">
      <alignment horizontal="center"/>
    </xf>
    <xf numFmtId="42" fontId="6" fillId="7" borderId="22" xfId="0" applyNumberFormat="1" applyFont="1" applyFill="1" applyBorder="1"/>
    <xf numFmtId="0" fontId="6" fillId="11" borderId="6" xfId="0" applyFont="1" applyFill="1" applyBorder="1" applyAlignment="1">
      <alignment horizontal="center"/>
    </xf>
    <xf numFmtId="42" fontId="6" fillId="7" borderId="53" xfId="0" applyNumberFormat="1" applyFont="1" applyFill="1" applyBorder="1"/>
    <xf numFmtId="0" fontId="39" fillId="8" borderId="54" xfId="0" applyFont="1" applyFill="1" applyBorder="1" applyAlignment="1">
      <alignment horizontal="center"/>
    </xf>
    <xf numFmtId="0" fontId="53" fillId="2" borderId="55" xfId="0" applyFont="1" applyFill="1" applyBorder="1" applyAlignment="1">
      <alignment horizontal="center"/>
    </xf>
    <xf numFmtId="0" fontId="39" fillId="8" borderId="51" xfId="0" applyFont="1" applyFill="1" applyBorder="1" applyAlignment="1">
      <alignment horizontal="center"/>
    </xf>
    <xf numFmtId="0" fontId="51" fillId="2" borderId="6" xfId="0" applyFont="1" applyFill="1" applyBorder="1"/>
    <xf numFmtId="0" fontId="52" fillId="2" borderId="6" xfId="0" applyFont="1" applyFill="1" applyBorder="1"/>
    <xf numFmtId="164" fontId="41" fillId="10" borderId="0" xfId="0" applyNumberFormat="1" applyFont="1" applyFill="1"/>
    <xf numFmtId="184" fontId="84" fillId="6" borderId="21" xfId="0" applyNumberFormat="1" applyFont="1" applyFill="1" applyBorder="1" applyAlignment="1">
      <alignment horizontal="right"/>
    </xf>
    <xf numFmtId="184" fontId="6" fillId="2" borderId="1" xfId="0" applyNumberFormat="1" applyFont="1" applyFill="1" applyBorder="1" applyAlignment="1" applyProtection="1">
      <alignment horizontal="right"/>
      <protection locked="0"/>
    </xf>
    <xf numFmtId="184" fontId="6" fillId="0" borderId="1" xfId="0" applyNumberFormat="1" applyFont="1" applyBorder="1" applyAlignment="1" applyProtection="1">
      <alignment horizontal="right"/>
      <protection locked="0"/>
    </xf>
    <xf numFmtId="184" fontId="6" fillId="0" borderId="14" xfId="0" applyNumberFormat="1" applyFont="1" applyBorder="1" applyAlignment="1" applyProtection="1">
      <alignment horizontal="right"/>
      <protection locked="0"/>
    </xf>
    <xf numFmtId="184" fontId="41" fillId="10" borderId="0" xfId="0" applyNumberFormat="1" applyFont="1" applyFill="1" applyAlignment="1">
      <alignment horizontal="right"/>
    </xf>
    <xf numFmtId="0" fontId="74" fillId="3" borderId="1" xfId="0" applyFont="1" applyFill="1" applyBorder="1"/>
    <xf numFmtId="0" fontId="11" fillId="11" borderId="1" xfId="0" applyFont="1" applyFill="1" applyBorder="1" applyAlignment="1" applyProtection="1">
      <alignment horizontal="center"/>
      <protection locked="0"/>
    </xf>
    <xf numFmtId="42" fontId="83" fillId="7" borderId="1" xfId="0" applyNumberFormat="1" applyFont="1" applyFill="1" applyBorder="1"/>
    <xf numFmtId="0" fontId="99" fillId="9" borderId="0" xfId="0" applyFont="1" applyFill="1" applyAlignment="1">
      <alignment horizontal="center"/>
    </xf>
    <xf numFmtId="1" fontId="99" fillId="11" borderId="0" xfId="0" applyNumberFormat="1" applyFont="1" applyFill="1" applyAlignment="1">
      <alignment horizontal="center"/>
    </xf>
    <xf numFmtId="1" fontId="97" fillId="0" borderId="34" xfId="0" applyNumberFormat="1" applyFont="1" applyBorder="1"/>
    <xf numFmtId="0" fontId="86" fillId="9" borderId="0" xfId="0" applyFont="1" applyFill="1" applyAlignment="1">
      <alignment horizontal="left"/>
    </xf>
    <xf numFmtId="0" fontId="7" fillId="9" borderId="42" xfId="0" applyFont="1" applyFill="1" applyBorder="1" applyAlignment="1">
      <alignment horizontal="left"/>
    </xf>
    <xf numFmtId="0" fontId="6" fillId="9" borderId="52" xfId="0" applyFont="1" applyFill="1" applyBorder="1"/>
    <xf numFmtId="0" fontId="6" fillId="9" borderId="52" xfId="0" applyFont="1" applyFill="1" applyBorder="1" applyAlignment="1">
      <alignment horizontal="center"/>
    </xf>
    <xf numFmtId="0" fontId="6" fillId="9" borderId="42" xfId="0" applyFont="1" applyFill="1" applyBorder="1" applyAlignment="1">
      <alignment horizontal="left"/>
    </xf>
    <xf numFmtId="1" fontId="87" fillId="9" borderId="53" xfId="0" applyNumberFormat="1" applyFont="1" applyFill="1" applyBorder="1"/>
    <xf numFmtId="1" fontId="87" fillId="11" borderId="34" xfId="0" applyNumberFormat="1" applyFont="1" applyFill="1" applyBorder="1"/>
    <xf numFmtId="164" fontId="6" fillId="11" borderId="6" xfId="0" applyNumberFormat="1" applyFont="1" applyFill="1" applyBorder="1" applyAlignment="1">
      <alignment horizontal="center"/>
    </xf>
    <xf numFmtId="164" fontId="41" fillId="11" borderId="6" xfId="0" applyNumberFormat="1" applyFont="1" applyFill="1" applyBorder="1"/>
    <xf numFmtId="42" fontId="84" fillId="11" borderId="6" xfId="0" applyNumberFormat="1" applyFont="1" applyFill="1" applyBorder="1" applyAlignment="1">
      <alignment horizontal="center"/>
    </xf>
    <xf numFmtId="0" fontId="7" fillId="9" borderId="0" xfId="0" applyFont="1" applyFill="1" applyAlignment="1">
      <alignment horizontal="center"/>
    </xf>
    <xf numFmtId="0" fontId="96" fillId="0" borderId="0" xfId="0" applyFont="1" applyAlignment="1">
      <alignment horizontal="left"/>
    </xf>
    <xf numFmtId="0" fontId="6" fillId="11" borderId="39" xfId="0" applyFont="1" applyFill="1" applyBorder="1" applyAlignment="1">
      <alignment horizontal="center"/>
    </xf>
    <xf numFmtId="0" fontId="82" fillId="9" borderId="0" xfId="0" applyFont="1" applyFill="1" applyAlignment="1">
      <alignment horizontal="center"/>
    </xf>
    <xf numFmtId="0" fontId="15" fillId="9" borderId="0" xfId="0" applyFont="1" applyFill="1" applyAlignment="1">
      <alignment horizontal="center"/>
    </xf>
    <xf numFmtId="42" fontId="83" fillId="7" borderId="0" xfId="0" applyNumberFormat="1" applyFont="1" applyFill="1"/>
    <xf numFmtId="164" fontId="90" fillId="10" borderId="9" xfId="0" applyNumberFormat="1" applyFont="1" applyFill="1" applyBorder="1" applyAlignment="1">
      <alignment horizontal="center"/>
    </xf>
    <xf numFmtId="164" fontId="34" fillId="9" borderId="9" xfId="0" applyNumberFormat="1" applyFont="1" applyFill="1" applyBorder="1" applyAlignment="1">
      <alignment horizontal="center"/>
    </xf>
    <xf numFmtId="42" fontId="104" fillId="10" borderId="1" xfId="0" applyNumberFormat="1" applyFont="1" applyFill="1" applyBorder="1"/>
    <xf numFmtId="0" fontId="6" fillId="3" borderId="20" xfId="0" applyFont="1" applyFill="1" applyBorder="1" applyAlignment="1">
      <alignment horizontal="center"/>
    </xf>
    <xf numFmtId="0" fontId="7" fillId="3" borderId="20" xfId="0" applyFont="1" applyFill="1" applyBorder="1"/>
    <xf numFmtId="0" fontId="6" fillId="3" borderId="20" xfId="0" applyFont="1" applyFill="1" applyBorder="1"/>
    <xf numFmtId="42" fontId="108" fillId="14" borderId="22" xfId="0" applyNumberFormat="1" applyFont="1" applyFill="1" applyBorder="1"/>
    <xf numFmtId="42" fontId="82" fillId="14" borderId="22" xfId="0" applyNumberFormat="1" applyFont="1" applyFill="1" applyBorder="1"/>
    <xf numFmtId="44" fontId="82" fillId="14" borderId="22" xfId="0" applyNumberFormat="1" applyFont="1" applyFill="1" applyBorder="1"/>
    <xf numFmtId="0" fontId="106" fillId="3" borderId="1" xfId="0" applyFont="1" applyFill="1" applyBorder="1" applyAlignment="1">
      <alignment horizontal="left"/>
    </xf>
    <xf numFmtId="0" fontId="83" fillId="0" borderId="0" xfId="0" applyFont="1" applyAlignment="1">
      <alignment horizontal="center"/>
    </xf>
    <xf numFmtId="0" fontId="6" fillId="2" borderId="56" xfId="0" applyFont="1" applyFill="1" applyBorder="1" applyProtection="1">
      <protection locked="0"/>
    </xf>
    <xf numFmtId="0" fontId="11" fillId="0" borderId="57" xfId="0" applyFont="1" applyBorder="1" applyProtection="1">
      <protection locked="0"/>
    </xf>
    <xf numFmtId="0" fontId="10" fillId="3" borderId="1" xfId="0" applyFont="1" applyFill="1" applyBorder="1"/>
    <xf numFmtId="164" fontId="43" fillId="9" borderId="1" xfId="0" applyNumberFormat="1" applyFont="1" applyFill="1" applyBorder="1" applyAlignment="1">
      <alignment horizontal="center"/>
    </xf>
    <xf numFmtId="0" fontId="11" fillId="9" borderId="1" xfId="0" applyFont="1" applyFill="1" applyBorder="1"/>
    <xf numFmtId="166" fontId="6" fillId="9" borderId="1" xfId="0" applyNumberFormat="1" applyFont="1" applyFill="1" applyBorder="1"/>
    <xf numFmtId="164" fontId="60" fillId="9" borderId="1" xfId="0" applyNumberFormat="1" applyFont="1" applyFill="1" applyBorder="1" applyAlignment="1">
      <alignment horizontal="center"/>
    </xf>
    <xf numFmtId="0" fontId="58" fillId="3" borderId="12" xfId="0" applyFont="1" applyFill="1" applyBorder="1" applyAlignment="1">
      <alignment horizontal="left"/>
    </xf>
    <xf numFmtId="0" fontId="58" fillId="3" borderId="29" xfId="0" applyFont="1" applyFill="1" applyBorder="1" applyAlignment="1">
      <alignment horizontal="left"/>
    </xf>
    <xf numFmtId="0" fontId="58" fillId="3" borderId="1" xfId="0" applyFont="1" applyFill="1" applyBorder="1" applyAlignment="1">
      <alignment horizontal="left"/>
    </xf>
    <xf numFmtId="0" fontId="67" fillId="3" borderId="1" xfId="0" applyFont="1" applyFill="1" applyBorder="1" applyAlignment="1">
      <alignment horizontal="left"/>
    </xf>
    <xf numFmtId="169" fontId="11" fillId="9" borderId="0" xfId="0" applyNumberFormat="1" applyFont="1" applyFill="1"/>
    <xf numFmtId="169" fontId="68" fillId="9" borderId="1" xfId="0" applyNumberFormat="1" applyFont="1" applyFill="1" applyBorder="1" applyAlignment="1">
      <alignment horizontal="center"/>
    </xf>
    <xf numFmtId="169" fontId="11" fillId="9" borderId="0" xfId="0" applyNumberFormat="1" applyFont="1" applyFill="1" applyAlignment="1">
      <alignment horizontal="center"/>
    </xf>
    <xf numFmtId="0" fontId="67" fillId="9" borderId="1" xfId="0" applyFont="1" applyFill="1" applyBorder="1" applyAlignment="1">
      <alignment horizontal="left"/>
    </xf>
    <xf numFmtId="1" fontId="56" fillId="9" borderId="1" xfId="0" applyNumberFormat="1" applyFont="1" applyFill="1" applyBorder="1" applyAlignment="1">
      <alignment horizontal="center"/>
    </xf>
    <xf numFmtId="1" fontId="15" fillId="9" borderId="1" xfId="0" applyNumberFormat="1" applyFont="1" applyFill="1" applyBorder="1" applyAlignment="1">
      <alignment horizontal="center"/>
    </xf>
    <xf numFmtId="169" fontId="11" fillId="9" borderId="1" xfId="0" applyNumberFormat="1" applyFont="1" applyFill="1" applyBorder="1" applyAlignment="1" applyProtection="1">
      <alignment horizontal="center"/>
      <protection locked="0"/>
    </xf>
    <xf numFmtId="169" fontId="6" fillId="9" borderId="1" xfId="0" applyNumberFormat="1" applyFont="1" applyFill="1" applyBorder="1" applyAlignment="1" applyProtection="1">
      <alignment horizontal="center"/>
      <protection locked="0"/>
    </xf>
    <xf numFmtId="0" fontId="12" fillId="9" borderId="0" xfId="0" applyFont="1" applyFill="1" applyAlignment="1">
      <alignment horizontal="center"/>
    </xf>
    <xf numFmtId="0" fontId="58" fillId="9" borderId="29" xfId="0" applyFont="1" applyFill="1" applyBorder="1" applyAlignment="1">
      <alignment horizontal="left"/>
    </xf>
    <xf numFmtId="0" fontId="11" fillId="11" borderId="3" xfId="0" applyFont="1" applyFill="1" applyBorder="1" applyAlignment="1">
      <alignment horizontal="center"/>
    </xf>
    <xf numFmtId="0" fontId="11" fillId="11" borderId="0" xfId="0" applyFont="1" applyFill="1" applyAlignment="1">
      <alignment horizontal="center"/>
    </xf>
    <xf numFmtId="0" fontId="66" fillId="11" borderId="0" xfId="0" applyFont="1" applyFill="1" applyAlignment="1">
      <alignment horizontal="center"/>
    </xf>
    <xf numFmtId="0" fontId="28" fillId="11" borderId="0" xfId="0" applyFont="1" applyFill="1" applyAlignment="1">
      <alignment horizontal="center"/>
    </xf>
    <xf numFmtId="1" fontId="68" fillId="4" borderId="1" xfId="0" applyNumberFormat="1" applyFont="1" applyFill="1" applyBorder="1" applyAlignment="1">
      <alignment horizontal="center"/>
    </xf>
    <xf numFmtId="1" fontId="11" fillId="2" borderId="1" xfId="2" applyNumberFormat="1" applyFont="1" applyFill="1" applyBorder="1" applyAlignment="1" applyProtection="1">
      <alignment horizontal="center"/>
      <protection locked="0"/>
    </xf>
    <xf numFmtId="172" fontId="11" fillId="5" borderId="1" xfId="3" applyNumberFormat="1" applyFont="1" applyFill="1" applyBorder="1" applyProtection="1"/>
    <xf numFmtId="164" fontId="11" fillId="9" borderId="0" xfId="0" applyNumberFormat="1" applyFont="1" applyFill="1"/>
    <xf numFmtId="1" fontId="11" fillId="9" borderId="0" xfId="0" applyNumberFormat="1" applyFont="1" applyFill="1"/>
    <xf numFmtId="44" fontId="11" fillId="3" borderId="0" xfId="0" applyNumberFormat="1" applyFont="1" applyFill="1"/>
    <xf numFmtId="42" fontId="11" fillId="3" borderId="0" xfId="0" applyNumberFormat="1" applyFont="1" applyFill="1"/>
    <xf numFmtId="172" fontId="11" fillId="3" borderId="0" xfId="0" applyNumberFormat="1" applyFont="1" applyFill="1"/>
    <xf numFmtId="9" fontId="11" fillId="3" borderId="0" xfId="0" applyNumberFormat="1" applyFont="1" applyFill="1"/>
    <xf numFmtId="42" fontId="11" fillId="3" borderId="0" xfId="0" applyNumberFormat="1" applyFont="1" applyFill="1" applyAlignment="1">
      <alignment horizontal="center"/>
    </xf>
    <xf numFmtId="42" fontId="68" fillId="4" borderId="1" xfId="0" applyNumberFormat="1" applyFont="1" applyFill="1" applyBorder="1" applyAlignment="1">
      <alignment horizontal="center"/>
    </xf>
    <xf numFmtId="42" fontId="34" fillId="4" borderId="1" xfId="0" applyNumberFormat="1" applyFont="1" applyFill="1" applyBorder="1" applyAlignment="1">
      <alignment horizontal="center"/>
    </xf>
    <xf numFmtId="42" fontId="11" fillId="5" borderId="1" xfId="0" applyNumberFormat="1" applyFont="1" applyFill="1" applyBorder="1" applyAlignment="1">
      <alignment horizontal="center"/>
    </xf>
    <xf numFmtId="0" fontId="111" fillId="9" borderId="0" xfId="0" applyFont="1" applyFill="1" applyAlignment="1">
      <alignment horizontal="left"/>
    </xf>
    <xf numFmtId="0" fontId="112" fillId="9" borderId="0" xfId="0" applyFont="1" applyFill="1" applyAlignment="1">
      <alignment horizontal="left"/>
    </xf>
    <xf numFmtId="0" fontId="112" fillId="9" borderId="0" xfId="0" applyFont="1" applyFill="1" applyAlignment="1">
      <alignment horizontal="center"/>
    </xf>
    <xf numFmtId="1" fontId="111" fillId="9" borderId="0" xfId="0" applyNumberFormat="1" applyFont="1" applyFill="1" applyAlignment="1">
      <alignment horizontal="center"/>
    </xf>
    <xf numFmtId="0" fontId="111" fillId="9" borderId="0" xfId="0" applyFont="1" applyFill="1" applyAlignment="1">
      <alignment horizontal="center"/>
    </xf>
    <xf numFmtId="0" fontId="94" fillId="9" borderId="30" xfId="0" applyFont="1" applyFill="1" applyBorder="1" applyAlignment="1">
      <alignment horizontal="center"/>
    </xf>
    <xf numFmtId="0" fontId="83" fillId="11" borderId="58" xfId="0" applyFont="1" applyFill="1" applyBorder="1" applyAlignment="1">
      <alignment horizontal="center"/>
    </xf>
    <xf numFmtId="164" fontId="94" fillId="9" borderId="0" xfId="0" applyNumberFormat="1" applyFont="1" applyFill="1" applyAlignment="1">
      <alignment horizontal="center"/>
    </xf>
    <xf numFmtId="0" fontId="83" fillId="9" borderId="0" xfId="0" applyFont="1" applyFill="1" applyAlignment="1">
      <alignment horizontal="center"/>
    </xf>
    <xf numFmtId="2" fontId="94" fillId="9" borderId="0" xfId="0" applyNumberFormat="1" applyFont="1" applyFill="1" applyAlignment="1">
      <alignment horizontal="center"/>
    </xf>
    <xf numFmtId="0" fontId="94" fillId="9" borderId="0" xfId="0" applyFont="1" applyFill="1" applyAlignment="1">
      <alignment horizontal="center"/>
    </xf>
    <xf numFmtId="170" fontId="83" fillId="9" borderId="0" xfId="0" applyNumberFormat="1" applyFont="1" applyFill="1" applyAlignment="1">
      <alignment horizontal="center"/>
    </xf>
    <xf numFmtId="169" fontId="83" fillId="9" borderId="0" xfId="0" applyNumberFormat="1" applyFont="1" applyFill="1" applyAlignment="1">
      <alignment horizontal="center"/>
    </xf>
    <xf numFmtId="1" fontId="83" fillId="9" borderId="0" xfId="0" applyNumberFormat="1" applyFont="1" applyFill="1" applyAlignment="1">
      <alignment horizontal="center"/>
    </xf>
    <xf numFmtId="0" fontId="83" fillId="9" borderId="0" xfId="0" applyFont="1" applyFill="1"/>
    <xf numFmtId="170" fontId="114" fillId="9" borderId="0" xfId="0" applyNumberFormat="1" applyFont="1" applyFill="1" applyAlignment="1">
      <alignment horizontal="center"/>
    </xf>
    <xf numFmtId="169" fontId="114" fillId="9" borderId="0" xfId="0" applyNumberFormat="1" applyFont="1" applyFill="1" applyAlignment="1">
      <alignment horizontal="center"/>
    </xf>
    <xf numFmtId="1" fontId="114" fillId="9" borderId="0" xfId="0" applyNumberFormat="1" applyFont="1" applyFill="1" applyAlignment="1">
      <alignment horizontal="center"/>
    </xf>
    <xf numFmtId="169" fontId="97" fillId="9" borderId="0" xfId="0" applyNumberFormat="1" applyFont="1" applyFill="1" applyAlignment="1">
      <alignment horizontal="center"/>
    </xf>
    <xf numFmtId="170" fontId="115" fillId="9" borderId="30" xfId="0" applyNumberFormat="1" applyFont="1" applyFill="1" applyBorder="1" applyAlignment="1">
      <alignment horizontal="center"/>
    </xf>
    <xf numFmtId="170" fontId="115" fillId="11" borderId="58" xfId="0" applyNumberFormat="1" applyFont="1" applyFill="1" applyBorder="1" applyAlignment="1">
      <alignment horizontal="center"/>
    </xf>
    <xf numFmtId="164" fontId="115" fillId="9" borderId="0" xfId="0" applyNumberFormat="1" applyFont="1" applyFill="1" applyAlignment="1">
      <alignment horizontal="center"/>
    </xf>
    <xf numFmtId="0" fontId="83" fillId="9" borderId="0" xfId="0" applyFont="1" applyFill="1" applyAlignment="1">
      <alignment horizontal="left"/>
    </xf>
    <xf numFmtId="2" fontId="115" fillId="9" borderId="0" xfId="0" applyNumberFormat="1" applyFont="1" applyFill="1" applyAlignment="1">
      <alignment horizontal="center"/>
    </xf>
    <xf numFmtId="170" fontId="114" fillId="9" borderId="0" xfId="0" applyNumberFormat="1" applyFont="1" applyFill="1" applyAlignment="1">
      <alignment horizontal="left"/>
    </xf>
    <xf numFmtId="173" fontId="114" fillId="9" borderId="0" xfId="0" applyNumberFormat="1" applyFont="1" applyFill="1" applyAlignment="1">
      <alignment horizontal="center"/>
    </xf>
    <xf numFmtId="1" fontId="113" fillId="9" borderId="0" xfId="0" applyNumberFormat="1" applyFont="1" applyFill="1" applyAlignment="1">
      <alignment horizontal="center"/>
    </xf>
    <xf numFmtId="169" fontId="113" fillId="9" borderId="0" xfId="0" applyNumberFormat="1" applyFont="1" applyFill="1" applyAlignment="1">
      <alignment horizontal="center"/>
    </xf>
    <xf numFmtId="0" fontId="113" fillId="9" borderId="0" xfId="0" applyFont="1" applyFill="1" applyAlignment="1">
      <alignment horizontal="center"/>
    </xf>
    <xf numFmtId="9" fontId="113" fillId="9" borderId="0" xfId="0" applyNumberFormat="1" applyFont="1" applyFill="1" applyAlignment="1">
      <alignment horizontal="center"/>
    </xf>
    <xf numFmtId="0" fontId="83" fillId="9" borderId="41" xfId="0" applyFont="1" applyFill="1" applyBorder="1" applyAlignment="1">
      <alignment horizontal="center"/>
    </xf>
    <xf numFmtId="170" fontId="115" fillId="9" borderId="41" xfId="0" applyNumberFormat="1" applyFont="1" applyFill="1" applyBorder="1" applyAlignment="1">
      <alignment horizontal="center"/>
    </xf>
    <xf numFmtId="0" fontId="12" fillId="9" borderId="0" xfId="0" applyFont="1" applyFill="1"/>
    <xf numFmtId="0" fontId="6" fillId="0" borderId="1" xfId="0" applyFont="1" applyBorder="1" applyAlignment="1" applyProtection="1">
      <alignment horizontal="left"/>
      <protection locked="0"/>
    </xf>
    <xf numFmtId="0" fontId="1" fillId="11" borderId="1" xfId="0" applyFont="1" applyFill="1" applyBorder="1" applyAlignment="1" applyProtection="1">
      <alignment horizontal="center"/>
      <protection locked="0"/>
    </xf>
    <xf numFmtId="169" fontId="1" fillId="11" borderId="1" xfId="0" applyNumberFormat="1" applyFont="1" applyFill="1" applyBorder="1" applyAlignment="1" applyProtection="1">
      <alignment horizontal="center"/>
      <protection locked="0"/>
    </xf>
    <xf numFmtId="170" fontId="6" fillId="3" borderId="0" xfId="0" applyNumberFormat="1" applyFont="1" applyFill="1" applyAlignment="1">
      <alignment horizontal="left"/>
    </xf>
    <xf numFmtId="0" fontId="116" fillId="0" borderId="0" xfId="0" applyFont="1" applyAlignment="1">
      <alignment horizontal="left"/>
    </xf>
    <xf numFmtId="176" fontId="116" fillId="0" borderId="0" xfId="0" applyNumberFormat="1" applyFont="1" applyAlignment="1">
      <alignment horizontal="left"/>
    </xf>
    <xf numFmtId="176" fontId="83" fillId="0" borderId="0" xfId="0" applyNumberFormat="1" applyFont="1" applyAlignment="1">
      <alignment horizontal="left"/>
    </xf>
    <xf numFmtId="1" fontId="83" fillId="0" borderId="0" xfId="0" applyNumberFormat="1" applyFont="1" applyAlignment="1">
      <alignment horizontal="left"/>
    </xf>
    <xf numFmtId="1" fontId="116" fillId="0" borderId="0" xfId="0" applyNumberFormat="1" applyFont="1" applyAlignment="1">
      <alignment horizontal="left"/>
    </xf>
    <xf numFmtId="0" fontId="100" fillId="0" borderId="0" xfId="0" applyFont="1" applyAlignment="1">
      <alignment horizontal="left"/>
    </xf>
    <xf numFmtId="0" fontId="94" fillId="0" borderId="0" xfId="0" quotePrefix="1" applyFont="1" applyAlignment="1">
      <alignment horizontal="left"/>
    </xf>
    <xf numFmtId="0" fontId="110" fillId="0" borderId="0" xfId="0" applyFont="1" applyAlignment="1">
      <alignment horizontal="left"/>
    </xf>
    <xf numFmtId="0" fontId="83" fillId="0" borderId="0" xfId="0" applyFont="1" applyAlignment="1">
      <alignment horizontal="right"/>
    </xf>
    <xf numFmtId="0" fontId="15" fillId="2" borderId="24" xfId="0" applyFont="1" applyFill="1" applyBorder="1"/>
    <xf numFmtId="164" fontId="34" fillId="4" borderId="11" xfId="0" applyNumberFormat="1" applyFont="1" applyFill="1" applyBorder="1"/>
    <xf numFmtId="164" fontId="6" fillId="5" borderId="11" xfId="0" applyNumberFormat="1" applyFont="1" applyFill="1" applyBorder="1" applyAlignment="1">
      <alignment horizontal="center"/>
    </xf>
    <xf numFmtId="164" fontId="42" fillId="4" borderId="11" xfId="0" applyNumberFormat="1" applyFont="1" applyFill="1" applyBorder="1" applyAlignment="1">
      <alignment horizontal="center"/>
    </xf>
    <xf numFmtId="164" fontId="15" fillId="3" borderId="11" xfId="0" applyNumberFormat="1" applyFont="1" applyFill="1" applyBorder="1" applyAlignment="1">
      <alignment horizontal="center"/>
    </xf>
    <xf numFmtId="0" fontId="6" fillId="2" borderId="59" xfId="0" applyFont="1" applyFill="1" applyBorder="1"/>
    <xf numFmtId="0" fontId="37" fillId="2" borderId="6" xfId="0" applyFont="1" applyFill="1" applyBorder="1"/>
    <xf numFmtId="0" fontId="80" fillId="2" borderId="6" xfId="0" applyFont="1" applyFill="1" applyBorder="1" applyAlignment="1">
      <alignment horizontal="center"/>
    </xf>
    <xf numFmtId="0" fontId="6" fillId="3" borderId="60" xfId="0" applyFont="1" applyFill="1" applyBorder="1" applyAlignment="1">
      <alignment horizontal="center"/>
    </xf>
    <xf numFmtId="0" fontId="6" fillId="3" borderId="60" xfId="0" applyFont="1" applyFill="1" applyBorder="1"/>
    <xf numFmtId="0" fontId="6" fillId="2" borderId="61" xfId="0" applyFont="1" applyFill="1" applyBorder="1"/>
    <xf numFmtId="0" fontId="7" fillId="3" borderId="11" xfId="0" applyFont="1" applyFill="1" applyBorder="1" applyAlignment="1">
      <alignment horizontal="left"/>
    </xf>
    <xf numFmtId="0" fontId="59" fillId="2" borderId="43" xfId="0" applyFont="1" applyFill="1" applyBorder="1"/>
    <xf numFmtId="0" fontId="25" fillId="2" borderId="43" xfId="0" applyFont="1" applyFill="1" applyBorder="1"/>
    <xf numFmtId="0" fontId="7" fillId="2" borderId="43" xfId="0" applyFont="1" applyFill="1" applyBorder="1" applyAlignment="1">
      <alignment horizontal="left"/>
    </xf>
    <xf numFmtId="0" fontId="6" fillId="2" borderId="62" xfId="0" applyFont="1" applyFill="1" applyBorder="1"/>
    <xf numFmtId="1" fontId="11" fillId="0" borderId="1" xfId="3" applyNumberFormat="1" applyFont="1" applyFill="1" applyBorder="1" applyAlignment="1" applyProtection="1">
      <alignment horizontal="center"/>
      <protection locked="0"/>
    </xf>
    <xf numFmtId="172" fontId="11" fillId="13" borderId="1" xfId="3" applyNumberFormat="1" applyFont="1" applyFill="1" applyBorder="1" applyAlignment="1" applyProtection="1">
      <protection locked="0"/>
    </xf>
    <xf numFmtId="0" fontId="118" fillId="0" borderId="0" xfId="0" applyFont="1" applyAlignment="1">
      <alignment horizontal="left"/>
    </xf>
    <xf numFmtId="165" fontId="118" fillId="0" borderId="0" xfId="0" applyNumberFormat="1" applyFont="1" applyAlignment="1">
      <alignment horizontal="left"/>
    </xf>
    <xf numFmtId="184" fontId="11" fillId="0" borderId="1" xfId="0" applyNumberFormat="1" applyFont="1" applyBorder="1" applyAlignment="1" applyProtection="1">
      <alignment horizontal="center"/>
      <protection locked="0"/>
    </xf>
    <xf numFmtId="184" fontId="82" fillId="6" borderId="1" xfId="0" applyNumberFormat="1" applyFont="1" applyFill="1" applyBorder="1" applyAlignment="1">
      <alignment horizontal="center"/>
    </xf>
    <xf numFmtId="164" fontId="6" fillId="11" borderId="1" xfId="0" applyNumberFormat="1" applyFont="1" applyFill="1" applyBorder="1" applyProtection="1">
      <protection locked="0"/>
    </xf>
    <xf numFmtId="164" fontId="6" fillId="0" borderId="1" xfId="0" applyNumberFormat="1" applyFont="1" applyBorder="1" applyAlignment="1" applyProtection="1">
      <alignment horizontal="left"/>
      <protection locked="0"/>
    </xf>
    <xf numFmtId="164" fontId="6" fillId="0" borderId="1" xfId="3" applyNumberFormat="1" applyFont="1" applyFill="1" applyBorder="1" applyAlignment="1" applyProtection="1">
      <alignment horizontal="left"/>
      <protection locked="0"/>
    </xf>
    <xf numFmtId="42" fontId="6" fillId="0" borderId="1" xfId="0" applyNumberFormat="1" applyFont="1" applyBorder="1" applyAlignment="1" applyProtection="1">
      <alignment horizontal="left"/>
      <protection locked="0"/>
    </xf>
    <xf numFmtId="0" fontId="12" fillId="3" borderId="63" xfId="0" applyFont="1" applyFill="1" applyBorder="1"/>
    <xf numFmtId="0" fontId="11" fillId="3" borderId="63" xfId="0" applyFont="1" applyFill="1" applyBorder="1"/>
    <xf numFmtId="0" fontId="11" fillId="3" borderId="63" xfId="0" applyFont="1" applyFill="1" applyBorder="1" applyAlignment="1">
      <alignment horizontal="center"/>
    </xf>
    <xf numFmtId="0" fontId="7" fillId="3" borderId="64" xfId="0" applyFont="1" applyFill="1" applyBorder="1"/>
    <xf numFmtId="0" fontId="6" fillId="3" borderId="64" xfId="0" applyFont="1" applyFill="1" applyBorder="1"/>
    <xf numFmtId="0" fontId="6" fillId="3" borderId="64" xfId="0" applyFont="1" applyFill="1" applyBorder="1" applyAlignment="1">
      <alignment horizontal="center"/>
    </xf>
    <xf numFmtId="0" fontId="6" fillId="3" borderId="65" xfId="0" applyFont="1" applyFill="1" applyBorder="1" applyAlignment="1">
      <alignment horizontal="center"/>
    </xf>
    <xf numFmtId="0" fontId="42" fillId="2" borderId="59" xfId="0" applyFont="1" applyFill="1" applyBorder="1" applyAlignment="1">
      <alignment horizontal="center"/>
    </xf>
    <xf numFmtId="0" fontId="15" fillId="9" borderId="1" xfId="0" applyFont="1" applyFill="1" applyBorder="1" applyAlignment="1">
      <alignment horizontal="center"/>
    </xf>
    <xf numFmtId="184" fontId="6" fillId="0" borderId="1" xfId="0" applyNumberFormat="1" applyFont="1" applyBorder="1" applyAlignment="1" applyProtection="1">
      <alignment horizontal="center"/>
      <protection locked="0"/>
    </xf>
    <xf numFmtId="0" fontId="119" fillId="0" borderId="0" xfId="0" applyFont="1" applyAlignment="1">
      <alignment horizontal="left"/>
    </xf>
    <xf numFmtId="0" fontId="87" fillId="9" borderId="0" xfId="0" applyFont="1" applyFill="1" applyAlignment="1">
      <alignment horizontal="left"/>
    </xf>
    <xf numFmtId="0" fontId="6" fillId="3" borderId="66" xfId="0" applyFont="1" applyFill="1" applyBorder="1" applyAlignment="1">
      <alignment horizontal="center"/>
    </xf>
    <xf numFmtId="0" fontId="0" fillId="11" borderId="25" xfId="0" applyFill="1" applyBorder="1"/>
    <xf numFmtId="0" fontId="0" fillId="11" borderId="6" xfId="0" applyFill="1" applyBorder="1"/>
    <xf numFmtId="0" fontId="7" fillId="9" borderId="0" xfId="0" applyFont="1" applyFill="1"/>
    <xf numFmtId="0" fontId="6" fillId="3" borderId="65" xfId="0" applyFont="1" applyFill="1" applyBorder="1" applyAlignment="1">
      <alignment horizontal="left"/>
    </xf>
    <xf numFmtId="0" fontId="6" fillId="3" borderId="65" xfId="0" applyFont="1" applyFill="1" applyBorder="1"/>
    <xf numFmtId="0" fontId="6" fillId="2" borderId="67" xfId="0" applyFont="1" applyFill="1" applyBorder="1"/>
    <xf numFmtId="42" fontId="6" fillId="9" borderId="0" xfId="0" applyNumberFormat="1" applyFont="1" applyFill="1"/>
    <xf numFmtId="44" fontId="82" fillId="14" borderId="0" xfId="0" applyNumberFormat="1" applyFont="1" applyFill="1"/>
    <xf numFmtId="42" fontId="6" fillId="7" borderId="1" xfId="0" applyNumberFormat="1" applyFont="1" applyFill="1" applyBorder="1" applyAlignment="1">
      <alignment horizontal="center"/>
    </xf>
    <xf numFmtId="0" fontId="13" fillId="8" borderId="68" xfId="0" applyFont="1" applyFill="1" applyBorder="1"/>
    <xf numFmtId="0" fontId="11" fillId="3" borderId="64" xfId="0" applyFont="1" applyFill="1" applyBorder="1"/>
    <xf numFmtId="0" fontId="11" fillId="3" borderId="64" xfId="0" applyFont="1" applyFill="1" applyBorder="1" applyAlignment="1">
      <alignment horizontal="center"/>
    </xf>
    <xf numFmtId="42" fontId="82" fillId="14" borderId="1" xfId="0" applyNumberFormat="1" applyFont="1" applyFill="1" applyBorder="1" applyAlignment="1">
      <alignment horizontal="center"/>
    </xf>
    <xf numFmtId="0" fontId="83" fillId="11" borderId="1" xfId="0" applyFont="1" applyFill="1" applyBorder="1" applyAlignment="1" applyProtection="1">
      <alignment horizontal="left"/>
      <protection locked="0"/>
    </xf>
    <xf numFmtId="174" fontId="83" fillId="11" borderId="1" xfId="0" applyNumberFormat="1" applyFont="1" applyFill="1" applyBorder="1" applyAlignment="1" applyProtection="1">
      <alignment horizontal="center"/>
      <protection locked="0"/>
    </xf>
    <xf numFmtId="174" fontId="6" fillId="2" borderId="1" xfId="0" applyNumberFormat="1" applyFont="1" applyFill="1" applyBorder="1" applyAlignment="1" applyProtection="1">
      <alignment horizontal="center"/>
      <protection locked="0"/>
    </xf>
    <xf numFmtId="169" fontId="6" fillId="2" borderId="1" xfId="3" applyNumberFormat="1" applyFont="1" applyFill="1" applyBorder="1" applyAlignment="1" applyProtection="1">
      <alignment horizontal="center"/>
      <protection locked="0"/>
    </xf>
    <xf numFmtId="0" fontId="76" fillId="15" borderId="1" xfId="0" applyFont="1" applyFill="1" applyBorder="1"/>
    <xf numFmtId="164" fontId="13" fillId="9" borderId="1" xfId="0" applyNumberFormat="1" applyFont="1" applyFill="1" applyBorder="1" applyAlignment="1">
      <alignment horizontal="center"/>
    </xf>
    <xf numFmtId="179" fontId="13" fillId="9" borderId="1" xfId="0" applyNumberFormat="1" applyFont="1" applyFill="1" applyBorder="1" applyAlignment="1">
      <alignment horizontal="center"/>
    </xf>
    <xf numFmtId="164" fontId="13" fillId="9" borderId="14" xfId="0" applyNumberFormat="1" applyFont="1" applyFill="1" applyBorder="1" applyAlignment="1">
      <alignment horizontal="center"/>
    </xf>
    <xf numFmtId="0" fontId="11" fillId="11" borderId="69" xfId="0" applyFont="1" applyFill="1" applyBorder="1"/>
    <xf numFmtId="0" fontId="11" fillId="11" borderId="69" xfId="0" applyFont="1" applyFill="1" applyBorder="1" applyAlignment="1">
      <alignment horizontal="center"/>
    </xf>
    <xf numFmtId="164" fontId="13" fillId="11" borderId="69" xfId="0" applyNumberFormat="1" applyFont="1" applyFill="1" applyBorder="1" applyAlignment="1">
      <alignment horizontal="center"/>
    </xf>
    <xf numFmtId="0" fontId="6" fillId="11" borderId="70" xfId="0" applyFont="1" applyFill="1" applyBorder="1"/>
    <xf numFmtId="0" fontId="6" fillId="11" borderId="71" xfId="0" applyFont="1" applyFill="1" applyBorder="1"/>
    <xf numFmtId="0" fontId="0" fillId="11" borderId="27" xfId="0" applyFill="1" applyBorder="1"/>
    <xf numFmtId="0" fontId="0" fillId="11" borderId="28" xfId="0" applyFill="1" applyBorder="1"/>
    <xf numFmtId="0" fontId="0" fillId="11" borderId="5" xfId="0" applyFill="1" applyBorder="1"/>
    <xf numFmtId="0" fontId="6" fillId="11" borderId="72" xfId="0" applyFont="1" applyFill="1" applyBorder="1"/>
    <xf numFmtId="0" fontId="11" fillId="11" borderId="73" xfId="0" applyFont="1" applyFill="1" applyBorder="1"/>
    <xf numFmtId="0" fontId="11" fillId="11" borderId="73" xfId="0" applyFont="1" applyFill="1" applyBorder="1" applyAlignment="1">
      <alignment horizontal="center"/>
    </xf>
    <xf numFmtId="164" fontId="13" fillId="11" borderId="73" xfId="0" applyNumberFormat="1" applyFont="1" applyFill="1" applyBorder="1" applyAlignment="1">
      <alignment horizontal="center"/>
    </xf>
    <xf numFmtId="0" fontId="6" fillId="11" borderId="74" xfId="0" applyFont="1" applyFill="1" applyBorder="1"/>
    <xf numFmtId="0" fontId="6" fillId="2" borderId="75" xfId="0" applyFont="1" applyFill="1" applyBorder="1"/>
    <xf numFmtId="0" fontId="6" fillId="2" borderId="58" xfId="0" applyFont="1" applyFill="1" applyBorder="1"/>
    <xf numFmtId="164" fontId="13" fillId="11" borderId="0" xfId="0" applyNumberFormat="1" applyFont="1" applyFill="1" applyAlignment="1">
      <alignment horizontal="center"/>
    </xf>
    <xf numFmtId="0" fontId="11" fillId="11" borderId="27" xfId="0" applyFont="1" applyFill="1" applyBorder="1"/>
    <xf numFmtId="0" fontId="11" fillId="11" borderId="27" xfId="0" applyFont="1" applyFill="1" applyBorder="1" applyAlignment="1">
      <alignment horizontal="center"/>
    </xf>
    <xf numFmtId="164" fontId="13" fillId="11" borderId="27" xfId="0" applyNumberFormat="1" applyFont="1" applyFill="1" applyBorder="1" applyAlignment="1">
      <alignment horizontal="center"/>
    </xf>
    <xf numFmtId="0" fontId="6" fillId="2" borderId="28" xfId="0" applyFont="1" applyFill="1" applyBorder="1"/>
    <xf numFmtId="0" fontId="0" fillId="11" borderId="62" xfId="0" applyFill="1" applyBorder="1"/>
    <xf numFmtId="42" fontId="13" fillId="0" borderId="1" xfId="0" applyNumberFormat="1" applyFont="1" applyBorder="1" applyAlignment="1" applyProtection="1">
      <alignment horizontal="center"/>
      <protection locked="0"/>
    </xf>
    <xf numFmtId="0" fontId="6" fillId="11" borderId="3" xfId="0" applyFont="1" applyFill="1" applyBorder="1"/>
    <xf numFmtId="164" fontId="13" fillId="11" borderId="3" xfId="0" applyNumberFormat="1" applyFont="1" applyFill="1" applyBorder="1" applyAlignment="1">
      <alignment horizontal="center"/>
    </xf>
    <xf numFmtId="0" fontId="6" fillId="9" borderId="12" xfId="0" applyFont="1" applyFill="1" applyBorder="1"/>
    <xf numFmtId="164" fontId="13" fillId="9" borderId="0" xfId="0" applyNumberFormat="1" applyFont="1" applyFill="1" applyAlignment="1">
      <alignment horizontal="center"/>
    </xf>
    <xf numFmtId="179" fontId="13" fillId="9" borderId="0" xfId="0" applyNumberFormat="1" applyFont="1" applyFill="1" applyAlignment="1">
      <alignment horizontal="center"/>
    </xf>
    <xf numFmtId="49" fontId="6" fillId="2" borderId="1" xfId="0" applyNumberFormat="1" applyFont="1" applyFill="1" applyBorder="1" applyAlignment="1" applyProtection="1">
      <alignment horizontal="left"/>
      <protection locked="0"/>
    </xf>
    <xf numFmtId="164" fontId="41" fillId="10" borderId="1" xfId="0" applyNumberFormat="1" applyFont="1" applyFill="1" applyBorder="1" applyAlignment="1">
      <alignment horizontal="center"/>
    </xf>
    <xf numFmtId="164" fontId="84" fillId="10" borderId="0" xfId="0" applyNumberFormat="1" applyFont="1" applyFill="1" applyAlignment="1">
      <alignment horizontal="center"/>
    </xf>
    <xf numFmtId="0" fontId="15" fillId="9" borderId="52" xfId="0" applyFont="1" applyFill="1" applyBorder="1" applyAlignment="1">
      <alignment horizontal="right"/>
    </xf>
    <xf numFmtId="0" fontId="13" fillId="9" borderId="0" xfId="0" applyFont="1" applyFill="1" applyAlignment="1">
      <alignment horizontal="right"/>
    </xf>
    <xf numFmtId="42" fontId="13" fillId="7" borderId="0" xfId="0" applyNumberFormat="1" applyFont="1" applyFill="1"/>
    <xf numFmtId="184" fontId="11" fillId="3" borderId="1" xfId="0" applyNumberFormat="1" applyFont="1" applyFill="1" applyBorder="1" applyAlignment="1">
      <alignment horizontal="center"/>
    </xf>
    <xf numFmtId="184" fontId="6" fillId="5" borderId="1" xfId="0" applyNumberFormat="1" applyFont="1" applyFill="1" applyBorder="1" applyAlignment="1">
      <alignment horizontal="center"/>
    </xf>
    <xf numFmtId="184" fontId="42" fillId="4" borderId="1" xfId="0" applyNumberFormat="1" applyFont="1" applyFill="1" applyBorder="1" applyAlignment="1">
      <alignment horizontal="center"/>
    </xf>
    <xf numFmtId="165" fontId="6" fillId="9" borderId="0" xfId="3" applyNumberFormat="1" applyFont="1" applyFill="1" applyBorder="1" applyProtection="1">
      <protection locked="0"/>
    </xf>
    <xf numFmtId="0" fontId="103" fillId="9" borderId="0" xfId="0" applyFont="1" applyFill="1" applyAlignment="1">
      <alignment horizontal="center"/>
    </xf>
    <xf numFmtId="164" fontId="34" fillId="9" borderId="78" xfId="0" applyNumberFormat="1" applyFont="1" applyFill="1" applyBorder="1" applyAlignment="1">
      <alignment horizontal="center"/>
    </xf>
    <xf numFmtId="0" fontId="6" fillId="3" borderId="78" xfId="0" applyFont="1" applyFill="1" applyBorder="1" applyAlignment="1">
      <alignment horizontal="center"/>
    </xf>
    <xf numFmtId="0" fontId="42" fillId="2" borderId="77" xfId="0" applyFont="1" applyFill="1" applyBorder="1" applyAlignment="1">
      <alignment horizontal="center"/>
    </xf>
    <xf numFmtId="0" fontId="42" fillId="9" borderId="79" xfId="0" applyFont="1" applyFill="1" applyBorder="1" applyAlignment="1">
      <alignment horizontal="center"/>
    </xf>
    <xf numFmtId="0" fontId="6" fillId="3" borderId="76" xfId="0" applyFont="1" applyFill="1" applyBorder="1" applyAlignment="1">
      <alignment horizontal="center"/>
    </xf>
    <xf numFmtId="10" fontId="11" fillId="7" borderId="1" xfId="0" applyNumberFormat="1" applyFont="1" applyFill="1" applyBorder="1"/>
    <xf numFmtId="10" fontId="11" fillId="7" borderId="0" xfId="0" applyNumberFormat="1" applyFont="1" applyFill="1"/>
    <xf numFmtId="1" fontId="94" fillId="0" borderId="0" xfId="0" applyNumberFormat="1" applyFont="1" applyAlignment="1">
      <alignment horizontal="center"/>
    </xf>
    <xf numFmtId="0" fontId="101" fillId="9" borderId="0" xfId="0" applyFont="1" applyFill="1"/>
    <xf numFmtId="2" fontId="98" fillId="2" borderId="0" xfId="0" applyNumberFormat="1" applyFont="1" applyFill="1"/>
    <xf numFmtId="2" fontId="98" fillId="2" borderId="0" xfId="0" applyNumberFormat="1" applyFont="1" applyFill="1" applyAlignment="1">
      <alignment horizontal="left"/>
    </xf>
    <xf numFmtId="0" fontId="98" fillId="2" borderId="0" xfId="0" applyFont="1" applyFill="1" applyAlignment="1">
      <alignment horizontal="left"/>
    </xf>
    <xf numFmtId="0" fontId="98" fillId="11" borderId="0" xfId="0" applyFont="1" applyFill="1"/>
    <xf numFmtId="0" fontId="12" fillId="3" borderId="20" xfId="0" applyFont="1" applyFill="1" applyBorder="1"/>
    <xf numFmtId="0" fontId="106" fillId="3" borderId="1" xfId="0" applyFont="1" applyFill="1" applyBorder="1" applyAlignment="1">
      <alignment horizontal="right"/>
    </xf>
    <xf numFmtId="0" fontId="121" fillId="0" borderId="0" xfId="0" applyFont="1"/>
    <xf numFmtId="0" fontId="122" fillId="2" borderId="0" xfId="0" applyFont="1" applyFill="1"/>
    <xf numFmtId="42" fontId="6" fillId="2" borderId="1" xfId="0" applyNumberFormat="1" applyFont="1" applyFill="1" applyBorder="1" applyAlignment="1" applyProtection="1">
      <alignment horizontal="center"/>
      <protection locked="0"/>
    </xf>
    <xf numFmtId="42" fontId="6" fillId="3" borderId="0" xfId="0" applyNumberFormat="1" applyFont="1" applyFill="1" applyAlignment="1">
      <alignment horizontal="center"/>
    </xf>
    <xf numFmtId="0" fontId="109" fillId="3" borderId="9" xfId="0" applyFont="1" applyFill="1" applyBorder="1"/>
    <xf numFmtId="0" fontId="13" fillId="3" borderId="11" xfId="0" applyFont="1" applyFill="1" applyBorder="1" applyAlignment="1">
      <alignment horizontal="left"/>
    </xf>
    <xf numFmtId="0" fontId="7" fillId="3" borderId="11" xfId="0" applyFont="1" applyFill="1" applyBorder="1" applyAlignment="1">
      <alignment horizontal="center"/>
    </xf>
    <xf numFmtId="0" fontId="6" fillId="3" borderId="22" xfId="0" applyFont="1" applyFill="1" applyBorder="1"/>
    <xf numFmtId="0" fontId="13" fillId="3" borderId="22" xfId="0" applyFont="1" applyFill="1" applyBorder="1"/>
    <xf numFmtId="0" fontId="5" fillId="0" borderId="22" xfId="0" applyFont="1" applyBorder="1" applyAlignment="1" applyProtection="1">
      <alignment vertical="center"/>
      <protection locked="0"/>
    </xf>
    <xf numFmtId="0" fontId="5" fillId="9" borderId="22" xfId="0" applyFont="1" applyFill="1" applyBorder="1" applyAlignment="1" applyProtection="1">
      <alignment vertical="center"/>
      <protection locked="0"/>
    </xf>
    <xf numFmtId="0" fontId="6" fillId="2" borderId="22" xfId="0" applyFont="1" applyFill="1" applyBorder="1" applyProtection="1">
      <protection locked="0"/>
    </xf>
    <xf numFmtId="0" fontId="7" fillId="3" borderId="22" xfId="0" applyFont="1" applyFill="1" applyBorder="1"/>
    <xf numFmtId="164" fontId="11"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11" fillId="13" borderId="1" xfId="0" applyNumberFormat="1" applyFont="1" applyFill="1" applyBorder="1" applyAlignment="1">
      <alignment horizontal="center"/>
    </xf>
    <xf numFmtId="164" fontId="6" fillId="2" borderId="1" xfId="0" applyNumberFormat="1" applyFont="1" applyFill="1" applyBorder="1" applyAlignment="1">
      <alignment horizontal="left"/>
    </xf>
    <xf numFmtId="164" fontId="6" fillId="7" borderId="1" xfId="0" applyNumberFormat="1" applyFont="1" applyFill="1" applyBorder="1" applyAlignment="1">
      <alignment horizontal="center"/>
    </xf>
    <xf numFmtId="167" fontId="123" fillId="0" borderId="0" xfId="0" applyNumberFormat="1" applyFont="1" applyAlignment="1">
      <alignment horizontal="right"/>
    </xf>
    <xf numFmtId="164" fontId="6" fillId="13" borderId="1" xfId="0" applyNumberFormat="1" applyFont="1" applyFill="1" applyBorder="1" applyAlignment="1">
      <alignment horizontal="center"/>
    </xf>
    <xf numFmtId="164" fontId="15" fillId="0" borderId="1" xfId="0" applyNumberFormat="1" applyFont="1" applyBorder="1" applyAlignment="1" applyProtection="1">
      <alignment horizontal="left"/>
      <protection locked="0"/>
    </xf>
    <xf numFmtId="164" fontId="15" fillId="5" borderId="1" xfId="0" applyNumberFormat="1" applyFont="1" applyFill="1" applyBorder="1" applyAlignment="1">
      <alignment horizontal="left"/>
    </xf>
    <xf numFmtId="42" fontId="6" fillId="7" borderId="1" xfId="0" applyNumberFormat="1" applyFont="1" applyFill="1" applyBorder="1" applyAlignment="1">
      <alignment horizontal="left"/>
    </xf>
    <xf numFmtId="0" fontId="121" fillId="0" borderId="80" xfId="0" applyFont="1" applyBorder="1"/>
    <xf numFmtId="0" fontId="6" fillId="0" borderId="0" xfId="0" applyFont="1" applyAlignment="1">
      <alignment horizontal="left"/>
    </xf>
    <xf numFmtId="183" fontId="6" fillId="3" borderId="0" xfId="0" applyNumberFormat="1" applyFont="1" applyFill="1"/>
    <xf numFmtId="183" fontId="6" fillId="7" borderId="1" xfId="0" applyNumberFormat="1" applyFont="1" applyFill="1" applyBorder="1" applyAlignment="1" applyProtection="1">
      <alignment horizontal="center"/>
      <protection locked="0"/>
    </xf>
    <xf numFmtId="0" fontId="124" fillId="3" borderId="1" xfId="0" applyFont="1" applyFill="1" applyBorder="1" applyAlignment="1">
      <alignment horizontal="right"/>
    </xf>
    <xf numFmtId="181" fontId="6" fillId="11" borderId="77" xfId="0" applyNumberFormat="1" applyFont="1" applyFill="1" applyBorder="1" applyAlignment="1">
      <alignment horizontal="center"/>
    </xf>
    <xf numFmtId="1" fontId="125" fillId="0" borderId="0" xfId="0" applyNumberFormat="1" applyFont="1" applyAlignment="1">
      <alignment horizontal="left"/>
    </xf>
    <xf numFmtId="1" fontId="0" fillId="0" borderId="0" xfId="0" applyNumberFormat="1"/>
    <xf numFmtId="1" fontId="0" fillId="0" borderId="0" xfId="0" applyNumberFormat="1" applyAlignment="1">
      <alignment horizontal="right"/>
    </xf>
    <xf numFmtId="0" fontId="117" fillId="0" borderId="0" xfId="0" applyFont="1" applyAlignment="1">
      <alignment horizontal="right"/>
    </xf>
    <xf numFmtId="185" fontId="74" fillId="0" borderId="0" xfId="0" applyNumberFormat="1" applyFont="1"/>
    <xf numFmtId="169" fontId="11" fillId="11" borderId="0" xfId="0" applyNumberFormat="1" applyFont="1" applyFill="1" applyAlignment="1">
      <alignment horizontal="center"/>
    </xf>
    <xf numFmtId="3" fontId="6" fillId="0" borderId="0" xfId="0" applyNumberFormat="1" applyFont="1" applyAlignment="1">
      <alignment horizontal="left"/>
    </xf>
    <xf numFmtId="183" fontId="83" fillId="0" borderId="0" xfId="0" applyNumberFormat="1" applyFont="1" applyAlignment="1">
      <alignment horizontal="right"/>
    </xf>
    <xf numFmtId="0" fontId="6" fillId="11" borderId="77" xfId="0" applyFont="1" applyFill="1" applyBorder="1" applyAlignment="1">
      <alignment horizontal="center"/>
    </xf>
    <xf numFmtId="0" fontId="108" fillId="0" borderId="0" xfId="0" applyFont="1" applyAlignment="1">
      <alignment horizontal="center"/>
    </xf>
    <xf numFmtId="0" fontId="108" fillId="11" borderId="0" xfId="0" applyFont="1" applyFill="1" applyAlignment="1">
      <alignment horizontal="center"/>
    </xf>
    <xf numFmtId="44" fontId="83" fillId="0" borderId="44" xfId="0" applyNumberFormat="1" applyFont="1" applyBorder="1" applyAlignment="1" applyProtection="1">
      <alignment horizontal="center"/>
      <protection locked="0"/>
    </xf>
    <xf numFmtId="10" fontId="6" fillId="0" borderId="22" xfId="0" applyNumberFormat="1" applyFont="1" applyBorder="1" applyAlignment="1" applyProtection="1">
      <alignment horizontal="center"/>
      <protection locked="0"/>
    </xf>
    <xf numFmtId="10" fontId="6" fillId="7" borderId="22" xfId="0" applyNumberFormat="1" applyFont="1" applyFill="1" applyBorder="1" applyAlignment="1" applyProtection="1">
      <alignment horizontal="center"/>
      <protection locked="0"/>
    </xf>
    <xf numFmtId="164" fontId="90" fillId="10" borderId="1" xfId="0" applyNumberFormat="1" applyFont="1" applyFill="1" applyBorder="1" applyAlignment="1" applyProtection="1">
      <alignment horizontal="center"/>
      <protection locked="0"/>
    </xf>
    <xf numFmtId="183" fontId="83" fillId="0" borderId="0" xfId="0" applyNumberFormat="1" applyFont="1"/>
    <xf numFmtId="42" fontId="11" fillId="9" borderId="1" xfId="0" applyNumberFormat="1" applyFont="1" applyFill="1" applyBorder="1"/>
    <xf numFmtId="42" fontId="83" fillId="9" borderId="1" xfId="0" applyNumberFormat="1" applyFont="1" applyFill="1" applyBorder="1"/>
    <xf numFmtId="42" fontId="83" fillId="9" borderId="0" xfId="0" applyNumberFormat="1" applyFont="1" applyFill="1"/>
    <xf numFmtId="42" fontId="104" fillId="9" borderId="1" xfId="0" applyNumberFormat="1" applyFont="1" applyFill="1" applyBorder="1"/>
    <xf numFmtId="164" fontId="11" fillId="9" borderId="1" xfId="0" applyNumberFormat="1" applyFont="1" applyFill="1" applyBorder="1" applyAlignment="1" applyProtection="1">
      <alignment horizontal="center"/>
      <protection locked="0"/>
    </xf>
    <xf numFmtId="0" fontId="11" fillId="9" borderId="48" xfId="0" applyFont="1" applyFill="1" applyBorder="1" applyAlignment="1">
      <alignment horizontal="center"/>
    </xf>
    <xf numFmtId="0" fontId="6" fillId="9" borderId="50" xfId="0" applyFont="1" applyFill="1" applyBorder="1" applyAlignment="1">
      <alignment horizontal="center"/>
    </xf>
    <xf numFmtId="0" fontId="6" fillId="9" borderId="14" xfId="0" applyFont="1" applyFill="1" applyBorder="1" applyAlignment="1">
      <alignment horizontal="center"/>
    </xf>
    <xf numFmtId="164" fontId="90" fillId="9" borderId="1" xfId="0" applyNumberFormat="1" applyFont="1" applyFill="1" applyBorder="1" applyAlignment="1" applyProtection="1">
      <alignment horizontal="center"/>
      <protection locked="0"/>
    </xf>
    <xf numFmtId="164" fontId="6" fillId="9" borderId="1" xfId="0" applyNumberFormat="1" applyFont="1" applyFill="1" applyBorder="1" applyAlignment="1" applyProtection="1">
      <alignment horizontal="center"/>
      <protection locked="0"/>
    </xf>
    <xf numFmtId="0" fontId="11" fillId="9" borderId="63" xfId="0" applyFont="1" applyFill="1" applyBorder="1" applyAlignment="1">
      <alignment horizontal="center"/>
    </xf>
    <xf numFmtId="0" fontId="11" fillId="9" borderId="20" xfId="0" applyFont="1" applyFill="1" applyBorder="1" applyAlignment="1">
      <alignment horizontal="center"/>
    </xf>
    <xf numFmtId="164" fontId="90" fillId="9" borderId="9" xfId="0" applyNumberFormat="1" applyFont="1" applyFill="1" applyBorder="1" applyAlignment="1">
      <alignment horizontal="center"/>
    </xf>
    <xf numFmtId="0" fontId="6" fillId="9" borderId="29" xfId="0" applyFont="1" applyFill="1" applyBorder="1" applyAlignment="1">
      <alignment horizontal="center"/>
    </xf>
    <xf numFmtId="1" fontId="39" fillId="9" borderId="81" xfId="0" applyNumberFormat="1" applyFont="1" applyFill="1" applyBorder="1" applyAlignment="1">
      <alignment horizontal="center"/>
    </xf>
    <xf numFmtId="0" fontId="11" fillId="9" borderId="18" xfId="0" applyFont="1" applyFill="1" applyBorder="1" applyAlignment="1">
      <alignment horizontal="center"/>
    </xf>
    <xf numFmtId="42" fontId="6" fillId="9" borderId="1" xfId="0" applyNumberFormat="1" applyFont="1" applyFill="1" applyBorder="1" applyAlignment="1">
      <alignment horizontal="center"/>
    </xf>
    <xf numFmtId="42" fontId="82" fillId="9" borderId="1" xfId="0" applyNumberFormat="1" applyFont="1" applyFill="1" applyBorder="1" applyAlignment="1">
      <alignment horizontal="center"/>
    </xf>
    <xf numFmtId="0" fontId="6" fillId="9" borderId="64" xfId="0" applyFont="1" applyFill="1" applyBorder="1" applyAlignment="1">
      <alignment horizontal="center"/>
    </xf>
    <xf numFmtId="0" fontId="11" fillId="9" borderId="64" xfId="0" applyFont="1" applyFill="1" applyBorder="1" applyAlignment="1">
      <alignment horizontal="center"/>
    </xf>
    <xf numFmtId="164" fontId="6" fillId="9" borderId="1" xfId="0" applyNumberFormat="1" applyFont="1" applyFill="1" applyBorder="1" applyAlignment="1">
      <alignment horizontal="left"/>
    </xf>
    <xf numFmtId="164" fontId="15" fillId="9" borderId="1" xfId="0" applyNumberFormat="1" applyFont="1" applyFill="1" applyBorder="1" applyAlignment="1">
      <alignment horizontal="left"/>
    </xf>
    <xf numFmtId="164" fontId="6" fillId="9" borderId="1" xfId="3" applyNumberFormat="1" applyFont="1" applyFill="1" applyBorder="1" applyAlignment="1" applyProtection="1">
      <alignment horizontal="left"/>
    </xf>
    <xf numFmtId="42" fontId="6" fillId="9" borderId="1" xfId="0" applyNumberFormat="1" applyFont="1" applyFill="1" applyBorder="1" applyAlignment="1">
      <alignment horizontal="left"/>
    </xf>
    <xf numFmtId="164" fontId="34" fillId="9" borderId="1" xfId="0" applyNumberFormat="1" applyFont="1" applyFill="1" applyBorder="1" applyAlignment="1">
      <alignment horizontal="left"/>
    </xf>
    <xf numFmtId="164" fontId="6" fillId="9" borderId="1" xfId="0" applyNumberFormat="1" applyFont="1" applyFill="1" applyBorder="1" applyAlignment="1" applyProtection="1">
      <alignment horizontal="left"/>
      <protection locked="0"/>
    </xf>
    <xf numFmtId="164" fontId="7" fillId="9" borderId="1" xfId="0" applyNumberFormat="1" applyFont="1" applyFill="1" applyBorder="1" applyAlignment="1">
      <alignment horizontal="center"/>
    </xf>
    <xf numFmtId="164" fontId="73" fillId="9" borderId="1" xfId="0" applyNumberFormat="1" applyFont="1" applyFill="1" applyBorder="1" applyAlignment="1">
      <alignment horizontal="center"/>
    </xf>
    <xf numFmtId="164" fontId="68" fillId="9" borderId="1" xfId="0" applyNumberFormat="1" applyFont="1" applyFill="1" applyBorder="1" applyAlignment="1">
      <alignment horizontal="center"/>
    </xf>
    <xf numFmtId="164" fontId="63" fillId="9" borderId="1" xfId="0" applyNumberFormat="1" applyFont="1" applyFill="1" applyBorder="1" applyAlignment="1">
      <alignment horizontal="center"/>
    </xf>
    <xf numFmtId="178" fontId="63" fillId="9" borderId="1" xfId="0" applyNumberFormat="1" applyFont="1" applyFill="1" applyBorder="1" applyAlignment="1">
      <alignment horizontal="center"/>
    </xf>
    <xf numFmtId="181" fontId="90" fillId="9" borderId="21" xfId="0" applyNumberFormat="1" applyFont="1" applyFill="1" applyBorder="1" applyAlignment="1">
      <alignment horizontal="center"/>
    </xf>
    <xf numFmtId="181" fontId="91" fillId="9" borderId="21" xfId="0" applyNumberFormat="1" applyFont="1" applyFill="1" applyBorder="1" applyAlignment="1">
      <alignment horizontal="center"/>
    </xf>
    <xf numFmtId="181" fontId="7" fillId="9" borderId="21" xfId="0" applyNumberFormat="1" applyFont="1" applyFill="1" applyBorder="1" applyAlignment="1">
      <alignment horizontal="center"/>
    </xf>
    <xf numFmtId="9" fontId="6" fillId="9" borderId="21" xfId="0" applyNumberFormat="1" applyFont="1" applyFill="1" applyBorder="1" applyAlignment="1">
      <alignment horizontal="center"/>
    </xf>
    <xf numFmtId="181" fontId="41" fillId="9" borderId="21" xfId="0" applyNumberFormat="1" applyFont="1" applyFill="1" applyBorder="1" applyAlignment="1">
      <alignment horizontal="center"/>
    </xf>
    <xf numFmtId="170" fontId="6" fillId="9" borderId="21" xfId="0" applyNumberFormat="1" applyFont="1" applyFill="1" applyBorder="1" applyAlignment="1">
      <alignment horizontal="center"/>
    </xf>
    <xf numFmtId="2" fontId="90" fillId="9" borderId="21" xfId="0" applyNumberFormat="1" applyFont="1" applyFill="1" applyBorder="1" applyAlignment="1">
      <alignment horizontal="center"/>
    </xf>
    <xf numFmtId="180" fontId="90" fillId="9" borderId="21" xfId="0" applyNumberFormat="1" applyFont="1" applyFill="1" applyBorder="1" applyAlignment="1">
      <alignment horizontal="center"/>
    </xf>
    <xf numFmtId="10" fontId="90" fillId="9" borderId="21" xfId="0" applyNumberFormat="1" applyFont="1" applyFill="1" applyBorder="1" applyAlignment="1">
      <alignment horizontal="center"/>
    </xf>
    <xf numFmtId="182" fontId="6" fillId="9" borderId="21" xfId="0" applyNumberFormat="1" applyFont="1" applyFill="1" applyBorder="1" applyAlignment="1">
      <alignment horizontal="center"/>
    </xf>
    <xf numFmtId="9" fontId="90" fillId="9" borderId="21" xfId="2" applyFont="1" applyFill="1" applyBorder="1" applyAlignment="1" applyProtection="1">
      <alignment horizontal="center"/>
    </xf>
    <xf numFmtId="181" fontId="6" fillId="9" borderId="31" xfId="0" applyNumberFormat="1" applyFont="1" applyFill="1" applyBorder="1" applyAlignment="1">
      <alignment horizontal="center"/>
    </xf>
    <xf numFmtId="2" fontId="6" fillId="9" borderId="21" xfId="0" applyNumberFormat="1" applyFont="1" applyFill="1" applyBorder="1" applyAlignment="1">
      <alignment horizontal="center"/>
    </xf>
    <xf numFmtId="2" fontId="6" fillId="9" borderId="31" xfId="0" applyNumberFormat="1" applyFont="1" applyFill="1" applyBorder="1" applyAlignment="1">
      <alignment horizontal="center"/>
    </xf>
    <xf numFmtId="173" fontId="6" fillId="7" borderId="21" xfId="0" applyNumberFormat="1" applyFont="1" applyFill="1" applyBorder="1" applyAlignment="1">
      <alignment horizontal="center"/>
    </xf>
    <xf numFmtId="165" fontId="83" fillId="15" borderId="0" xfId="0" applyNumberFormat="1" applyFont="1" applyFill="1" applyAlignment="1" applyProtection="1">
      <alignment horizontal="left"/>
      <protection locked="0"/>
    </xf>
    <xf numFmtId="44" fontId="83" fillId="15" borderId="0" xfId="0" applyNumberFormat="1" applyFont="1" applyFill="1" applyAlignment="1">
      <alignment horizontal="left"/>
    </xf>
    <xf numFmtId="167" fontId="83" fillId="15" borderId="0" xfId="0" applyNumberFormat="1" applyFont="1" applyFill="1"/>
    <xf numFmtId="1" fontId="120" fillId="3" borderId="1" xfId="0" applyNumberFormat="1" applyFont="1" applyFill="1" applyBorder="1" applyAlignment="1">
      <alignment horizontal="center"/>
    </xf>
    <xf numFmtId="0" fontId="39" fillId="9" borderId="0" xfId="0" applyFont="1" applyFill="1" applyAlignment="1">
      <alignment horizontal="right"/>
    </xf>
    <xf numFmtId="0" fontId="39" fillId="11" borderId="0" xfId="0" applyFont="1" applyFill="1" applyAlignment="1">
      <alignment horizontal="right"/>
    </xf>
    <xf numFmtId="0" fontId="42" fillId="11" borderId="0" xfId="0" applyFont="1" applyFill="1"/>
    <xf numFmtId="0" fontId="42" fillId="11" borderId="0" xfId="0" applyFont="1" applyFill="1" applyAlignment="1">
      <alignment horizontal="center"/>
    </xf>
    <xf numFmtId="1" fontId="111" fillId="11" borderId="0" xfId="0" applyNumberFormat="1" applyFont="1" applyFill="1" applyAlignment="1">
      <alignment horizontal="center"/>
    </xf>
    <xf numFmtId="1" fontId="120" fillId="11" borderId="0" xfId="0" applyNumberFormat="1" applyFont="1" applyFill="1" applyAlignment="1">
      <alignment horizontal="center"/>
    </xf>
    <xf numFmtId="0" fontId="124" fillId="3" borderId="1" xfId="0" applyFont="1" applyFill="1" applyBorder="1" applyAlignment="1">
      <alignment horizontal="left"/>
    </xf>
    <xf numFmtId="1" fontId="6" fillId="3" borderId="1" xfId="0" applyNumberFormat="1" applyFont="1" applyFill="1" applyBorder="1" applyAlignment="1">
      <alignment horizontal="center"/>
    </xf>
    <xf numFmtId="0" fontId="39" fillId="2" borderId="0" xfId="0" applyFont="1" applyFill="1" applyAlignment="1">
      <alignment horizontal="right"/>
    </xf>
    <xf numFmtId="0" fontId="88" fillId="0" borderId="0" xfId="0" applyFont="1" applyAlignment="1">
      <alignment horizontal="left" vertical="center"/>
    </xf>
    <xf numFmtId="10" fontId="7" fillId="17" borderId="0" xfId="0" applyNumberFormat="1" applyFont="1" applyFill="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1" fontId="7" fillId="0" borderId="0" xfId="0" applyNumberFormat="1" applyFont="1" applyAlignment="1">
      <alignment horizontal="left" vertical="center"/>
    </xf>
    <xf numFmtId="3" fontId="83" fillId="15" borderId="0" xfId="0" applyNumberFormat="1" applyFont="1" applyFill="1" applyAlignment="1">
      <alignment horizontal="left"/>
    </xf>
    <xf numFmtId="3" fontId="6" fillId="15" borderId="0" xfId="0" applyNumberFormat="1" applyFont="1" applyFill="1" applyAlignment="1" applyProtection="1">
      <alignment horizontal="left"/>
      <protection locked="0"/>
    </xf>
    <xf numFmtId="3" fontId="96" fillId="15" borderId="0" xfId="0" applyNumberFormat="1" applyFont="1" applyFill="1" applyAlignment="1" applyProtection="1">
      <alignment horizontal="left"/>
      <protection locked="0"/>
    </xf>
    <xf numFmtId="2" fontId="0" fillId="0" borderId="0" xfId="0" applyNumberFormat="1"/>
    <xf numFmtId="49" fontId="6" fillId="0" borderId="0" xfId="0" applyNumberFormat="1" applyFont="1" applyAlignment="1">
      <alignment horizontal="left" vertical="center"/>
    </xf>
    <xf numFmtId="3" fontId="6" fillId="16" borderId="0" xfId="0" applyNumberFormat="1" applyFont="1" applyFill="1" applyAlignment="1" applyProtection="1">
      <alignment horizontal="left"/>
      <protection locked="0"/>
    </xf>
    <xf numFmtId="3" fontId="7" fillId="15" borderId="0" xfId="0" applyNumberFormat="1" applyFont="1" applyFill="1" applyAlignment="1" applyProtection="1">
      <alignment horizontal="left"/>
      <protection locked="0"/>
    </xf>
    <xf numFmtId="3" fontId="126" fillId="15" borderId="0" xfId="0" applyNumberFormat="1" applyFont="1" applyFill="1" applyAlignment="1" applyProtection="1">
      <alignment horizontal="left"/>
      <protection locked="0"/>
    </xf>
    <xf numFmtId="3" fontId="128" fillId="15" borderId="0" xfId="0" applyNumberFormat="1" applyFont="1" applyFill="1" applyAlignment="1" applyProtection="1">
      <alignment horizontal="left"/>
      <protection locked="0"/>
    </xf>
    <xf numFmtId="3" fontId="129" fillId="15" borderId="0" xfId="0" applyNumberFormat="1" applyFont="1" applyFill="1" applyAlignment="1" applyProtection="1">
      <alignment horizontal="left"/>
      <protection locked="0"/>
    </xf>
    <xf numFmtId="175" fontId="7" fillId="2" borderId="0" xfId="0" applyNumberFormat="1" applyFont="1" applyFill="1" applyAlignment="1">
      <alignment horizontal="left"/>
    </xf>
    <xf numFmtId="175" fontId="7" fillId="3" borderId="0" xfId="0" applyNumberFormat="1" applyFont="1" applyFill="1" applyAlignment="1">
      <alignment horizontal="left"/>
    </xf>
    <xf numFmtId="167" fontId="83" fillId="15" borderId="0" xfId="0" applyNumberFormat="1" applyFont="1" applyFill="1" applyAlignment="1" applyProtection="1">
      <alignment horizontal="right"/>
      <protection locked="0"/>
    </xf>
    <xf numFmtId="173" fontId="83" fillId="15" borderId="0" xfId="0" applyNumberFormat="1" applyFont="1" applyFill="1" applyAlignment="1" applyProtection="1">
      <alignment horizontal="right"/>
      <protection locked="0"/>
    </xf>
    <xf numFmtId="173" fontId="83" fillId="0" borderId="0" xfId="0" applyNumberFormat="1" applyFont="1" applyAlignment="1">
      <alignment horizontal="right"/>
    </xf>
    <xf numFmtId="183" fontId="6" fillId="0" borderId="0" xfId="0" applyNumberFormat="1" applyFont="1" applyAlignment="1">
      <alignment horizontal="right"/>
    </xf>
    <xf numFmtId="10" fontId="83" fillId="0" borderId="0" xfId="0" applyNumberFormat="1" applyFont="1" applyAlignment="1">
      <alignment horizontal="right"/>
    </xf>
    <xf numFmtId="1" fontId="83" fillId="0" borderId="0" xfId="0" applyNumberFormat="1" applyFont="1" applyAlignment="1">
      <alignment horizontal="center"/>
    </xf>
    <xf numFmtId="169" fontId="68" fillId="9" borderId="0" xfId="0" applyNumberFormat="1" applyFont="1" applyFill="1" applyAlignment="1">
      <alignment horizontal="center"/>
    </xf>
    <xf numFmtId="0" fontId="11" fillId="0" borderId="0" xfId="0" applyFont="1"/>
    <xf numFmtId="0" fontId="7" fillId="0" borderId="0" xfId="0" applyFont="1" applyAlignment="1">
      <alignment horizontal="left"/>
    </xf>
    <xf numFmtId="44" fontId="6" fillId="15" borderId="0" xfId="0" applyNumberFormat="1" applyFont="1" applyFill="1"/>
    <xf numFmtId="44" fontId="6" fillId="15" borderId="0" xfId="0" applyNumberFormat="1" applyFont="1" applyFill="1" applyAlignment="1">
      <alignment horizontal="left"/>
    </xf>
    <xf numFmtId="0" fontId="25" fillId="0" borderId="0" xfId="0" applyFont="1" applyAlignment="1">
      <alignment horizontal="left"/>
    </xf>
    <xf numFmtId="1" fontId="71" fillId="0" borderId="0" xfId="0" applyNumberFormat="1" applyFont="1" applyAlignment="1">
      <alignment horizontal="center"/>
    </xf>
    <xf numFmtId="1" fontId="71" fillId="9" borderId="0" xfId="0" applyNumberFormat="1" applyFont="1" applyFill="1" applyAlignment="1">
      <alignment horizontal="center"/>
    </xf>
    <xf numFmtId="1" fontId="82" fillId="10" borderId="0" xfId="0" applyNumberFormat="1" applyFont="1" applyFill="1" applyAlignment="1">
      <alignment horizontal="center"/>
    </xf>
    <xf numFmtId="164" fontId="6" fillId="7" borderId="1" xfId="0" applyNumberFormat="1" applyFont="1" applyFill="1" applyBorder="1" applyProtection="1">
      <protection locked="0"/>
    </xf>
    <xf numFmtId="172" fontId="6" fillId="7" borderId="22" xfId="0" applyNumberFormat="1" applyFont="1" applyFill="1" applyBorder="1" applyAlignment="1">
      <alignment horizontal="center"/>
    </xf>
    <xf numFmtId="44" fontId="50" fillId="4" borderId="1" xfId="0" applyNumberFormat="1" applyFont="1" applyFill="1" applyBorder="1" applyAlignment="1">
      <alignment horizontal="center"/>
    </xf>
    <xf numFmtId="164" fontId="6" fillId="9" borderId="1" xfId="0" applyNumberFormat="1" applyFont="1" applyFill="1" applyBorder="1"/>
    <xf numFmtId="1" fontId="87" fillId="9" borderId="21" xfId="0" applyNumberFormat="1" applyFont="1" applyFill="1" applyBorder="1" applyAlignment="1">
      <alignment horizontal="center"/>
    </xf>
    <xf numFmtId="1" fontId="68" fillId="9" borderId="0" xfId="0" applyNumberFormat="1" applyFont="1" applyFill="1" applyAlignment="1">
      <alignment horizontal="center"/>
    </xf>
    <xf numFmtId="42" fontId="68" fillId="9" borderId="0" xfId="0" applyNumberFormat="1" applyFont="1" applyFill="1" applyAlignment="1">
      <alignment horizontal="center"/>
    </xf>
    <xf numFmtId="42" fontId="34" fillId="9" borderId="0" xfId="0" applyNumberFormat="1" applyFont="1" applyFill="1" applyAlignment="1">
      <alignment horizontal="center"/>
    </xf>
    <xf numFmtId="42" fontId="6" fillId="3" borderId="0" xfId="0" applyNumberFormat="1" applyFont="1" applyFill="1" applyAlignment="1">
      <alignment horizontal="left"/>
    </xf>
    <xf numFmtId="42" fontId="11" fillId="3" borderId="0" xfId="0" applyNumberFormat="1" applyFont="1" applyFill="1" applyAlignment="1">
      <alignment horizontal="left"/>
    </xf>
    <xf numFmtId="0" fontId="130" fillId="9" borderId="0" xfId="0" applyFont="1" applyFill="1"/>
    <xf numFmtId="0" fontId="131" fillId="9" borderId="0" xfId="0" applyFont="1" applyFill="1"/>
    <xf numFmtId="0" fontId="71" fillId="0" borderId="0" xfId="0" applyFont="1"/>
    <xf numFmtId="175" fontId="127" fillId="16" borderId="0" xfId="0" applyNumberFormat="1" applyFont="1" applyFill="1" applyAlignment="1" applyProtection="1">
      <alignment horizontal="left"/>
      <protection locked="0"/>
    </xf>
    <xf numFmtId="0" fontId="0" fillId="0" borderId="0" xfId="0" applyAlignment="1">
      <alignment horizontal="left"/>
    </xf>
    <xf numFmtId="0" fontId="130" fillId="9" borderId="22" xfId="0" applyFont="1" applyFill="1" applyBorder="1"/>
    <xf numFmtId="171" fontId="130" fillId="9" borderId="22" xfId="0" applyNumberFormat="1" applyFont="1" applyFill="1" applyBorder="1"/>
    <xf numFmtId="0" fontId="132" fillId="9" borderId="22" xfId="0" applyFont="1" applyFill="1" applyBorder="1"/>
    <xf numFmtId="0" fontId="133" fillId="9" borderId="22" xfId="0" applyFont="1" applyFill="1" applyBorder="1"/>
    <xf numFmtId="0" fontId="134" fillId="9" borderId="22" xfId="0" applyFont="1" applyFill="1" applyBorder="1"/>
    <xf numFmtId="0" fontId="135" fillId="9" borderId="22" xfId="0" applyFont="1" applyFill="1" applyBorder="1" applyAlignment="1">
      <alignment horizontal="right"/>
    </xf>
    <xf numFmtId="0" fontId="135" fillId="9" borderId="22" xfId="0" applyFont="1" applyFill="1" applyBorder="1" applyAlignment="1">
      <alignment horizontal="center"/>
    </xf>
    <xf numFmtId="0" fontId="133" fillId="9" borderId="22" xfId="0" applyFont="1" applyFill="1" applyBorder="1" applyAlignment="1">
      <alignment horizontal="right"/>
    </xf>
    <xf numFmtId="0" fontId="136" fillId="9" borderId="22" xfId="0" applyFont="1" applyFill="1" applyBorder="1" applyAlignment="1">
      <alignment horizontal="center"/>
    </xf>
    <xf numFmtId="1" fontId="136" fillId="9" borderId="22" xfId="0" applyNumberFormat="1" applyFont="1" applyFill="1" applyBorder="1" applyAlignment="1">
      <alignment horizontal="center"/>
    </xf>
    <xf numFmtId="44" fontId="130" fillId="9" borderId="22" xfId="0" applyNumberFormat="1" applyFont="1" applyFill="1" applyBorder="1"/>
    <xf numFmtId="0" fontId="137" fillId="9" borderId="22" xfId="0" applyFont="1" applyFill="1" applyBorder="1"/>
    <xf numFmtId="42" fontId="136" fillId="9" borderId="22" xfId="0" applyNumberFormat="1" applyFont="1" applyFill="1" applyBorder="1" applyAlignment="1">
      <alignment horizontal="center"/>
    </xf>
    <xf numFmtId="179" fontId="131" fillId="9" borderId="22" xfId="0" applyNumberFormat="1" applyFont="1" applyFill="1" applyBorder="1" applyAlignment="1">
      <alignment horizontal="center"/>
    </xf>
    <xf numFmtId="0" fontId="130" fillId="9" borderId="22" xfId="0" applyFont="1" applyFill="1" applyBorder="1" applyAlignment="1">
      <alignment horizontal="left"/>
    </xf>
    <xf numFmtId="42" fontId="130" fillId="9" borderId="22" xfId="0" applyNumberFormat="1" applyFont="1" applyFill="1" applyBorder="1" applyProtection="1">
      <protection locked="0"/>
    </xf>
    <xf numFmtId="42" fontId="130" fillId="9" borderId="22" xfId="0" applyNumberFormat="1" applyFont="1" applyFill="1" applyBorder="1"/>
    <xf numFmtId="0" fontId="131" fillId="9" borderId="22" xfId="0" applyFont="1" applyFill="1" applyBorder="1"/>
    <xf numFmtId="0" fontId="131" fillId="9" borderId="22" xfId="0" applyFont="1" applyFill="1" applyBorder="1" applyAlignment="1">
      <alignment horizontal="left"/>
    </xf>
    <xf numFmtId="42" fontId="131" fillId="9" borderId="22" xfId="0" applyNumberFormat="1" applyFont="1" applyFill="1" applyBorder="1" applyProtection="1">
      <protection locked="0"/>
    </xf>
    <xf numFmtId="42" fontId="131" fillId="9" borderId="22" xfId="0" applyNumberFormat="1" applyFont="1" applyFill="1" applyBorder="1"/>
    <xf numFmtId="0" fontId="137" fillId="9" borderId="22" xfId="0" applyFont="1" applyFill="1" applyBorder="1" applyAlignment="1">
      <alignment horizontal="left"/>
    </xf>
    <xf numFmtId="164" fontId="137" fillId="9" borderId="22" xfId="0" applyNumberFormat="1" applyFont="1" applyFill="1" applyBorder="1" applyAlignment="1">
      <alignment horizontal="left"/>
    </xf>
    <xf numFmtId="164" fontId="131" fillId="9" borderId="22" xfId="0" applyNumberFormat="1" applyFont="1" applyFill="1" applyBorder="1" applyAlignment="1">
      <alignment horizontal="left"/>
    </xf>
    <xf numFmtId="164" fontId="130" fillId="9" borderId="22" xfId="0" applyNumberFormat="1" applyFont="1" applyFill="1" applyBorder="1" applyAlignment="1">
      <alignment horizontal="left"/>
    </xf>
    <xf numFmtId="0" fontId="137" fillId="9" borderId="22" xfId="0" applyFont="1" applyFill="1" applyBorder="1" applyAlignment="1">
      <alignment horizontal="right"/>
    </xf>
    <xf numFmtId="0" fontId="130" fillId="9" borderId="53" xfId="0" applyFont="1" applyFill="1" applyBorder="1"/>
    <xf numFmtId="171" fontId="130" fillId="9" borderId="53" xfId="0" applyNumberFormat="1" applyFont="1" applyFill="1" applyBorder="1"/>
    <xf numFmtId="0" fontId="6" fillId="2" borderId="77" xfId="0" applyFont="1" applyFill="1" applyBorder="1"/>
    <xf numFmtId="0" fontId="7" fillId="2" borderId="77" xfId="0" applyFont="1" applyFill="1" applyBorder="1" applyAlignment="1">
      <alignment horizontal="right"/>
    </xf>
    <xf numFmtId="164" fontId="7" fillId="2" borderId="77" xfId="0" applyNumberFormat="1" applyFont="1" applyFill="1" applyBorder="1" applyAlignment="1">
      <alignment horizontal="left"/>
    </xf>
    <xf numFmtId="0" fontId="25" fillId="2" borderId="39" xfId="0" applyFont="1" applyFill="1" applyBorder="1" applyAlignment="1">
      <alignment horizontal="right"/>
    </xf>
    <xf numFmtId="9" fontId="75" fillId="9" borderId="1" xfId="2" applyFont="1" applyFill="1" applyBorder="1" applyAlignment="1" applyProtection="1">
      <alignment horizontal="center"/>
    </xf>
    <xf numFmtId="9" fontId="4" fillId="9" borderId="1" xfId="1" applyNumberFormat="1" applyFill="1" applyBorder="1" applyAlignment="1" applyProtection="1">
      <alignment horizontal="left"/>
    </xf>
    <xf numFmtId="42" fontId="83" fillId="0" borderId="0" xfId="0" applyNumberFormat="1" applyFont="1" applyAlignment="1">
      <alignment horizontal="right"/>
    </xf>
    <xf numFmtId="0" fontId="4" fillId="2" borderId="0" xfId="1" applyFill="1" applyAlignment="1" applyProtection="1"/>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FFFF00"/>
      <color rgb="FF0066CC"/>
      <color rgb="FFFFFF99"/>
      <color rgb="FFA40000"/>
      <color rgb="FFFFFFCC"/>
      <color rgb="FF993300"/>
      <color rgb="FF006EC0"/>
      <color rgb="FFC0C0C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extLst>
            <c:ext xmlns:c16="http://schemas.microsoft.com/office/drawing/2014/chart" uri="{C3380CC4-5D6E-409C-BE32-E72D297353CC}">
              <c16:uniqueId val="{00000000-A019-4AD5-8CAF-5973A857FA04}"/>
            </c:ext>
          </c:extLst>
        </c:ser>
        <c:dLbls>
          <c:showLegendKey val="0"/>
          <c:showVal val="1"/>
          <c:showCatName val="0"/>
          <c:showSerName val="0"/>
          <c:showPercent val="0"/>
          <c:showBubbleSize val="0"/>
        </c:dLbls>
        <c:gapWidth val="150"/>
        <c:axId val="514442200"/>
        <c:axId val="514441024"/>
      </c:barChart>
      <c:catAx>
        <c:axId val="514442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14441024"/>
        <c:crosses val="autoZero"/>
        <c:auto val="1"/>
        <c:lblAlgn val="ctr"/>
        <c:lblOffset val="100"/>
        <c:tickLblSkip val="1"/>
        <c:tickMarkSkip val="1"/>
        <c:noMultiLvlLbl val="0"/>
      </c:catAx>
      <c:valAx>
        <c:axId val="5144410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144422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extLst>
            <c:ext xmlns:c16="http://schemas.microsoft.com/office/drawing/2014/chart" uri="{C3380CC4-5D6E-409C-BE32-E72D297353CC}">
              <c16:uniqueId val="{00000000-4FC8-4F2A-8EC9-178BD9FD969B}"/>
            </c:ext>
          </c:extLst>
        </c:ser>
        <c:dLbls>
          <c:showLegendKey val="0"/>
          <c:showVal val="1"/>
          <c:showCatName val="0"/>
          <c:showSerName val="0"/>
          <c:showPercent val="0"/>
          <c:showBubbleSize val="0"/>
        </c:dLbls>
        <c:gapWidth val="150"/>
        <c:axId val="362708008"/>
        <c:axId val="330272088"/>
      </c:barChart>
      <c:catAx>
        <c:axId val="362708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2088"/>
        <c:crosses val="autoZero"/>
        <c:auto val="1"/>
        <c:lblAlgn val="ctr"/>
        <c:lblOffset val="100"/>
        <c:tickLblSkip val="1"/>
        <c:tickMarkSkip val="1"/>
        <c:noMultiLvlLbl val="0"/>
      </c:catAx>
      <c:valAx>
        <c:axId val="3302720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627080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extLst>
            <c:ext xmlns:c16="http://schemas.microsoft.com/office/drawing/2014/chart" uri="{C3380CC4-5D6E-409C-BE32-E72D297353CC}">
              <c16:uniqueId val="{00000000-B77E-42DD-9262-377E1E859A08}"/>
            </c:ext>
          </c:extLst>
        </c:ser>
        <c:dLbls>
          <c:showLegendKey val="0"/>
          <c:showVal val="1"/>
          <c:showCatName val="0"/>
          <c:showSerName val="0"/>
          <c:showPercent val="0"/>
          <c:showBubbleSize val="0"/>
        </c:dLbls>
        <c:gapWidth val="150"/>
        <c:axId val="330271304"/>
        <c:axId val="330274048"/>
      </c:barChart>
      <c:catAx>
        <c:axId val="330271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4048"/>
        <c:crosses val="autoZero"/>
        <c:auto val="1"/>
        <c:lblAlgn val="ctr"/>
        <c:lblOffset val="100"/>
        <c:tickLblSkip val="1"/>
        <c:tickMarkSkip val="1"/>
        <c:noMultiLvlLbl val="0"/>
      </c:catAx>
      <c:valAx>
        <c:axId val="33027404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13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8373-4BCF-B00A-559786180DFF}"/>
            </c:ext>
          </c:extLst>
        </c:ser>
        <c:dLbls>
          <c:showLegendKey val="0"/>
          <c:showVal val="1"/>
          <c:showCatName val="0"/>
          <c:showSerName val="0"/>
          <c:showPercent val="0"/>
          <c:showBubbleSize val="0"/>
        </c:dLbls>
        <c:gapWidth val="150"/>
        <c:axId val="330274440"/>
        <c:axId val="330274832"/>
      </c:barChart>
      <c:catAx>
        <c:axId val="330274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4832"/>
        <c:crosses val="autoZero"/>
        <c:auto val="1"/>
        <c:lblAlgn val="ctr"/>
        <c:lblOffset val="100"/>
        <c:tickLblSkip val="1"/>
        <c:tickMarkSkip val="1"/>
        <c:noMultiLvlLbl val="0"/>
      </c:catAx>
      <c:valAx>
        <c:axId val="3302748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44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1FB1-4681-83F4-28F0EE9AEF3B}"/>
            </c:ext>
          </c:extLst>
        </c:ser>
        <c:dLbls>
          <c:showLegendKey val="0"/>
          <c:showVal val="1"/>
          <c:showCatName val="0"/>
          <c:showSerName val="0"/>
          <c:showPercent val="0"/>
          <c:showBubbleSize val="0"/>
        </c:dLbls>
        <c:gapWidth val="150"/>
        <c:axId val="330273656"/>
        <c:axId val="566375288"/>
      </c:barChart>
      <c:catAx>
        <c:axId val="330273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75288"/>
        <c:crosses val="autoZero"/>
        <c:auto val="1"/>
        <c:lblAlgn val="ctr"/>
        <c:lblOffset val="100"/>
        <c:tickLblSkip val="1"/>
        <c:tickMarkSkip val="1"/>
        <c:noMultiLvlLbl val="0"/>
      </c:catAx>
      <c:valAx>
        <c:axId val="5663752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02736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extLst>
            <c:ext xmlns:c16="http://schemas.microsoft.com/office/drawing/2014/chart" uri="{C3380CC4-5D6E-409C-BE32-E72D297353CC}">
              <c16:uniqueId val="{00000000-1534-47B9-A77D-9B57EE55CF5A}"/>
            </c:ext>
          </c:extLst>
        </c:ser>
        <c:dLbls>
          <c:showLegendKey val="0"/>
          <c:showVal val="1"/>
          <c:showCatName val="0"/>
          <c:showSerName val="0"/>
          <c:showPercent val="0"/>
          <c:showBubbleSize val="0"/>
        </c:dLbls>
        <c:gapWidth val="150"/>
        <c:axId val="566376072"/>
        <c:axId val="566369800"/>
      </c:barChart>
      <c:catAx>
        <c:axId val="566376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69800"/>
        <c:crosses val="autoZero"/>
        <c:auto val="1"/>
        <c:lblAlgn val="ctr"/>
        <c:lblOffset val="100"/>
        <c:tickLblSkip val="1"/>
        <c:tickMarkSkip val="1"/>
        <c:noMultiLvlLbl val="0"/>
      </c:catAx>
      <c:valAx>
        <c:axId val="5663698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760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44C5-4F8A-9504-782E6221AA5C}"/>
            </c:ext>
          </c:extLst>
        </c:ser>
        <c:dLbls>
          <c:showLegendKey val="0"/>
          <c:showVal val="1"/>
          <c:showCatName val="0"/>
          <c:showSerName val="0"/>
          <c:showPercent val="0"/>
          <c:showBubbleSize val="0"/>
        </c:dLbls>
        <c:gapWidth val="150"/>
        <c:axId val="566367840"/>
        <c:axId val="566368624"/>
      </c:barChart>
      <c:catAx>
        <c:axId val="566367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68624"/>
        <c:crosses val="autoZero"/>
        <c:auto val="1"/>
        <c:lblAlgn val="ctr"/>
        <c:lblOffset val="100"/>
        <c:tickLblSkip val="1"/>
        <c:tickMarkSkip val="1"/>
        <c:noMultiLvlLbl val="0"/>
      </c:catAx>
      <c:valAx>
        <c:axId val="5663686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663678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extLst>
                <c:ext xmlns:c15="http://schemas.microsoft.com/office/drawing/2012/chart" uri="{02D57815-91ED-43cb-92C2-25804820EDAC}">
                  <c15:fullRef>
                    <c15:sqref>ken!$G$7:$L$7</c15:sqref>
                  </c15:fullRef>
                </c:ext>
              </c:extLst>
              <c:f>ken!$H$7:$L$7</c:f>
              <c:numCache>
                <c:formatCode>0</c:formatCode>
                <c:ptCount val="5"/>
                <c:pt idx="0">
                  <c:v>2023</c:v>
                </c:pt>
                <c:pt idx="1">
                  <c:v>2024</c:v>
                </c:pt>
                <c:pt idx="2">
                  <c:v>2025</c:v>
                </c:pt>
                <c:pt idx="3">
                  <c:v>2026</c:v>
                </c:pt>
                <c:pt idx="4">
                  <c:v>2027</c:v>
                </c:pt>
              </c:numCache>
            </c:numRef>
          </c:cat>
          <c:val>
            <c:numRef>
              <c:extLst>
                <c:ext xmlns:c15="http://schemas.microsoft.com/office/drawing/2012/chart" uri="{02D57815-91ED-43cb-92C2-25804820EDAC}">
                  <c15:fullRef>
                    <c15:sqref>begr!$G$50:$L$50</c15:sqref>
                  </c15:fullRef>
                </c:ext>
              </c:extLst>
              <c:f>begr!$H$50:$L$50</c:f>
              <c:numCache>
                <c:formatCode>_-"€"\ * #,##0_-;_-"€"\ * #,##0\-;_-"€"\ * "-"_-;_-@_-</c:formatCode>
                <c:ptCount val="5"/>
                <c:pt idx="0">
                  <c:v>10944149.787743192</c:v>
                </c:pt>
                <c:pt idx="1">
                  <c:v>10944149.787743192</c:v>
                </c:pt>
                <c:pt idx="2">
                  <c:v>10944149.787743192</c:v>
                </c:pt>
                <c:pt idx="3">
                  <c:v>10944149.787743192</c:v>
                </c:pt>
                <c:pt idx="4">
                  <c:v>10944149.787743192</c:v>
                </c:pt>
              </c:numCache>
            </c:numRef>
          </c:val>
          <c:extLst>
            <c:ext xmlns:c16="http://schemas.microsoft.com/office/drawing/2014/chart" uri="{C3380CC4-5D6E-409C-BE32-E72D297353CC}">
              <c16:uniqueId val="{00000000-F16C-453A-A65F-27C7C98FD507}"/>
            </c:ext>
          </c:extLst>
        </c:ser>
        <c:dLbls>
          <c:showLegendKey val="0"/>
          <c:showVal val="1"/>
          <c:showCatName val="0"/>
          <c:showSerName val="0"/>
          <c:showPercent val="0"/>
          <c:showBubbleSize val="0"/>
        </c:dLbls>
        <c:gapWidth val="150"/>
        <c:axId val="405785000"/>
        <c:axId val="405785392"/>
      </c:barChart>
      <c:catAx>
        <c:axId val="4057850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785392"/>
        <c:crosses val="autoZero"/>
        <c:auto val="1"/>
        <c:lblAlgn val="ctr"/>
        <c:lblOffset val="100"/>
        <c:tickLblSkip val="1"/>
        <c:tickMarkSkip val="1"/>
        <c:noMultiLvlLbl val="0"/>
      </c:catAx>
      <c:valAx>
        <c:axId val="40578539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7850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2"/>
          <c:order val="1"/>
          <c:tx>
            <c:v>PRO</c:v>
          </c:tx>
          <c:spPr>
            <a:solidFill>
              <a:srgbClr val="FFFFCC"/>
            </a:solidFill>
            <a:ln w="12700">
              <a:solidFill>
                <a:srgbClr val="000000"/>
              </a:solidFill>
              <a:prstDash val="solid"/>
            </a:ln>
          </c:spPr>
          <c:invertIfNegative val="0"/>
          <c:dLbls>
            <c:delete val="1"/>
          </c:dLbls>
          <c:cat>
            <c:numRef>
              <c:f>'geg ll'!$G$15:$K$15</c:f>
              <c:numCache>
                <c:formatCode>0</c:formatCode>
                <c:ptCount val="5"/>
                <c:pt idx="0">
                  <c:v>2023</c:v>
                </c:pt>
                <c:pt idx="1">
                  <c:v>2024</c:v>
                </c:pt>
                <c:pt idx="2">
                  <c:v>2025</c:v>
                </c:pt>
                <c:pt idx="3">
                  <c:v>2026</c:v>
                </c:pt>
                <c:pt idx="4">
                  <c:v>2027</c:v>
                </c:pt>
              </c:numCache>
            </c:numRef>
          </c:cat>
          <c:val>
            <c:numRef>
              <c:f>'geg ll'!$G$22:$K$22</c:f>
              <c:numCache>
                <c:formatCode>#,##0.0</c:formatCode>
                <c:ptCount val="5"/>
                <c:pt idx="0">
                  <c:v>454</c:v>
                </c:pt>
                <c:pt idx="1">
                  <c:v>454</c:v>
                </c:pt>
                <c:pt idx="2">
                  <c:v>454</c:v>
                </c:pt>
                <c:pt idx="3">
                  <c:v>454</c:v>
                </c:pt>
                <c:pt idx="4">
                  <c:v>454</c:v>
                </c:pt>
              </c:numCache>
            </c:numRef>
          </c:val>
          <c:extLst>
            <c:ext xmlns:c16="http://schemas.microsoft.com/office/drawing/2014/chart" uri="{C3380CC4-5D6E-409C-BE32-E72D297353CC}">
              <c16:uniqueId val="{00000001-8204-4FE4-9ED5-641643426ADF}"/>
            </c:ext>
          </c:extLst>
        </c:ser>
        <c:ser>
          <c:idx val="0"/>
          <c:order val="2"/>
          <c:tx>
            <c:v>VSO</c:v>
          </c:tx>
          <c:invertIfNegative val="0"/>
          <c:dLbls>
            <c:delete val="1"/>
          </c:dLbls>
          <c:cat>
            <c:numRef>
              <c:f>'geg ll'!$G$15:$K$15</c:f>
              <c:numCache>
                <c:formatCode>0</c:formatCode>
                <c:ptCount val="5"/>
                <c:pt idx="0">
                  <c:v>2023</c:v>
                </c:pt>
                <c:pt idx="1">
                  <c:v>2024</c:v>
                </c:pt>
                <c:pt idx="2">
                  <c:v>2025</c:v>
                </c:pt>
                <c:pt idx="3">
                  <c:v>2026</c:v>
                </c:pt>
                <c:pt idx="4">
                  <c:v>2027</c:v>
                </c:pt>
              </c:numCache>
            </c:numRef>
          </c:cat>
          <c:val>
            <c:numRef>
              <c:f>'geg ll'!$G$78:$K$78</c:f>
              <c:numCache>
                <c:formatCode>General</c:formatCode>
                <c:ptCount val="5"/>
                <c:pt idx="0">
                  <c:v>515</c:v>
                </c:pt>
                <c:pt idx="1">
                  <c:v>515</c:v>
                </c:pt>
                <c:pt idx="2">
                  <c:v>515</c:v>
                </c:pt>
                <c:pt idx="3">
                  <c:v>515</c:v>
                </c:pt>
                <c:pt idx="4">
                  <c:v>515</c:v>
                </c:pt>
              </c:numCache>
            </c:numRef>
          </c:val>
          <c:extLst>
            <c:ext xmlns:c16="http://schemas.microsoft.com/office/drawing/2014/chart" uri="{C3380CC4-5D6E-409C-BE32-E72D297353CC}">
              <c16:uniqueId val="{00000002-8204-4FE4-9ED5-641643426ADF}"/>
            </c:ext>
          </c:extLst>
        </c:ser>
        <c:dLbls>
          <c:showLegendKey val="0"/>
          <c:showVal val="1"/>
          <c:showCatName val="0"/>
          <c:showSerName val="0"/>
          <c:showPercent val="0"/>
          <c:showBubbleSize val="0"/>
        </c:dLbls>
        <c:gapWidth val="150"/>
        <c:axId val="405783040"/>
        <c:axId val="465790000"/>
        <c:extLst>
          <c:ext xmlns:c15="http://schemas.microsoft.com/office/drawing/2012/chart" uri="{02D57815-91ED-43cb-92C2-25804820EDAC}">
            <c15:filteredBarSeries>
              <c15:ser>
                <c:idx val="1"/>
                <c:order val="0"/>
                <c:tx>
                  <c:v>LWOO</c:v>
                </c:tx>
                <c:spPr>
                  <a:solidFill>
                    <a:srgbClr val="993366"/>
                  </a:solidFill>
                  <a:ln w="12700">
                    <a:solidFill>
                      <a:srgbClr val="000000"/>
                    </a:solidFill>
                    <a:prstDash val="solid"/>
                  </a:ln>
                </c:spPr>
                <c:invertIfNegative val="0"/>
                <c:dLbls>
                  <c:delete val="1"/>
                </c:dLbls>
                <c:cat>
                  <c:numRef>
                    <c:extLst>
                      <c:ext uri="{02D57815-91ED-43cb-92C2-25804820EDAC}">
                        <c15:formulaRef>
                          <c15:sqref>'geg ll'!$G$15:$K$15</c15:sqref>
                        </c15:formulaRef>
                      </c:ext>
                    </c:extLst>
                    <c:numCache>
                      <c:formatCode>0</c:formatCode>
                      <c:ptCount val="5"/>
                      <c:pt idx="0">
                        <c:v>2023</c:v>
                      </c:pt>
                      <c:pt idx="1">
                        <c:v>2024</c:v>
                      </c:pt>
                      <c:pt idx="2">
                        <c:v>2025</c:v>
                      </c:pt>
                      <c:pt idx="3">
                        <c:v>2026</c:v>
                      </c:pt>
                      <c:pt idx="4">
                        <c:v>2027</c:v>
                      </c:pt>
                    </c:numCache>
                  </c:numRef>
                </c:cat>
                <c:val>
                  <c:numRef>
                    <c:extLst>
                      <c:ext uri="{02D57815-91ED-43cb-92C2-25804820EDAC}">
                        <c15:formulaRef>
                          <c15:sqref>'geg ll'!$G$21:$K$21</c15:sqref>
                        </c15:formulaRef>
                      </c:ext>
                    </c:extLst>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204-4FE4-9ED5-641643426ADF}"/>
                  </c:ext>
                </c:extLst>
              </c15:ser>
            </c15:filteredBarSeries>
          </c:ext>
        </c:extLst>
      </c:barChart>
      <c:catAx>
        <c:axId val="4057830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65790000"/>
        <c:crosses val="autoZero"/>
        <c:auto val="1"/>
        <c:lblAlgn val="ctr"/>
        <c:lblOffset val="100"/>
        <c:noMultiLvlLbl val="0"/>
      </c:catAx>
      <c:valAx>
        <c:axId val="4657900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7830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8.5976821443365672E-2"/>
          <c:y val="0.90033741845401982"/>
          <c:w val="0.82306644987413302"/>
          <c:h val="9.9662581545980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62C7-45E5-B6E6-1C7BB0B240E3}"/>
            </c:ext>
          </c:extLst>
        </c:ser>
        <c:dLbls>
          <c:showLegendKey val="0"/>
          <c:showVal val="1"/>
          <c:showCatName val="0"/>
          <c:showSerName val="0"/>
          <c:showPercent val="0"/>
          <c:showBubbleSize val="0"/>
        </c:dLbls>
        <c:gapWidth val="150"/>
        <c:axId val="465790392"/>
        <c:axId val="363946736"/>
      </c:barChart>
      <c:catAx>
        <c:axId val="465790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63946736"/>
        <c:crosses val="autoZero"/>
        <c:auto val="1"/>
        <c:lblAlgn val="ctr"/>
        <c:lblOffset val="100"/>
        <c:tickLblSkip val="1"/>
        <c:tickMarkSkip val="1"/>
        <c:noMultiLvlLbl val="0"/>
      </c:catAx>
      <c:valAx>
        <c:axId val="36394673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4657903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extLst>
            <c:ext xmlns:c16="http://schemas.microsoft.com/office/drawing/2014/chart" uri="{C3380CC4-5D6E-409C-BE32-E72D297353CC}">
              <c16:uniqueId val="{00000000-1F60-40AA-AE11-DAF47A71E7FF}"/>
            </c:ext>
          </c:extLst>
        </c:ser>
        <c:dLbls>
          <c:showLegendKey val="0"/>
          <c:showVal val="1"/>
          <c:showCatName val="0"/>
          <c:showSerName val="0"/>
          <c:showPercent val="0"/>
          <c:showBubbleSize val="0"/>
        </c:dLbls>
        <c:gapWidth val="150"/>
        <c:axId val="637590576"/>
        <c:axId val="637583912"/>
      </c:barChart>
      <c:catAx>
        <c:axId val="637590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637583912"/>
        <c:crosses val="autoZero"/>
        <c:auto val="1"/>
        <c:lblAlgn val="ctr"/>
        <c:lblOffset val="100"/>
        <c:tickLblSkip val="1"/>
        <c:tickMarkSkip val="1"/>
        <c:noMultiLvlLbl val="0"/>
      </c:catAx>
      <c:valAx>
        <c:axId val="6375839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6375905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extLst>
                <c:ext xmlns:c15="http://schemas.microsoft.com/office/drawing/2012/chart" uri="{02D57815-91ED-43cb-92C2-25804820EDAC}">
                  <c15:fullRef>
                    <c15:sqref>tab!$C$4:$G$4</c15:sqref>
                  </c15:fullRef>
                </c:ext>
              </c:extLst>
              <c:f>tab!$D$4:$G$4</c:f>
              <c:numCache>
                <c:formatCode>0</c:formatCode>
                <c:ptCount val="5"/>
                <c:pt idx="0">
                  <c:v>2023</c:v>
                </c:pt>
                <c:pt idx="1">
                  <c:v>2024</c:v>
                </c:pt>
                <c:pt idx="2">
                  <c:v>2025</c:v>
                </c:pt>
                <c:pt idx="3">
                  <c:v>2026</c:v>
                </c:pt>
                <c:pt idx="4">
                  <c:v>2027</c:v>
                </c:pt>
              </c:numCache>
            </c:numRef>
          </c:cat>
          <c:val>
            <c:numRef>
              <c:extLst>
                <c:ext xmlns:c15="http://schemas.microsoft.com/office/drawing/2012/chart" uri="{02D57815-91ED-43cb-92C2-25804820EDAC}">
                  <c15:fullRef>
                    <c15:sqref>bekost!$I$95:$M$95</c15:sqref>
                  </c15:fullRef>
                </c:ext>
              </c:extLst>
              <c:f>bekost!$J$95:$M$95</c:f>
              <c:numCache>
                <c:formatCode>_-"€"\ * #,##0_-;_-"€"\ * #,##0\-;_-"€"\ * "-"_-;_-@_-</c:formatCode>
                <c:ptCount val="5"/>
                <c:pt idx="0">
                  <c:v>21082407.537743192</c:v>
                </c:pt>
                <c:pt idx="1">
                  <c:v>21082407.537743192</c:v>
                </c:pt>
                <c:pt idx="2">
                  <c:v>21082407.537743192</c:v>
                </c:pt>
                <c:pt idx="3">
                  <c:v>21082407.537743192</c:v>
                </c:pt>
                <c:pt idx="4">
                  <c:v>21082407.537743192</c:v>
                </c:pt>
              </c:numCache>
            </c:numRef>
          </c:val>
          <c:extLst>
            <c:ext xmlns:c16="http://schemas.microsoft.com/office/drawing/2014/chart" uri="{C3380CC4-5D6E-409C-BE32-E72D297353CC}">
              <c16:uniqueId val="{00000000-060A-4448-BD36-0CB651A0D6EA}"/>
            </c:ext>
          </c:extLst>
        </c:ser>
        <c:ser>
          <c:idx val="1"/>
          <c:order val="1"/>
          <c:tx>
            <c:v>lasten</c:v>
          </c:tx>
          <c:spPr>
            <a:solidFill>
              <a:srgbClr val="FFCC99"/>
            </a:solidFill>
            <a:ln w="12700">
              <a:solidFill>
                <a:srgbClr val="000000"/>
              </a:solidFill>
              <a:prstDash val="solid"/>
            </a:ln>
          </c:spPr>
          <c:invertIfNegative val="0"/>
          <c:cat>
            <c:numRef>
              <c:extLst>
                <c:ext xmlns:c15="http://schemas.microsoft.com/office/drawing/2012/chart" uri="{02D57815-91ED-43cb-92C2-25804820EDAC}">
                  <c15:fullRef>
                    <c15:sqref>tab!$C$4:$G$4</c15:sqref>
                  </c15:fullRef>
                </c:ext>
              </c:extLst>
              <c:f>tab!$D$4:$G$4</c:f>
              <c:numCache>
                <c:formatCode>0</c:formatCode>
                <c:ptCount val="5"/>
                <c:pt idx="0">
                  <c:v>2023</c:v>
                </c:pt>
                <c:pt idx="1">
                  <c:v>2024</c:v>
                </c:pt>
                <c:pt idx="2">
                  <c:v>2025</c:v>
                </c:pt>
                <c:pt idx="3">
                  <c:v>2026</c:v>
                </c:pt>
                <c:pt idx="4">
                  <c:v>2027</c:v>
                </c:pt>
              </c:numCache>
            </c:numRef>
          </c:cat>
          <c:val>
            <c:numRef>
              <c:extLst>
                <c:ext xmlns:c15="http://schemas.microsoft.com/office/drawing/2012/chart" uri="{02D57815-91ED-43cb-92C2-25804820EDAC}">
                  <c15:fullRef>
                    <c15:sqref>bekost!$H$166:$M$166</c15:sqref>
                  </c15:fullRef>
                </c:ext>
              </c:extLst>
              <c:f>bekost!$I$166:$M$166</c:f>
              <c:numCache>
                <c:formatCode>_-"€"\ * #,##0_-;_-"€"\ * #,##0\-;_-"€"\ * "-"_-;_-@_-</c:formatCode>
                <c:ptCount val="5"/>
                <c:pt idx="0">
                  <c:v>10203342.35</c:v>
                </c:pt>
                <c:pt idx="1">
                  <c:v>10208601.549999999</c:v>
                </c:pt>
                <c:pt idx="2">
                  <c:v>10214407.949999999</c:v>
                </c:pt>
                <c:pt idx="3">
                  <c:v>10223710.35</c:v>
                </c:pt>
                <c:pt idx="4">
                  <c:v>10231763.149999999</c:v>
                </c:pt>
              </c:numCache>
            </c:numRef>
          </c:val>
          <c:extLst>
            <c:ext xmlns:c16="http://schemas.microsoft.com/office/drawing/2014/chart" uri="{C3380CC4-5D6E-409C-BE32-E72D297353CC}">
              <c16:uniqueId val="{00000001-060A-4448-BD36-0CB651A0D6EA}"/>
            </c:ext>
          </c:extLst>
        </c:ser>
        <c:dLbls>
          <c:showLegendKey val="0"/>
          <c:showVal val="0"/>
          <c:showCatName val="0"/>
          <c:showSerName val="0"/>
          <c:showPercent val="0"/>
          <c:showBubbleSize val="0"/>
        </c:dLbls>
        <c:gapWidth val="150"/>
        <c:axId val="514430048"/>
        <c:axId val="514437496"/>
      </c:barChart>
      <c:catAx>
        <c:axId val="5144300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7496"/>
        <c:crosses val="autoZero"/>
        <c:auto val="1"/>
        <c:lblAlgn val="ctr"/>
        <c:lblOffset val="100"/>
        <c:tickLblSkip val="1"/>
        <c:tickMarkSkip val="1"/>
        <c:noMultiLvlLbl val="0"/>
      </c:catAx>
      <c:valAx>
        <c:axId val="51443749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00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4"/>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extLst>
                <c:ext xmlns:c15="http://schemas.microsoft.com/office/drawing/2012/chart" uri="{02D57815-91ED-43cb-92C2-25804820EDAC}">
                  <c15:fullRef>
                    <c15:sqref>begr!$G$8:$L$8</c15:sqref>
                  </c15:fullRef>
                </c:ext>
              </c:extLst>
              <c:f>begr!$H$8:$L$8</c:f>
              <c:numCache>
                <c:formatCode>0</c:formatCode>
                <c:ptCount val="5"/>
                <c:pt idx="0">
                  <c:v>2023</c:v>
                </c:pt>
                <c:pt idx="1">
                  <c:v>2024</c:v>
                </c:pt>
                <c:pt idx="2">
                  <c:v>2025</c:v>
                </c:pt>
                <c:pt idx="3">
                  <c:v>2026</c:v>
                </c:pt>
                <c:pt idx="4">
                  <c:v>2027</c:v>
                </c:pt>
              </c:numCache>
            </c:numRef>
          </c:cat>
          <c:val>
            <c:numRef>
              <c:extLst>
                <c:ext xmlns:c15="http://schemas.microsoft.com/office/drawing/2012/chart" uri="{02D57815-91ED-43cb-92C2-25804820EDAC}">
                  <c15:fullRef>
                    <c15:sqref>ken!$G$16:$L$16</c15:sqref>
                  </c15:fullRef>
                </c:ext>
              </c:extLst>
              <c:f>ken!$H$16:$L$16</c:f>
              <c:numCache>
                <c:formatCode>_("€"* #,##0_);_("€"* \(#,##0\);_("€"* "-"_);_(@_)</c:formatCode>
                <c:ptCount val="5"/>
                <c:pt idx="0">
                  <c:v>1372.7313151284798</c:v>
                </c:pt>
                <c:pt idx="1">
                  <c:v>1372.7313151284798</c:v>
                </c:pt>
                <c:pt idx="2">
                  <c:v>1372.7313151284798</c:v>
                </c:pt>
                <c:pt idx="3">
                  <c:v>1372.7313151284798</c:v>
                </c:pt>
                <c:pt idx="4">
                  <c:v>1372.7313151284798</c:v>
                </c:pt>
              </c:numCache>
            </c:numRef>
          </c:val>
          <c:extLst>
            <c:ext xmlns:c16="http://schemas.microsoft.com/office/drawing/2014/chart" uri="{C3380CC4-5D6E-409C-BE32-E72D297353CC}">
              <c16:uniqueId val="{00000000-5119-4E0C-A24E-04A9E4FB1E1B}"/>
            </c:ext>
          </c:extLst>
        </c:ser>
        <c:dLbls>
          <c:showLegendKey val="0"/>
          <c:showVal val="1"/>
          <c:showCatName val="0"/>
          <c:showSerName val="0"/>
          <c:showPercent val="0"/>
          <c:showBubbleSize val="0"/>
        </c:dLbls>
        <c:gapWidth val="150"/>
        <c:axId val="637580776"/>
        <c:axId val="637581560"/>
      </c:barChart>
      <c:catAx>
        <c:axId val="63758077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1560"/>
        <c:crosses val="autoZero"/>
        <c:auto val="1"/>
        <c:lblAlgn val="ctr"/>
        <c:lblOffset val="100"/>
        <c:tickLblSkip val="1"/>
        <c:tickMarkSkip val="1"/>
        <c:noMultiLvlLbl val="0"/>
      </c:catAx>
      <c:valAx>
        <c:axId val="6375815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07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58"/>
          <c:y val="3.5714285714285712E-2"/>
        </c:manualLayout>
      </c:layout>
      <c:overlay val="0"/>
      <c:spPr>
        <a:noFill/>
        <a:ln w="25400">
          <a:noFill/>
        </a:ln>
      </c:spPr>
    </c:title>
    <c:autoTitleDeleted val="0"/>
    <c:plotArea>
      <c:layout>
        <c:manualLayout>
          <c:layoutTarget val="inner"/>
          <c:xMode val="edge"/>
          <c:yMode val="edge"/>
          <c:x val="0.18161434977578494"/>
          <c:y val="0.2589293239900855"/>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delete val="1"/>
          </c:dLbls>
          <c:cat>
            <c:numRef>
              <c:extLst>
                <c:ext xmlns:c15="http://schemas.microsoft.com/office/drawing/2012/chart" uri="{02D57815-91ED-43cb-92C2-25804820EDAC}">
                  <c15:fullRef>
                    <c15:sqref>ken!$G$7:$L$7</c15:sqref>
                  </c15:fullRef>
                </c:ext>
              </c:extLst>
              <c:f>ken!$H$7:$L$7</c:f>
              <c:numCache>
                <c:formatCode>0</c:formatCode>
                <c:ptCount val="5"/>
                <c:pt idx="0">
                  <c:v>2023</c:v>
                </c:pt>
                <c:pt idx="1">
                  <c:v>2024</c:v>
                </c:pt>
                <c:pt idx="2">
                  <c:v>2025</c:v>
                </c:pt>
                <c:pt idx="3">
                  <c:v>2026</c:v>
                </c:pt>
                <c:pt idx="4">
                  <c:v>2027</c:v>
                </c:pt>
              </c:numCache>
            </c:numRef>
          </c:cat>
          <c:val>
            <c:numRef>
              <c:extLst>
                <c:ext xmlns:c15="http://schemas.microsoft.com/office/drawing/2012/chart" uri="{02D57815-91ED-43cb-92C2-25804820EDAC}">
                  <c15:fullRef>
                    <c15:sqref>ken!$G$22:$L$22</c15:sqref>
                  </c15:fullRef>
                </c:ext>
              </c:extLst>
              <c:f>ken!$H$22:$L$22</c:f>
              <c:numCache>
                <c:formatCode>_("€"* #,##0_);_("€"* \(#,##0\);_("€"* "-"_);_(@_)</c:formatCode>
                <c:ptCount val="5"/>
                <c:pt idx="0">
                  <c:v>660.12877653340274</c:v>
                </c:pt>
                <c:pt idx="1">
                  <c:v>660.12877653340274</c:v>
                </c:pt>
                <c:pt idx="2">
                  <c:v>660.12877653340274</c:v>
                </c:pt>
                <c:pt idx="3">
                  <c:v>660.12877653340274</c:v>
                </c:pt>
                <c:pt idx="4">
                  <c:v>660.12877653340274</c:v>
                </c:pt>
              </c:numCache>
            </c:numRef>
          </c:val>
          <c:extLst>
            <c:ext xmlns:c16="http://schemas.microsoft.com/office/drawing/2014/chart" uri="{C3380CC4-5D6E-409C-BE32-E72D297353CC}">
              <c16:uniqueId val="{00000000-CE4B-4440-9B0A-24AE0BF68AC6}"/>
            </c:ext>
          </c:extLst>
        </c:ser>
        <c:dLbls>
          <c:showLegendKey val="0"/>
          <c:showVal val="1"/>
          <c:showCatName val="0"/>
          <c:showSerName val="0"/>
          <c:showPercent val="0"/>
          <c:showBubbleSize val="0"/>
        </c:dLbls>
        <c:gapWidth val="150"/>
        <c:axId val="637580384"/>
        <c:axId val="637586264"/>
      </c:barChart>
      <c:catAx>
        <c:axId val="63758038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6264"/>
        <c:crosses val="autoZero"/>
        <c:auto val="1"/>
        <c:lblAlgn val="ctr"/>
        <c:lblOffset val="100"/>
        <c:tickLblSkip val="1"/>
        <c:tickMarkSkip val="1"/>
        <c:noMultiLvlLbl val="0"/>
      </c:catAx>
      <c:valAx>
        <c:axId val="63758626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03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0961992628794019"/>
          <c:y val="0.19881334444162863"/>
          <c:w val="0.85906227948100067"/>
          <c:h val="0.6676567537218872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act!$F$8:$J$8</c:f>
              <c:numCache>
                <c:formatCode>0</c:formatCode>
                <c:ptCount val="5"/>
                <c:pt idx="0">
                  <c:v>2023</c:v>
                </c:pt>
                <c:pt idx="1">
                  <c:v>2024</c:v>
                </c:pt>
                <c:pt idx="2">
                  <c:v>2025</c:v>
                </c:pt>
                <c:pt idx="3">
                  <c:v>2026</c:v>
                </c:pt>
                <c:pt idx="4">
                  <c:v>2027</c:v>
                </c:pt>
              </c:numCache>
            </c:numRef>
          </c:cat>
          <c:val>
            <c:numRef>
              <c:f>act!$F$25:$J$25</c:f>
              <c:numCache>
                <c:formatCode>_-"€"\ * #,##0_-;_-"€"\ * #,##0\-;_-"€"\ * "-"_-;_-@_-</c:formatCode>
                <c:ptCount val="5"/>
                <c:pt idx="0">
                  <c:v>0</c:v>
                </c:pt>
                <c:pt idx="1">
                  <c:v>0</c:v>
                </c:pt>
                <c:pt idx="2">
                  <c:v>0</c:v>
                </c:pt>
                <c:pt idx="3">
                  <c:v>55500</c:v>
                </c:pt>
                <c:pt idx="4">
                  <c:v>0</c:v>
                </c:pt>
              </c:numCache>
            </c:numRef>
          </c:val>
          <c:extLst>
            <c:ext xmlns:c16="http://schemas.microsoft.com/office/drawing/2014/chart" uri="{C3380CC4-5D6E-409C-BE32-E72D297353CC}">
              <c16:uniqueId val="{00000000-4390-47BC-AFA2-C22FD9AD9919}"/>
            </c:ext>
          </c:extLst>
        </c:ser>
        <c:dLbls>
          <c:showLegendKey val="0"/>
          <c:showVal val="1"/>
          <c:showCatName val="0"/>
          <c:showSerName val="0"/>
          <c:showPercent val="0"/>
          <c:showBubbleSize val="0"/>
        </c:dLbls>
        <c:gapWidth val="150"/>
        <c:axId val="637591360"/>
        <c:axId val="637584304"/>
      </c:barChart>
      <c:catAx>
        <c:axId val="63759136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4304"/>
        <c:crosses val="autoZero"/>
        <c:auto val="1"/>
        <c:lblAlgn val="ctr"/>
        <c:lblOffset val="100"/>
        <c:tickLblSkip val="1"/>
        <c:tickMarkSkip val="2"/>
        <c:noMultiLvlLbl val="0"/>
      </c:catAx>
      <c:valAx>
        <c:axId val="63758430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913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Arial" pitchFamily="34" charset="0"/>
                <a:cs typeface="Arial" pitchFamily="34" charset="0"/>
              </a:defRPr>
            </a:pPr>
            <a:r>
              <a:rPr lang="nl-NL" sz="1100" b="1">
                <a:latin typeface="Arial" pitchFamily="34" charset="0"/>
                <a:cs typeface="Arial" pitchFamily="34" charset="0"/>
              </a:rPr>
              <a:t>Loonkosten jaar (peildatum 1 okt.)</a:t>
            </a:r>
          </a:p>
        </c:rich>
      </c:tx>
      <c:overlay val="0"/>
    </c:title>
    <c:autoTitleDeleted val="0"/>
    <c:plotArea>
      <c:layout>
        <c:manualLayout>
          <c:layoutTarget val="inner"/>
          <c:xMode val="edge"/>
          <c:yMode val="edge"/>
          <c:x val="0.17163150693396972"/>
          <c:y val="0.1327593239553857"/>
          <c:w val="0.74824205054800463"/>
          <c:h val="0.67246772114851239"/>
        </c:manualLayout>
      </c:layout>
      <c:barChart>
        <c:barDir val="col"/>
        <c:grouping val="stacked"/>
        <c:varyColors val="0"/>
        <c:ser>
          <c:idx val="2"/>
          <c:order val="0"/>
          <c:tx>
            <c:strRef>
              <c:f>'sal SWV'!$E$230</c:f>
              <c:strCache>
                <c:ptCount val="1"/>
                <c:pt idx="0">
                  <c:v> bruto maandsalaris </c:v>
                </c:pt>
              </c:strCache>
            </c:strRef>
          </c:tx>
          <c:spPr>
            <a:solidFill>
              <a:schemeClr val="accent2"/>
            </a:solidFill>
          </c:spPr>
          <c:invertIfNegative val="0"/>
          <c:cat>
            <c:numRef>
              <c:f>'sal SWV'!$D$232:$D$236</c:f>
              <c:numCache>
                <c:formatCode>General</c:formatCode>
                <c:ptCount val="5"/>
                <c:pt idx="0">
                  <c:v>2023</c:v>
                </c:pt>
                <c:pt idx="1">
                  <c:v>2024</c:v>
                </c:pt>
                <c:pt idx="2">
                  <c:v>2025</c:v>
                </c:pt>
                <c:pt idx="3">
                  <c:v>2026</c:v>
                </c:pt>
                <c:pt idx="4">
                  <c:v>2027</c:v>
                </c:pt>
              </c:numCache>
            </c:numRef>
          </c:cat>
          <c:val>
            <c:numRef>
              <c:f>'sal SWV'!$E$232:$E$236</c:f>
              <c:numCache>
                <c:formatCode>_-"€"\ * #,##0_-;_-"€"\ * #,##0\-;_-"€"\ * "-"??_-;_-@_-</c:formatCode>
                <c:ptCount val="5"/>
                <c:pt idx="0" formatCode="_(&quot;€&quot;* #,##0_);_(&quot;€&quot;* \(#,##0\);_(&quot;€&quot;* &quot;-&quot;_);_(@_)">
                  <c:v>51948</c:v>
                </c:pt>
                <c:pt idx="1">
                  <c:v>55452</c:v>
                </c:pt>
                <c:pt idx="2">
                  <c:v>59256</c:v>
                </c:pt>
                <c:pt idx="3">
                  <c:v>63408</c:v>
                </c:pt>
                <c:pt idx="4">
                  <c:v>67884</c:v>
                </c:pt>
              </c:numCache>
            </c:numRef>
          </c:val>
          <c:extLst>
            <c:ext xmlns:c16="http://schemas.microsoft.com/office/drawing/2014/chart" uri="{C3380CC4-5D6E-409C-BE32-E72D297353CC}">
              <c16:uniqueId val="{00000000-4A5A-453F-A0BD-0EDC34F3CFAE}"/>
            </c:ext>
          </c:extLst>
        </c:ser>
        <c:ser>
          <c:idx val="3"/>
          <c:order val="1"/>
          <c:tx>
            <c:strRef>
              <c:f>'sal SWV'!$F$230</c:f>
              <c:strCache>
                <c:ptCount val="1"/>
                <c:pt idx="0">
                  <c:v>werkgeverslasten</c:v>
                </c:pt>
              </c:strCache>
            </c:strRef>
          </c:tx>
          <c:spPr>
            <a:solidFill>
              <a:schemeClr val="accent3"/>
            </a:solidFill>
          </c:spPr>
          <c:invertIfNegative val="0"/>
          <c:cat>
            <c:numRef>
              <c:f>'sal SWV'!$D$232:$D$236</c:f>
              <c:numCache>
                <c:formatCode>General</c:formatCode>
                <c:ptCount val="5"/>
                <c:pt idx="0">
                  <c:v>2023</c:v>
                </c:pt>
                <c:pt idx="1">
                  <c:v>2024</c:v>
                </c:pt>
                <c:pt idx="2">
                  <c:v>2025</c:v>
                </c:pt>
                <c:pt idx="3">
                  <c:v>2026</c:v>
                </c:pt>
                <c:pt idx="4">
                  <c:v>2027</c:v>
                </c:pt>
              </c:numCache>
            </c:numRef>
          </c:cat>
          <c:val>
            <c:numRef>
              <c:f>'sal SWV'!$F$232:$F$236</c:f>
              <c:numCache>
                <c:formatCode>_-"€"\ * #,##0_-;_-"€"\ * #,##0\-;_-"€"\ * "-"??_-;_-@_-</c:formatCode>
                <c:ptCount val="5"/>
                <c:pt idx="0" formatCode="_(&quot;€&quot;* #,##0_);_(&quot;€&quot;* \(#,##0\);_(&quot;€&quot;* &quot;-&quot;_);_(@_)">
                  <c:v>31168.800000000007</c:v>
                </c:pt>
                <c:pt idx="1">
                  <c:v>33271.200000000004</c:v>
                </c:pt>
                <c:pt idx="2">
                  <c:v>35553.600000000006</c:v>
                </c:pt>
                <c:pt idx="3">
                  <c:v>38044.800000000003</c:v>
                </c:pt>
                <c:pt idx="4">
                  <c:v>40730.400000000009</c:v>
                </c:pt>
              </c:numCache>
            </c:numRef>
          </c:val>
          <c:extLst>
            <c:ext xmlns:c16="http://schemas.microsoft.com/office/drawing/2014/chart" uri="{C3380CC4-5D6E-409C-BE32-E72D297353CC}">
              <c16:uniqueId val="{00000001-4A5A-453F-A0BD-0EDC34F3CFAE}"/>
            </c:ext>
          </c:extLst>
        </c:ser>
        <c:ser>
          <c:idx val="4"/>
          <c:order val="2"/>
          <c:tx>
            <c:strRef>
              <c:f>'sal SWV'!$G$230</c:f>
              <c:strCache>
                <c:ptCount val="1"/>
                <c:pt idx="0">
                  <c:v> LFB-PB </c:v>
                </c:pt>
              </c:strCache>
            </c:strRef>
          </c:tx>
          <c:spPr>
            <a:solidFill>
              <a:schemeClr val="accent4"/>
            </a:solidFill>
          </c:spPr>
          <c:invertIfNegative val="0"/>
          <c:cat>
            <c:numRef>
              <c:f>'sal SWV'!$D$232:$D$236</c:f>
              <c:numCache>
                <c:formatCode>General</c:formatCode>
                <c:ptCount val="5"/>
                <c:pt idx="0">
                  <c:v>2023</c:v>
                </c:pt>
                <c:pt idx="1">
                  <c:v>2024</c:v>
                </c:pt>
                <c:pt idx="2">
                  <c:v>2025</c:v>
                </c:pt>
                <c:pt idx="3">
                  <c:v>2026</c:v>
                </c:pt>
                <c:pt idx="4">
                  <c:v>2027</c:v>
                </c:pt>
              </c:numCache>
            </c:numRef>
          </c:cat>
          <c:val>
            <c:numRef>
              <c:f>'sal SWV'!$G$232:$G$236</c:f>
              <c:numCache>
                <c:formatCode>_-"€"\ * #,##0_-;_-"€"\ * #,##0\-;_-"€"\ * "-"??_-;_-@_-</c:formatCode>
                <c:ptCount val="5"/>
                <c:pt idx="0">
                  <c:v>2505.0271247739602</c:v>
                </c:pt>
                <c:pt idx="1">
                  <c:v>2673.996383363472</c:v>
                </c:pt>
                <c:pt idx="2">
                  <c:v>2857.4321880650996</c:v>
                </c:pt>
                <c:pt idx="3">
                  <c:v>3057.6491862567814</c:v>
                </c:pt>
                <c:pt idx="4">
                  <c:v>3273.4900542495479</c:v>
                </c:pt>
              </c:numCache>
            </c:numRef>
          </c:val>
          <c:extLst>
            <c:ext xmlns:c16="http://schemas.microsoft.com/office/drawing/2014/chart" uri="{C3380CC4-5D6E-409C-BE32-E72D297353CC}">
              <c16:uniqueId val="{00000002-4A5A-453F-A0BD-0EDC34F3CFAE}"/>
            </c:ext>
          </c:extLst>
        </c:ser>
        <c:ser>
          <c:idx val="0"/>
          <c:order val="3"/>
          <c:tx>
            <c:strRef>
              <c:f>'sal SWV'!$H$230</c:f>
              <c:strCache>
                <c:ptCount val="1"/>
                <c:pt idx="0">
                  <c:v> jubilea </c:v>
                </c:pt>
              </c:strCache>
            </c:strRef>
          </c:tx>
          <c:invertIfNegative val="0"/>
          <c:cat>
            <c:numRef>
              <c:f>'sal SWV'!$D$232:$D$236</c:f>
              <c:numCache>
                <c:formatCode>General</c:formatCode>
                <c:ptCount val="5"/>
                <c:pt idx="0">
                  <c:v>2023</c:v>
                </c:pt>
                <c:pt idx="1">
                  <c:v>2024</c:v>
                </c:pt>
                <c:pt idx="2">
                  <c:v>2025</c:v>
                </c:pt>
                <c:pt idx="3">
                  <c:v>2026</c:v>
                </c:pt>
                <c:pt idx="4">
                  <c:v>2027</c:v>
                </c:pt>
              </c:numCache>
            </c:numRef>
          </c:cat>
          <c:val>
            <c:numRef>
              <c:f>'sal SWV'!$H$232:$H$236</c:f>
              <c:numCache>
                <c:formatCode>_-"€"\ * #,##0_-;_-"€"\ * #,##0\-;_-"€"\ * "-"??_-;_-@_-</c:formatCode>
                <c:ptCount val="5"/>
                <c:pt idx="0">
                  <c:v>0</c:v>
                </c:pt>
                <c:pt idx="1">
                  <c:v>0</c:v>
                </c:pt>
                <c:pt idx="2">
                  <c:v>2666.52</c:v>
                </c:pt>
                <c:pt idx="3">
                  <c:v>0</c:v>
                </c:pt>
                <c:pt idx="4">
                  <c:v>0</c:v>
                </c:pt>
              </c:numCache>
            </c:numRef>
          </c:val>
          <c:extLst>
            <c:ext xmlns:c16="http://schemas.microsoft.com/office/drawing/2014/chart" uri="{C3380CC4-5D6E-409C-BE32-E72D297353CC}">
              <c16:uniqueId val="{00000003-4A5A-453F-A0BD-0EDC34F3CFAE}"/>
            </c:ext>
          </c:extLst>
        </c:ser>
        <c:dLbls>
          <c:showLegendKey val="0"/>
          <c:showVal val="0"/>
          <c:showCatName val="0"/>
          <c:showSerName val="0"/>
          <c:showPercent val="0"/>
          <c:showBubbleSize val="0"/>
        </c:dLbls>
        <c:gapWidth val="55"/>
        <c:overlap val="100"/>
        <c:axId val="637585088"/>
        <c:axId val="637581952"/>
        <c:extLst/>
      </c:barChart>
      <c:catAx>
        <c:axId val="637585088"/>
        <c:scaling>
          <c:orientation val="minMax"/>
        </c:scaling>
        <c:delete val="0"/>
        <c:axPos val="b"/>
        <c:numFmt formatCode="General" sourceLinked="1"/>
        <c:majorTickMark val="none"/>
        <c:minorTickMark val="none"/>
        <c:tickLblPos val="nextTo"/>
        <c:txPr>
          <a:bodyPr rot="0" vert="horz"/>
          <a:lstStyle/>
          <a:p>
            <a:pPr>
              <a:defRPr/>
            </a:pPr>
            <a:endParaRPr lang="nl-NL"/>
          </a:p>
        </c:txPr>
        <c:crossAx val="637581952"/>
        <c:crosses val="autoZero"/>
        <c:auto val="1"/>
        <c:lblAlgn val="ctr"/>
        <c:lblOffset val="100"/>
        <c:noMultiLvlLbl val="0"/>
      </c:catAx>
      <c:valAx>
        <c:axId val="637581952"/>
        <c:scaling>
          <c:orientation val="minMax"/>
        </c:scaling>
        <c:delete val="0"/>
        <c:axPos val="l"/>
        <c:majorGridlines/>
        <c:numFmt formatCode="_(&quot;€&quot;* #,##0_);_(&quot;€&quot;* \(#,##0\);_(&quot;€&quot;* &quot;-&quot;_);_(@_)" sourceLinked="1"/>
        <c:majorTickMark val="none"/>
        <c:minorTickMark val="none"/>
        <c:tickLblPos val="nextTo"/>
        <c:txPr>
          <a:bodyPr rot="0" vert="horz"/>
          <a:lstStyle/>
          <a:p>
            <a:pPr>
              <a:defRPr/>
            </a:pPr>
            <a:endParaRPr lang="nl-NL"/>
          </a:p>
        </c:txPr>
        <c:crossAx val="637585088"/>
        <c:crosses val="autoZero"/>
        <c:crossBetween val="between"/>
      </c:valAx>
    </c:plotArea>
    <c:legend>
      <c:legendPos val="b"/>
      <c:overlay val="0"/>
    </c:legend>
    <c:plotVisOnly val="1"/>
    <c:dispBlanksAs val="gap"/>
    <c:showDLblsOverMax val="0"/>
  </c:chart>
  <c:spPr>
    <a:ln w="9525">
      <a:solidFill>
        <a:srgbClr val="000000"/>
      </a:solidFill>
    </a:ln>
  </c:spPr>
  <c:printSettings>
    <c:headerFooter/>
    <c:pageMargins b="0.75" l="0.7" r="0.7" t="0.75" header="0.3" footer="0.3"/>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tx>
            <c:strRef>
              <c:f>bal!$D$63</c:f>
              <c:strCache>
                <c:ptCount val="1"/>
                <c:pt idx="0">
                  <c:v>Solvabiliteit 2</c:v>
                </c:pt>
              </c:strCache>
            </c:strRef>
          </c:tx>
          <c:spPr>
            <a:solidFill>
              <a:srgbClr val="FF99CC"/>
            </a:solidFill>
            <a:ln w="12700">
              <a:solidFill>
                <a:srgbClr val="000000"/>
              </a:solidFill>
              <a:prstDash val="solid"/>
            </a:ln>
          </c:spPr>
          <c:invertIfNegative val="0"/>
          <c:dLbls>
            <c:delete val="1"/>
          </c:dLbls>
          <c:cat>
            <c:numRef>
              <c:extLst>
                <c:ext xmlns:c15="http://schemas.microsoft.com/office/drawing/2012/chart" uri="{02D57815-91ED-43cb-92C2-25804820EDAC}">
                  <c15:fullRef>
                    <c15:sqref>bal!$G$61:$L$61</c15:sqref>
                  </c15:fullRef>
                </c:ext>
              </c:extLst>
              <c:f>bal!$H$61:$L$61</c:f>
              <c:numCache>
                <c:formatCode>General</c:formatCode>
                <c:ptCount val="5"/>
                <c:pt idx="0">
                  <c:v>2023</c:v>
                </c:pt>
                <c:pt idx="1">
                  <c:v>2024</c:v>
                </c:pt>
                <c:pt idx="2">
                  <c:v>2025</c:v>
                </c:pt>
                <c:pt idx="3">
                  <c:v>2026</c:v>
                </c:pt>
                <c:pt idx="4">
                  <c:v>2027</c:v>
                </c:pt>
              </c:numCache>
            </c:numRef>
          </c:cat>
          <c:val>
            <c:numRef>
              <c:extLst>
                <c:ext xmlns:c15="http://schemas.microsoft.com/office/drawing/2012/chart" uri="{02D57815-91ED-43cb-92C2-25804820EDAC}">
                  <c15:fullRef>
                    <c15:sqref>bal!$G$63:$L$63</c15:sqref>
                  </c15:fullRef>
                </c:ext>
              </c:extLst>
              <c:f>bal!$H$63:$L$63</c:f>
              <c:numCache>
                <c:formatCode>0.0%</c:formatCode>
                <c:ptCount val="5"/>
                <c:pt idx="0">
                  <c:v>1</c:v>
                </c:pt>
                <c:pt idx="1">
                  <c:v>1</c:v>
                </c:pt>
                <c:pt idx="2">
                  <c:v>1</c:v>
                </c:pt>
                <c:pt idx="3">
                  <c:v>1</c:v>
                </c:pt>
                <c:pt idx="4">
                  <c:v>1</c:v>
                </c:pt>
              </c:numCache>
            </c:numRef>
          </c:val>
          <c:extLst>
            <c:ext xmlns:c16="http://schemas.microsoft.com/office/drawing/2014/chart" uri="{C3380CC4-5D6E-409C-BE32-E72D297353CC}">
              <c16:uniqueId val="{00000000-F356-4DC4-A972-FE463402EAFE}"/>
            </c:ext>
          </c:extLst>
        </c:ser>
        <c:dLbls>
          <c:showLegendKey val="0"/>
          <c:showVal val="1"/>
          <c:showCatName val="0"/>
          <c:showSerName val="0"/>
          <c:showPercent val="0"/>
          <c:showBubbleSize val="0"/>
        </c:dLbls>
        <c:gapWidth val="150"/>
        <c:axId val="637587048"/>
        <c:axId val="637582736"/>
      </c:barChart>
      <c:catAx>
        <c:axId val="637587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2736"/>
        <c:crosses val="autoZero"/>
        <c:auto val="1"/>
        <c:lblAlgn val="ctr"/>
        <c:lblOffset val="100"/>
        <c:tickLblSkip val="1"/>
        <c:tickMarkSkip val="1"/>
        <c:noMultiLvlLbl val="0"/>
      </c:catAx>
      <c:valAx>
        <c:axId val="637582736"/>
        <c:scaling>
          <c:orientation val="minMax"/>
          <c:max val="1"/>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375870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tab!$C$4:$H$4</c:f>
              <c:numCache>
                <c:formatCode>0</c:formatCode>
                <c:ptCount val="6"/>
                <c:pt idx="0">
                  <c:v>2023</c:v>
                </c:pt>
                <c:pt idx="1">
                  <c:v>2024</c:v>
                </c:pt>
                <c:pt idx="2">
                  <c:v>2025</c:v>
                </c:pt>
                <c:pt idx="3">
                  <c:v>2026</c:v>
                </c:pt>
                <c:pt idx="4">
                  <c:v>2027</c:v>
                </c:pt>
                <c:pt idx="5">
                  <c:v>2028</c:v>
                </c:pt>
              </c:numCache>
            </c:numRef>
          </c:cat>
          <c:val>
            <c:numRef>
              <c:f>begr!$H$23:$L$23</c:f>
              <c:numCache>
                <c:formatCode>_-"€"\ * #,##0_-;_-"€"\ * #,##0\-;_-"€"\ * "-"_-;_-@_-</c:formatCode>
                <c:ptCount val="5"/>
                <c:pt idx="0">
                  <c:v>21082407.537743192</c:v>
                </c:pt>
                <c:pt idx="1">
                  <c:v>21082407.537743192</c:v>
                </c:pt>
                <c:pt idx="2">
                  <c:v>21082407.537743192</c:v>
                </c:pt>
                <c:pt idx="3">
                  <c:v>21082407.537743192</c:v>
                </c:pt>
                <c:pt idx="4">
                  <c:v>21082407.537743192</c:v>
                </c:pt>
              </c:numCache>
            </c:numRef>
          </c:val>
          <c:extLst>
            <c:ext xmlns:c16="http://schemas.microsoft.com/office/drawing/2014/chart" uri="{C3380CC4-5D6E-409C-BE32-E72D297353CC}">
              <c16:uniqueId val="{00000000-83BC-4449-BD8E-0D2946ED53D9}"/>
            </c:ext>
          </c:extLst>
        </c:ser>
        <c:ser>
          <c:idx val="1"/>
          <c:order val="1"/>
          <c:tx>
            <c:v>lasten</c:v>
          </c:tx>
          <c:spPr>
            <a:solidFill>
              <a:srgbClr val="FFCC99"/>
            </a:solidFill>
            <a:ln w="12700">
              <a:solidFill>
                <a:srgbClr val="000000"/>
              </a:solidFill>
              <a:prstDash val="solid"/>
            </a:ln>
          </c:spPr>
          <c:invertIfNegative val="0"/>
          <c:cat>
            <c:numRef>
              <c:f>tab!$C$4:$H$4</c:f>
              <c:numCache>
                <c:formatCode>0</c:formatCode>
                <c:ptCount val="6"/>
                <c:pt idx="0">
                  <c:v>2023</c:v>
                </c:pt>
                <c:pt idx="1">
                  <c:v>2024</c:v>
                </c:pt>
                <c:pt idx="2">
                  <c:v>2025</c:v>
                </c:pt>
                <c:pt idx="3">
                  <c:v>2026</c:v>
                </c:pt>
                <c:pt idx="4">
                  <c:v>2027</c:v>
                </c:pt>
                <c:pt idx="5">
                  <c:v>2028</c:v>
                </c:pt>
              </c:numCache>
            </c:numRef>
          </c:cat>
          <c:val>
            <c:numRef>
              <c:f>begr!$H$35:$L$35</c:f>
              <c:numCache>
                <c:formatCode>_-"€"\ * #,##0_-;_-"€"\ * #,##0\-;_-"€"\ * "-"_-;_-@_-</c:formatCode>
                <c:ptCount val="5"/>
                <c:pt idx="0">
                  <c:v>10138257.75</c:v>
                </c:pt>
                <c:pt idx="1">
                  <c:v>10138257.75</c:v>
                </c:pt>
                <c:pt idx="2">
                  <c:v>10138257.75</c:v>
                </c:pt>
                <c:pt idx="3">
                  <c:v>10138257.75</c:v>
                </c:pt>
                <c:pt idx="4">
                  <c:v>10138257.75</c:v>
                </c:pt>
              </c:numCache>
            </c:numRef>
          </c:val>
          <c:extLst>
            <c:ext xmlns:c16="http://schemas.microsoft.com/office/drawing/2014/chart" uri="{C3380CC4-5D6E-409C-BE32-E72D297353CC}">
              <c16:uniqueId val="{00000001-83BC-4449-BD8E-0D2946ED53D9}"/>
            </c:ext>
          </c:extLst>
        </c:ser>
        <c:dLbls>
          <c:showLegendKey val="0"/>
          <c:showVal val="0"/>
          <c:showCatName val="0"/>
          <c:showSerName val="0"/>
          <c:showPercent val="0"/>
          <c:showBubbleSize val="0"/>
        </c:dLbls>
        <c:gapWidth val="150"/>
        <c:axId val="514435144"/>
        <c:axId val="514437888"/>
      </c:barChart>
      <c:catAx>
        <c:axId val="5144351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7888"/>
        <c:crosses val="autoZero"/>
        <c:auto val="1"/>
        <c:lblAlgn val="ctr"/>
        <c:lblOffset val="100"/>
        <c:tickLblSkip val="1"/>
        <c:tickMarkSkip val="1"/>
        <c:noMultiLvlLbl val="0"/>
      </c:catAx>
      <c:valAx>
        <c:axId val="51443788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14435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extLst>
            <c:ext xmlns:c16="http://schemas.microsoft.com/office/drawing/2014/chart" uri="{C3380CC4-5D6E-409C-BE32-E72D297353CC}">
              <c16:uniqueId val="{00000000-2A09-4337-A93A-D1CA96399B65}"/>
            </c:ext>
          </c:extLst>
        </c:ser>
        <c:dLbls>
          <c:showLegendKey val="0"/>
          <c:showVal val="1"/>
          <c:showCatName val="0"/>
          <c:showSerName val="0"/>
          <c:showPercent val="0"/>
          <c:showBubbleSize val="0"/>
        </c:dLbls>
        <c:gapWidth val="150"/>
        <c:axId val="514438280"/>
        <c:axId val="332069416"/>
      </c:barChart>
      <c:catAx>
        <c:axId val="514438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2069416"/>
        <c:crosses val="autoZero"/>
        <c:auto val="1"/>
        <c:lblAlgn val="ctr"/>
        <c:lblOffset val="100"/>
        <c:tickLblSkip val="1"/>
        <c:tickMarkSkip val="1"/>
        <c:noMultiLvlLbl val="0"/>
      </c:catAx>
      <c:valAx>
        <c:axId val="33206941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144382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extLst>
            <c:ext xmlns:c16="http://schemas.microsoft.com/office/drawing/2014/chart" uri="{C3380CC4-5D6E-409C-BE32-E72D297353CC}">
              <c16:uniqueId val="{00000000-8C09-450B-8466-FCFCF99FF9B6}"/>
            </c:ext>
          </c:extLst>
        </c:ser>
        <c:dLbls>
          <c:showLegendKey val="0"/>
          <c:showVal val="1"/>
          <c:showCatName val="0"/>
          <c:showSerName val="0"/>
          <c:showPercent val="0"/>
          <c:showBubbleSize val="0"/>
        </c:dLbls>
        <c:gapWidth val="150"/>
        <c:axId val="332072944"/>
        <c:axId val="332072552"/>
      </c:barChart>
      <c:catAx>
        <c:axId val="33207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2072552"/>
        <c:crosses val="autoZero"/>
        <c:auto val="1"/>
        <c:lblAlgn val="ctr"/>
        <c:lblOffset val="100"/>
        <c:tickLblSkip val="1"/>
        <c:tickMarkSkip val="1"/>
        <c:noMultiLvlLbl val="0"/>
      </c:catAx>
      <c:valAx>
        <c:axId val="3320725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20729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dLbls>
          <c:showLegendKey val="0"/>
          <c:showVal val="1"/>
          <c:showCatName val="0"/>
          <c:showSerName val="0"/>
          <c:showPercent val="0"/>
          <c:showBubbleSize val="0"/>
        </c:dLbls>
        <c:gapWidth val="150"/>
        <c:axId val="332073336"/>
        <c:axId val="332067848"/>
        <c:extLst>
          <c:ext xmlns:c15="http://schemas.microsoft.com/office/drawing/2012/chart" uri="{02D57815-91ED-43cb-92C2-25804820EDAC}">
            <c15:filteredBarSeries>
              <c15:ser>
                <c:idx val="0"/>
                <c:order val="0"/>
                <c:spPr>
                  <a:solidFill>
                    <a:srgbClr val="FF99CC"/>
                  </a:solidFill>
                  <a:ln w="12700">
                    <a:solidFill>
                      <a:srgbClr val="000000"/>
                    </a:solidFill>
                    <a:prstDash val="solid"/>
                  </a:ln>
                </c:spPr>
                <c:invertIfNegative val="0"/>
                <c:dLbls>
                  <c:delete val="1"/>
                </c:dLbls>
                <c:cat>
                  <c:numRef>
                    <c:extLst>
                      <c:ext uri="{02D57815-91ED-43cb-92C2-25804820EDAC}">
                        <c15:fullRef>
                          <c15:sqref>bal!$G$61:$L$61</c15:sqref>
                        </c15:fullRef>
                        <c15:formulaRef>
                          <c15:sqref>bal!$H$61:$L$61</c15:sqref>
                        </c15:formulaRef>
                      </c:ext>
                    </c:extLst>
                    <c:numCache>
                      <c:formatCode>General</c:formatCode>
                      <c:ptCount val="5"/>
                      <c:pt idx="0">
                        <c:v>2023</c:v>
                      </c:pt>
                      <c:pt idx="1">
                        <c:v>2024</c:v>
                      </c:pt>
                      <c:pt idx="2">
                        <c:v>2025</c:v>
                      </c:pt>
                      <c:pt idx="3">
                        <c:v>2026</c:v>
                      </c:pt>
                      <c:pt idx="4">
                        <c:v>2027</c:v>
                      </c:pt>
                    </c:numCache>
                  </c:numRef>
                </c:cat>
                <c:val>
                  <c:numRef>
                    <c:extLst>
                      <c:ext uri="{02D57815-91ED-43cb-92C2-25804820EDAC}">
                        <c15:fullRef>
                          <c15:sqref>bal!#REF!</c15:sqref>
                        </c15:fullRef>
                        <c15:formulaRef>
                          <c15:sqref>bal!#REF!</c15:sqref>
                        </c15:formulaRef>
                      </c:ext>
                    </c:extLst>
                    <c:numCache>
                      <c:formatCode>General</c:formatCode>
                      <c:ptCount val="0"/>
                    </c:numCache>
                  </c:numRef>
                </c:val>
                <c:extLst>
                  <c:ext uri="{02D57815-91ED-43cb-92C2-25804820EDAC}">
                    <c15:filteredSeriesTitle>
                      <c15:tx>
                        <c:strRef>
                          <c:extLst>
                            <c:ext uri="{02D57815-91ED-43cb-92C2-25804820EDAC}">
                              <c15:formulaRef>
                                <c15:sqref>bal!#REF!</c15:sqref>
                              </c15:formulaRef>
                            </c:ext>
                          </c:extLst>
                          <c:strCache>
                            <c:ptCount val="1"/>
                            <c:pt idx="0">
                              <c:v>#REF!</c:v>
                            </c:pt>
                          </c:strCache>
                        </c:strRef>
                      </c15:tx>
                    </c15:filteredSeriesTitle>
                  </c:ext>
                  <c:ext xmlns:c16="http://schemas.microsoft.com/office/drawing/2014/chart" uri="{C3380CC4-5D6E-409C-BE32-E72D297353CC}">
                    <c16:uniqueId val="{00000000-8AE4-40D5-B933-237ED847290E}"/>
                  </c:ext>
                </c:extLst>
              </c15:ser>
            </c15:filteredBarSeries>
          </c:ext>
        </c:extLst>
      </c:barChart>
      <c:catAx>
        <c:axId val="332073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2067848"/>
        <c:crosses val="autoZero"/>
        <c:auto val="1"/>
        <c:lblAlgn val="ctr"/>
        <c:lblOffset val="100"/>
        <c:tickLblSkip val="1"/>
        <c:tickMarkSkip val="1"/>
        <c:noMultiLvlLbl val="0"/>
      </c:catAx>
      <c:valAx>
        <c:axId val="332067848"/>
        <c:scaling>
          <c:orientation val="minMax"/>
          <c:max val="1"/>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20733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36"/>
        </c:manualLayout>
      </c:layout>
      <c:barChart>
        <c:barDir val="col"/>
        <c:grouping val="clustered"/>
        <c:varyColors val="0"/>
        <c:ser>
          <c:idx val="0"/>
          <c:order val="0"/>
          <c:tx>
            <c:strRef>
              <c:f>bal!$D$64</c:f>
              <c:strCache>
                <c:ptCount val="1"/>
                <c:pt idx="0">
                  <c:v>Liquiditeit (klein, middel, groot)  &lt; dan</c:v>
                </c:pt>
              </c:strCache>
            </c:strRef>
          </c:tx>
          <c:spPr>
            <a:solidFill>
              <a:srgbClr val="FF99CC"/>
            </a:solidFill>
            <a:ln w="12700">
              <a:solidFill>
                <a:srgbClr val="000000"/>
              </a:solidFill>
              <a:prstDash val="solid"/>
            </a:ln>
          </c:spPr>
          <c:invertIfNegative val="0"/>
          <c:dLbls>
            <c:delete val="1"/>
          </c:dLbls>
          <c:cat>
            <c:numRef>
              <c:extLst>
                <c:ext xmlns:c15="http://schemas.microsoft.com/office/drawing/2012/chart" uri="{02D57815-91ED-43cb-92C2-25804820EDAC}">
                  <c15:fullRef>
                    <c15:sqref>bal!$H$61:$L$61</c15:sqref>
                  </c15:fullRef>
                </c:ext>
              </c:extLst>
              <c:f>bal!$H$61:$L$61</c:f>
              <c:numCache>
                <c:formatCode>General</c:formatCode>
                <c:ptCount val="5"/>
                <c:pt idx="0">
                  <c:v>2023</c:v>
                </c:pt>
                <c:pt idx="1">
                  <c:v>2024</c:v>
                </c:pt>
                <c:pt idx="2">
                  <c:v>2025</c:v>
                </c:pt>
                <c:pt idx="3">
                  <c:v>2026</c:v>
                </c:pt>
                <c:pt idx="4">
                  <c:v>2027</c:v>
                </c:pt>
              </c:numCache>
            </c:numRef>
          </c:cat>
          <c:val>
            <c:numRef>
              <c:extLst>
                <c:ext xmlns:c15="http://schemas.microsoft.com/office/drawing/2012/chart" uri="{02D57815-91ED-43cb-92C2-25804820EDAC}">
                  <c15:fullRef>
                    <c15:sqref>bal!$H$64:$L$64</c15:sqref>
                  </c15:fullRef>
                </c:ext>
              </c:extLst>
              <c:f>bal!$H$64:$L$64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FBE9-4D90-AB19-ABE82B5200CD}"/>
            </c:ext>
          </c:extLst>
        </c:ser>
        <c:dLbls>
          <c:showLegendKey val="0"/>
          <c:showVal val="1"/>
          <c:showCatName val="0"/>
          <c:showSerName val="0"/>
          <c:showPercent val="0"/>
          <c:showBubbleSize val="0"/>
        </c:dLbls>
        <c:gapWidth val="150"/>
        <c:axId val="362709968"/>
        <c:axId val="362711144"/>
      </c:barChart>
      <c:catAx>
        <c:axId val="36270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11144"/>
        <c:crosses val="autoZero"/>
        <c:auto val="1"/>
        <c:lblAlgn val="ctr"/>
        <c:lblOffset val="100"/>
        <c:tickLblSkip val="1"/>
        <c:tickMarkSkip val="1"/>
        <c:noMultiLvlLbl val="0"/>
      </c:catAx>
      <c:valAx>
        <c:axId val="362711144"/>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099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1"/>
          <c:order val="0"/>
          <c:tx>
            <c:strRef>
              <c:f>bal!$D$65</c:f>
              <c:strCache>
                <c:ptCount val="1"/>
                <c:pt idx="0">
                  <c:v>Rentabiliteit</c:v>
                </c:pt>
              </c:strCache>
            </c:strRef>
          </c:tx>
          <c:invertIfNegative val="0"/>
          <c:cat>
            <c:numRef>
              <c:extLst>
                <c:ext xmlns:c15="http://schemas.microsoft.com/office/drawing/2012/chart" uri="{02D57815-91ED-43cb-92C2-25804820EDAC}">
                  <c15:fullRef>
                    <c15:sqref>bal!$G$8:$L$8</c15:sqref>
                  </c15:fullRef>
                </c:ext>
              </c:extLst>
              <c:f>bal!$H$8:$L$8</c:f>
              <c:numCache>
                <c:formatCode>0</c:formatCode>
                <c:ptCount val="5"/>
                <c:pt idx="0">
                  <c:v>2023</c:v>
                </c:pt>
                <c:pt idx="1">
                  <c:v>2024</c:v>
                </c:pt>
                <c:pt idx="2">
                  <c:v>2025</c:v>
                </c:pt>
                <c:pt idx="3">
                  <c:v>2026</c:v>
                </c:pt>
                <c:pt idx="4">
                  <c:v>2027</c:v>
                </c:pt>
              </c:numCache>
            </c:numRef>
          </c:cat>
          <c:val>
            <c:numRef>
              <c:extLst>
                <c:ext xmlns:c15="http://schemas.microsoft.com/office/drawing/2012/chart" uri="{02D57815-91ED-43cb-92C2-25804820EDAC}">
                  <c15:fullRef>
                    <c15:sqref>bal!$G$65:$L$65</c15:sqref>
                  </c15:fullRef>
                </c:ext>
              </c:extLst>
              <c:f>bal!$H$65:$L$65</c:f>
              <c:numCache>
                <c:formatCode>0.0%</c:formatCode>
                <c:ptCount val="5"/>
                <c:pt idx="0">
                  <c:v>0.51911290340774474</c:v>
                </c:pt>
                <c:pt idx="1">
                  <c:v>0.51911290340774474</c:v>
                </c:pt>
                <c:pt idx="2">
                  <c:v>0.51911290340774474</c:v>
                </c:pt>
                <c:pt idx="3">
                  <c:v>0.51911290340774474</c:v>
                </c:pt>
                <c:pt idx="4">
                  <c:v>0.51911290340774474</c:v>
                </c:pt>
              </c:numCache>
            </c:numRef>
          </c:val>
          <c:extLst>
            <c:ext xmlns:c16="http://schemas.microsoft.com/office/drawing/2014/chart" uri="{C3380CC4-5D6E-409C-BE32-E72D297353CC}">
              <c16:uniqueId val="{00000000-4838-48E5-96F4-C08BBDC7DBE6}"/>
            </c:ext>
          </c:extLst>
        </c:ser>
        <c:dLbls>
          <c:showLegendKey val="0"/>
          <c:showVal val="0"/>
          <c:showCatName val="0"/>
          <c:showSerName val="0"/>
          <c:showPercent val="0"/>
          <c:showBubbleSize val="0"/>
        </c:dLbls>
        <c:gapWidth val="150"/>
        <c:axId val="362710360"/>
        <c:axId val="362711536"/>
      </c:barChart>
      <c:catAx>
        <c:axId val="36271036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11536"/>
        <c:crosses val="autoZero"/>
        <c:auto val="1"/>
        <c:lblAlgn val="ctr"/>
        <c:lblOffset val="100"/>
        <c:tickLblSkip val="1"/>
        <c:tickMarkSkip val="1"/>
        <c:noMultiLvlLbl val="0"/>
      </c:catAx>
      <c:valAx>
        <c:axId val="3627115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103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565983854113655"/>
          <c:y val="0.20229059686775686"/>
          <c:w val="0.81026874026569939"/>
          <c:h val="0.66863905325444806"/>
        </c:manualLayout>
      </c:layout>
      <c:barChart>
        <c:barDir val="col"/>
        <c:grouping val="clustered"/>
        <c:varyColors val="0"/>
        <c:ser>
          <c:idx val="0"/>
          <c:order val="0"/>
          <c:tx>
            <c:strRef>
              <c:f>bal!$D$66</c:f>
              <c:strCache>
                <c:ptCount val="1"/>
                <c:pt idx="0">
                  <c:v>Weerstandsvermogen (EV / totale lasten)</c:v>
                </c:pt>
              </c:strCache>
            </c:strRef>
          </c:tx>
          <c:spPr>
            <a:solidFill>
              <a:srgbClr val="FF99CC"/>
            </a:solidFill>
            <a:ln w="12700">
              <a:solidFill>
                <a:srgbClr val="000000"/>
              </a:solidFill>
              <a:prstDash val="solid"/>
            </a:ln>
          </c:spPr>
          <c:invertIfNegative val="0"/>
          <c:dLbls>
            <c:delete val="1"/>
          </c:dLbls>
          <c:cat>
            <c:numRef>
              <c:f>bal!$H$61:$L$61</c:f>
              <c:numCache>
                <c:formatCode>General</c:formatCode>
                <c:ptCount val="5"/>
                <c:pt idx="0">
                  <c:v>2023</c:v>
                </c:pt>
                <c:pt idx="1">
                  <c:v>2024</c:v>
                </c:pt>
                <c:pt idx="2">
                  <c:v>2025</c:v>
                </c:pt>
                <c:pt idx="3">
                  <c:v>2026</c:v>
                </c:pt>
                <c:pt idx="4">
                  <c:v>2027</c:v>
                </c:pt>
              </c:numCache>
            </c:numRef>
          </c:cat>
          <c:val>
            <c:numRef>
              <c:f>bal!$H$66:$L$66</c:f>
              <c:numCache>
                <c:formatCode>0%</c:formatCode>
                <c:ptCount val="5"/>
                <c:pt idx="0">
                  <c:v>1.0794901902886807</c:v>
                </c:pt>
                <c:pt idx="1">
                  <c:v>2.1589803805773613</c:v>
                </c:pt>
                <c:pt idx="2">
                  <c:v>3.2384705708660424</c:v>
                </c:pt>
                <c:pt idx="3">
                  <c:v>4.3179607611547226</c:v>
                </c:pt>
                <c:pt idx="4">
                  <c:v>5.3974509514434041</c:v>
                </c:pt>
              </c:numCache>
            </c:numRef>
          </c:val>
          <c:extLst>
            <c:ext xmlns:c16="http://schemas.microsoft.com/office/drawing/2014/chart" uri="{C3380CC4-5D6E-409C-BE32-E72D297353CC}">
              <c16:uniqueId val="{00000000-AE96-4C65-8401-893D76D8E65E}"/>
            </c:ext>
          </c:extLst>
        </c:ser>
        <c:dLbls>
          <c:showLegendKey val="0"/>
          <c:showVal val="1"/>
          <c:showCatName val="0"/>
          <c:showSerName val="0"/>
          <c:showPercent val="0"/>
          <c:showBubbleSize val="0"/>
        </c:dLbls>
        <c:gapWidth val="150"/>
        <c:axId val="362704872"/>
        <c:axId val="362705264"/>
      </c:barChart>
      <c:catAx>
        <c:axId val="362704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05264"/>
        <c:crosses val="autoZero"/>
        <c:auto val="1"/>
        <c:lblAlgn val="ctr"/>
        <c:lblOffset val="100"/>
        <c:tickLblSkip val="1"/>
        <c:tickMarkSkip val="1"/>
        <c:noMultiLvlLbl val="0"/>
      </c:catAx>
      <c:valAx>
        <c:axId val="3627052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627048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1.jpeg"/><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4.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2.png"/><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295275</xdr:colOff>
      <xdr:row>3</xdr:row>
      <xdr:rowOff>28575</xdr:rowOff>
    </xdr:from>
    <xdr:to>
      <xdr:col>12</xdr:col>
      <xdr:colOff>419100</xdr:colOff>
      <xdr:row>7</xdr:row>
      <xdr:rowOff>76200</xdr:rowOff>
    </xdr:to>
    <xdr:pic>
      <xdr:nvPicPr>
        <xdr:cNvPr id="2" name="0.166woocn29s">
          <a:extLst>
            <a:ext uri="{FF2B5EF4-FFF2-40B4-BE49-F238E27FC236}">
              <a16:creationId xmlns:a16="http://schemas.microsoft.com/office/drawing/2014/main" id="{9BF3E274-2358-1670-455A-AC768F3C4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552450"/>
          <a:ext cx="20478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627529</xdr:colOff>
      <xdr:row>2</xdr:row>
      <xdr:rowOff>78441</xdr:rowOff>
    </xdr:from>
    <xdr:to>
      <xdr:col>9</xdr:col>
      <xdr:colOff>806823</xdr:colOff>
      <xdr:row>6</xdr:row>
      <xdr:rowOff>54909</xdr:rowOff>
    </xdr:to>
    <xdr:pic>
      <xdr:nvPicPr>
        <xdr:cNvPr id="3" name="0.166woocn29s">
          <a:extLst>
            <a:ext uri="{FF2B5EF4-FFF2-40B4-BE49-F238E27FC236}">
              <a16:creationId xmlns:a16="http://schemas.microsoft.com/office/drawing/2014/main" id="{4167DF4E-4712-146C-0AA4-D6DA58F05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6205" y="392206"/>
          <a:ext cx="2286000" cy="738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726282</xdr:colOff>
      <xdr:row>2</xdr:row>
      <xdr:rowOff>47625</xdr:rowOff>
    </xdr:from>
    <xdr:to>
      <xdr:col>11</xdr:col>
      <xdr:colOff>754857</xdr:colOff>
      <xdr:row>5</xdr:row>
      <xdr:rowOff>157162</xdr:rowOff>
    </xdr:to>
    <xdr:pic>
      <xdr:nvPicPr>
        <xdr:cNvPr id="2" name="0.166woocn29s">
          <a:extLst>
            <a:ext uri="{FF2B5EF4-FFF2-40B4-BE49-F238E27FC236}">
              <a16:creationId xmlns:a16="http://schemas.microsoft.com/office/drawing/2014/main" id="{11ADC399-B4A6-4228-4110-6754D5EA5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7657" y="381000"/>
          <a:ext cx="22669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678656</xdr:colOff>
      <xdr:row>2</xdr:row>
      <xdr:rowOff>47625</xdr:rowOff>
    </xdr:from>
    <xdr:to>
      <xdr:col>11</xdr:col>
      <xdr:colOff>745331</xdr:colOff>
      <xdr:row>5</xdr:row>
      <xdr:rowOff>161924</xdr:rowOff>
    </xdr:to>
    <xdr:pic>
      <xdr:nvPicPr>
        <xdr:cNvPr id="3" name="0.166woocn29s">
          <a:extLst>
            <a:ext uri="{FF2B5EF4-FFF2-40B4-BE49-F238E27FC236}">
              <a16:creationId xmlns:a16="http://schemas.microsoft.com/office/drawing/2014/main" id="{523BA72B-7681-F1B9-40B2-7EE31EA5B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9094" y="381000"/>
          <a:ext cx="2281237" cy="757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750794</xdr:colOff>
      <xdr:row>2</xdr:row>
      <xdr:rowOff>56029</xdr:rowOff>
    </xdr:from>
    <xdr:to>
      <xdr:col>11</xdr:col>
      <xdr:colOff>779370</xdr:colOff>
      <xdr:row>6</xdr:row>
      <xdr:rowOff>13447</xdr:rowOff>
    </xdr:to>
    <xdr:pic>
      <xdr:nvPicPr>
        <xdr:cNvPr id="3" name="0.166woocn29s">
          <a:extLst>
            <a:ext uri="{FF2B5EF4-FFF2-40B4-BE49-F238E27FC236}">
              <a16:creationId xmlns:a16="http://schemas.microsoft.com/office/drawing/2014/main" id="{DC77AAFE-977D-E4A9-7A4A-2A3A8C99F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7794" y="369794"/>
          <a:ext cx="2269752" cy="741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9</xdr:col>
      <xdr:colOff>571499</xdr:colOff>
      <xdr:row>1</xdr:row>
      <xdr:rowOff>134471</xdr:rowOff>
    </xdr:from>
    <xdr:to>
      <xdr:col>11</xdr:col>
      <xdr:colOff>865094</xdr:colOff>
      <xdr:row>5</xdr:row>
      <xdr:rowOff>91888</xdr:rowOff>
    </xdr:to>
    <xdr:pic>
      <xdr:nvPicPr>
        <xdr:cNvPr id="3" name="0.166woocn29s">
          <a:extLst>
            <a:ext uri="{FF2B5EF4-FFF2-40B4-BE49-F238E27FC236}">
              <a16:creationId xmlns:a16="http://schemas.microsoft.com/office/drawing/2014/main" id="{AA110D41-4ED7-E346-8D20-F44E26249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70" y="291353"/>
          <a:ext cx="2265830" cy="741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0</xdr:colOff>
      <xdr:row>97</xdr:row>
      <xdr:rowOff>0</xdr:rowOff>
    </xdr:from>
    <xdr:to>
      <xdr:col>17</xdr:col>
      <xdr:colOff>9525</xdr:colOff>
      <xdr:row>97</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6</xdr:row>
      <xdr:rowOff>143996</xdr:rowOff>
    </xdr:from>
    <xdr:to>
      <xdr:col>16</xdr:col>
      <xdr:colOff>539563</xdr:colOff>
      <xdr:row>26</xdr:row>
      <xdr:rowOff>153520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6</xdr:row>
      <xdr:rowOff>142875</xdr:rowOff>
    </xdr:from>
    <xdr:to>
      <xdr:col>8</xdr:col>
      <xdr:colOff>590550</xdr:colOff>
      <xdr:row>26</xdr:row>
      <xdr:rowOff>142875</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171450</xdr:colOff>
      <xdr:row>97</xdr:row>
      <xdr:rowOff>0</xdr:rowOff>
    </xdr:from>
    <xdr:to>
      <xdr:col>8</xdr:col>
      <xdr:colOff>600075</xdr:colOff>
      <xdr:row>97</xdr:row>
      <xdr:rowOff>0</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97</xdr:row>
      <xdr:rowOff>0</xdr:rowOff>
    </xdr:from>
    <xdr:to>
      <xdr:col>16</xdr:col>
      <xdr:colOff>600075</xdr:colOff>
      <xdr:row>97</xdr:row>
      <xdr:rowOff>0</xdr:rowOff>
    </xdr:to>
    <xdr:graphicFrame macro="">
      <xdr:nvGraphicFramePr>
        <xdr:cNvPr id="8" name="Chart 8">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97</xdr:row>
      <xdr:rowOff>0</xdr:rowOff>
    </xdr:from>
    <xdr:to>
      <xdr:col>9</xdr:col>
      <xdr:colOff>0</xdr:colOff>
      <xdr:row>117</xdr:row>
      <xdr:rowOff>0</xdr:rowOff>
    </xdr:to>
    <xdr:graphicFrame macro="">
      <xdr:nvGraphicFramePr>
        <xdr:cNvPr id="9" name="Chart 9">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22410</xdr:colOff>
      <xdr:row>119</xdr:row>
      <xdr:rowOff>33618</xdr:rowOff>
    </xdr:from>
    <xdr:to>
      <xdr:col>8</xdr:col>
      <xdr:colOff>622485</xdr:colOff>
      <xdr:row>139</xdr:row>
      <xdr:rowOff>29136</xdr:rowOff>
    </xdr:to>
    <xdr:graphicFrame macro="">
      <xdr:nvGraphicFramePr>
        <xdr:cNvPr id="10" name="Chart 1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156883</xdr:colOff>
      <xdr:row>119</xdr:row>
      <xdr:rowOff>22413</xdr:rowOff>
    </xdr:from>
    <xdr:to>
      <xdr:col>16</xdr:col>
      <xdr:colOff>568139</xdr:colOff>
      <xdr:row>139</xdr:row>
      <xdr:rowOff>31938</xdr:rowOff>
    </xdr:to>
    <xdr:graphicFrame macro="">
      <xdr:nvGraphicFramePr>
        <xdr:cNvPr id="11" name="Chart 11">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11206</xdr:colOff>
      <xdr:row>140</xdr:row>
      <xdr:rowOff>67234</xdr:rowOff>
    </xdr:from>
    <xdr:to>
      <xdr:col>8</xdr:col>
      <xdr:colOff>611281</xdr:colOff>
      <xdr:row>160</xdr:row>
      <xdr:rowOff>53227</xdr:rowOff>
    </xdr:to>
    <xdr:graphicFrame macro="">
      <xdr:nvGraphicFramePr>
        <xdr:cNvPr id="12" name="Chart 12">
          <a:extLst>
            <a:ext uri="{FF2B5EF4-FFF2-40B4-BE49-F238E27FC236}">
              <a16:creationId xmlns:a16="http://schemas.microsoft.com/office/drawing/2014/main" id="{00000000-0008-0000-0F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73</xdr:row>
      <xdr:rowOff>0</xdr:rowOff>
    </xdr:from>
    <xdr:to>
      <xdr:col>9</xdr:col>
      <xdr:colOff>0</xdr:colOff>
      <xdr:row>73</xdr:row>
      <xdr:rowOff>0</xdr:rowOff>
    </xdr:to>
    <xdr:graphicFrame macro="">
      <xdr:nvGraphicFramePr>
        <xdr:cNvPr id="13" name="Chart 13">
          <a:extLst>
            <a:ext uri="{FF2B5EF4-FFF2-40B4-BE49-F238E27FC236}">
              <a16:creationId xmlns:a16="http://schemas.microsoft.com/office/drawing/2014/main" id="{00000000-0008-0000-0F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9525</xdr:colOff>
      <xdr:row>97</xdr:row>
      <xdr:rowOff>0</xdr:rowOff>
    </xdr:from>
    <xdr:to>
      <xdr:col>17</xdr:col>
      <xdr:colOff>9525</xdr:colOff>
      <xdr:row>97</xdr:row>
      <xdr:rowOff>0</xdr:rowOff>
    </xdr:to>
    <xdr:graphicFrame macro="">
      <xdr:nvGraphicFramePr>
        <xdr:cNvPr id="14" name="Chart 15">
          <a:extLst>
            <a:ext uri="{FF2B5EF4-FFF2-40B4-BE49-F238E27FC236}">
              <a16:creationId xmlns:a16="http://schemas.microsoft.com/office/drawing/2014/main" id="{00000000-0008-0000-0F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171450</xdr:colOff>
      <xdr:row>97</xdr:row>
      <xdr:rowOff>0</xdr:rowOff>
    </xdr:from>
    <xdr:to>
      <xdr:col>8</xdr:col>
      <xdr:colOff>600075</xdr:colOff>
      <xdr:row>97</xdr:row>
      <xdr:rowOff>0</xdr:rowOff>
    </xdr:to>
    <xdr:graphicFrame macro="">
      <xdr:nvGraphicFramePr>
        <xdr:cNvPr id="15" name="Chart 16">
          <a:extLst>
            <a:ext uri="{FF2B5EF4-FFF2-40B4-BE49-F238E27FC236}">
              <a16:creationId xmlns:a16="http://schemas.microsoft.com/office/drawing/2014/main" id="{00000000-0008-0000-0F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97</xdr:row>
      <xdr:rowOff>0</xdr:rowOff>
    </xdr:from>
    <xdr:to>
      <xdr:col>17</xdr:col>
      <xdr:colOff>9525</xdr:colOff>
      <xdr:row>97</xdr:row>
      <xdr:rowOff>0</xdr:rowOff>
    </xdr:to>
    <xdr:graphicFrame macro="">
      <xdr:nvGraphicFramePr>
        <xdr:cNvPr id="16" name="Chart 17">
          <a:extLst>
            <a:ext uri="{FF2B5EF4-FFF2-40B4-BE49-F238E27FC236}">
              <a16:creationId xmlns:a16="http://schemas.microsoft.com/office/drawing/2014/main" id="{00000000-0008-0000-0F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97</xdr:row>
      <xdr:rowOff>0</xdr:rowOff>
    </xdr:from>
    <xdr:to>
      <xdr:col>9</xdr:col>
      <xdr:colOff>0</xdr:colOff>
      <xdr:row>97</xdr:row>
      <xdr:rowOff>0</xdr:rowOff>
    </xdr:to>
    <xdr:graphicFrame macro="">
      <xdr:nvGraphicFramePr>
        <xdr:cNvPr id="17" name="Chart 18">
          <a:extLst>
            <a:ext uri="{FF2B5EF4-FFF2-40B4-BE49-F238E27FC236}">
              <a16:creationId xmlns:a16="http://schemas.microsoft.com/office/drawing/2014/main" id="{00000000-0008-0000-0F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97</xdr:row>
      <xdr:rowOff>0</xdr:rowOff>
    </xdr:from>
    <xdr:to>
      <xdr:col>17</xdr:col>
      <xdr:colOff>9525</xdr:colOff>
      <xdr:row>97</xdr:row>
      <xdr:rowOff>0</xdr:rowOff>
    </xdr:to>
    <xdr:graphicFrame macro="">
      <xdr:nvGraphicFramePr>
        <xdr:cNvPr id="18" name="Chart 19">
          <a:extLst>
            <a:ext uri="{FF2B5EF4-FFF2-40B4-BE49-F238E27FC236}">
              <a16:creationId xmlns:a16="http://schemas.microsoft.com/office/drawing/2014/main" id="{00000000-0008-0000-0F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9525</xdr:colOff>
      <xdr:row>75</xdr:row>
      <xdr:rowOff>9525</xdr:rowOff>
    </xdr:from>
    <xdr:to>
      <xdr:col>17</xdr:col>
      <xdr:colOff>9525</xdr:colOff>
      <xdr:row>94</xdr:row>
      <xdr:rowOff>152400</xdr:rowOff>
    </xdr:to>
    <xdr:graphicFrame macro="">
      <xdr:nvGraphicFramePr>
        <xdr:cNvPr id="19" name="Chart 20">
          <a:extLst>
            <a:ext uri="{FF2B5EF4-FFF2-40B4-BE49-F238E27FC236}">
              <a16:creationId xmlns:a16="http://schemas.microsoft.com/office/drawing/2014/main" id="{00000000-0008-0000-0F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152400</xdr:colOff>
      <xdr:row>29</xdr:row>
      <xdr:rowOff>3922</xdr:rowOff>
    </xdr:from>
    <xdr:to>
      <xdr:col>16</xdr:col>
      <xdr:colOff>619126</xdr:colOff>
      <xdr:row>49</xdr:row>
      <xdr:rowOff>3922</xdr:rowOff>
    </xdr:to>
    <xdr:graphicFrame macro="">
      <xdr:nvGraphicFramePr>
        <xdr:cNvPr id="20" name="Chart 21">
          <a:extLst>
            <a:ext uri="{FF2B5EF4-FFF2-40B4-BE49-F238E27FC236}">
              <a16:creationId xmlns:a16="http://schemas.microsoft.com/office/drawing/2014/main" id="{00000000-0008-0000-0F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73</xdr:row>
      <xdr:rowOff>0</xdr:rowOff>
    </xdr:from>
    <xdr:to>
      <xdr:col>17</xdr:col>
      <xdr:colOff>9525</xdr:colOff>
      <xdr:row>73</xdr:row>
      <xdr:rowOff>0</xdr:rowOff>
    </xdr:to>
    <xdr:graphicFrame macro="">
      <xdr:nvGraphicFramePr>
        <xdr:cNvPr id="22" name="Chart 23">
          <a:extLst>
            <a:ext uri="{FF2B5EF4-FFF2-40B4-BE49-F238E27FC236}">
              <a16:creationId xmlns:a16="http://schemas.microsoft.com/office/drawing/2014/main" id="{00000000-0008-0000-0F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152400</xdr:colOff>
      <xdr:row>97</xdr:row>
      <xdr:rowOff>0</xdr:rowOff>
    </xdr:from>
    <xdr:to>
      <xdr:col>8</xdr:col>
      <xdr:colOff>581025</xdr:colOff>
      <xdr:row>97</xdr:row>
      <xdr:rowOff>0</xdr:rowOff>
    </xdr:to>
    <xdr:graphicFrame macro="">
      <xdr:nvGraphicFramePr>
        <xdr:cNvPr id="23" name="Chart 24">
          <a:extLst>
            <a:ext uri="{FF2B5EF4-FFF2-40B4-BE49-F238E27FC236}">
              <a16:creationId xmlns:a16="http://schemas.microsoft.com/office/drawing/2014/main" id="{00000000-0008-0000-0F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9525</xdr:colOff>
      <xdr:row>50</xdr:row>
      <xdr:rowOff>133350</xdr:rowOff>
    </xdr:from>
    <xdr:to>
      <xdr:col>9</xdr:col>
      <xdr:colOff>9525</xdr:colOff>
      <xdr:row>70</xdr:row>
      <xdr:rowOff>114300</xdr:rowOff>
    </xdr:to>
    <xdr:graphicFrame macro="">
      <xdr:nvGraphicFramePr>
        <xdr:cNvPr id="24" name="Chart 25">
          <a:extLst>
            <a:ext uri="{FF2B5EF4-FFF2-40B4-BE49-F238E27FC236}">
              <a16:creationId xmlns:a16="http://schemas.microsoft.com/office/drawing/2014/main" id="{00000000-0008-0000-0F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0</xdr:colOff>
      <xdr:row>50</xdr:row>
      <xdr:rowOff>123825</xdr:rowOff>
    </xdr:from>
    <xdr:to>
      <xdr:col>16</xdr:col>
      <xdr:colOff>571500</xdr:colOff>
      <xdr:row>70</xdr:row>
      <xdr:rowOff>85725</xdr:rowOff>
    </xdr:to>
    <xdr:graphicFrame macro="">
      <xdr:nvGraphicFramePr>
        <xdr:cNvPr id="25" name="Chart 26">
          <a:extLst>
            <a:ext uri="{FF2B5EF4-FFF2-40B4-BE49-F238E27FC236}">
              <a16:creationId xmlns:a16="http://schemas.microsoft.com/office/drawing/2014/main" id="{00000000-0008-0000-0F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19050</xdr:colOff>
      <xdr:row>75</xdr:row>
      <xdr:rowOff>19050</xdr:rowOff>
    </xdr:from>
    <xdr:to>
      <xdr:col>9</xdr:col>
      <xdr:colOff>9525</xdr:colOff>
      <xdr:row>94</xdr:row>
      <xdr:rowOff>152400</xdr:rowOff>
    </xdr:to>
    <xdr:graphicFrame macro="">
      <xdr:nvGraphicFramePr>
        <xdr:cNvPr id="26" name="Chart 27">
          <a:extLst>
            <a:ext uri="{FF2B5EF4-FFF2-40B4-BE49-F238E27FC236}">
              <a16:creationId xmlns:a16="http://schemas.microsoft.com/office/drawing/2014/main" id="{00000000-0008-0000-0F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485775</xdr:colOff>
      <xdr:row>97</xdr:row>
      <xdr:rowOff>0</xdr:rowOff>
    </xdr:from>
    <xdr:to>
      <xdr:col>17</xdr:col>
      <xdr:colOff>161925</xdr:colOff>
      <xdr:row>97</xdr:row>
      <xdr:rowOff>0</xdr:rowOff>
    </xdr:to>
    <xdr:pic>
      <xdr:nvPicPr>
        <xdr:cNvPr id="28" name="Picture 31" descr="vosabblogo">
          <a:extLst>
            <a:ext uri="{FF2B5EF4-FFF2-40B4-BE49-F238E27FC236}">
              <a16:creationId xmlns:a16="http://schemas.microsoft.com/office/drawing/2014/main" id="{00000000-0008-0000-0F00-00001C000000}"/>
            </a:ext>
          </a:extLst>
        </xdr:cNvPr>
        <xdr:cNvPicPr>
          <a:picLocks noChangeAspect="1" noChangeArrowheads="1"/>
        </xdr:cNvPicPr>
      </xdr:nvPicPr>
      <xdr:blipFill>
        <a:blip xmlns:r="http://schemas.openxmlformats.org/officeDocument/2006/relationships" r:embed="rId23"/>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xdr:from>
      <xdr:col>2</xdr:col>
      <xdr:colOff>22411</xdr:colOff>
      <xdr:row>28</xdr:row>
      <xdr:rowOff>156881</xdr:rowOff>
    </xdr:from>
    <xdr:to>
      <xdr:col>8</xdr:col>
      <xdr:colOff>605117</xdr:colOff>
      <xdr:row>48</xdr:row>
      <xdr:rowOff>152400</xdr:rowOff>
    </xdr:to>
    <xdr:graphicFrame macro="">
      <xdr:nvGraphicFramePr>
        <xdr:cNvPr id="32" name="Chart 26">
          <a:extLst>
            <a:ext uri="{FF2B5EF4-FFF2-40B4-BE49-F238E27FC236}">
              <a16:creationId xmlns:a16="http://schemas.microsoft.com/office/drawing/2014/main" id="{00000000-0008-0000-0F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168088</xdr:colOff>
      <xdr:row>97</xdr:row>
      <xdr:rowOff>1</xdr:rowOff>
    </xdr:from>
    <xdr:to>
      <xdr:col>16</xdr:col>
      <xdr:colOff>638735</xdr:colOff>
      <xdr:row>117</xdr:row>
      <xdr:rowOff>1</xdr:rowOff>
    </xdr:to>
    <xdr:graphicFrame macro="">
      <xdr:nvGraphicFramePr>
        <xdr:cNvPr id="34" name="Chart 9">
          <a:extLst>
            <a:ext uri="{FF2B5EF4-FFF2-40B4-BE49-F238E27FC236}">
              <a16:creationId xmlns:a16="http://schemas.microsoft.com/office/drawing/2014/main" id="{00000000-0008-0000-0F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13</xdr:col>
      <xdr:colOff>112059</xdr:colOff>
      <xdr:row>1</xdr:row>
      <xdr:rowOff>145677</xdr:rowOff>
    </xdr:from>
    <xdr:to>
      <xdr:col>16</xdr:col>
      <xdr:colOff>443752</xdr:colOff>
      <xdr:row>5</xdr:row>
      <xdr:rowOff>103094</xdr:rowOff>
    </xdr:to>
    <xdr:pic>
      <xdr:nvPicPr>
        <xdr:cNvPr id="4" name="0.166woocn29s">
          <a:extLst>
            <a:ext uri="{FF2B5EF4-FFF2-40B4-BE49-F238E27FC236}">
              <a16:creationId xmlns:a16="http://schemas.microsoft.com/office/drawing/2014/main" id="{AEB96DEA-B139-FAE3-A4F7-DF0DD2054CCE}"/>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216588" y="302559"/>
          <a:ext cx="2281517" cy="741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7</xdr:col>
      <xdr:colOff>297656</xdr:colOff>
      <xdr:row>5</xdr:row>
      <xdr:rowOff>142875</xdr:rowOff>
    </xdr:from>
    <xdr:to>
      <xdr:col>9</xdr:col>
      <xdr:colOff>573881</xdr:colOff>
      <xdr:row>10</xdr:row>
      <xdr:rowOff>57150</xdr:rowOff>
    </xdr:to>
    <xdr:pic>
      <xdr:nvPicPr>
        <xdr:cNvPr id="3" name="0.166woocn29s">
          <a:extLst>
            <a:ext uri="{FF2B5EF4-FFF2-40B4-BE49-F238E27FC236}">
              <a16:creationId xmlns:a16="http://schemas.microsoft.com/office/drawing/2014/main" id="{13C31D59-F9F6-4EDB-7B01-A68DE9082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976313"/>
          <a:ext cx="22764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247403</xdr:colOff>
      <xdr:row>7</xdr:row>
      <xdr:rowOff>37110</xdr:rowOff>
    </xdr:from>
    <xdr:to>
      <xdr:col>20</xdr:col>
      <xdr:colOff>88941</xdr:colOff>
      <xdr:row>11</xdr:row>
      <xdr:rowOff>141885</xdr:rowOff>
    </xdr:to>
    <xdr:pic>
      <xdr:nvPicPr>
        <xdr:cNvPr id="3" name="0.166woocn29s">
          <a:extLst>
            <a:ext uri="{FF2B5EF4-FFF2-40B4-BE49-F238E27FC236}">
              <a16:creationId xmlns:a16="http://schemas.microsoft.com/office/drawing/2014/main" id="{209B0A70-88EA-13F7-FE96-436389EF6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1656" y="1199902"/>
          <a:ext cx="2266084" cy="7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963705</xdr:colOff>
      <xdr:row>2</xdr:row>
      <xdr:rowOff>56029</xdr:rowOff>
    </xdr:from>
    <xdr:to>
      <xdr:col>9</xdr:col>
      <xdr:colOff>992280</xdr:colOff>
      <xdr:row>6</xdr:row>
      <xdr:rowOff>6163</xdr:rowOff>
    </xdr:to>
    <xdr:pic>
      <xdr:nvPicPr>
        <xdr:cNvPr id="3" name="0.166woocn29s">
          <a:extLst>
            <a:ext uri="{FF2B5EF4-FFF2-40B4-BE49-F238E27FC236}">
              <a16:creationId xmlns:a16="http://schemas.microsoft.com/office/drawing/2014/main" id="{D3B7A35B-B733-70C4-8381-707F7D96A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6146" y="369794"/>
          <a:ext cx="2269752" cy="734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273844</xdr:colOff>
      <xdr:row>2</xdr:row>
      <xdr:rowOff>59532</xdr:rowOff>
    </xdr:from>
    <xdr:to>
      <xdr:col>10</xdr:col>
      <xdr:colOff>569119</xdr:colOff>
      <xdr:row>6</xdr:row>
      <xdr:rowOff>7144</xdr:rowOff>
    </xdr:to>
    <xdr:pic>
      <xdr:nvPicPr>
        <xdr:cNvPr id="2" name="0.166woocn29s">
          <a:extLst>
            <a:ext uri="{FF2B5EF4-FFF2-40B4-BE49-F238E27FC236}">
              <a16:creationId xmlns:a16="http://schemas.microsoft.com/office/drawing/2014/main" id="{4ECA4605-EA7C-AEDB-B423-4ACCB19B6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5563" y="392907"/>
          <a:ext cx="2271712" cy="757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267165</xdr:colOff>
      <xdr:row>2</xdr:row>
      <xdr:rowOff>116158</xdr:rowOff>
    </xdr:from>
    <xdr:to>
      <xdr:col>18</xdr:col>
      <xdr:colOff>233</xdr:colOff>
      <xdr:row>6</xdr:row>
      <xdr:rowOff>67836</xdr:rowOff>
    </xdr:to>
    <xdr:pic>
      <xdr:nvPicPr>
        <xdr:cNvPr id="3" name="0.166woocn29s">
          <a:extLst>
            <a:ext uri="{FF2B5EF4-FFF2-40B4-BE49-F238E27FC236}">
              <a16:creationId xmlns:a16="http://schemas.microsoft.com/office/drawing/2014/main" id="{D1F70900-FA36-02DC-DBF5-E18ACA500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1982" y="441402"/>
          <a:ext cx="2276940" cy="764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347381</xdr:colOff>
      <xdr:row>2</xdr:row>
      <xdr:rowOff>145677</xdr:rowOff>
    </xdr:from>
    <xdr:to>
      <xdr:col>13</xdr:col>
      <xdr:colOff>640976</xdr:colOff>
      <xdr:row>6</xdr:row>
      <xdr:rowOff>103095</xdr:rowOff>
    </xdr:to>
    <xdr:pic>
      <xdr:nvPicPr>
        <xdr:cNvPr id="3" name="0.166woocn29s">
          <a:extLst>
            <a:ext uri="{FF2B5EF4-FFF2-40B4-BE49-F238E27FC236}">
              <a16:creationId xmlns:a16="http://schemas.microsoft.com/office/drawing/2014/main" id="{33B199FF-7548-50D1-CA20-DA9BC00CE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6999" y="459442"/>
          <a:ext cx="2265830" cy="741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357188</xdr:colOff>
      <xdr:row>2</xdr:row>
      <xdr:rowOff>35720</xdr:rowOff>
    </xdr:from>
    <xdr:to>
      <xdr:col>12</xdr:col>
      <xdr:colOff>652463</xdr:colOff>
      <xdr:row>5</xdr:row>
      <xdr:rowOff>150019</xdr:rowOff>
    </xdr:to>
    <xdr:pic>
      <xdr:nvPicPr>
        <xdr:cNvPr id="2" name="0.166woocn29s">
          <a:extLst>
            <a:ext uri="{FF2B5EF4-FFF2-40B4-BE49-F238E27FC236}">
              <a16:creationId xmlns:a16="http://schemas.microsoft.com/office/drawing/2014/main" id="{9910C685-F3C2-E3D9-5D46-F1486BC19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5188" y="369095"/>
          <a:ext cx="2271713" cy="757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685310</xdr:colOff>
      <xdr:row>2</xdr:row>
      <xdr:rowOff>1</xdr:rowOff>
    </xdr:from>
    <xdr:to>
      <xdr:col>20</xdr:col>
      <xdr:colOff>728526</xdr:colOff>
      <xdr:row>7</xdr:row>
      <xdr:rowOff>70037</xdr:rowOff>
    </xdr:to>
    <xdr:pic>
      <xdr:nvPicPr>
        <xdr:cNvPr id="3" name="0.166woocn29s">
          <a:extLst>
            <a:ext uri="{FF2B5EF4-FFF2-40B4-BE49-F238E27FC236}">
              <a16:creationId xmlns:a16="http://schemas.microsoft.com/office/drawing/2014/main" id="{0101BD47-7C2E-CD75-64D1-C8164E641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72553" y="336177"/>
          <a:ext cx="3194870" cy="1050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818030</xdr:colOff>
      <xdr:row>2</xdr:row>
      <xdr:rowOff>67235</xdr:rowOff>
    </xdr:from>
    <xdr:to>
      <xdr:col>14</xdr:col>
      <xdr:colOff>547408</xdr:colOff>
      <xdr:row>6</xdr:row>
      <xdr:rowOff>24653</xdr:rowOff>
    </xdr:to>
    <xdr:pic>
      <xdr:nvPicPr>
        <xdr:cNvPr id="2" name="0.166woocn29s">
          <a:extLst>
            <a:ext uri="{FF2B5EF4-FFF2-40B4-BE49-F238E27FC236}">
              <a16:creationId xmlns:a16="http://schemas.microsoft.com/office/drawing/2014/main" id="{85214647-D569-C60B-0412-8537FAF2F7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2177" y="381000"/>
          <a:ext cx="2284319" cy="741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324971</xdr:colOff>
      <xdr:row>2</xdr:row>
      <xdr:rowOff>56029</xdr:rowOff>
    </xdr:from>
    <xdr:to>
      <xdr:col>11</xdr:col>
      <xdr:colOff>639296</xdr:colOff>
      <xdr:row>6</xdr:row>
      <xdr:rowOff>13447</xdr:rowOff>
    </xdr:to>
    <xdr:pic>
      <xdr:nvPicPr>
        <xdr:cNvPr id="2" name="0.166woocn29s">
          <a:extLst>
            <a:ext uri="{FF2B5EF4-FFF2-40B4-BE49-F238E27FC236}">
              <a16:creationId xmlns:a16="http://schemas.microsoft.com/office/drawing/2014/main" id="{356D3471-2606-946A-3B2A-1510A2974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8353" y="369794"/>
          <a:ext cx="2286561" cy="741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324970</xdr:colOff>
      <xdr:row>2</xdr:row>
      <xdr:rowOff>67235</xdr:rowOff>
    </xdr:from>
    <xdr:to>
      <xdr:col>20</xdr:col>
      <xdr:colOff>458320</xdr:colOff>
      <xdr:row>6</xdr:row>
      <xdr:rowOff>43703</xdr:rowOff>
    </xdr:to>
    <xdr:pic>
      <xdr:nvPicPr>
        <xdr:cNvPr id="3" name="0.166woocn29s">
          <a:extLst>
            <a:ext uri="{FF2B5EF4-FFF2-40B4-BE49-F238E27FC236}">
              <a16:creationId xmlns:a16="http://schemas.microsoft.com/office/drawing/2014/main" id="{EB5CF0D9-D8AB-8F8C-F5FA-2F56D276D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7088" y="381000"/>
          <a:ext cx="2284879" cy="738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uo.nl/open_onderwijsdata/" TargetMode="External"/><Relationship Id="rId2" Type="http://schemas.openxmlformats.org/officeDocument/2006/relationships/hyperlink" Target="http://www.voion.nl/instrumenten/scenariomodel-vo" TargetMode="External"/><Relationship Id="rId1" Type="http://schemas.openxmlformats.org/officeDocument/2006/relationships/hyperlink" Target="mailto:be.keizer@wxs.n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poraad.nl/toolbox-werkgeverslasten-primair-onderwij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voraad.n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onderwijsinspectie.nl/onderwerpen/toezicht-op-financieel-beheer/toezicht-op-publiek-eigen-vermogen"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oraad.nl/"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voraad.nl/"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voraad.n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voraad.n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291"/>
  <sheetViews>
    <sheetView showGridLines="0" tabSelected="1" zoomScaleNormal="100" zoomScaleSheetLayoutView="100" workbookViewId="0">
      <selection activeCell="L3" sqref="L3"/>
    </sheetView>
  </sheetViews>
  <sheetFormatPr defaultRowHeight="12.75" x14ac:dyDescent="0.2"/>
  <cols>
    <col min="1" max="1" width="3.7109375" style="89" customWidth="1"/>
    <col min="2" max="2" width="2.7109375" style="89" customWidth="1"/>
    <col min="3" max="9" width="9.140625" style="89"/>
    <col min="10" max="10" width="10.140625" style="89" customWidth="1"/>
    <col min="11" max="11" width="9.140625" style="89"/>
    <col min="12" max="12" width="19.7109375" style="89" bestFit="1" customWidth="1"/>
    <col min="13" max="13" width="12.85546875" style="89" customWidth="1"/>
    <col min="14" max="16384" width="9.140625" style="89"/>
  </cols>
  <sheetData>
    <row r="2" spans="1:18" x14ac:dyDescent="0.2">
      <c r="R2"/>
    </row>
    <row r="3" spans="1:18" ht="15.75" x14ac:dyDescent="0.25">
      <c r="C3" s="1" t="s">
        <v>636</v>
      </c>
      <c r="K3" s="1" t="s">
        <v>104</v>
      </c>
      <c r="L3" s="1011">
        <v>44931</v>
      </c>
      <c r="R3"/>
    </row>
    <row r="4" spans="1:18" x14ac:dyDescent="0.2">
      <c r="K4" s="2"/>
      <c r="R4"/>
    </row>
    <row r="5" spans="1:18" x14ac:dyDescent="0.2">
      <c r="K5" s="2"/>
      <c r="R5"/>
    </row>
    <row r="6" spans="1:18" x14ac:dyDescent="0.2">
      <c r="C6" s="2"/>
      <c r="K6" s="2"/>
      <c r="R6"/>
    </row>
    <row r="7" spans="1:18" x14ac:dyDescent="0.2">
      <c r="C7" s="2"/>
      <c r="K7" s="2"/>
      <c r="R7"/>
    </row>
    <row r="8" spans="1:18" x14ac:dyDescent="0.2">
      <c r="C8" s="2" t="s">
        <v>45</v>
      </c>
      <c r="K8" s="2"/>
      <c r="R8"/>
    </row>
    <row r="9" spans="1:18" x14ac:dyDescent="0.2">
      <c r="C9" s="90" t="s">
        <v>662</v>
      </c>
      <c r="K9" s="2"/>
      <c r="R9"/>
    </row>
    <row r="10" spans="1:18" x14ac:dyDescent="0.2">
      <c r="A10" s="509"/>
      <c r="C10" s="2" t="s">
        <v>663</v>
      </c>
      <c r="K10" s="2"/>
      <c r="R10"/>
    </row>
    <row r="11" spans="1:18" x14ac:dyDescent="0.2">
      <c r="C11" s="2" t="s">
        <v>664</v>
      </c>
      <c r="K11" s="2"/>
      <c r="R11"/>
    </row>
    <row r="12" spans="1:18" x14ac:dyDescent="0.2">
      <c r="C12" s="2"/>
      <c r="K12" s="2"/>
      <c r="R12"/>
    </row>
    <row r="13" spans="1:18" x14ac:dyDescent="0.2">
      <c r="C13" s="89" t="s">
        <v>533</v>
      </c>
      <c r="K13" s="2"/>
      <c r="R13"/>
    </row>
    <row r="14" spans="1:18" x14ac:dyDescent="0.2">
      <c r="C14" s="89" t="s">
        <v>691</v>
      </c>
      <c r="K14" s="2"/>
      <c r="R14"/>
    </row>
    <row r="15" spans="1:18" x14ac:dyDescent="0.2">
      <c r="C15" s="89" t="s">
        <v>613</v>
      </c>
      <c r="K15" s="2"/>
      <c r="R15"/>
    </row>
    <row r="16" spans="1:18" x14ac:dyDescent="0.2">
      <c r="C16" s="50"/>
      <c r="K16" s="2"/>
      <c r="R16"/>
    </row>
    <row r="17" spans="3:18" x14ac:dyDescent="0.2">
      <c r="C17" s="89" t="s">
        <v>597</v>
      </c>
      <c r="K17" s="2"/>
      <c r="R17"/>
    </row>
    <row r="18" spans="3:18" x14ac:dyDescent="0.2">
      <c r="C18" s="89" t="s">
        <v>5</v>
      </c>
      <c r="K18" s="2"/>
      <c r="R18"/>
    </row>
    <row r="19" spans="3:18" x14ac:dyDescent="0.2">
      <c r="C19" s="89" t="s">
        <v>598</v>
      </c>
      <c r="K19" s="2"/>
      <c r="R19"/>
    </row>
    <row r="20" spans="3:18" x14ac:dyDescent="0.2">
      <c r="L20" s="430"/>
      <c r="R20"/>
    </row>
    <row r="21" spans="3:18" x14ac:dyDescent="0.2">
      <c r="C21" s="89" t="s">
        <v>413</v>
      </c>
      <c r="L21" s="430"/>
      <c r="R21"/>
    </row>
    <row r="22" spans="3:18" x14ac:dyDescent="0.2">
      <c r="C22" s="89" t="s">
        <v>414</v>
      </c>
      <c r="L22" s="430"/>
      <c r="R22"/>
    </row>
    <row r="23" spans="3:18" x14ac:dyDescent="0.2">
      <c r="C23" s="89" t="s">
        <v>224</v>
      </c>
      <c r="L23" s="430"/>
      <c r="R23" s="673"/>
    </row>
    <row r="24" spans="3:18" x14ac:dyDescent="0.2">
      <c r="C24" s="89" t="s">
        <v>665</v>
      </c>
      <c r="L24" s="430"/>
      <c r="R24" s="765"/>
    </row>
    <row r="25" spans="3:18" x14ac:dyDescent="0.2">
      <c r="C25" s="89" t="s">
        <v>666</v>
      </c>
      <c r="L25" s="430"/>
      <c r="R25" s="673"/>
    </row>
    <row r="26" spans="3:18" x14ac:dyDescent="0.2">
      <c r="C26" s="89" t="s">
        <v>75</v>
      </c>
      <c r="R26" s="673"/>
    </row>
    <row r="27" spans="3:18" x14ac:dyDescent="0.2">
      <c r="C27" s="89" t="s">
        <v>46</v>
      </c>
      <c r="R27" s="673"/>
    </row>
    <row r="28" spans="3:18" x14ac:dyDescent="0.2">
      <c r="C28" s="89" t="s">
        <v>667</v>
      </c>
      <c r="R28" s="673"/>
    </row>
    <row r="29" spans="3:18" x14ac:dyDescent="0.2">
      <c r="C29" s="90"/>
      <c r="R29" s="673"/>
    </row>
    <row r="30" spans="3:18" x14ac:dyDescent="0.2">
      <c r="C30" s="89" t="s">
        <v>490</v>
      </c>
      <c r="R30" s="673"/>
    </row>
    <row r="31" spans="3:18" x14ac:dyDescent="0.2">
      <c r="C31" s="89" t="s">
        <v>47</v>
      </c>
      <c r="R31" s="673"/>
    </row>
    <row r="32" spans="3:18" x14ac:dyDescent="0.2">
      <c r="R32" s="673"/>
    </row>
    <row r="33" spans="3:9" x14ac:dyDescent="0.2">
      <c r="C33" s="89" t="s">
        <v>668</v>
      </c>
    </row>
    <row r="35" spans="3:9" x14ac:dyDescent="0.2">
      <c r="C35" s="2" t="s">
        <v>189</v>
      </c>
    </row>
    <row r="36" spans="3:9" x14ac:dyDescent="0.2">
      <c r="C36" s="89" t="s">
        <v>669</v>
      </c>
    </row>
    <row r="37" spans="3:9" x14ac:dyDescent="0.2">
      <c r="C37" s="89" t="s">
        <v>670</v>
      </c>
    </row>
    <row r="38" spans="3:9" x14ac:dyDescent="0.2">
      <c r="C38" s="89" t="s">
        <v>672</v>
      </c>
    </row>
    <row r="39" spans="3:9" x14ac:dyDescent="0.2">
      <c r="C39" s="89" t="s">
        <v>671</v>
      </c>
    </row>
    <row r="40" spans="3:9" x14ac:dyDescent="0.2">
      <c r="C40" s="89" t="s">
        <v>322</v>
      </c>
    </row>
    <row r="41" spans="3:9" x14ac:dyDescent="0.2">
      <c r="C41" s="89" t="s">
        <v>599</v>
      </c>
    </row>
    <row r="42" spans="3:9" x14ac:dyDescent="0.2">
      <c r="C42" s="89" t="s">
        <v>699</v>
      </c>
      <c r="I42" s="2"/>
    </row>
    <row r="43" spans="3:9" x14ac:dyDescent="0.2">
      <c r="C43" s="89" t="s">
        <v>700</v>
      </c>
    </row>
    <row r="44" spans="3:9" x14ac:dyDescent="0.2">
      <c r="C44" s="452" t="s">
        <v>701</v>
      </c>
    </row>
    <row r="45" spans="3:9" x14ac:dyDescent="0.2">
      <c r="C45" s="89" t="s">
        <v>550</v>
      </c>
    </row>
    <row r="47" spans="3:9" x14ac:dyDescent="0.2">
      <c r="C47" s="89" t="s">
        <v>673</v>
      </c>
    </row>
    <row r="48" spans="3:9" x14ac:dyDescent="0.2">
      <c r="C48" s="89" t="s">
        <v>702</v>
      </c>
    </row>
    <row r="49" spans="3:3" x14ac:dyDescent="0.2">
      <c r="C49" s="89" t="s">
        <v>703</v>
      </c>
    </row>
    <row r="51" spans="3:3" x14ac:dyDescent="0.2">
      <c r="C51" s="89" t="s">
        <v>608</v>
      </c>
    </row>
    <row r="52" spans="3:3" x14ac:dyDescent="0.2">
      <c r="C52" s="89" t="s">
        <v>323</v>
      </c>
    </row>
    <row r="53" spans="3:3" x14ac:dyDescent="0.2">
      <c r="C53" s="89" t="s">
        <v>510</v>
      </c>
    </row>
    <row r="55" spans="3:3" x14ac:dyDescent="0.2">
      <c r="C55" s="89" t="s">
        <v>6</v>
      </c>
    </row>
    <row r="56" spans="3:3" x14ac:dyDescent="0.2">
      <c r="C56" s="89" t="s">
        <v>7</v>
      </c>
    </row>
    <row r="58" spans="3:3" x14ac:dyDescent="0.2">
      <c r="C58" s="453" t="s">
        <v>674</v>
      </c>
    </row>
    <row r="59" spans="3:3" x14ac:dyDescent="0.2">
      <c r="C59" s="89" t="s">
        <v>551</v>
      </c>
    </row>
    <row r="60" spans="3:3" x14ac:dyDescent="0.2">
      <c r="C60" s="89" t="s">
        <v>618</v>
      </c>
    </row>
    <row r="61" spans="3:3" x14ac:dyDescent="0.2">
      <c r="C61" s="2" t="s">
        <v>333</v>
      </c>
    </row>
    <row r="62" spans="3:3" x14ac:dyDescent="0.2">
      <c r="C62" s="2" t="s">
        <v>325</v>
      </c>
    </row>
    <row r="63" spans="3:3" x14ac:dyDescent="0.2">
      <c r="C63" s="89" t="s">
        <v>344</v>
      </c>
    </row>
    <row r="64" spans="3:3" x14ac:dyDescent="0.2">
      <c r="C64" s="89" t="s">
        <v>600</v>
      </c>
    </row>
    <row r="65" spans="3:3" x14ac:dyDescent="0.2">
      <c r="C65" s="89" t="s">
        <v>675</v>
      </c>
    </row>
    <row r="67" spans="3:3" x14ac:dyDescent="0.2">
      <c r="C67" s="2" t="s">
        <v>676</v>
      </c>
    </row>
    <row r="68" spans="3:3" x14ac:dyDescent="0.2">
      <c r="C68" s="89" t="s">
        <v>677</v>
      </c>
    </row>
    <row r="69" spans="3:3" hidden="1" x14ac:dyDescent="0.2">
      <c r="C69" s="89" t="s">
        <v>552</v>
      </c>
    </row>
    <row r="70" spans="3:3" x14ac:dyDescent="0.2">
      <c r="C70" s="89" t="s">
        <v>678</v>
      </c>
    </row>
    <row r="71" spans="3:3" x14ac:dyDescent="0.2">
      <c r="C71" s="2" t="s">
        <v>679</v>
      </c>
    </row>
    <row r="72" spans="3:3" x14ac:dyDescent="0.2">
      <c r="C72" s="89" t="s">
        <v>406</v>
      </c>
    </row>
    <row r="73" spans="3:3" x14ac:dyDescent="0.2">
      <c r="C73" s="90" t="s">
        <v>534</v>
      </c>
    </row>
    <row r="74" spans="3:3" x14ac:dyDescent="0.2">
      <c r="C74" s="4" t="s">
        <v>680</v>
      </c>
    </row>
    <row r="75" spans="3:3" x14ac:dyDescent="0.2">
      <c r="C75" s="4" t="s">
        <v>535</v>
      </c>
    </row>
    <row r="77" spans="3:3" x14ac:dyDescent="0.2">
      <c r="C77" s="453" t="s">
        <v>409</v>
      </c>
    </row>
    <row r="78" spans="3:3" x14ac:dyDescent="0.2">
      <c r="C78" s="89" t="s">
        <v>410</v>
      </c>
    </row>
    <row r="79" spans="3:3" x14ac:dyDescent="0.2">
      <c r="C79" s="89" t="s">
        <v>511</v>
      </c>
    </row>
    <row r="80" spans="3:3" x14ac:dyDescent="0.2">
      <c r="C80" s="89" t="s">
        <v>681</v>
      </c>
    </row>
    <row r="81" spans="3:15" x14ac:dyDescent="0.2">
      <c r="C81" s="89" t="s">
        <v>682</v>
      </c>
    </row>
    <row r="82" spans="3:15" x14ac:dyDescent="0.2">
      <c r="C82" s="89" t="s">
        <v>683</v>
      </c>
    </row>
    <row r="83" spans="3:15" x14ac:dyDescent="0.2">
      <c r="C83" s="89" t="s">
        <v>420</v>
      </c>
    </row>
    <row r="85" spans="3:15" x14ac:dyDescent="0.2">
      <c r="C85" s="453" t="s">
        <v>719</v>
      </c>
    </row>
    <row r="86" spans="3:15" x14ac:dyDescent="0.2">
      <c r="C86" s="89" t="s">
        <v>326</v>
      </c>
    </row>
    <row r="87" spans="3:15" x14ac:dyDescent="0.2">
      <c r="C87" s="89" t="s">
        <v>684</v>
      </c>
    </row>
    <row r="88" spans="3:15" x14ac:dyDescent="0.2">
      <c r="C88" s="89" t="s">
        <v>327</v>
      </c>
    </row>
    <row r="89" spans="3:15" x14ac:dyDescent="0.2">
      <c r="C89" s="89" t="s">
        <v>328</v>
      </c>
    </row>
    <row r="91" spans="3:15" s="3" customFormat="1" x14ac:dyDescent="0.2">
      <c r="C91" s="453" t="s">
        <v>685</v>
      </c>
      <c r="D91" s="89"/>
      <c r="E91" s="89"/>
      <c r="F91" s="89"/>
      <c r="G91" s="89"/>
      <c r="H91" s="89"/>
      <c r="I91" s="89"/>
      <c r="J91" s="89"/>
      <c r="K91" s="89"/>
      <c r="L91" s="89"/>
      <c r="M91" s="89"/>
      <c r="N91" s="89"/>
      <c r="O91" s="89"/>
    </row>
    <row r="92" spans="3:15" x14ac:dyDescent="0.2">
      <c r="C92" s="89" t="s">
        <v>704</v>
      </c>
    </row>
    <row r="93" spans="3:15" x14ac:dyDescent="0.2">
      <c r="C93" s="89" t="s">
        <v>705</v>
      </c>
    </row>
    <row r="94" spans="3:15" x14ac:dyDescent="0.2">
      <c r="C94" s="89" t="s">
        <v>706</v>
      </c>
    </row>
    <row r="96" spans="3:15" x14ac:dyDescent="0.2">
      <c r="C96" s="89" t="s">
        <v>553</v>
      </c>
    </row>
    <row r="97" spans="3:15" x14ac:dyDescent="0.2">
      <c r="C97" s="89" t="s">
        <v>686</v>
      </c>
    </row>
    <row r="99" spans="3:15" x14ac:dyDescent="0.2">
      <c r="C99" s="89" t="s">
        <v>81</v>
      </c>
    </row>
    <row r="100" spans="3:15" x14ac:dyDescent="0.2">
      <c r="C100" s="89" t="s">
        <v>345</v>
      </c>
    </row>
    <row r="102" spans="3:15" x14ac:dyDescent="0.2">
      <c r="C102" s="89" t="s">
        <v>687</v>
      </c>
    </row>
    <row r="103" spans="3:15" x14ac:dyDescent="0.2">
      <c r="C103" s="89" t="s">
        <v>601</v>
      </c>
    </row>
    <row r="105" spans="3:15" x14ac:dyDescent="0.2">
      <c r="C105" s="453" t="s">
        <v>346</v>
      </c>
    </row>
    <row r="106" spans="3:15" x14ac:dyDescent="0.2">
      <c r="C106" s="89" t="s">
        <v>347</v>
      </c>
    </row>
    <row r="107" spans="3:15" x14ac:dyDescent="0.2">
      <c r="C107" s="89" t="s">
        <v>348</v>
      </c>
    </row>
    <row r="108" spans="3:15" x14ac:dyDescent="0.2">
      <c r="C108" s="89" t="s">
        <v>125</v>
      </c>
      <c r="D108" s="3"/>
      <c r="E108" s="3"/>
      <c r="F108" s="3"/>
      <c r="G108" s="3"/>
      <c r="H108" s="3"/>
      <c r="I108" s="3"/>
      <c r="J108" s="3"/>
      <c r="K108" s="3"/>
      <c r="L108" s="3"/>
      <c r="M108" s="3"/>
      <c r="N108" s="3"/>
      <c r="O108" s="3"/>
    </row>
    <row r="109" spans="3:15" x14ac:dyDescent="0.2">
      <c r="C109" s="5" t="s">
        <v>602</v>
      </c>
    </row>
    <row r="110" spans="3:15" x14ac:dyDescent="0.2">
      <c r="C110" s="89" t="s">
        <v>603</v>
      </c>
    </row>
    <row r="111" spans="3:15" x14ac:dyDescent="0.2">
      <c r="C111" s="89" t="s">
        <v>225</v>
      </c>
    </row>
    <row r="112" spans="3:15" x14ac:dyDescent="0.2">
      <c r="C112" s="89" t="s">
        <v>203</v>
      </c>
    </row>
    <row r="113" spans="3:3" x14ac:dyDescent="0.2">
      <c r="C113" s="89" t="s">
        <v>126</v>
      </c>
    </row>
    <row r="114" spans="3:3" x14ac:dyDescent="0.2">
      <c r="C114" s="89" t="s">
        <v>491</v>
      </c>
    </row>
    <row r="115" spans="3:3" x14ac:dyDescent="0.2">
      <c r="C115" s="89" t="s">
        <v>127</v>
      </c>
    </row>
    <row r="117" spans="3:3" x14ac:dyDescent="0.2">
      <c r="C117" s="453" t="s">
        <v>8</v>
      </c>
    </row>
    <row r="118" spans="3:3" x14ac:dyDescent="0.2">
      <c r="C118" s="89" t="s">
        <v>688</v>
      </c>
    </row>
    <row r="119" spans="3:3" x14ac:dyDescent="0.2">
      <c r="C119" s="89" t="s">
        <v>81</v>
      </c>
    </row>
    <row r="120" spans="3:3" x14ac:dyDescent="0.2">
      <c r="C120" s="89" t="s">
        <v>345</v>
      </c>
    </row>
    <row r="121" spans="3:3" x14ac:dyDescent="0.2">
      <c r="C121" s="89" t="s">
        <v>689</v>
      </c>
    </row>
    <row r="123" spans="3:3" x14ac:dyDescent="0.2">
      <c r="C123" s="453" t="s">
        <v>589</v>
      </c>
    </row>
    <row r="124" spans="3:3" x14ac:dyDescent="0.2">
      <c r="C124" s="89" t="s">
        <v>590</v>
      </c>
    </row>
    <row r="125" spans="3:3" x14ac:dyDescent="0.2">
      <c r="C125" s="89" t="s">
        <v>707</v>
      </c>
    </row>
    <row r="126" spans="3:3" x14ac:dyDescent="0.2">
      <c r="C126" s="89" t="s">
        <v>708</v>
      </c>
    </row>
    <row r="128" spans="3:3" x14ac:dyDescent="0.2">
      <c r="C128" s="453" t="s">
        <v>9</v>
      </c>
    </row>
    <row r="129" spans="3:20" x14ac:dyDescent="0.2">
      <c r="C129" s="89" t="s">
        <v>204</v>
      </c>
    </row>
    <row r="130" spans="3:20" x14ac:dyDescent="0.2">
      <c r="C130" s="89" t="s">
        <v>709</v>
      </c>
    </row>
    <row r="131" spans="3:20" x14ac:dyDescent="0.2">
      <c r="C131" s="89" t="s">
        <v>710</v>
      </c>
    </row>
    <row r="132" spans="3:20" x14ac:dyDescent="0.2">
      <c r="C132" s="89" t="s">
        <v>40</v>
      </c>
    </row>
    <row r="133" spans="3:20" x14ac:dyDescent="0.2">
      <c r="C133" s="89" t="s">
        <v>591</v>
      </c>
    </row>
    <row r="135" spans="3:20" x14ac:dyDescent="0.2">
      <c r="C135" s="453" t="s">
        <v>10</v>
      </c>
    </row>
    <row r="136" spans="3:20" x14ac:dyDescent="0.2">
      <c r="C136" s="89" t="s">
        <v>135</v>
      </c>
    </row>
    <row r="137" spans="3:20" ht="12.75" customHeight="1" x14ac:dyDescent="0.25">
      <c r="C137" s="89" t="s">
        <v>11</v>
      </c>
      <c r="Q137" s="528"/>
      <c r="S137" s="528"/>
    </row>
    <row r="138" spans="3:20" ht="12.75" customHeight="1" x14ac:dyDescent="0.2"/>
    <row r="139" spans="3:20" ht="12.75" customHeight="1" x14ac:dyDescent="0.2">
      <c r="C139" s="453" t="s">
        <v>12</v>
      </c>
    </row>
    <row r="140" spans="3:20" ht="12.75" customHeight="1" x14ac:dyDescent="0.25">
      <c r="C140" s="89" t="s">
        <v>592</v>
      </c>
      <c r="T140" s="528"/>
    </row>
    <row r="141" spans="3:20" ht="12.75" customHeight="1" x14ac:dyDescent="0.25">
      <c r="C141" s="89" t="s">
        <v>14</v>
      </c>
      <c r="T141" s="528"/>
    </row>
    <row r="142" spans="3:20" ht="12.75" customHeight="1" x14ac:dyDescent="0.25">
      <c r="T142" s="528"/>
    </row>
    <row r="143" spans="3:20" ht="12.75" customHeight="1" x14ac:dyDescent="0.25">
      <c r="C143" s="89" t="s">
        <v>593</v>
      </c>
      <c r="T143" s="528"/>
    </row>
    <row r="144" spans="3:20" ht="12.75" customHeight="1" x14ac:dyDescent="0.25">
      <c r="T144" s="528"/>
    </row>
    <row r="145" spans="3:3" ht="12.75" customHeight="1" x14ac:dyDescent="0.2">
      <c r="C145" s="453" t="s">
        <v>15</v>
      </c>
    </row>
    <row r="146" spans="3:3" ht="12.75" customHeight="1" x14ac:dyDescent="0.2">
      <c r="C146" s="89" t="s">
        <v>36</v>
      </c>
    </row>
    <row r="147" spans="3:3" x14ac:dyDescent="0.2">
      <c r="C147" s="89" t="s">
        <v>42</v>
      </c>
    </row>
    <row r="148" spans="3:3" x14ac:dyDescent="0.2">
      <c r="C148" s="89" t="s">
        <v>206</v>
      </c>
    </row>
    <row r="150" spans="3:3" x14ac:dyDescent="0.2">
      <c r="C150" s="89" t="s">
        <v>349</v>
      </c>
    </row>
    <row r="151" spans="3:3" x14ac:dyDescent="0.2">
      <c r="C151" s="89" t="s">
        <v>619</v>
      </c>
    </row>
    <row r="153" spans="3:3" x14ac:dyDescent="0.2">
      <c r="C153" s="453" t="s">
        <v>16</v>
      </c>
    </row>
    <row r="154" spans="3:3" x14ac:dyDescent="0.2">
      <c r="C154" s="89" t="s">
        <v>205</v>
      </c>
    </row>
    <row r="155" spans="3:3" x14ac:dyDescent="0.2">
      <c r="C155" s="89" t="s">
        <v>17</v>
      </c>
    </row>
    <row r="157" spans="3:3" x14ac:dyDescent="0.2">
      <c r="C157" s="527" t="s">
        <v>316</v>
      </c>
    </row>
    <row r="158" spans="3:3" x14ac:dyDescent="0.2">
      <c r="C158" s="89" t="s">
        <v>334</v>
      </c>
    </row>
    <row r="159" spans="3:3" x14ac:dyDescent="0.2">
      <c r="C159" s="89" t="s">
        <v>317</v>
      </c>
    </row>
    <row r="160" spans="3:3" x14ac:dyDescent="0.2">
      <c r="C160" s="89" t="s">
        <v>711</v>
      </c>
    </row>
    <row r="161" spans="3:3" x14ac:dyDescent="0.2">
      <c r="C161" s="89" t="s">
        <v>492</v>
      </c>
    </row>
    <row r="163" spans="3:3" x14ac:dyDescent="0.2">
      <c r="C163" s="527" t="s">
        <v>350</v>
      </c>
    </row>
    <row r="164" spans="3:3" x14ac:dyDescent="0.2">
      <c r="C164" s="89" t="s">
        <v>489</v>
      </c>
    </row>
    <row r="165" spans="3:3" x14ac:dyDescent="0.2">
      <c r="C165" s="89" t="s">
        <v>352</v>
      </c>
    </row>
    <row r="167" spans="3:3" x14ac:dyDescent="0.2">
      <c r="C167" s="453" t="s">
        <v>128</v>
      </c>
    </row>
    <row r="168" spans="3:3" x14ac:dyDescent="0.2">
      <c r="C168" s="5" t="s">
        <v>222</v>
      </c>
    </row>
    <row r="169" spans="3:3" x14ac:dyDescent="0.2">
      <c r="C169" s="5" t="s">
        <v>582</v>
      </c>
    </row>
    <row r="170" spans="3:3" x14ac:dyDescent="0.2">
      <c r="C170" s="5" t="s">
        <v>712</v>
      </c>
    </row>
    <row r="171" spans="3:3" x14ac:dyDescent="0.2">
      <c r="C171" s="369"/>
    </row>
    <row r="172" spans="3:3" x14ac:dyDescent="0.2">
      <c r="C172" s="5" t="s">
        <v>353</v>
      </c>
    </row>
    <row r="173" spans="3:3" x14ac:dyDescent="0.2">
      <c r="C173" s="5" t="s">
        <v>718</v>
      </c>
    </row>
    <row r="174" spans="3:3" x14ac:dyDescent="0.2">
      <c r="C174" s="1164" t="s">
        <v>713</v>
      </c>
    </row>
    <row r="176" spans="3:3" x14ac:dyDescent="0.2">
      <c r="C176" s="453" t="s">
        <v>13</v>
      </c>
    </row>
    <row r="177" spans="3:3" x14ac:dyDescent="0.2">
      <c r="C177" s="89" t="s">
        <v>714</v>
      </c>
    </row>
    <row r="178" spans="3:3" x14ac:dyDescent="0.2">
      <c r="C178" s="89" t="s">
        <v>0</v>
      </c>
    </row>
    <row r="179" spans="3:3" x14ac:dyDescent="0.2">
      <c r="C179" s="89" t="s">
        <v>21</v>
      </c>
    </row>
    <row r="180" spans="3:3" x14ac:dyDescent="0.2">
      <c r="C180" s="89" t="s">
        <v>37</v>
      </c>
    </row>
    <row r="181" spans="3:3" x14ac:dyDescent="0.2">
      <c r="C181" s="89" t="s">
        <v>76</v>
      </c>
    </row>
    <row r="182" spans="3:3" x14ac:dyDescent="0.2">
      <c r="C182" s="89" t="s">
        <v>354</v>
      </c>
    </row>
    <row r="183" spans="3:3" x14ac:dyDescent="0.2">
      <c r="C183" s="89" t="s">
        <v>77</v>
      </c>
    </row>
    <row r="184" spans="3:3" x14ac:dyDescent="0.2">
      <c r="C184" s="89" t="s">
        <v>78</v>
      </c>
    </row>
    <row r="185" spans="3:3" x14ac:dyDescent="0.2">
      <c r="C185" s="89" t="s">
        <v>330</v>
      </c>
    </row>
    <row r="187" spans="3:3" x14ac:dyDescent="0.2">
      <c r="C187" s="89" t="s">
        <v>79</v>
      </c>
    </row>
    <row r="188" spans="3:3" x14ac:dyDescent="0.2">
      <c r="C188" s="89" t="s">
        <v>604</v>
      </c>
    </row>
    <row r="189" spans="3:3" x14ac:dyDescent="0.2">
      <c r="C189" s="2" t="s">
        <v>605</v>
      </c>
    </row>
    <row r="190" spans="3:3" x14ac:dyDescent="0.2">
      <c r="C190" s="452" t="s">
        <v>606</v>
      </c>
    </row>
    <row r="191" spans="3:3" x14ac:dyDescent="0.2">
      <c r="C191" s="89" t="s">
        <v>607</v>
      </c>
    </row>
    <row r="192" spans="3:3" x14ac:dyDescent="0.2">
      <c r="C192" s="89" t="s">
        <v>715</v>
      </c>
    </row>
    <row r="194" spans="3:8" x14ac:dyDescent="0.2">
      <c r="C194" s="89" t="s">
        <v>80</v>
      </c>
    </row>
    <row r="195" spans="3:8" x14ac:dyDescent="0.2">
      <c r="C195" s="89" t="s">
        <v>594</v>
      </c>
    </row>
    <row r="196" spans="3:8" x14ac:dyDescent="0.2">
      <c r="C196" s="89" t="s">
        <v>38</v>
      </c>
    </row>
    <row r="197" spans="3:8" x14ac:dyDescent="0.2">
      <c r="C197" s="89" t="s">
        <v>39</v>
      </c>
    </row>
    <row r="199" spans="3:8" x14ac:dyDescent="0.2">
      <c r="C199" s="89" t="s">
        <v>716</v>
      </c>
    </row>
    <row r="201" spans="3:8" x14ac:dyDescent="0.2">
      <c r="C201" s="453" t="s">
        <v>41</v>
      </c>
    </row>
    <row r="202" spans="3:8" x14ac:dyDescent="0.2">
      <c r="C202" s="89" t="s">
        <v>48</v>
      </c>
    </row>
    <row r="204" spans="3:8" x14ac:dyDescent="0.2">
      <c r="C204" s="453" t="s">
        <v>82</v>
      </c>
    </row>
    <row r="205" spans="3:8" x14ac:dyDescent="0.2">
      <c r="C205" s="89" t="s">
        <v>83</v>
      </c>
    </row>
    <row r="206" spans="3:8" x14ac:dyDescent="0.2">
      <c r="C206" s="89" t="s">
        <v>407</v>
      </c>
    </row>
    <row r="207" spans="3:8" x14ac:dyDescent="0.2">
      <c r="C207" s="89" t="s">
        <v>226</v>
      </c>
      <c r="H207" s="4" t="s">
        <v>227</v>
      </c>
    </row>
    <row r="276" ht="11.25" customHeight="1" x14ac:dyDescent="0.2"/>
    <row r="291" ht="11.25" customHeight="1" x14ac:dyDescent="0.2"/>
  </sheetData>
  <sheetProtection algorithmName="SHA-512" hashValue="f1BauvJl1osK4GWre46vMLDb6/6m/fJTcMkMxv7UdbmjCjVCyOjsXxJgpRgn3WaZriU/rujpcDwGfFkqxZ60JQ==" saltValue="MF0aXHuUoIvCVWJ3e38Jdw==" spinCount="100000" sheet="1" objects="1" scenarios="1"/>
  <phoneticPr fontId="0" type="noConversion"/>
  <hyperlinks>
    <hyperlink ref="H207" r:id="rId1" xr:uid="{00000000-0004-0000-0000-000000000000}"/>
    <hyperlink ref="C75" r:id="rId2" xr:uid="{00000000-0004-0000-0000-000001000000}"/>
    <hyperlink ref="C74" r:id="rId3" xr:uid="{86ADF047-C2A1-4C25-9A27-0CD9ABC6028A}"/>
    <hyperlink ref="C174" r:id="rId4" xr:uid="{73AD0448-EFED-4902-85C4-3CE46EAE1434}"/>
  </hyperlinks>
  <pageMargins left="0.74803149606299213" right="0.74803149606299213" top="0.98425196850393704" bottom="0.98425196850393704" header="0.51181102362204722" footer="0.51181102362204722"/>
  <pageSetup paperSize="9" scale="68" orientation="portrait" r:id="rId5"/>
  <headerFooter alignWithMargins="0">
    <oddHeader>&amp;L&amp;"Arial,Vet"&amp;9&amp;F&amp;R&amp;"Arial,Vet"&amp;9&amp;A</oddHeader>
    <oddFooter>&amp;L&amp;"Arial,Vet"&amp;9be.keizer@wxs.nl&amp;C&amp;"Arial,Vet"&amp;9pagina &amp;P&amp;R&amp;"Arial,Vet"&amp;9&amp;D</oddFooter>
  </headerFooter>
  <rowBreaks count="3" manualBreakCount="3">
    <brk id="83" min="1" max="12" man="1"/>
    <brk id="165" min="1" max="12" man="1"/>
    <brk id="225" min="2" max="14" man="1"/>
  </rowBreak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X46"/>
  <sheetViews>
    <sheetView showGridLines="0" zoomScale="85" zoomScaleNormal="85" workbookViewId="0">
      <selection activeCell="B2" sqref="B2"/>
    </sheetView>
  </sheetViews>
  <sheetFormatPr defaultRowHeight="12.75" x14ac:dyDescent="0.2"/>
  <cols>
    <col min="1" max="1" width="3.7109375" style="100" customWidth="1"/>
    <col min="2" max="2" width="2.7109375" style="100" customWidth="1"/>
    <col min="3" max="3" width="2.5703125" style="100" customWidth="1"/>
    <col min="4" max="4" width="33.28515625" style="100" customWidth="1"/>
    <col min="5" max="5" width="2.7109375" style="100" customWidth="1"/>
    <col min="6" max="10" width="15.7109375" style="100" customWidth="1"/>
    <col min="11" max="13" width="15.7109375" style="100" hidden="1" customWidth="1"/>
    <col min="14" max="15" width="2.7109375" style="100" customWidth="1"/>
    <col min="16" max="16" width="5.7109375" style="100" customWidth="1"/>
    <col min="17" max="17" width="2.7109375" style="100" customWidth="1"/>
    <col min="18" max="18" width="12.7109375" style="335" customWidth="1"/>
    <col min="19" max="20" width="12.7109375" style="336" customWidth="1"/>
    <col min="21" max="22" width="10.7109375" style="336" customWidth="1"/>
    <col min="23" max="23" width="2.7109375" style="100" customWidth="1"/>
    <col min="24" max="16384" width="9.140625" style="100"/>
  </cols>
  <sheetData>
    <row r="2" spans="2:24" x14ac:dyDescent="0.2">
      <c r="B2" s="65"/>
      <c r="C2" s="66"/>
      <c r="D2" s="66"/>
      <c r="E2" s="66"/>
      <c r="F2" s="66"/>
      <c r="G2" s="66"/>
      <c r="H2" s="66"/>
      <c r="I2" s="66"/>
      <c r="J2" s="66"/>
      <c r="K2" s="66"/>
      <c r="L2" s="66"/>
      <c r="M2" s="66"/>
      <c r="N2" s="66"/>
      <c r="O2" s="68"/>
    </row>
    <row r="3" spans="2:24" x14ac:dyDescent="0.2">
      <c r="B3" s="69"/>
      <c r="C3" s="5"/>
      <c r="D3" s="5"/>
      <c r="E3" s="5"/>
      <c r="F3" s="5"/>
      <c r="G3" s="5"/>
      <c r="H3" s="5"/>
      <c r="I3" s="5"/>
      <c r="J3" s="5"/>
      <c r="K3" s="5"/>
      <c r="L3" s="5"/>
      <c r="M3" s="5"/>
      <c r="N3" s="5"/>
      <c r="O3" s="70"/>
    </row>
    <row r="4" spans="2:24" s="132" customFormat="1" ht="18" customHeight="1" x14ac:dyDescent="0.3">
      <c r="B4" s="321"/>
      <c r="C4" s="472" t="s">
        <v>24</v>
      </c>
      <c r="D4" s="135"/>
      <c r="E4" s="136"/>
      <c r="F4" s="136"/>
      <c r="G4" s="136"/>
      <c r="H4" s="136"/>
      <c r="I4" s="136"/>
      <c r="J4" s="136"/>
      <c r="K4" s="136"/>
      <c r="L4" s="136"/>
      <c r="M4" s="136"/>
      <c r="N4" s="136"/>
      <c r="O4" s="138"/>
    </row>
    <row r="5" spans="2:24" s="13" customFormat="1" ht="18" customHeight="1" x14ac:dyDescent="0.3">
      <c r="B5" s="339"/>
      <c r="C5" s="679" t="str">
        <f>'geg ll'!C5</f>
        <v>Voorbeeld SWV VO Alkmaar</v>
      </c>
      <c r="D5" s="340"/>
      <c r="E5" s="43"/>
      <c r="F5" s="43"/>
      <c r="G5" s="43"/>
      <c r="H5" s="43"/>
      <c r="I5" s="43"/>
      <c r="J5" s="43"/>
      <c r="K5" s="43"/>
      <c r="L5" s="43"/>
      <c r="M5" s="43"/>
      <c r="N5" s="43"/>
      <c r="O5" s="44"/>
    </row>
    <row r="6" spans="2:24" s="165" customFormat="1" x14ac:dyDescent="0.2">
      <c r="B6" s="166"/>
      <c r="C6" s="167"/>
      <c r="D6" s="167"/>
      <c r="E6" s="167"/>
      <c r="F6" s="167"/>
      <c r="G6" s="167"/>
      <c r="H6" s="167"/>
      <c r="I6" s="167"/>
      <c r="J6" s="167"/>
      <c r="K6" s="167"/>
      <c r="L6" s="167"/>
      <c r="M6" s="167"/>
      <c r="N6" s="167"/>
      <c r="O6" s="168"/>
      <c r="R6" s="337"/>
    </row>
    <row r="7" spans="2:24" s="165" customFormat="1" x14ac:dyDescent="0.2">
      <c r="B7" s="166"/>
      <c r="C7" s="167"/>
      <c r="D7" s="167"/>
      <c r="E7" s="167"/>
      <c r="F7" s="167"/>
      <c r="G7" s="341"/>
      <c r="H7" s="167"/>
      <c r="I7" s="167"/>
      <c r="J7" s="167"/>
      <c r="K7" s="167"/>
      <c r="L7" s="167"/>
      <c r="M7" s="167"/>
      <c r="N7" s="167"/>
      <c r="O7" s="168"/>
      <c r="R7" s="337"/>
    </row>
    <row r="8" spans="2:24" s="165" customFormat="1" x14ac:dyDescent="0.2">
      <c r="B8" s="166"/>
      <c r="C8" s="167"/>
      <c r="D8" s="167"/>
      <c r="E8" s="167"/>
      <c r="F8" s="457">
        <f>mip!Q8</f>
        <v>2023</v>
      </c>
      <c r="G8" s="457">
        <f>mip!R8</f>
        <v>2024</v>
      </c>
      <c r="H8" s="457">
        <f>mip!S8</f>
        <v>2025</v>
      </c>
      <c r="I8" s="457">
        <f>mip!T8</f>
        <v>2026</v>
      </c>
      <c r="J8" s="457">
        <f>mip!U8</f>
        <v>2027</v>
      </c>
      <c r="K8" s="457">
        <f>mip!V8</f>
        <v>2028</v>
      </c>
      <c r="L8" s="457">
        <f>mip!W8</f>
        <v>2029</v>
      </c>
      <c r="M8" s="457">
        <f>mip!X8</f>
        <v>2030</v>
      </c>
      <c r="N8" s="167"/>
      <c r="O8" s="168"/>
      <c r="R8" s="337"/>
    </row>
    <row r="9" spans="2:24" x14ac:dyDescent="0.2">
      <c r="B9" s="69"/>
      <c r="C9" s="5"/>
      <c r="D9" s="5"/>
      <c r="E9" s="5"/>
      <c r="F9" s="5"/>
      <c r="G9" s="5"/>
      <c r="H9" s="5"/>
      <c r="I9" s="5"/>
      <c r="J9" s="5"/>
      <c r="K9" s="5"/>
      <c r="L9" s="5"/>
      <c r="M9" s="5"/>
      <c r="N9" s="5"/>
      <c r="O9" s="70"/>
    </row>
    <row r="10" spans="2:24" x14ac:dyDescent="0.2">
      <c r="B10" s="69"/>
      <c r="C10" s="149"/>
      <c r="D10" s="149"/>
      <c r="E10" s="149"/>
      <c r="F10" s="149"/>
      <c r="G10" s="149"/>
      <c r="H10" s="149"/>
      <c r="I10" s="149"/>
      <c r="J10" s="149"/>
      <c r="K10" s="149"/>
      <c r="L10" s="149"/>
      <c r="M10" s="149"/>
      <c r="N10" s="149"/>
      <c r="O10" s="70"/>
      <c r="S10" s="335"/>
      <c r="T10" s="335"/>
      <c r="U10" s="335"/>
      <c r="W10" s="335"/>
      <c r="X10" s="335"/>
    </row>
    <row r="11" spans="2:24" x14ac:dyDescent="0.2">
      <c r="B11" s="69"/>
      <c r="C11" s="149"/>
      <c r="D11" s="342" t="s">
        <v>509</v>
      </c>
      <c r="E11" s="149"/>
      <c r="F11" s="149"/>
      <c r="G11" s="149"/>
      <c r="H11" s="149"/>
      <c r="I11" s="149"/>
      <c r="J11" s="149"/>
      <c r="K11" s="149"/>
      <c r="L11" s="149"/>
      <c r="M11" s="149"/>
      <c r="N11" s="149"/>
      <c r="O11" s="70"/>
      <c r="S11" s="335"/>
      <c r="T11" s="335"/>
      <c r="U11" s="335"/>
      <c r="W11" s="335"/>
      <c r="X11" s="335"/>
    </row>
    <row r="12" spans="2:24" x14ac:dyDescent="0.2">
      <c r="B12" s="69"/>
      <c r="C12" s="149"/>
      <c r="D12" s="45" t="s">
        <v>70</v>
      </c>
      <c r="E12" s="149"/>
      <c r="F12" s="126">
        <v>0</v>
      </c>
      <c r="G12" s="429">
        <f t="shared" ref="G12:I15" si="0">F39</f>
        <v>0</v>
      </c>
      <c r="H12" s="429">
        <f t="shared" si="0"/>
        <v>0</v>
      </c>
      <c r="I12" s="429">
        <f t="shared" si="0"/>
        <v>0</v>
      </c>
      <c r="J12" s="429">
        <f t="shared" ref="J12:M15" si="1">I39</f>
        <v>0</v>
      </c>
      <c r="K12" s="429">
        <f t="shared" si="1"/>
        <v>0</v>
      </c>
      <c r="L12" s="429">
        <f t="shared" si="1"/>
        <v>0</v>
      </c>
      <c r="M12" s="429">
        <f t="shared" si="1"/>
        <v>0</v>
      </c>
      <c r="N12" s="149"/>
      <c r="O12" s="70"/>
      <c r="S12" s="335"/>
      <c r="T12" s="335"/>
      <c r="U12" s="335"/>
      <c r="W12" s="335"/>
      <c r="X12" s="335"/>
    </row>
    <row r="13" spans="2:24" x14ac:dyDescent="0.2">
      <c r="B13" s="69"/>
      <c r="C13" s="149"/>
      <c r="D13" s="45" t="s">
        <v>71</v>
      </c>
      <c r="E13" s="149"/>
      <c r="F13" s="126">
        <v>46025</v>
      </c>
      <c r="G13" s="429">
        <f t="shared" si="0"/>
        <v>32150</v>
      </c>
      <c r="H13" s="429">
        <f t="shared" si="0"/>
        <v>18275</v>
      </c>
      <c r="I13" s="429">
        <f t="shared" si="0"/>
        <v>4400</v>
      </c>
      <c r="J13" s="429">
        <f t="shared" si="1"/>
        <v>46025</v>
      </c>
      <c r="K13" s="429">
        <f t="shared" si="1"/>
        <v>32150</v>
      </c>
      <c r="L13" s="429">
        <f t="shared" si="1"/>
        <v>18275</v>
      </c>
      <c r="M13" s="429">
        <f t="shared" si="1"/>
        <v>4400</v>
      </c>
      <c r="N13" s="149"/>
      <c r="O13" s="70"/>
      <c r="S13" s="335"/>
      <c r="T13" s="335"/>
      <c r="U13" s="335"/>
      <c r="W13" s="335"/>
      <c r="X13" s="335"/>
    </row>
    <row r="14" spans="2:24" x14ac:dyDescent="0.2">
      <c r="B14" s="69"/>
      <c r="C14" s="149"/>
      <c r="D14" s="45" t="s">
        <v>66</v>
      </c>
      <c r="E14" s="149"/>
      <c r="F14" s="126">
        <v>0</v>
      </c>
      <c r="G14" s="429">
        <f t="shared" si="0"/>
        <v>0</v>
      </c>
      <c r="H14" s="429">
        <f t="shared" si="0"/>
        <v>0</v>
      </c>
      <c r="I14" s="429">
        <f t="shared" si="0"/>
        <v>0</v>
      </c>
      <c r="J14" s="429">
        <f t="shared" si="1"/>
        <v>0</v>
      </c>
      <c r="K14" s="429">
        <f t="shared" si="1"/>
        <v>0</v>
      </c>
      <c r="L14" s="429">
        <f t="shared" si="1"/>
        <v>0</v>
      </c>
      <c r="M14" s="429">
        <f t="shared" si="1"/>
        <v>0</v>
      </c>
      <c r="N14" s="149"/>
      <c r="O14" s="70"/>
      <c r="S14" s="335"/>
      <c r="T14" s="335"/>
      <c r="U14" s="335"/>
      <c r="W14" s="335"/>
      <c r="X14" s="335"/>
    </row>
    <row r="15" spans="2:24" x14ac:dyDescent="0.2">
      <c r="B15" s="69"/>
      <c r="C15" s="149"/>
      <c r="D15" s="45" t="s">
        <v>72</v>
      </c>
      <c r="E15" s="149"/>
      <c r="F15" s="126">
        <v>0</v>
      </c>
      <c r="G15" s="429">
        <f t="shared" si="0"/>
        <v>0</v>
      </c>
      <c r="H15" s="429">
        <f t="shared" si="0"/>
        <v>0</v>
      </c>
      <c r="I15" s="429">
        <f t="shared" si="0"/>
        <v>0</v>
      </c>
      <c r="J15" s="429">
        <f t="shared" si="1"/>
        <v>0</v>
      </c>
      <c r="K15" s="429">
        <f t="shared" si="1"/>
        <v>0</v>
      </c>
      <c r="L15" s="429">
        <f t="shared" si="1"/>
        <v>0</v>
      </c>
      <c r="M15" s="429">
        <f t="shared" si="1"/>
        <v>0</v>
      </c>
      <c r="N15" s="149"/>
      <c r="O15" s="70"/>
      <c r="S15" s="335"/>
      <c r="T15" s="335"/>
      <c r="U15" s="335"/>
      <c r="W15" s="335"/>
      <c r="X15" s="335"/>
    </row>
    <row r="16" spans="2:24" x14ac:dyDescent="0.2">
      <c r="B16" s="69"/>
      <c r="C16" s="149"/>
      <c r="D16" s="343"/>
      <c r="E16" s="149"/>
      <c r="F16" s="437">
        <f t="shared" ref="F16:M16" si="2">SUM(F12:F15)</f>
        <v>46025</v>
      </c>
      <c r="G16" s="437">
        <f t="shared" si="2"/>
        <v>32150</v>
      </c>
      <c r="H16" s="437">
        <f t="shared" si="2"/>
        <v>18275</v>
      </c>
      <c r="I16" s="437">
        <f t="shared" si="2"/>
        <v>4400</v>
      </c>
      <c r="J16" s="437">
        <f t="shared" si="2"/>
        <v>46025</v>
      </c>
      <c r="K16" s="437">
        <f t="shared" si="2"/>
        <v>32150</v>
      </c>
      <c r="L16" s="437">
        <f t="shared" si="2"/>
        <v>18275</v>
      </c>
      <c r="M16" s="437">
        <f t="shared" si="2"/>
        <v>4400</v>
      </c>
      <c r="N16" s="149"/>
      <c r="O16" s="70"/>
      <c r="R16" s="336"/>
      <c r="W16" s="336"/>
      <c r="X16" s="336"/>
    </row>
    <row r="17" spans="2:24" x14ac:dyDescent="0.2">
      <c r="B17" s="69"/>
      <c r="C17" s="149"/>
      <c r="D17" s="85"/>
      <c r="E17" s="149"/>
      <c r="F17" s="149"/>
      <c r="G17" s="149"/>
      <c r="H17" s="149"/>
      <c r="I17" s="149"/>
      <c r="J17" s="149"/>
      <c r="K17" s="149"/>
      <c r="L17" s="149"/>
      <c r="M17" s="149"/>
      <c r="N17" s="149"/>
      <c r="O17" s="70"/>
      <c r="S17" s="335"/>
      <c r="T17" s="335"/>
      <c r="U17" s="335"/>
      <c r="W17" s="335"/>
      <c r="X17" s="335"/>
    </row>
    <row r="18" spans="2:24" x14ac:dyDescent="0.2">
      <c r="B18" s="69"/>
      <c r="C18" s="5"/>
      <c r="D18" s="5"/>
      <c r="E18" s="5"/>
      <c r="F18" s="5"/>
      <c r="G18" s="5"/>
      <c r="H18" s="5"/>
      <c r="I18" s="5"/>
      <c r="J18" s="5"/>
      <c r="K18" s="5"/>
      <c r="L18" s="5"/>
      <c r="M18" s="5"/>
      <c r="N18" s="5"/>
      <c r="O18" s="70"/>
      <c r="S18" s="335"/>
      <c r="T18" s="335"/>
      <c r="U18" s="335"/>
      <c r="W18" s="335"/>
      <c r="X18" s="335"/>
    </row>
    <row r="19" spans="2:24" x14ac:dyDescent="0.2">
      <c r="B19" s="69"/>
      <c r="C19" s="149"/>
      <c r="D19" s="149"/>
      <c r="E19" s="149"/>
      <c r="F19" s="149"/>
      <c r="G19" s="149"/>
      <c r="H19" s="149"/>
      <c r="I19" s="149"/>
      <c r="J19" s="149"/>
      <c r="K19" s="149"/>
      <c r="L19" s="149"/>
      <c r="M19" s="149"/>
      <c r="N19" s="149"/>
      <c r="O19" s="70"/>
      <c r="S19" s="335"/>
      <c r="T19" s="335"/>
      <c r="U19" s="335"/>
      <c r="W19" s="335"/>
      <c r="X19" s="335"/>
    </row>
    <row r="20" spans="2:24" x14ac:dyDescent="0.2">
      <c r="B20" s="69"/>
      <c r="C20" s="149"/>
      <c r="D20" s="470" t="s">
        <v>123</v>
      </c>
      <c r="E20" s="149"/>
      <c r="F20" s="149"/>
      <c r="G20" s="149"/>
      <c r="H20" s="149"/>
      <c r="I20" s="149"/>
      <c r="J20" s="149"/>
      <c r="K20" s="149"/>
      <c r="L20" s="149"/>
      <c r="M20" s="149"/>
      <c r="N20" s="149"/>
      <c r="O20" s="70"/>
      <c r="S20" s="335"/>
      <c r="T20" s="335"/>
      <c r="U20" s="335"/>
      <c r="W20" s="335"/>
      <c r="X20" s="335"/>
    </row>
    <row r="21" spans="2:24" x14ac:dyDescent="0.2">
      <c r="B21" s="69"/>
      <c r="C21" s="149"/>
      <c r="D21" s="45" t="s">
        <v>70</v>
      </c>
      <c r="E21" s="149"/>
      <c r="F21" s="429">
        <f>SUMIF(mip!$D$14:$D$70,"gebouwen en terreinen",mip!AA$14:AA$70)</f>
        <v>0</v>
      </c>
      <c r="G21" s="429">
        <f>SUMIF(mip!$D$14:$D$70,"gebouwen en terreinen",mip!AB$14:AB$70)</f>
        <v>0</v>
      </c>
      <c r="H21" s="429">
        <f>SUMIF(mip!$D$14:$D$70,"gebouwen en terreinen",mip!AC$14:AC$70)</f>
        <v>0</v>
      </c>
      <c r="I21" s="429">
        <f>SUMIF(mip!$D$14:$D$70,"gebouwen en terreinen",mip!AD$14:AD$70)</f>
        <v>0</v>
      </c>
      <c r="J21" s="429">
        <f>SUMIF(mip!$D$14:$D$70,"gebouwen en terreinen",mip!AE$14:AE$70)</f>
        <v>0</v>
      </c>
      <c r="K21" s="429">
        <f>SUMIF(mip!$D$14:$D$70,"gebouwen en terreinen",mip!AF$14:AF$70)</f>
        <v>0</v>
      </c>
      <c r="L21" s="429">
        <f>SUMIF(mip!$D$14:$D$70,"gebouwen en terreinen",mip!AG$14:AG$70)</f>
        <v>0</v>
      </c>
      <c r="M21" s="429">
        <f>SUMIF(mip!$D$14:$D$70,"gebouwen en terreinen",mip!AH$14:AH$70)</f>
        <v>0</v>
      </c>
      <c r="N21" s="149"/>
      <c r="O21" s="70"/>
      <c r="S21" s="335"/>
      <c r="T21" s="335"/>
      <c r="U21" s="335"/>
      <c r="W21" s="335"/>
      <c r="X21" s="335"/>
    </row>
    <row r="22" spans="2:24" x14ac:dyDescent="0.2">
      <c r="B22" s="69"/>
      <c r="C22" s="149"/>
      <c r="D22" s="45" t="s">
        <v>71</v>
      </c>
      <c r="E22" s="149"/>
      <c r="F22" s="429">
        <f>SUMIF(mip!$D$14:$D$70,"inventaris en apparatuur",mip!AA$14:AA$70)</f>
        <v>0</v>
      </c>
      <c r="G22" s="429">
        <f>SUMIF(mip!$D$14:$D$70,"inventaris en apparatuur",mip!AB$14:AB$70)</f>
        <v>0</v>
      </c>
      <c r="H22" s="429">
        <f>SUMIF(mip!$D$14:$D$70,"inventaris en apparatuur",mip!AC$14:AC$70)</f>
        <v>0</v>
      </c>
      <c r="I22" s="429">
        <f>SUMIF(mip!$D$14:$D$70,"inventaris en apparatuur",mip!AD$14:AD$70)</f>
        <v>55500</v>
      </c>
      <c r="J22" s="429">
        <f>SUMIF(mip!$D$14:$D$70,"inventaris en apparatuur",mip!AE$14:AE$70)</f>
        <v>0</v>
      </c>
      <c r="K22" s="429">
        <f>SUMIF(mip!$D$14:$D$70,"inventaris en apparatuur",mip!AF$14:AF$70)</f>
        <v>0</v>
      </c>
      <c r="L22" s="429">
        <f>SUMIF(mip!$D$14:$D$70,"inventaris en apparatuur",mip!AG$14:AG$70)</f>
        <v>0</v>
      </c>
      <c r="M22" s="429">
        <f>SUMIF(mip!$D$14:$D$70,"inventaris en apparatuur",mip!AH$14:AH$70)</f>
        <v>0</v>
      </c>
      <c r="N22" s="149"/>
      <c r="O22" s="70"/>
      <c r="S22" s="335"/>
      <c r="T22" s="335"/>
      <c r="U22" s="335"/>
      <c r="W22" s="335"/>
      <c r="X22" s="335"/>
    </row>
    <row r="23" spans="2:24" x14ac:dyDescent="0.2">
      <c r="B23" s="69"/>
      <c r="C23" s="149"/>
      <c r="D23" s="45" t="s">
        <v>66</v>
      </c>
      <c r="E23" s="149"/>
      <c r="F23" s="429">
        <f>SUMIF(mip!$D$14:$D$70,"leermiddelen",mip!AA$14:AA$70)</f>
        <v>0</v>
      </c>
      <c r="G23" s="429">
        <f>SUMIF(mip!$D$14:$D$70,"leermiddelen",mip!AB$14:AB$70)</f>
        <v>0</v>
      </c>
      <c r="H23" s="429">
        <f>SUMIF(mip!$D$14:$D$70,"leermiddelen",mip!AC$14:AC$70)</f>
        <v>0</v>
      </c>
      <c r="I23" s="429">
        <f>SUMIF(mip!$D$14:$D$70,"leermiddelen",mip!AD$14:AD$70)</f>
        <v>0</v>
      </c>
      <c r="J23" s="429">
        <f>SUMIF(mip!$D$14:$D$70,"leermiddelen",mip!AE$14:AE$70)</f>
        <v>0</v>
      </c>
      <c r="K23" s="429">
        <f>SUMIF(mip!$D$14:$D$70,"leermiddelen",mip!AF$14:AF$70)</f>
        <v>0</v>
      </c>
      <c r="L23" s="429">
        <f>SUMIF(mip!$D$14:$D$70,"leermiddelen",mip!AG$14:AG$70)</f>
        <v>0</v>
      </c>
      <c r="M23" s="429">
        <f>SUMIF(mip!$D$14:$D$70,"leermiddelen",mip!AH$14:AH$70)</f>
        <v>0</v>
      </c>
      <c r="N23" s="149"/>
      <c r="O23" s="70"/>
      <c r="S23" s="335"/>
      <c r="T23" s="335"/>
      <c r="U23" s="335"/>
      <c r="W23" s="335"/>
      <c r="X23" s="335"/>
    </row>
    <row r="24" spans="2:24" x14ac:dyDescent="0.2">
      <c r="B24" s="69"/>
      <c r="C24" s="149"/>
      <c r="D24" s="45" t="s">
        <v>72</v>
      </c>
      <c r="E24" s="149"/>
      <c r="F24" s="429">
        <f>SUMIF(mip!$D$14:$D$70,"overige materiële vaste activa",mip!AA$14:AA$70)</f>
        <v>0</v>
      </c>
      <c r="G24" s="429">
        <f>SUMIF(mip!$D$14:$D$70,"overige materiële vaste activa",mip!AB$14:AB$70)</f>
        <v>0</v>
      </c>
      <c r="H24" s="429">
        <f>SUMIF(mip!$D$14:$D$70,"overige materiële vaste activa",mip!AC$14:AC$70)</f>
        <v>0</v>
      </c>
      <c r="I24" s="429">
        <f>SUMIF(mip!$D$14:$D$70,"overige materiële vaste activa",mip!AD$14:AD$70)</f>
        <v>0</v>
      </c>
      <c r="J24" s="429">
        <f>SUMIF(mip!$D$14:$D$70,"overige materiële vaste activa",mip!AE$14:AE$70)</f>
        <v>0</v>
      </c>
      <c r="K24" s="429">
        <f>SUMIF(mip!$D$14:$D$70,"overige materiële vaste activa",mip!AF$14:AF$70)</f>
        <v>0</v>
      </c>
      <c r="L24" s="429">
        <f>SUMIF(mip!$D$14:$D$70,"overige materiële vaste activa",mip!AG$14:AG$70)</f>
        <v>0</v>
      </c>
      <c r="M24" s="429">
        <f>SUMIF(mip!$D$14:$D$70,"overige materiële vaste activa",mip!AH$14:AH$70)</f>
        <v>0</v>
      </c>
      <c r="N24" s="149"/>
      <c r="O24" s="70"/>
      <c r="S24" s="335"/>
      <c r="T24" s="335"/>
      <c r="U24" s="335"/>
      <c r="W24" s="335"/>
      <c r="X24" s="335"/>
    </row>
    <row r="25" spans="2:24" x14ac:dyDescent="0.2">
      <c r="B25" s="69"/>
      <c r="C25" s="149"/>
      <c r="D25" s="343"/>
      <c r="E25" s="149"/>
      <c r="F25" s="437">
        <f t="shared" ref="F25:M25" si="3">SUM(F21:F24)</f>
        <v>0</v>
      </c>
      <c r="G25" s="437">
        <f t="shared" si="3"/>
        <v>0</v>
      </c>
      <c r="H25" s="437">
        <f t="shared" si="3"/>
        <v>0</v>
      </c>
      <c r="I25" s="437">
        <f t="shared" si="3"/>
        <v>55500</v>
      </c>
      <c r="J25" s="437">
        <f t="shared" si="3"/>
        <v>0</v>
      </c>
      <c r="K25" s="437">
        <f t="shared" si="3"/>
        <v>0</v>
      </c>
      <c r="L25" s="437">
        <f t="shared" si="3"/>
        <v>0</v>
      </c>
      <c r="M25" s="437">
        <f t="shared" si="3"/>
        <v>0</v>
      </c>
      <c r="N25" s="149"/>
      <c r="O25" s="70"/>
      <c r="R25" s="336"/>
      <c r="W25" s="336"/>
      <c r="X25" s="336"/>
    </row>
    <row r="26" spans="2:24" x14ac:dyDescent="0.2">
      <c r="B26" s="69"/>
      <c r="C26" s="149"/>
      <c r="D26" s="85"/>
      <c r="E26" s="149"/>
      <c r="F26" s="149"/>
      <c r="G26" s="149"/>
      <c r="H26" s="149"/>
      <c r="I26" s="149"/>
      <c r="J26" s="149"/>
      <c r="K26" s="149"/>
      <c r="L26" s="149"/>
      <c r="M26" s="149"/>
      <c r="N26" s="149"/>
      <c r="O26" s="70"/>
      <c r="S26" s="335"/>
      <c r="T26" s="335"/>
      <c r="U26" s="335"/>
      <c r="W26" s="335"/>
      <c r="X26" s="335"/>
    </row>
    <row r="27" spans="2:24" x14ac:dyDescent="0.2">
      <c r="B27" s="69"/>
      <c r="C27" s="5"/>
      <c r="D27" s="5"/>
      <c r="E27" s="5"/>
      <c r="F27" s="5"/>
      <c r="G27" s="5"/>
      <c r="H27" s="5"/>
      <c r="I27" s="5"/>
      <c r="J27" s="5"/>
      <c r="K27" s="5"/>
      <c r="L27" s="5"/>
      <c r="M27" s="5"/>
      <c r="N27" s="5"/>
      <c r="O27" s="70"/>
      <c r="S27" s="335"/>
      <c r="T27" s="335"/>
      <c r="U27" s="335"/>
      <c r="W27" s="335"/>
      <c r="X27" s="335"/>
    </row>
    <row r="28" spans="2:24" x14ac:dyDescent="0.2">
      <c r="B28" s="69"/>
      <c r="C28" s="149"/>
      <c r="D28" s="149"/>
      <c r="E28" s="149"/>
      <c r="F28" s="172"/>
      <c r="G28" s="172"/>
      <c r="H28" s="172"/>
      <c r="I28" s="172"/>
      <c r="J28" s="172"/>
      <c r="K28" s="172"/>
      <c r="L28" s="172"/>
      <c r="M28" s="172"/>
      <c r="N28" s="149"/>
      <c r="O28" s="70"/>
      <c r="S28" s="335"/>
      <c r="T28" s="335"/>
      <c r="U28" s="335"/>
      <c r="W28" s="335"/>
      <c r="X28" s="335"/>
    </row>
    <row r="29" spans="2:24" x14ac:dyDescent="0.2">
      <c r="B29" s="69"/>
      <c r="C29" s="149"/>
      <c r="D29" s="470" t="s">
        <v>64</v>
      </c>
      <c r="E29" s="149"/>
      <c r="F29" s="172"/>
      <c r="G29" s="172"/>
      <c r="H29" s="172"/>
      <c r="I29" s="172"/>
      <c r="J29" s="172"/>
      <c r="K29" s="172"/>
      <c r="L29" s="172"/>
      <c r="M29" s="172"/>
      <c r="N29" s="149"/>
      <c r="O29" s="70"/>
      <c r="S29" s="335"/>
      <c r="T29" s="335"/>
      <c r="U29" s="335"/>
      <c r="W29" s="335"/>
      <c r="X29" s="335"/>
    </row>
    <row r="30" spans="2:24" x14ac:dyDescent="0.2">
      <c r="B30" s="69"/>
      <c r="C30" s="149"/>
      <c r="D30" s="45" t="s">
        <v>70</v>
      </c>
      <c r="E30" s="149"/>
      <c r="F30" s="429">
        <f>SUMIF(mip!$D$14:$D$70,"gebouwen en terreinen",mip!Q$14:Q$70)</f>
        <v>0</v>
      </c>
      <c r="G30" s="429">
        <f>SUMIF(mip!$D$14:$D$70,"gebouwen en terreinen",mip!R$14:R$70)</f>
        <v>0</v>
      </c>
      <c r="H30" s="429">
        <f>SUMIF(mip!$D$14:$D$70,"gebouwen en terreinen",mip!S$14:S$70)</f>
        <v>0</v>
      </c>
      <c r="I30" s="429">
        <f>SUMIF(mip!$D$14:$D$70,"gebouwen en terreinen",mip!T$14:T$70)</f>
        <v>0</v>
      </c>
      <c r="J30" s="429">
        <f>SUMIF(mip!$D$14:$D$70,"gebouwen en terreinen",mip!U$14:U$70)</f>
        <v>0</v>
      </c>
      <c r="K30" s="429">
        <f>SUMIF(mip!$D$14:$D$70,"gebouwen en terreinen",mip!V$14:V$70)</f>
        <v>0</v>
      </c>
      <c r="L30" s="429">
        <f>SUMIF(mip!$D$14:$D$70,"gebouwen en terreinen",mip!W$14:W$70)</f>
        <v>0</v>
      </c>
      <c r="M30" s="429">
        <f>SUMIF(mip!$D$14:$D$70,"gebouwen en terreinen",mip!X$14:X$70)</f>
        <v>0</v>
      </c>
      <c r="N30" s="149"/>
      <c r="O30" s="70"/>
      <c r="S30" s="335"/>
      <c r="T30" s="335"/>
      <c r="U30" s="335"/>
      <c r="W30" s="335"/>
      <c r="X30" s="335"/>
    </row>
    <row r="31" spans="2:24" x14ac:dyDescent="0.2">
      <c r="B31" s="69"/>
      <c r="C31" s="149"/>
      <c r="D31" s="45" t="s">
        <v>71</v>
      </c>
      <c r="E31" s="149"/>
      <c r="F31" s="429">
        <f>SUMIF(mip!$D$14:$D$70,"inventaris en apparatuur",mip!Q$14:Q$70)</f>
        <v>13875</v>
      </c>
      <c r="G31" s="429">
        <f>SUMIF(mip!$D$14:$D$70,"inventaris en apparatuur",mip!R$14:R$70)</f>
        <v>13875</v>
      </c>
      <c r="H31" s="429">
        <f>SUMIF(mip!$D$14:$D$70,"inventaris en apparatuur",mip!S$14:S$70)</f>
        <v>13875</v>
      </c>
      <c r="I31" s="429">
        <f>SUMIF(mip!$D$14:$D$70,"inventaris en apparatuur",mip!T$14:T$70)</f>
        <v>13875</v>
      </c>
      <c r="J31" s="429">
        <f>SUMIF(mip!$D$14:$D$70,"inventaris en apparatuur",mip!U$14:U$70)</f>
        <v>13875</v>
      </c>
      <c r="K31" s="429">
        <f>SUMIF(mip!$D$14:$D$70,"inventaris en apparatuur",mip!V$14:V$70)</f>
        <v>13875</v>
      </c>
      <c r="L31" s="429">
        <f>SUMIF(mip!$D$14:$D$70,"inventaris en apparatuur",mip!W$14:W$70)</f>
        <v>13875</v>
      </c>
      <c r="M31" s="429">
        <f>SUMIF(mip!$D$14:$D$70,"inventaris en apparatuur",mip!X$14:X$70)</f>
        <v>0</v>
      </c>
      <c r="N31" s="149"/>
      <c r="O31" s="70"/>
      <c r="S31" s="335"/>
      <c r="T31" s="335"/>
      <c r="U31" s="335"/>
      <c r="W31" s="335"/>
      <c r="X31" s="335"/>
    </row>
    <row r="32" spans="2:24" x14ac:dyDescent="0.2">
      <c r="B32" s="69"/>
      <c r="C32" s="149"/>
      <c r="D32" s="45" t="s">
        <v>66</v>
      </c>
      <c r="E32" s="149"/>
      <c r="F32" s="429">
        <f>SUMIF(mip!$D$14:$D$70,"leermiddelen",mip!Q$14:Q$70)</f>
        <v>0</v>
      </c>
      <c r="G32" s="429">
        <f>SUMIF(mip!$D$14:$D$70,"leermiddelen",mip!R$14:R$70)</f>
        <v>0</v>
      </c>
      <c r="H32" s="429">
        <f>SUMIF(mip!$D$14:$D$70,"leermiddelen",mip!S$14:S$70)</f>
        <v>0</v>
      </c>
      <c r="I32" s="429">
        <f>SUMIF(mip!$D$14:$D$70,"leermiddelen",mip!T$14:T$70)</f>
        <v>0</v>
      </c>
      <c r="J32" s="429">
        <f>SUMIF(mip!$D$14:$D$70,"leermiddelen",mip!U$14:U$70)</f>
        <v>0</v>
      </c>
      <c r="K32" s="429">
        <f>SUMIF(mip!$D$14:$D$70,"leermiddelen",mip!V$14:V$70)</f>
        <v>0</v>
      </c>
      <c r="L32" s="429">
        <f>SUMIF(mip!$D$14:$D$70,"leermiddelen",mip!W$14:W$70)</f>
        <v>0</v>
      </c>
      <c r="M32" s="429">
        <f>SUMIF(mip!$D$14:$D$70,"leermiddelen",mip!X$14:X$70)</f>
        <v>0</v>
      </c>
      <c r="N32" s="149"/>
      <c r="O32" s="70"/>
      <c r="S32" s="335"/>
      <c r="T32" s="335"/>
      <c r="U32" s="335"/>
      <c r="W32" s="335"/>
      <c r="X32" s="335"/>
    </row>
    <row r="33" spans="2:24" x14ac:dyDescent="0.2">
      <c r="B33" s="69"/>
      <c r="C33" s="149"/>
      <c r="D33" s="45" t="s">
        <v>72</v>
      </c>
      <c r="E33" s="149"/>
      <c r="F33" s="429">
        <f>SUMIF(mip!$D$14:$D$70,"overige materiële vaste activa",mip!Q$14:Q$70)</f>
        <v>0</v>
      </c>
      <c r="G33" s="429">
        <f>SUMIF(mip!$D$14:$D$70,"overige materiële vaste activa",mip!R$14:R$70)</f>
        <v>0</v>
      </c>
      <c r="H33" s="429">
        <f>SUMIF(mip!$D$14:$D$70,"overige materiële vaste activa",mip!S$14:S$70)</f>
        <v>0</v>
      </c>
      <c r="I33" s="429">
        <f>SUMIF(mip!$D$14:$D$70,"overige materiële vaste activa",mip!T$14:T$70)</f>
        <v>0</v>
      </c>
      <c r="J33" s="429">
        <f>SUMIF(mip!$D$14:$D$70,"overige materiële vaste activa",mip!U$14:U$70)</f>
        <v>0</v>
      </c>
      <c r="K33" s="429">
        <f>SUMIF(mip!$D$14:$D$70,"overige materiële vaste activa",mip!V$14:V$70)</f>
        <v>0</v>
      </c>
      <c r="L33" s="429">
        <f>SUMIF(mip!$D$14:$D$70,"overige materiële vaste activa",mip!W$14:W$70)</f>
        <v>0</v>
      </c>
      <c r="M33" s="429">
        <f>SUMIF(mip!$D$14:$D$70,"overige materiële vaste activa",mip!X$14:X$70)</f>
        <v>0</v>
      </c>
      <c r="N33" s="149"/>
      <c r="O33" s="70"/>
      <c r="S33" s="335"/>
      <c r="T33" s="335"/>
      <c r="U33" s="335"/>
      <c r="W33" s="335"/>
      <c r="X33" s="335"/>
    </row>
    <row r="34" spans="2:24" s="103" customFormat="1" x14ac:dyDescent="0.2">
      <c r="B34" s="72"/>
      <c r="C34" s="153"/>
      <c r="D34" s="153"/>
      <c r="E34" s="153"/>
      <c r="F34" s="437">
        <f t="shared" ref="F34:M34" si="4">SUM(F30:F33)</f>
        <v>13875</v>
      </c>
      <c r="G34" s="437">
        <f t="shared" si="4"/>
        <v>13875</v>
      </c>
      <c r="H34" s="437">
        <f t="shared" si="4"/>
        <v>13875</v>
      </c>
      <c r="I34" s="437">
        <f t="shared" si="4"/>
        <v>13875</v>
      </c>
      <c r="J34" s="437">
        <f t="shared" si="4"/>
        <v>13875</v>
      </c>
      <c r="K34" s="437">
        <f t="shared" si="4"/>
        <v>13875</v>
      </c>
      <c r="L34" s="437">
        <f t="shared" si="4"/>
        <v>13875</v>
      </c>
      <c r="M34" s="437">
        <f t="shared" si="4"/>
        <v>0</v>
      </c>
      <c r="N34" s="153"/>
      <c r="O34" s="83"/>
      <c r="R34" s="338"/>
      <c r="S34" s="338"/>
      <c r="T34" s="338"/>
      <c r="U34" s="338"/>
      <c r="V34" s="338"/>
      <c r="W34" s="338"/>
      <c r="X34" s="338"/>
    </row>
    <row r="35" spans="2:24" x14ac:dyDescent="0.2">
      <c r="B35" s="69"/>
      <c r="C35" s="149"/>
      <c r="D35" s="149"/>
      <c r="E35" s="149"/>
      <c r="F35" s="149"/>
      <c r="G35" s="149"/>
      <c r="H35" s="149"/>
      <c r="I35" s="149"/>
      <c r="J35" s="149"/>
      <c r="K35" s="149"/>
      <c r="L35" s="149"/>
      <c r="M35" s="149"/>
      <c r="N35" s="149"/>
      <c r="O35" s="70"/>
      <c r="S35" s="335"/>
      <c r="T35" s="335"/>
      <c r="U35" s="335"/>
      <c r="W35" s="335"/>
      <c r="X35" s="335"/>
    </row>
    <row r="36" spans="2:24" x14ac:dyDescent="0.2">
      <c r="B36" s="69"/>
      <c r="C36" s="5"/>
      <c r="D36" s="5"/>
      <c r="E36" s="5"/>
      <c r="F36" s="5"/>
      <c r="G36" s="5"/>
      <c r="H36" s="5"/>
      <c r="I36" s="5"/>
      <c r="J36" s="5"/>
      <c r="K36" s="5"/>
      <c r="L36" s="5"/>
      <c r="M36" s="5"/>
      <c r="N36" s="5"/>
      <c r="O36" s="70"/>
      <c r="S36" s="335"/>
      <c r="T36" s="335"/>
      <c r="U36" s="335"/>
      <c r="W36" s="335"/>
      <c r="X36" s="335"/>
    </row>
    <row r="37" spans="2:24" x14ac:dyDescent="0.2">
      <c r="B37" s="69"/>
      <c r="C37" s="149"/>
      <c r="D37" s="149"/>
      <c r="E37" s="149"/>
      <c r="F37" s="149"/>
      <c r="G37" s="149"/>
      <c r="H37" s="149"/>
      <c r="I37" s="149"/>
      <c r="J37" s="149"/>
      <c r="K37" s="149"/>
      <c r="L37" s="149"/>
      <c r="M37" s="149"/>
      <c r="N37" s="149"/>
      <c r="O37" s="70"/>
      <c r="S37" s="335"/>
      <c r="T37" s="335"/>
      <c r="U37" s="335"/>
      <c r="W37" s="335"/>
      <c r="X37" s="335"/>
    </row>
    <row r="38" spans="2:24" x14ac:dyDescent="0.2">
      <c r="B38" s="69"/>
      <c r="C38" s="149"/>
      <c r="D38" s="470" t="s">
        <v>124</v>
      </c>
      <c r="E38" s="149"/>
      <c r="F38" s="149"/>
      <c r="G38" s="149"/>
      <c r="H38" s="149"/>
      <c r="I38" s="149"/>
      <c r="J38" s="149"/>
      <c r="K38" s="149"/>
      <c r="L38" s="149"/>
      <c r="M38" s="149"/>
      <c r="N38" s="149"/>
      <c r="O38" s="70"/>
      <c r="S38" s="335"/>
      <c r="T38" s="335"/>
      <c r="U38" s="335"/>
      <c r="W38" s="335"/>
      <c r="X38" s="335"/>
    </row>
    <row r="39" spans="2:24" x14ac:dyDescent="0.2">
      <c r="B39" s="69"/>
      <c r="C39" s="149"/>
      <c r="D39" s="45" t="s">
        <v>70</v>
      </c>
      <c r="E39" s="149"/>
      <c r="F39" s="428">
        <f t="shared" ref="F39:M39" si="5">F12+F21-F30</f>
        <v>0</v>
      </c>
      <c r="G39" s="428">
        <f t="shared" si="5"/>
        <v>0</v>
      </c>
      <c r="H39" s="428">
        <f t="shared" si="5"/>
        <v>0</v>
      </c>
      <c r="I39" s="428">
        <f t="shared" si="5"/>
        <v>0</v>
      </c>
      <c r="J39" s="428">
        <f t="shared" si="5"/>
        <v>0</v>
      </c>
      <c r="K39" s="428">
        <f t="shared" si="5"/>
        <v>0</v>
      </c>
      <c r="L39" s="428">
        <f t="shared" si="5"/>
        <v>0</v>
      </c>
      <c r="M39" s="428">
        <f t="shared" si="5"/>
        <v>0</v>
      </c>
      <c r="N39" s="149"/>
      <c r="O39" s="70"/>
      <c r="S39" s="335"/>
      <c r="T39" s="335"/>
      <c r="U39" s="335"/>
      <c r="W39" s="335"/>
      <c r="X39" s="335"/>
    </row>
    <row r="40" spans="2:24" x14ac:dyDescent="0.2">
      <c r="B40" s="69"/>
      <c r="C40" s="149"/>
      <c r="D40" s="45" t="s">
        <v>71</v>
      </c>
      <c r="E40" s="149"/>
      <c r="F40" s="428">
        <f t="shared" ref="F40:I42" si="6">F13+F22-F31</f>
        <v>32150</v>
      </c>
      <c r="G40" s="428">
        <f t="shared" si="6"/>
        <v>18275</v>
      </c>
      <c r="H40" s="428">
        <f t="shared" si="6"/>
        <v>4400</v>
      </c>
      <c r="I40" s="428">
        <f t="shared" si="6"/>
        <v>46025</v>
      </c>
      <c r="J40" s="428">
        <f t="shared" ref="J40:M42" si="7">J13+J22-J31</f>
        <v>32150</v>
      </c>
      <c r="K40" s="428">
        <f t="shared" si="7"/>
        <v>18275</v>
      </c>
      <c r="L40" s="428">
        <f t="shared" si="7"/>
        <v>4400</v>
      </c>
      <c r="M40" s="428">
        <f t="shared" si="7"/>
        <v>4400</v>
      </c>
      <c r="N40" s="149"/>
      <c r="O40" s="70"/>
      <c r="S40" s="335"/>
      <c r="T40" s="335"/>
      <c r="U40" s="335"/>
      <c r="W40" s="335"/>
      <c r="X40" s="335"/>
    </row>
    <row r="41" spans="2:24" x14ac:dyDescent="0.2">
      <c r="B41" s="69"/>
      <c r="C41" s="149"/>
      <c r="D41" s="45" t="s">
        <v>66</v>
      </c>
      <c r="E41" s="149"/>
      <c r="F41" s="428">
        <f t="shared" si="6"/>
        <v>0</v>
      </c>
      <c r="G41" s="428">
        <f t="shared" si="6"/>
        <v>0</v>
      </c>
      <c r="H41" s="428">
        <f t="shared" si="6"/>
        <v>0</v>
      </c>
      <c r="I41" s="428">
        <f t="shared" si="6"/>
        <v>0</v>
      </c>
      <c r="J41" s="428">
        <f t="shared" si="7"/>
        <v>0</v>
      </c>
      <c r="K41" s="428">
        <f t="shared" si="7"/>
        <v>0</v>
      </c>
      <c r="L41" s="428">
        <f t="shared" si="7"/>
        <v>0</v>
      </c>
      <c r="M41" s="428">
        <f t="shared" si="7"/>
        <v>0</v>
      </c>
      <c r="N41" s="149"/>
      <c r="O41" s="70"/>
      <c r="S41" s="335"/>
      <c r="T41" s="335"/>
      <c r="U41" s="335"/>
      <c r="W41" s="335"/>
      <c r="X41" s="335"/>
    </row>
    <row r="42" spans="2:24" x14ac:dyDescent="0.2">
      <c r="B42" s="69"/>
      <c r="C42" s="149"/>
      <c r="D42" s="45" t="s">
        <v>72</v>
      </c>
      <c r="E42" s="149"/>
      <c r="F42" s="428">
        <f t="shared" si="6"/>
        <v>0</v>
      </c>
      <c r="G42" s="428">
        <f t="shared" si="6"/>
        <v>0</v>
      </c>
      <c r="H42" s="428">
        <f t="shared" si="6"/>
        <v>0</v>
      </c>
      <c r="I42" s="428">
        <f t="shared" si="6"/>
        <v>0</v>
      </c>
      <c r="J42" s="428">
        <f t="shared" si="7"/>
        <v>0</v>
      </c>
      <c r="K42" s="428">
        <f t="shared" si="7"/>
        <v>0</v>
      </c>
      <c r="L42" s="428">
        <f t="shared" si="7"/>
        <v>0</v>
      </c>
      <c r="M42" s="428">
        <f t="shared" si="7"/>
        <v>0</v>
      </c>
      <c r="N42" s="149"/>
      <c r="O42" s="70"/>
      <c r="S42" s="335"/>
      <c r="T42" s="335"/>
      <c r="U42" s="335"/>
      <c r="W42" s="335"/>
      <c r="X42" s="335"/>
    </row>
    <row r="43" spans="2:24" s="11" customFormat="1" x14ac:dyDescent="0.2">
      <c r="B43" s="55"/>
      <c r="C43" s="36"/>
      <c r="D43" s="85"/>
      <c r="E43" s="36"/>
      <c r="F43" s="437">
        <f t="shared" ref="F43:M43" si="8">SUM(F39:F42)</f>
        <v>32150</v>
      </c>
      <c r="G43" s="437">
        <f t="shared" si="8"/>
        <v>18275</v>
      </c>
      <c r="H43" s="437">
        <f t="shared" si="8"/>
        <v>4400</v>
      </c>
      <c r="I43" s="437">
        <f t="shared" si="8"/>
        <v>46025</v>
      </c>
      <c r="J43" s="437">
        <f t="shared" si="8"/>
        <v>32150</v>
      </c>
      <c r="K43" s="437">
        <f t="shared" si="8"/>
        <v>18275</v>
      </c>
      <c r="L43" s="437">
        <f t="shared" si="8"/>
        <v>4400</v>
      </c>
      <c r="M43" s="437">
        <f t="shared" si="8"/>
        <v>4400</v>
      </c>
      <c r="N43" s="36"/>
      <c r="O43" s="56"/>
      <c r="R43" s="335"/>
      <c r="S43" s="335"/>
      <c r="T43" s="335"/>
      <c r="U43" s="335"/>
      <c r="V43" s="335"/>
      <c r="W43" s="335"/>
      <c r="X43" s="335"/>
    </row>
    <row r="44" spans="2:24" x14ac:dyDescent="0.2">
      <c r="B44" s="69"/>
      <c r="C44" s="149"/>
      <c r="D44" s="149"/>
      <c r="E44" s="149"/>
      <c r="F44" s="149"/>
      <c r="G44" s="149"/>
      <c r="H44" s="149"/>
      <c r="I44" s="149"/>
      <c r="J44" s="149"/>
      <c r="K44" s="149"/>
      <c r="L44" s="149"/>
      <c r="M44" s="149"/>
      <c r="N44" s="149"/>
      <c r="O44" s="70"/>
      <c r="S44" s="335"/>
      <c r="T44" s="335"/>
      <c r="U44" s="335"/>
      <c r="W44" s="335"/>
      <c r="X44" s="335"/>
    </row>
    <row r="45" spans="2:24" x14ac:dyDescent="0.2">
      <c r="B45" s="69"/>
      <c r="C45" s="5"/>
      <c r="D45" s="5"/>
      <c r="E45" s="5"/>
      <c r="F45" s="5"/>
      <c r="G45" s="5"/>
      <c r="H45" s="5"/>
      <c r="I45" s="5"/>
      <c r="J45" s="5"/>
      <c r="K45" s="5"/>
      <c r="L45" s="5"/>
      <c r="M45" s="5"/>
      <c r="N45" s="5"/>
      <c r="O45" s="70"/>
      <c r="S45" s="335"/>
      <c r="T45" s="335"/>
      <c r="U45" s="335"/>
      <c r="W45" s="335"/>
      <c r="X45" s="335"/>
    </row>
    <row r="46" spans="2:24" x14ac:dyDescent="0.2">
      <c r="B46" s="78"/>
      <c r="C46" s="75"/>
      <c r="D46" s="75"/>
      <c r="E46" s="75"/>
      <c r="F46" s="75"/>
      <c r="G46" s="75"/>
      <c r="H46" s="75"/>
      <c r="I46" s="75"/>
      <c r="J46" s="75"/>
      <c r="K46" s="75"/>
      <c r="L46" s="75"/>
      <c r="M46" s="75"/>
      <c r="N46" s="493" t="s">
        <v>254</v>
      </c>
      <c r="O46" s="77"/>
    </row>
  </sheetData>
  <sheetProtection algorithmName="SHA-512" hashValue="ggaXsvxNtGsVSWcSfJKsK6S9VKai5nSKKVKh3rvpQhR5EbjJXOEVIKlZCKibYsHp0//Y8wIOCyIOK6yy8nsMlA==" saltValue="uBDFPnZkLK451/TJvfQ1Lg==" spinCount="100000" sheet="1" objects="1" scenarios="1"/>
  <phoneticPr fontId="0" type="noConversion"/>
  <hyperlinks>
    <hyperlink ref="N46" r:id="rId1" xr:uid="{00000000-0004-0000-0A00-000000000000}"/>
  </hyperlinks>
  <pageMargins left="0.74803149606299213" right="0.74803149606299213" top="0.98425196850393704" bottom="0.98425196850393704" header="0.51181102362204722" footer="0.51181102362204722"/>
  <pageSetup paperSize="9" scale="70" orientation="portrait" r:id="rId2"/>
  <headerFooter alignWithMargins="0">
    <oddHeader>&amp;L&amp;"Arial,Vet"&amp;9&amp;F&amp;R&amp;"Arial,Vet"&amp;9&amp;A</oddHeader>
    <oddFooter>&amp;L&amp;"Arial,Vet"&amp;9be.keizer@wxs.nl&amp;C&amp;"Arial,Vet"&amp;9pagina &amp;P&amp;R&amp;"Arial,Vet"&amp;9&amp;D</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B105"/>
  <sheetViews>
    <sheetView zoomScale="80" zoomScaleNormal="80" workbookViewId="0">
      <selection activeCell="B2" sqref="B2"/>
    </sheetView>
  </sheetViews>
  <sheetFormatPr defaultRowHeight="12.75" x14ac:dyDescent="0.2"/>
  <cols>
    <col min="1" max="1" width="3.7109375" style="100" customWidth="1"/>
    <col min="2" max="3" width="2.7109375" style="100" customWidth="1"/>
    <col min="4" max="4" width="45.7109375" style="100" customWidth="1"/>
    <col min="5" max="5" width="2.7109375" style="100" customWidth="1"/>
    <col min="6" max="6" width="16.85546875" style="100" hidden="1" customWidth="1"/>
    <col min="7" max="12" width="16.85546875" style="100" customWidth="1"/>
    <col min="13" max="13" width="2.7109375" style="100" customWidth="1"/>
    <col min="14" max="14" width="3.140625" style="100" customWidth="1"/>
    <col min="15" max="16" width="5.7109375" style="100" customWidth="1"/>
    <col min="17" max="16384" width="9.140625" style="100"/>
  </cols>
  <sheetData>
    <row r="1" spans="2:28" ht="12.75" customHeight="1" x14ac:dyDescent="0.2"/>
    <row r="2" spans="2:28" x14ac:dyDescent="0.2">
      <c r="B2" s="65"/>
      <c r="C2" s="66"/>
      <c r="D2" s="66"/>
      <c r="E2" s="66"/>
      <c r="F2" s="66"/>
      <c r="G2" s="66"/>
      <c r="H2" s="66"/>
      <c r="I2" s="66"/>
      <c r="J2" s="66"/>
      <c r="K2" s="66"/>
      <c r="L2" s="66"/>
      <c r="M2" s="66"/>
      <c r="N2" s="68"/>
    </row>
    <row r="3" spans="2:28" x14ac:dyDescent="0.2">
      <c r="B3" s="704"/>
      <c r="C3" s="5"/>
      <c r="D3" s="5"/>
      <c r="E3" s="5"/>
      <c r="F3" s="5"/>
      <c r="G3" s="5"/>
      <c r="H3" s="5"/>
      <c r="I3" s="5"/>
      <c r="J3" s="5"/>
      <c r="K3" s="5"/>
      <c r="L3" s="5"/>
      <c r="M3" s="5"/>
      <c r="N3" s="70"/>
    </row>
    <row r="4" spans="2:28" ht="18.75" x14ac:dyDescent="0.3">
      <c r="B4" s="877"/>
      <c r="C4" s="485" t="s">
        <v>20</v>
      </c>
      <c r="D4" s="135"/>
      <c r="E4" s="157"/>
      <c r="F4" s="978"/>
      <c r="G4" s="1001"/>
      <c r="H4" s="157"/>
      <c r="I4" s="157"/>
      <c r="J4" s="157"/>
      <c r="K4" s="157"/>
      <c r="L4" s="157"/>
      <c r="M4" s="157"/>
      <c r="N4" s="344"/>
    </row>
    <row r="5" spans="2:28" ht="18.75" x14ac:dyDescent="0.3">
      <c r="B5" s="704"/>
      <c r="C5" s="679" t="str">
        <f>'geg ll'!C5</f>
        <v>Voorbeeld SWV VO Alkmaar</v>
      </c>
      <c r="D5" s="5"/>
      <c r="E5" s="5"/>
      <c r="F5" s="5"/>
      <c r="G5" s="5"/>
      <c r="H5" s="5"/>
      <c r="I5" s="5"/>
      <c r="J5" s="5"/>
      <c r="K5" s="5"/>
      <c r="L5" s="5"/>
      <c r="M5" s="5"/>
      <c r="N5" s="70"/>
    </row>
    <row r="6" spans="2:28" ht="15" x14ac:dyDescent="0.25">
      <c r="B6" s="704"/>
      <c r="C6" s="5"/>
      <c r="D6" s="979" t="s">
        <v>578</v>
      </c>
      <c r="E6" s="345"/>
      <c r="F6" s="48"/>
      <c r="G6" s="48"/>
      <c r="H6" s="48"/>
      <c r="I6" s="48"/>
      <c r="J6" s="48"/>
      <c r="K6" s="48"/>
      <c r="L6" s="48"/>
      <c r="M6" s="346"/>
      <c r="N6" s="347"/>
    </row>
    <row r="7" spans="2:28" x14ac:dyDescent="0.2">
      <c r="B7" s="704"/>
      <c r="C7" s="5"/>
      <c r="D7" s="5"/>
      <c r="E7" s="345"/>
      <c r="F7" s="48"/>
      <c r="G7" s="348"/>
      <c r="H7" s="48"/>
      <c r="I7" s="48"/>
      <c r="J7" s="48"/>
      <c r="K7" s="48"/>
      <c r="L7" s="48"/>
      <c r="M7" s="346"/>
      <c r="N7" s="347"/>
    </row>
    <row r="8" spans="2:28" ht="15.75" x14ac:dyDescent="0.25">
      <c r="B8" s="878"/>
      <c r="C8" s="167"/>
      <c r="D8" s="628" t="s">
        <v>105</v>
      </c>
      <c r="E8" s="349"/>
      <c r="F8" s="457" t="e">
        <f>tab!#REF!</f>
        <v>#REF!</v>
      </c>
      <c r="G8" s="457"/>
      <c r="H8" s="457">
        <f>tab!C4</f>
        <v>2023</v>
      </c>
      <c r="I8" s="457">
        <f>tab!D4</f>
        <v>2024</v>
      </c>
      <c r="J8" s="457">
        <f>tab!E4</f>
        <v>2025</v>
      </c>
      <c r="K8" s="457">
        <f>tab!F4</f>
        <v>2026</v>
      </c>
      <c r="L8" s="457">
        <f>tab!G4</f>
        <v>2027</v>
      </c>
      <c r="M8" s="350"/>
      <c r="N8" s="351"/>
    </row>
    <row r="9" spans="2:28" x14ac:dyDescent="0.2">
      <c r="B9" s="704"/>
      <c r="C9" s="5"/>
      <c r="D9" s="5"/>
      <c r="E9" s="345"/>
      <c r="F9" s="5"/>
      <c r="G9" s="5"/>
      <c r="H9" s="5"/>
      <c r="I9" s="5"/>
      <c r="J9" s="5"/>
      <c r="K9" s="5"/>
      <c r="L9" s="5"/>
      <c r="M9" s="346"/>
      <c r="N9" s="347"/>
      <c r="Q9" s="152"/>
      <c r="R9" s="152"/>
      <c r="S9" s="152"/>
      <c r="T9" s="152"/>
      <c r="U9" s="152"/>
      <c r="V9" s="152"/>
      <c r="W9" s="152"/>
      <c r="X9" s="152"/>
      <c r="Y9" s="152"/>
      <c r="Z9" s="152"/>
      <c r="AA9" s="152"/>
      <c r="AB9" s="152"/>
    </row>
    <row r="10" spans="2:28" x14ac:dyDescent="0.2">
      <c r="B10" s="704"/>
      <c r="C10" s="401"/>
      <c r="D10" s="149"/>
      <c r="E10" s="354"/>
      <c r="F10" s="149"/>
      <c r="G10" s="149"/>
      <c r="H10" s="149"/>
      <c r="I10" s="149"/>
      <c r="J10" s="149"/>
      <c r="K10" s="149"/>
      <c r="L10" s="149"/>
      <c r="M10" s="355"/>
      <c r="N10" s="347"/>
    </row>
    <row r="11" spans="2:28" x14ac:dyDescent="0.2">
      <c r="B11" s="704"/>
      <c r="C11" s="401"/>
      <c r="D11" s="462" t="s">
        <v>207</v>
      </c>
      <c r="E11" s="354"/>
      <c r="F11" s="149"/>
      <c r="G11" s="149"/>
      <c r="H11" s="149"/>
      <c r="I11" s="149"/>
      <c r="J11" s="149"/>
      <c r="K11" s="149"/>
      <c r="L11" s="149"/>
      <c r="M11" s="355"/>
      <c r="N11" s="347"/>
    </row>
    <row r="12" spans="2:28" x14ac:dyDescent="0.2">
      <c r="B12" s="704"/>
      <c r="C12" s="401"/>
      <c r="D12" s="149"/>
      <c r="E12" s="354"/>
      <c r="F12" s="149"/>
      <c r="G12" s="149"/>
      <c r="H12" s="149"/>
      <c r="I12" s="149"/>
      <c r="J12" s="149"/>
      <c r="K12" s="149"/>
      <c r="L12" s="149"/>
      <c r="M12" s="355"/>
      <c r="N12" s="347"/>
    </row>
    <row r="13" spans="2:28" x14ac:dyDescent="0.2">
      <c r="B13" s="704"/>
      <c r="C13" s="401"/>
      <c r="D13" s="153" t="s">
        <v>193</v>
      </c>
      <c r="E13" s="354"/>
      <c r="F13" s="149"/>
      <c r="G13" s="149"/>
      <c r="H13" s="149"/>
      <c r="I13" s="149"/>
      <c r="J13" s="149"/>
      <c r="K13" s="149"/>
      <c r="L13" s="149"/>
      <c r="M13" s="355"/>
      <c r="N13" s="347"/>
      <c r="Q13" s="165"/>
      <c r="R13" s="165"/>
      <c r="S13" s="165"/>
      <c r="T13" s="165"/>
      <c r="U13" s="165"/>
      <c r="V13" s="165"/>
      <c r="W13" s="165"/>
      <c r="X13" s="165"/>
      <c r="Y13" s="165"/>
      <c r="Z13" s="165"/>
      <c r="AA13" s="165"/>
      <c r="AB13" s="165"/>
    </row>
    <row r="14" spans="2:28" x14ac:dyDescent="0.2">
      <c r="B14" s="704"/>
      <c r="C14" s="401"/>
      <c r="D14" s="45" t="s">
        <v>62</v>
      </c>
      <c r="E14" s="149"/>
      <c r="F14" s="888">
        <v>0</v>
      </c>
      <c r="G14" s="1043"/>
      <c r="H14" s="402">
        <f>bekost!I43</f>
        <v>21082407.537743192</v>
      </c>
      <c r="I14" s="402">
        <f>bekost!J43</f>
        <v>21082407.537743192</v>
      </c>
      <c r="J14" s="402">
        <f>bekost!K43</f>
        <v>21082407.537743192</v>
      </c>
      <c r="K14" s="402">
        <f>bekost!L43</f>
        <v>21082407.537743192</v>
      </c>
      <c r="L14" s="402">
        <f>bekost!M43</f>
        <v>21082407.537743192</v>
      </c>
      <c r="M14" s="149"/>
      <c r="N14" s="70"/>
    </row>
    <row r="15" spans="2:28" x14ac:dyDescent="0.2">
      <c r="B15" s="704"/>
      <c r="C15" s="401"/>
      <c r="D15" s="334" t="s">
        <v>557</v>
      </c>
      <c r="E15" s="149"/>
      <c r="F15" s="998">
        <v>0</v>
      </c>
      <c r="G15" s="1044"/>
      <c r="H15" s="999">
        <f>bekost!I24</f>
        <v>10198280.157743193</v>
      </c>
      <c r="I15" s="999">
        <f>bekost!J24</f>
        <v>10198280.157743193</v>
      </c>
      <c r="J15" s="999">
        <f>bekost!K24</f>
        <v>10198280.157743193</v>
      </c>
      <c r="K15" s="999">
        <f>bekost!L24</f>
        <v>10198280.157743193</v>
      </c>
      <c r="L15" s="999">
        <f>bekost!M24</f>
        <v>10198280.157743193</v>
      </c>
      <c r="M15" s="149"/>
      <c r="N15" s="654"/>
    </row>
    <row r="16" spans="2:28" x14ac:dyDescent="0.2">
      <c r="B16" s="704"/>
      <c r="C16" s="401"/>
      <c r="D16" s="334" t="s">
        <v>558</v>
      </c>
      <c r="E16" s="149"/>
      <c r="F16" s="998">
        <v>0</v>
      </c>
      <c r="G16" s="1044"/>
      <c r="H16" s="999">
        <f>bekost!I40</f>
        <v>10884127.379999999</v>
      </c>
      <c r="I16" s="999">
        <f>bekost!J40</f>
        <v>10884127.379999999</v>
      </c>
      <c r="J16" s="999">
        <f>bekost!K40</f>
        <v>10884127.379999999</v>
      </c>
      <c r="K16" s="999">
        <f>bekost!L40</f>
        <v>10884127.379999999</v>
      </c>
      <c r="L16" s="999">
        <f>bekost!M40</f>
        <v>10884127.379999999</v>
      </c>
      <c r="M16" s="149"/>
      <c r="N16" s="654"/>
    </row>
    <row r="17" spans="2:14" x14ac:dyDescent="0.2">
      <c r="B17" s="704"/>
      <c r="C17" s="401"/>
      <c r="D17" s="45" t="s">
        <v>136</v>
      </c>
      <c r="E17" s="149"/>
      <c r="F17" s="889">
        <v>0</v>
      </c>
      <c r="G17" s="1045"/>
      <c r="H17" s="438">
        <f>bekost!I67</f>
        <v>0</v>
      </c>
      <c r="I17" s="438">
        <f>bekost!J67</f>
        <v>0</v>
      </c>
      <c r="J17" s="438">
        <f>bekost!K67</f>
        <v>0</v>
      </c>
      <c r="K17" s="438">
        <f>bekost!L67</f>
        <v>0</v>
      </c>
      <c r="L17" s="438">
        <f>bekost!M67</f>
        <v>0</v>
      </c>
      <c r="M17" s="149"/>
      <c r="N17" s="70"/>
    </row>
    <row r="18" spans="2:14" x14ac:dyDescent="0.2">
      <c r="B18" s="704"/>
      <c r="C18" s="401"/>
      <c r="D18" s="334" t="s">
        <v>559</v>
      </c>
      <c r="E18" s="149"/>
      <c r="F18" s="889">
        <v>0</v>
      </c>
      <c r="G18" s="1045"/>
      <c r="H18" s="438">
        <f>bekost!I55</f>
        <v>0</v>
      </c>
      <c r="I18" s="438">
        <f>bekost!J55</f>
        <v>0</v>
      </c>
      <c r="J18" s="438">
        <f>bekost!K55</f>
        <v>0</v>
      </c>
      <c r="K18" s="438">
        <f>bekost!L55</f>
        <v>0</v>
      </c>
      <c r="L18" s="438">
        <f>bekost!M55</f>
        <v>0</v>
      </c>
      <c r="M18" s="149"/>
      <c r="N18" s="654"/>
    </row>
    <row r="19" spans="2:14" x14ac:dyDescent="0.2">
      <c r="B19" s="704"/>
      <c r="C19" s="401"/>
      <c r="D19" s="334" t="s">
        <v>560</v>
      </c>
      <c r="E19" s="149"/>
      <c r="F19" s="889">
        <v>0</v>
      </c>
      <c r="G19" s="1045"/>
      <c r="H19" s="438">
        <f>bekost!I60</f>
        <v>0</v>
      </c>
      <c r="I19" s="438">
        <f>bekost!J60</f>
        <v>0</v>
      </c>
      <c r="J19" s="438">
        <f>bekost!K60</f>
        <v>0</v>
      </c>
      <c r="K19" s="438">
        <f>bekost!L60</f>
        <v>0</v>
      </c>
      <c r="L19" s="438">
        <f>bekost!M60</f>
        <v>0</v>
      </c>
      <c r="M19" s="149"/>
      <c r="N19" s="654"/>
    </row>
    <row r="20" spans="2:14" x14ac:dyDescent="0.2">
      <c r="B20" s="704"/>
      <c r="C20" s="401"/>
      <c r="D20" s="45" t="s">
        <v>147</v>
      </c>
      <c r="E20" s="149"/>
      <c r="F20" s="888">
        <v>0</v>
      </c>
      <c r="G20" s="1045"/>
      <c r="H20" s="438">
        <f>mat!K35+mat!K45</f>
        <v>0</v>
      </c>
      <c r="I20" s="438">
        <f>mat!L35+mat!L45</f>
        <v>0</v>
      </c>
      <c r="J20" s="438">
        <f>mat!M35+mat!M45</f>
        <v>0</v>
      </c>
      <c r="K20" s="438">
        <f>mat!N35+mat!N45</f>
        <v>0</v>
      </c>
      <c r="L20" s="438">
        <f>mat!O35+mat!O45</f>
        <v>0</v>
      </c>
      <c r="M20" s="149"/>
      <c r="N20" s="70"/>
    </row>
    <row r="21" spans="2:14" x14ac:dyDescent="0.2">
      <c r="B21" s="704"/>
      <c r="C21" s="401"/>
      <c r="D21" s="45" t="s">
        <v>148</v>
      </c>
      <c r="E21" s="149"/>
      <c r="F21" s="890">
        <v>0</v>
      </c>
      <c r="G21" s="1046"/>
      <c r="H21" s="524">
        <f>bekost!I74+bekost!I83+mat!K34+mat!K44</f>
        <v>0</v>
      </c>
      <c r="I21" s="524">
        <f>bekost!J74+bekost!J83+mat!L34+mat!L44</f>
        <v>0</v>
      </c>
      <c r="J21" s="524">
        <f>bekost!K74+bekost!K83+mat!M34+mat!M44</f>
        <v>0</v>
      </c>
      <c r="K21" s="524">
        <f>bekost!L74+bekost!L83+mat!N34+mat!N44</f>
        <v>0</v>
      </c>
      <c r="L21" s="524">
        <f>bekost!M74+bekost!M83+mat!O34+mat!O44</f>
        <v>0</v>
      </c>
      <c r="M21" s="149"/>
      <c r="N21" s="70"/>
    </row>
    <row r="22" spans="2:14" x14ac:dyDescent="0.2">
      <c r="B22" s="704"/>
      <c r="C22" s="401"/>
      <c r="D22" s="45" t="s">
        <v>63</v>
      </c>
      <c r="E22" s="149"/>
      <c r="F22" s="890">
        <v>0</v>
      </c>
      <c r="G22" s="1046"/>
      <c r="H22" s="524">
        <f>bekost!I91+mat!K53-H20-H21</f>
        <v>0</v>
      </c>
      <c r="I22" s="524">
        <f>bekost!J91+mat!L53-I20-I21</f>
        <v>0</v>
      </c>
      <c r="J22" s="524">
        <f>bekost!K91+mat!M53-J20-J21</f>
        <v>0</v>
      </c>
      <c r="K22" s="524">
        <f>bekost!L91+mat!N53-K20-K21</f>
        <v>0</v>
      </c>
      <c r="L22" s="524">
        <f>bekost!M91+mat!O53-L20-L21</f>
        <v>0</v>
      </c>
      <c r="M22" s="149"/>
      <c r="N22" s="70"/>
    </row>
    <row r="23" spans="2:14" x14ac:dyDescent="0.2">
      <c r="B23" s="704"/>
      <c r="C23" s="401"/>
      <c r="D23" s="343"/>
      <c r="E23" s="153"/>
      <c r="F23" s="440">
        <f t="shared" ref="F23:K23" si="0">F14+F17+F20+F21+F22</f>
        <v>0</v>
      </c>
      <c r="G23" s="1047"/>
      <c r="H23" s="440">
        <f t="shared" si="0"/>
        <v>21082407.537743192</v>
      </c>
      <c r="I23" s="440">
        <f t="shared" si="0"/>
        <v>21082407.537743192</v>
      </c>
      <c r="J23" s="440">
        <f t="shared" si="0"/>
        <v>21082407.537743192</v>
      </c>
      <c r="K23" s="440">
        <f t="shared" si="0"/>
        <v>21082407.537743192</v>
      </c>
      <c r="L23" s="440">
        <f>L14+L17+L20+L21+L22</f>
        <v>21082407.537743192</v>
      </c>
      <c r="M23" s="149"/>
      <c r="N23" s="70"/>
    </row>
    <row r="24" spans="2:14" x14ac:dyDescent="0.2">
      <c r="B24" s="879"/>
      <c r="C24" s="876"/>
      <c r="D24" s="153" t="s">
        <v>149</v>
      </c>
      <c r="E24" s="153"/>
      <c r="F24" s="357"/>
      <c r="G24" s="357"/>
      <c r="H24" s="357"/>
      <c r="I24" s="357"/>
      <c r="J24" s="357"/>
      <c r="K24" s="357"/>
      <c r="L24" s="357"/>
      <c r="M24" s="149"/>
      <c r="N24" s="70"/>
    </row>
    <row r="25" spans="2:14" x14ac:dyDescent="0.2">
      <c r="B25" s="879"/>
      <c r="C25" s="876"/>
      <c r="D25" s="149" t="s">
        <v>561</v>
      </c>
      <c r="E25" s="153"/>
      <c r="F25" s="890">
        <v>0</v>
      </c>
      <c r="G25" s="1046"/>
      <c r="H25" s="1000">
        <f>bekost!I133</f>
        <v>7732201.2299999995</v>
      </c>
      <c r="I25" s="1000">
        <f>bekost!J133</f>
        <v>7732201.2299999995</v>
      </c>
      <c r="J25" s="1000">
        <f>bekost!K133</f>
        <v>7732201.2299999995</v>
      </c>
      <c r="K25" s="1000">
        <f>bekost!L133</f>
        <v>7732201.2299999995</v>
      </c>
      <c r="L25" s="1000">
        <f>bekost!M133</f>
        <v>7732201.2299999995</v>
      </c>
      <c r="M25" s="149"/>
      <c r="N25" s="654"/>
    </row>
    <row r="26" spans="2:14" x14ac:dyDescent="0.2">
      <c r="B26" s="879"/>
      <c r="C26" s="876"/>
      <c r="D26" s="149" t="s">
        <v>658</v>
      </c>
      <c r="E26" s="153"/>
      <c r="F26" s="890">
        <v>0</v>
      </c>
      <c r="G26" s="1046"/>
      <c r="H26" s="1000">
        <f>bekost!I134</f>
        <v>23423.040000000001</v>
      </c>
      <c r="I26" s="1000">
        <f>bekost!J134</f>
        <v>23423.040000000001</v>
      </c>
      <c r="J26" s="1000">
        <f>bekost!K134</f>
        <v>23423.040000000001</v>
      </c>
      <c r="K26" s="1000">
        <f>bekost!L134</f>
        <v>23423.040000000001</v>
      </c>
      <c r="L26" s="1000">
        <f>bekost!M134</f>
        <v>23423.040000000001</v>
      </c>
      <c r="M26" s="149"/>
      <c r="N26" s="654"/>
    </row>
    <row r="27" spans="2:14" x14ac:dyDescent="0.2">
      <c r="B27" s="879"/>
      <c r="C27" s="876"/>
      <c r="D27" s="149" t="s">
        <v>563</v>
      </c>
      <c r="E27" s="153"/>
      <c r="F27" s="890">
        <v>0</v>
      </c>
      <c r="G27" s="1046"/>
      <c r="H27" s="1000">
        <f>bekost!I112</f>
        <v>0</v>
      </c>
      <c r="I27" s="1000">
        <f>bekost!J112</f>
        <v>0</v>
      </c>
      <c r="J27" s="1000">
        <f>bekost!K112</f>
        <v>0</v>
      </c>
      <c r="K27" s="1000">
        <f>bekost!L112</f>
        <v>0</v>
      </c>
      <c r="L27" s="1000">
        <f>bekost!M112</f>
        <v>0</v>
      </c>
      <c r="M27" s="149"/>
      <c r="N27" s="654"/>
    </row>
    <row r="28" spans="2:14" x14ac:dyDescent="0.2">
      <c r="B28" s="879"/>
      <c r="C28" s="876"/>
      <c r="D28" s="149" t="s">
        <v>564</v>
      </c>
      <c r="E28" s="153"/>
      <c r="F28" s="890">
        <v>0</v>
      </c>
      <c r="G28" s="1046"/>
      <c r="H28" s="1000">
        <f>bekost!I113</f>
        <v>2355179.48</v>
      </c>
      <c r="I28" s="1000">
        <f>bekost!J113</f>
        <v>2355179.48</v>
      </c>
      <c r="J28" s="1000">
        <f>bekost!K113</f>
        <v>2355179.48</v>
      </c>
      <c r="K28" s="1000">
        <f>bekost!L113</f>
        <v>2355179.48</v>
      </c>
      <c r="L28" s="1000">
        <f>bekost!M113</f>
        <v>2355179.48</v>
      </c>
      <c r="M28" s="149"/>
      <c r="N28" s="654"/>
    </row>
    <row r="29" spans="2:14" x14ac:dyDescent="0.2">
      <c r="B29" s="879"/>
      <c r="C29" s="876"/>
      <c r="D29" s="149" t="s">
        <v>587</v>
      </c>
      <c r="E29" s="153"/>
      <c r="F29" s="890">
        <v>0</v>
      </c>
      <c r="G29" s="1046"/>
      <c r="H29" s="1000">
        <f>bekost!I118+bekost!I139+mat!K104+mat!K116</f>
        <v>0</v>
      </c>
      <c r="I29" s="1000">
        <f>bekost!J118+bekost!J139+mat!L104+mat!L116</f>
        <v>0</v>
      </c>
      <c r="J29" s="1000">
        <f>bekost!K118+bekost!K139+mat!M104+mat!M116</f>
        <v>0</v>
      </c>
      <c r="K29" s="1000">
        <f>bekost!L118+bekost!L139+mat!N104+mat!N116</f>
        <v>0</v>
      </c>
      <c r="L29" s="1000">
        <f>bekost!M118+bekost!M139+mat!O104+mat!O116</f>
        <v>0</v>
      </c>
      <c r="M29" s="149"/>
      <c r="N29" s="654"/>
    </row>
    <row r="30" spans="2:14" x14ac:dyDescent="0.2">
      <c r="B30" s="879"/>
      <c r="C30" s="876"/>
      <c r="D30" s="149" t="s">
        <v>566</v>
      </c>
      <c r="E30" s="153"/>
      <c r="F30" s="890">
        <v>0</v>
      </c>
      <c r="G30" s="1046"/>
      <c r="H30" s="1000">
        <f>bekost!I163+mat!K138</f>
        <v>13579</v>
      </c>
      <c r="I30" s="1000">
        <f>bekost!J163+mat!L138</f>
        <v>13579</v>
      </c>
      <c r="J30" s="1000">
        <f>bekost!K163+mat!M138</f>
        <v>13579</v>
      </c>
      <c r="K30" s="1000">
        <f>bekost!L163+mat!N138</f>
        <v>13579</v>
      </c>
      <c r="L30" s="1000">
        <f>bekost!M163+mat!O138</f>
        <v>13579</v>
      </c>
      <c r="M30" s="149"/>
      <c r="N30" s="654"/>
    </row>
    <row r="31" spans="2:14" x14ac:dyDescent="0.2">
      <c r="B31" s="704"/>
      <c r="C31" s="401"/>
      <c r="D31" s="149" t="s">
        <v>580</v>
      </c>
      <c r="E31" s="36"/>
      <c r="F31" s="889">
        <v>0</v>
      </c>
      <c r="G31" s="1045"/>
      <c r="H31" s="438">
        <f>bekost!I128-bekost!I118+bekost!I149-bekost!I139</f>
        <v>0</v>
      </c>
      <c r="I31" s="438">
        <f>bekost!J128-bekost!J118+bekost!J149-bekost!J139</f>
        <v>0</v>
      </c>
      <c r="J31" s="438">
        <f>bekost!K128-bekost!K118+bekost!K149-bekost!K139</f>
        <v>0</v>
      </c>
      <c r="K31" s="438">
        <f>bekost!L128-bekost!L118+bekost!L149-bekost!L139</f>
        <v>0</v>
      </c>
      <c r="L31" s="438">
        <f>bekost!M128-bekost!M118+bekost!M149-bekost!M139</f>
        <v>0</v>
      </c>
      <c r="M31" s="149"/>
      <c r="N31" s="70"/>
    </row>
    <row r="32" spans="2:14" x14ac:dyDescent="0.2">
      <c r="B32" s="704"/>
      <c r="C32" s="401"/>
      <c r="D32" s="149" t="s">
        <v>64</v>
      </c>
      <c r="E32" s="149"/>
      <c r="F32" s="889">
        <f>mat!J73</f>
        <v>0</v>
      </c>
      <c r="G32" s="1045"/>
      <c r="H32" s="438">
        <f>mat!K73</f>
        <v>13875</v>
      </c>
      <c r="I32" s="438">
        <f>mat!L73</f>
        <v>13875</v>
      </c>
      <c r="J32" s="438">
        <f>mat!M73</f>
        <v>13875</v>
      </c>
      <c r="K32" s="438">
        <f>mat!N73</f>
        <v>13875</v>
      </c>
      <c r="L32" s="438">
        <f>mat!O73</f>
        <v>13875</v>
      </c>
      <c r="M32" s="149"/>
      <c r="N32" s="70"/>
    </row>
    <row r="33" spans="2:14" x14ac:dyDescent="0.2">
      <c r="B33" s="704"/>
      <c r="C33" s="401"/>
      <c r="D33" s="149" t="s">
        <v>65</v>
      </c>
      <c r="E33" s="149"/>
      <c r="F33" s="889">
        <f>mat!J93</f>
        <v>0</v>
      </c>
      <c r="G33" s="1045"/>
      <c r="H33" s="438">
        <f>mat!K93</f>
        <v>0</v>
      </c>
      <c r="I33" s="438">
        <f>mat!L93</f>
        <v>0</v>
      </c>
      <c r="J33" s="438">
        <f>mat!M93</f>
        <v>0</v>
      </c>
      <c r="K33" s="438">
        <f>mat!N93</f>
        <v>0</v>
      </c>
      <c r="L33" s="438">
        <f>mat!O93</f>
        <v>0</v>
      </c>
      <c r="M33" s="149"/>
      <c r="N33" s="70"/>
    </row>
    <row r="34" spans="2:14" x14ac:dyDescent="0.2">
      <c r="B34" s="704"/>
      <c r="C34" s="401"/>
      <c r="D34" s="149" t="s">
        <v>150</v>
      </c>
      <c r="E34" s="149"/>
      <c r="F34" s="889">
        <f>SUM(mat!J105:J111)+SUM(mat!J117:J123)</f>
        <v>0</v>
      </c>
      <c r="G34" s="1045"/>
      <c r="H34" s="438">
        <f>SUM(mat!K105:K111)+SUM(mat!K117:K123)</f>
        <v>0</v>
      </c>
      <c r="I34" s="438">
        <f>SUM(mat!L105:L111)+SUM(mat!L117:L123)</f>
        <v>0</v>
      </c>
      <c r="J34" s="438">
        <f>SUM(mat!M105:M111)+SUM(mat!M117:M123)</f>
        <v>0</v>
      </c>
      <c r="K34" s="438">
        <f>SUM(mat!N105:N111)+SUM(mat!N117:N123)</f>
        <v>0</v>
      </c>
      <c r="L34" s="438">
        <f>SUM(mat!O105:O111)+SUM(mat!O117:O123)</f>
        <v>0</v>
      </c>
      <c r="M34" s="149"/>
      <c r="N34" s="70"/>
    </row>
    <row r="35" spans="2:14" x14ac:dyDescent="0.2">
      <c r="B35" s="704"/>
      <c r="C35" s="401"/>
      <c r="D35" s="343"/>
      <c r="E35" s="149"/>
      <c r="F35" s="440">
        <f t="shared" ref="F35:K35" si="1">SUM(F25:F34)</f>
        <v>0</v>
      </c>
      <c r="G35" s="1047"/>
      <c r="H35" s="440">
        <f t="shared" si="1"/>
        <v>10138257.75</v>
      </c>
      <c r="I35" s="440">
        <f t="shared" si="1"/>
        <v>10138257.75</v>
      </c>
      <c r="J35" s="440">
        <f t="shared" si="1"/>
        <v>10138257.75</v>
      </c>
      <c r="K35" s="440">
        <f t="shared" si="1"/>
        <v>10138257.75</v>
      </c>
      <c r="L35" s="440">
        <f>SUM(L25:L34)</f>
        <v>10138257.75</v>
      </c>
      <c r="M35" s="149"/>
      <c r="N35" s="70"/>
    </row>
    <row r="36" spans="2:14" x14ac:dyDescent="0.2">
      <c r="B36" s="704"/>
      <c r="C36" s="401"/>
      <c r="D36" s="358"/>
      <c r="E36" s="36"/>
      <c r="F36" s="359"/>
      <c r="G36" s="1044"/>
      <c r="H36" s="359"/>
      <c r="I36" s="359"/>
      <c r="J36" s="359"/>
      <c r="K36" s="359"/>
      <c r="L36" s="359"/>
      <c r="M36" s="149"/>
      <c r="N36" s="70"/>
    </row>
    <row r="37" spans="2:14" x14ac:dyDescent="0.2">
      <c r="B37" s="718"/>
      <c r="C37" s="394"/>
      <c r="D37" s="343" t="s">
        <v>151</v>
      </c>
      <c r="E37" s="36"/>
      <c r="F37" s="440">
        <f t="shared" ref="F37:K37" si="2">F23-F35</f>
        <v>0</v>
      </c>
      <c r="G37" s="1047"/>
      <c r="H37" s="440">
        <f t="shared" si="2"/>
        <v>10944149.787743192</v>
      </c>
      <c r="I37" s="440">
        <f t="shared" si="2"/>
        <v>10944149.787743192</v>
      </c>
      <c r="J37" s="440">
        <f t="shared" si="2"/>
        <v>10944149.787743192</v>
      </c>
      <c r="K37" s="440">
        <f t="shared" si="2"/>
        <v>10944149.787743192</v>
      </c>
      <c r="L37" s="440">
        <f>L23-L35</f>
        <v>10944149.787743192</v>
      </c>
      <c r="M37" s="149"/>
      <c r="N37" s="70"/>
    </row>
    <row r="38" spans="2:14" x14ac:dyDescent="0.2">
      <c r="B38" s="704"/>
      <c r="C38" s="401"/>
      <c r="D38" s="334"/>
      <c r="E38" s="36"/>
      <c r="F38" s="359"/>
      <c r="G38" s="359"/>
      <c r="H38" s="359"/>
      <c r="I38" s="359"/>
      <c r="J38" s="359"/>
      <c r="K38" s="359"/>
      <c r="L38" s="359"/>
      <c r="M38" s="149"/>
      <c r="N38" s="70"/>
    </row>
    <row r="39" spans="2:14" x14ac:dyDescent="0.2">
      <c r="B39" s="704"/>
      <c r="C39" s="5"/>
      <c r="D39" s="57"/>
      <c r="E39" s="50"/>
      <c r="F39" s="352"/>
      <c r="G39" s="352"/>
      <c r="H39" s="352"/>
      <c r="I39" s="352"/>
      <c r="J39" s="352"/>
      <c r="K39" s="352"/>
      <c r="L39" s="352"/>
      <c r="M39" s="5"/>
      <c r="N39" s="70"/>
    </row>
    <row r="40" spans="2:14" x14ac:dyDescent="0.2">
      <c r="B40" s="704"/>
      <c r="C40" s="401"/>
      <c r="D40" s="334"/>
      <c r="E40" s="36"/>
      <c r="F40" s="356"/>
      <c r="G40" s="356"/>
      <c r="H40" s="356"/>
      <c r="I40" s="356"/>
      <c r="J40" s="356"/>
      <c r="K40" s="356"/>
      <c r="L40" s="356"/>
      <c r="M40" s="149"/>
      <c r="N40" s="70"/>
    </row>
    <row r="41" spans="2:14" x14ac:dyDescent="0.2">
      <c r="B41" s="704"/>
      <c r="C41" s="401"/>
      <c r="D41" s="470" t="s">
        <v>130</v>
      </c>
      <c r="E41" s="36"/>
      <c r="F41" s="356"/>
      <c r="G41" s="356"/>
      <c r="H41" s="356"/>
      <c r="I41" s="356"/>
      <c r="J41" s="356"/>
      <c r="K41" s="356"/>
      <c r="L41" s="356"/>
      <c r="M41" s="149"/>
      <c r="N41" s="70"/>
    </row>
    <row r="42" spans="2:14" x14ac:dyDescent="0.2">
      <c r="B42" s="704"/>
      <c r="C42" s="401"/>
      <c r="D42" s="334"/>
      <c r="E42" s="36"/>
      <c r="F42" s="356"/>
      <c r="G42" s="1043"/>
      <c r="H42" s="356"/>
      <c r="I42" s="356"/>
      <c r="J42" s="356"/>
      <c r="K42" s="356"/>
      <c r="L42" s="356"/>
      <c r="M42" s="149"/>
      <c r="N42" s="70"/>
    </row>
    <row r="43" spans="2:14" x14ac:dyDescent="0.2">
      <c r="B43" s="704"/>
      <c r="C43" s="401"/>
      <c r="D43" s="45" t="s">
        <v>67</v>
      </c>
      <c r="E43" s="36"/>
      <c r="F43" s="439">
        <v>0</v>
      </c>
      <c r="G43" s="1048"/>
      <c r="H43" s="439">
        <v>0</v>
      </c>
      <c r="I43" s="439">
        <v>0</v>
      </c>
      <c r="J43" s="439">
        <v>0</v>
      </c>
      <c r="K43" s="994">
        <f>+J43</f>
        <v>0</v>
      </c>
      <c r="L43" s="994">
        <f>+K43</f>
        <v>0</v>
      </c>
      <c r="M43" s="149"/>
      <c r="N43" s="70"/>
    </row>
    <row r="44" spans="2:14" x14ac:dyDescent="0.2">
      <c r="B44" s="704"/>
      <c r="C44" s="401"/>
      <c r="D44" s="45" t="s">
        <v>68</v>
      </c>
      <c r="E44" s="36"/>
      <c r="F44" s="439">
        <v>0</v>
      </c>
      <c r="G44" s="1048"/>
      <c r="H44" s="439">
        <v>0</v>
      </c>
      <c r="I44" s="439">
        <v>0</v>
      </c>
      <c r="J44" s="439">
        <v>0</v>
      </c>
      <c r="K44" s="994">
        <f>+J44</f>
        <v>0</v>
      </c>
      <c r="L44" s="994">
        <f>+K44</f>
        <v>0</v>
      </c>
      <c r="M44" s="149"/>
      <c r="N44" s="70"/>
    </row>
    <row r="45" spans="2:14" x14ac:dyDescent="0.2">
      <c r="B45" s="704"/>
      <c r="C45" s="401"/>
      <c r="D45" s="45"/>
      <c r="E45" s="36"/>
      <c r="F45" s="356"/>
      <c r="G45" s="1043"/>
      <c r="H45" s="356"/>
      <c r="I45" s="356"/>
      <c r="J45" s="356"/>
      <c r="K45" s="356"/>
      <c r="L45" s="356"/>
      <c r="M45" s="149"/>
      <c r="N45" s="70"/>
    </row>
    <row r="46" spans="2:14" x14ac:dyDescent="0.2">
      <c r="B46" s="718"/>
      <c r="C46" s="394"/>
      <c r="D46" s="343" t="s">
        <v>152</v>
      </c>
      <c r="E46" s="153"/>
      <c r="F46" s="440">
        <f t="shared" ref="F46:K46" si="3">F43-F44</f>
        <v>0</v>
      </c>
      <c r="G46" s="1047"/>
      <c r="H46" s="440">
        <f t="shared" si="3"/>
        <v>0</v>
      </c>
      <c r="I46" s="440">
        <f t="shared" si="3"/>
        <v>0</v>
      </c>
      <c r="J46" s="440">
        <f t="shared" si="3"/>
        <v>0</v>
      </c>
      <c r="K46" s="440">
        <f t="shared" si="3"/>
        <v>0</v>
      </c>
      <c r="L46" s="440">
        <f>L43-L44</f>
        <v>0</v>
      </c>
      <c r="M46" s="153"/>
      <c r="N46" s="83"/>
    </row>
    <row r="47" spans="2:14" x14ac:dyDescent="0.2">
      <c r="B47" s="704"/>
      <c r="C47" s="401"/>
      <c r="D47" s="45"/>
      <c r="E47" s="36"/>
      <c r="F47" s="356"/>
      <c r="G47" s="1043"/>
      <c r="H47" s="356"/>
      <c r="I47" s="356"/>
      <c r="J47" s="356"/>
      <c r="K47" s="356"/>
      <c r="L47" s="356"/>
      <c r="M47" s="149"/>
      <c r="N47" s="70"/>
    </row>
    <row r="48" spans="2:14" x14ac:dyDescent="0.2">
      <c r="B48" s="704"/>
      <c r="C48" s="5"/>
      <c r="D48" s="57"/>
      <c r="E48" s="50"/>
      <c r="F48" s="352"/>
      <c r="G48" s="352"/>
      <c r="H48" s="352"/>
      <c r="I48" s="352"/>
      <c r="J48" s="352"/>
      <c r="K48" s="352"/>
      <c r="L48" s="352"/>
      <c r="M48" s="5"/>
      <c r="N48" s="70"/>
    </row>
    <row r="49" spans="2:28" x14ac:dyDescent="0.2">
      <c r="B49" s="704"/>
      <c r="C49" s="401"/>
      <c r="D49" s="45"/>
      <c r="E49" s="36"/>
      <c r="F49" s="356"/>
      <c r="G49" s="356"/>
      <c r="H49" s="356"/>
      <c r="I49" s="356"/>
      <c r="J49" s="356"/>
      <c r="K49" s="356"/>
      <c r="L49" s="356"/>
      <c r="M49" s="149"/>
      <c r="N49" s="70"/>
    </row>
    <row r="50" spans="2:28" x14ac:dyDescent="0.2">
      <c r="B50" s="718"/>
      <c r="C50" s="394"/>
      <c r="D50" s="470" t="s">
        <v>153</v>
      </c>
      <c r="E50" s="153"/>
      <c r="F50" s="440">
        <f t="shared" ref="F50:K50" si="4">F37+F46</f>
        <v>0</v>
      </c>
      <c r="G50" s="1047"/>
      <c r="H50" s="440">
        <f t="shared" si="4"/>
        <v>10944149.787743192</v>
      </c>
      <c r="I50" s="440">
        <f t="shared" si="4"/>
        <v>10944149.787743192</v>
      </c>
      <c r="J50" s="440">
        <f t="shared" si="4"/>
        <v>10944149.787743192</v>
      </c>
      <c r="K50" s="440">
        <f t="shared" si="4"/>
        <v>10944149.787743192</v>
      </c>
      <c r="L50" s="440">
        <f>L37+L46</f>
        <v>10944149.787743192</v>
      </c>
      <c r="M50" s="153"/>
      <c r="N50" s="83"/>
    </row>
    <row r="51" spans="2:28" x14ac:dyDescent="0.2">
      <c r="B51" s="704"/>
      <c r="C51" s="401"/>
      <c r="D51" s="483"/>
      <c r="E51" s="36"/>
      <c r="F51" s="356"/>
      <c r="G51" s="356"/>
      <c r="H51" s="356"/>
      <c r="I51" s="356"/>
      <c r="J51" s="356"/>
      <c r="K51" s="356"/>
      <c r="L51" s="356"/>
      <c r="M51" s="149"/>
      <c r="N51" s="70"/>
      <c r="Q51" s="103"/>
      <c r="R51" s="103"/>
      <c r="S51" s="103"/>
      <c r="T51" s="103"/>
      <c r="U51" s="103"/>
      <c r="V51" s="103"/>
      <c r="W51" s="103"/>
      <c r="X51" s="103"/>
      <c r="Y51" s="103"/>
      <c r="Z51" s="103"/>
      <c r="AA51" s="103"/>
      <c r="AB51" s="103"/>
    </row>
    <row r="52" spans="2:28" x14ac:dyDescent="0.2">
      <c r="B52" s="704"/>
      <c r="C52" s="5"/>
      <c r="D52" s="326"/>
      <c r="E52" s="5"/>
      <c r="F52" s="353"/>
      <c r="G52" s="353"/>
      <c r="H52" s="353"/>
      <c r="I52" s="353"/>
      <c r="J52" s="353"/>
      <c r="K52" s="353"/>
      <c r="L52" s="353"/>
      <c r="M52" s="5"/>
      <c r="N52" s="70"/>
    </row>
    <row r="53" spans="2:28" x14ac:dyDescent="0.2">
      <c r="B53" s="880"/>
      <c r="C53" s="1157"/>
      <c r="D53" s="1158"/>
      <c r="E53" s="1157"/>
      <c r="F53" s="1159"/>
      <c r="G53" s="1159"/>
      <c r="H53" s="1159"/>
      <c r="I53" s="1159"/>
      <c r="J53" s="1159"/>
      <c r="K53" s="1159"/>
      <c r="L53" s="1159"/>
      <c r="M53" s="1157"/>
      <c r="N53" s="875"/>
    </row>
    <row r="54" spans="2:28" s="1124" customFormat="1" x14ac:dyDescent="0.2">
      <c r="B54" s="1155"/>
      <c r="C54" s="1155"/>
      <c r="D54" s="1155"/>
      <c r="E54" s="1155"/>
      <c r="F54" s="1155"/>
      <c r="G54" s="1156"/>
      <c r="H54" s="1155"/>
      <c r="I54" s="1155"/>
      <c r="J54" s="1155"/>
      <c r="K54" s="1155"/>
      <c r="L54" s="1155"/>
      <c r="M54" s="1155"/>
      <c r="N54" s="1155"/>
    </row>
    <row r="55" spans="2:28" s="1124" customFormat="1" ht="18.75" x14ac:dyDescent="0.3">
      <c r="B55" s="1129"/>
      <c r="C55" s="1131" t="s">
        <v>20</v>
      </c>
      <c r="D55" s="1131"/>
      <c r="E55" s="1129"/>
      <c r="F55" s="1132" t="s">
        <v>577</v>
      </c>
      <c r="G55" s="1132"/>
      <c r="H55" s="1129"/>
      <c r="I55" s="1129"/>
      <c r="J55" s="1129"/>
      <c r="K55" s="1129"/>
      <c r="L55" s="1129"/>
      <c r="M55" s="1129"/>
      <c r="N55" s="1129"/>
    </row>
    <row r="56" spans="2:28" s="1124" customFormat="1" ht="18.75" x14ac:dyDescent="0.3">
      <c r="B56" s="1129"/>
      <c r="C56" s="1131" t="str">
        <f>C5</f>
        <v>Voorbeeld SWV VO Alkmaar</v>
      </c>
      <c r="D56" s="1129"/>
      <c r="E56" s="1129"/>
      <c r="F56" s="1129"/>
      <c r="G56" s="1129"/>
      <c r="H56" s="1129"/>
      <c r="I56" s="1129"/>
      <c r="J56" s="1129"/>
      <c r="K56" s="1129"/>
      <c r="L56" s="1129"/>
      <c r="M56" s="1129"/>
      <c r="N56" s="1129"/>
    </row>
    <row r="57" spans="2:28" s="1124" customFormat="1" ht="15" x14ac:dyDescent="0.25">
      <c r="B57" s="1129"/>
      <c r="C57" s="1129"/>
      <c r="D57" s="1133" t="s">
        <v>578</v>
      </c>
      <c r="E57" s="1134"/>
      <c r="F57" s="1135"/>
      <c r="G57" s="1135"/>
      <c r="H57" s="1135"/>
      <c r="I57" s="1129"/>
      <c r="J57" s="1129"/>
      <c r="K57" s="1129"/>
      <c r="L57" s="1129"/>
      <c r="M57" s="1129"/>
      <c r="N57" s="1129"/>
    </row>
    <row r="58" spans="2:28" s="1124" customFormat="1" x14ac:dyDescent="0.2">
      <c r="B58" s="1129"/>
      <c r="C58" s="1129"/>
      <c r="D58" s="1129"/>
      <c r="E58" s="1129"/>
      <c r="F58" s="1129"/>
      <c r="G58" s="1130"/>
      <c r="H58" s="1129"/>
      <c r="I58" s="1129"/>
      <c r="J58" s="1129"/>
      <c r="K58" s="1129"/>
      <c r="L58" s="1129"/>
      <c r="M58" s="1129"/>
      <c r="N58" s="1129"/>
    </row>
    <row r="59" spans="2:28" s="1124" customFormat="1" ht="15.75" x14ac:dyDescent="0.25">
      <c r="B59" s="1129"/>
      <c r="C59" s="1129"/>
      <c r="D59" s="1136" t="s">
        <v>87</v>
      </c>
      <c r="E59" s="1134"/>
      <c r="F59" s="1137" t="e">
        <f>tab!#REF!</f>
        <v>#REF!</v>
      </c>
      <c r="G59" s="1137"/>
      <c r="H59" s="1138">
        <f>tab!C4</f>
        <v>2023</v>
      </c>
      <c r="I59" s="1138">
        <f>tab!D4</f>
        <v>2024</v>
      </c>
      <c r="J59" s="1138">
        <f>tab!E4</f>
        <v>2025</v>
      </c>
      <c r="K59" s="1138">
        <f>tab!F4</f>
        <v>2026</v>
      </c>
      <c r="L59" s="1138">
        <f>tab!G4</f>
        <v>2027</v>
      </c>
      <c r="M59" s="1129"/>
      <c r="N59" s="1129"/>
    </row>
    <row r="60" spans="2:28" s="1124" customFormat="1" ht="15.75" x14ac:dyDescent="0.25">
      <c r="B60" s="1129"/>
      <c r="C60" s="1129"/>
      <c r="D60" s="1136"/>
      <c r="E60" s="1134"/>
      <c r="F60" s="1137"/>
      <c r="G60" s="1137"/>
      <c r="H60" s="1137"/>
      <c r="I60" s="1137"/>
      <c r="J60" s="1137"/>
      <c r="K60" s="1139"/>
      <c r="L60" s="1139"/>
      <c r="M60" s="1129"/>
      <c r="N60" s="1129"/>
    </row>
    <row r="61" spans="2:28" s="1124" customFormat="1" ht="15.75" x14ac:dyDescent="0.25">
      <c r="B61" s="1129"/>
      <c r="C61" s="1129"/>
      <c r="D61" s="1136"/>
      <c r="E61" s="1134"/>
      <c r="F61" s="1137"/>
      <c r="G61" s="1137"/>
      <c r="H61" s="1137"/>
      <c r="I61" s="1137"/>
      <c r="J61" s="1137"/>
      <c r="K61" s="1139"/>
      <c r="L61" s="1139"/>
      <c r="M61" s="1129"/>
      <c r="N61" s="1129"/>
    </row>
    <row r="62" spans="2:28" s="1124" customFormat="1" x14ac:dyDescent="0.2">
      <c r="B62" s="1129"/>
      <c r="C62" s="1129"/>
      <c r="D62" s="1140" t="s">
        <v>207</v>
      </c>
      <c r="E62" s="1134"/>
      <c r="F62" s="1137"/>
      <c r="G62" s="1137"/>
      <c r="H62" s="1137"/>
      <c r="I62" s="1137"/>
      <c r="J62" s="1137"/>
      <c r="K62" s="1139"/>
      <c r="L62" s="1139"/>
      <c r="M62" s="1129"/>
      <c r="N62" s="1129"/>
    </row>
    <row r="63" spans="2:28" s="1124" customFormat="1" ht="15.75" x14ac:dyDescent="0.25">
      <c r="B63" s="1129"/>
      <c r="C63" s="1129"/>
      <c r="D63" s="1136"/>
      <c r="E63" s="1134"/>
      <c r="F63" s="1137"/>
      <c r="G63" s="1141"/>
      <c r="H63" s="1141"/>
      <c r="I63" s="1141"/>
      <c r="J63" s="1141"/>
      <c r="K63" s="1139"/>
      <c r="L63" s="1139"/>
      <c r="M63" s="1129"/>
      <c r="N63" s="1129"/>
    </row>
    <row r="64" spans="2:28" s="1124" customFormat="1" x14ac:dyDescent="0.2">
      <c r="B64" s="1129"/>
      <c r="C64" s="1129"/>
      <c r="D64" s="1140" t="s">
        <v>532</v>
      </c>
      <c r="E64" s="1129"/>
      <c r="F64" s="1142"/>
      <c r="G64" s="1142"/>
      <c r="H64" s="1142"/>
      <c r="I64" s="1142"/>
      <c r="J64" s="1142"/>
      <c r="K64" s="1142"/>
      <c r="L64" s="1142"/>
      <c r="M64" s="1142"/>
      <c r="N64" s="1129"/>
    </row>
    <row r="65" spans="2:14" s="1124" customFormat="1" x14ac:dyDescent="0.2">
      <c r="B65" s="1129"/>
      <c r="C65" s="1129"/>
      <c r="D65" s="1143" t="s">
        <v>62</v>
      </c>
      <c r="E65" s="1129"/>
      <c r="F65" s="1144">
        <v>0</v>
      </c>
      <c r="G65" s="1145"/>
      <c r="H65" s="1145" t="e">
        <f>bekost!#REF!+mat!#REF!</f>
        <v>#REF!</v>
      </c>
      <c r="I65" s="1145" t="e">
        <f>bekost!#REF!+mat!#REF!</f>
        <v>#REF!</v>
      </c>
      <c r="J65" s="1145" t="e">
        <f>bekost!#REF!+mat!#REF!</f>
        <v>#REF!</v>
      </c>
      <c r="K65" s="1145" t="e">
        <f>bekost!#REF!+mat!#REF!</f>
        <v>#REF!</v>
      </c>
      <c r="L65" s="1145" t="e">
        <f>bekost!#REF!+mat!#REF!</f>
        <v>#REF!</v>
      </c>
      <c r="M65" s="1145"/>
      <c r="N65" s="1129"/>
    </row>
    <row r="66" spans="2:14" s="1125" customFormat="1" x14ac:dyDescent="0.2">
      <c r="B66" s="1146"/>
      <c r="C66" s="1146"/>
      <c r="D66" s="1147" t="s">
        <v>557</v>
      </c>
      <c r="E66" s="1146"/>
      <c r="F66" s="1148">
        <v>0</v>
      </c>
      <c r="G66" s="1149"/>
      <c r="H66" s="1149" t="e">
        <f>bekost!#REF!+5/12*mat!#REF!+7/12*mat!#REF!</f>
        <v>#REF!</v>
      </c>
      <c r="I66" s="1149" t="e">
        <f>bekost!#REF!+5/12*mat!#REF!+7/12*mat!#REF!</f>
        <v>#REF!</v>
      </c>
      <c r="J66" s="1149" t="e">
        <f>bekost!#REF!+5/12*mat!#REF!+7/12*mat!#REF!</f>
        <v>#REF!</v>
      </c>
      <c r="K66" s="1149" t="e">
        <f>bekost!#REF!+5/12*mat!#REF!+7/12*mat!#REF!</f>
        <v>#REF!</v>
      </c>
      <c r="L66" s="1149" t="e">
        <f>bekost!#REF!+5/12*mat!#REF!+7/12*mat!#REF!</f>
        <v>#REF!</v>
      </c>
      <c r="M66" s="1149"/>
      <c r="N66" s="1146"/>
    </row>
    <row r="67" spans="2:14" s="1124" customFormat="1" x14ac:dyDescent="0.2">
      <c r="B67" s="1129"/>
      <c r="C67" s="1129"/>
      <c r="D67" s="1147" t="s">
        <v>558</v>
      </c>
      <c r="E67" s="1146"/>
      <c r="F67" s="1148">
        <v>0</v>
      </c>
      <c r="G67" s="1149"/>
      <c r="H67" s="1149" t="e">
        <f>bekost!#REF!+5/12*mat!#REF!+7/12*mat!#REF!</f>
        <v>#REF!</v>
      </c>
      <c r="I67" s="1149" t="e">
        <f>bekost!#REF!+5/12*mat!#REF!+7/12*mat!#REF!</f>
        <v>#REF!</v>
      </c>
      <c r="J67" s="1149" t="e">
        <f>bekost!#REF!+5/12*mat!#REF!+7/12*mat!#REF!</f>
        <v>#REF!</v>
      </c>
      <c r="K67" s="1149" t="e">
        <f>bekost!#REF!+5/12*mat!#REF!+7/12*mat!#REF!</f>
        <v>#REF!</v>
      </c>
      <c r="L67" s="1149" t="e">
        <f>bekost!#REF!+5/12*mat!#REF!+7/12*mat!#REF!</f>
        <v>#REF!</v>
      </c>
      <c r="M67" s="1145"/>
      <c r="N67" s="1129"/>
    </row>
    <row r="68" spans="2:14" s="1124" customFormat="1" x14ac:dyDescent="0.2">
      <c r="B68" s="1129"/>
      <c r="C68" s="1129"/>
      <c r="D68" s="1143" t="s">
        <v>136</v>
      </c>
      <c r="E68" s="1146"/>
      <c r="F68" s="1148">
        <v>0</v>
      </c>
      <c r="G68" s="1145"/>
      <c r="H68" s="1145" t="e">
        <f>bekost!#REF!+5/12*mat!K27+7/12*mat!L27</f>
        <v>#REF!</v>
      </c>
      <c r="I68" s="1145" t="e">
        <f>bekost!#REF!+5/12*mat!L27+7/12*mat!M27</f>
        <v>#REF!</v>
      </c>
      <c r="J68" s="1145" t="e">
        <f>bekost!#REF!+5/12*mat!M27+7/12*mat!N27</f>
        <v>#REF!</v>
      </c>
      <c r="K68" s="1145" t="e">
        <f>bekost!#REF!+5/12*mat!N27+7/12*mat!O27</f>
        <v>#REF!</v>
      </c>
      <c r="L68" s="1145" t="e">
        <f>bekost!#REF!+5/12*mat!O27+7/12*mat!O27</f>
        <v>#REF!</v>
      </c>
      <c r="M68" s="1145"/>
      <c r="N68" s="1129"/>
    </row>
    <row r="69" spans="2:14" s="1124" customFormat="1" x14ac:dyDescent="0.2">
      <c r="B69" s="1129"/>
      <c r="C69" s="1129"/>
      <c r="D69" s="1147" t="s">
        <v>559</v>
      </c>
      <c r="E69" s="1146"/>
      <c r="F69" s="1148">
        <v>0</v>
      </c>
      <c r="G69" s="1149"/>
      <c r="H69" s="1149" t="e">
        <f>bekost!#REF!+5/12*mat!K17+7/12*mat!L17</f>
        <v>#REF!</v>
      </c>
      <c r="I69" s="1149" t="e">
        <f>bekost!#REF!+5/12*mat!L17+7/12*mat!M17</f>
        <v>#REF!</v>
      </c>
      <c r="J69" s="1149" t="e">
        <f>bekost!#REF!+5/12*mat!M17+7/12*mat!N17</f>
        <v>#REF!</v>
      </c>
      <c r="K69" s="1149" t="e">
        <f>bekost!#REF!+5/12*mat!N17+7/12*mat!O17</f>
        <v>#REF!</v>
      </c>
      <c r="L69" s="1149" t="e">
        <f>bekost!#REF!+5/12*mat!O17+7/12*mat!O17</f>
        <v>#REF!</v>
      </c>
      <c r="M69" s="1145"/>
      <c r="N69" s="1129"/>
    </row>
    <row r="70" spans="2:14" s="1124" customFormat="1" x14ac:dyDescent="0.2">
      <c r="B70" s="1129"/>
      <c r="C70" s="1129"/>
      <c r="D70" s="1147" t="s">
        <v>560</v>
      </c>
      <c r="E70" s="1146"/>
      <c r="F70" s="1148">
        <v>0</v>
      </c>
      <c r="G70" s="1149"/>
      <c r="H70" s="1149" t="e">
        <f>bekost!#REF!+5/12*mat!K24+7/12*mat!L24</f>
        <v>#REF!</v>
      </c>
      <c r="I70" s="1149" t="e">
        <f>bekost!#REF!+5/12*mat!L24+7/12*mat!M24</f>
        <v>#REF!</v>
      </c>
      <c r="J70" s="1149" t="e">
        <f>bekost!#REF!+5/12*mat!M24+7/12*mat!N24</f>
        <v>#REF!</v>
      </c>
      <c r="K70" s="1149" t="e">
        <f>bekost!#REF!+5/12*mat!N24+7/12*mat!O24</f>
        <v>#REF!</v>
      </c>
      <c r="L70" s="1149" t="e">
        <f>bekost!#REF!+5/12*mat!O24+7/12*mat!O24</f>
        <v>#REF!</v>
      </c>
      <c r="M70" s="1145"/>
      <c r="N70" s="1129"/>
    </row>
    <row r="71" spans="2:14" s="1124" customFormat="1" x14ac:dyDescent="0.2">
      <c r="B71" s="1129"/>
      <c r="C71" s="1129"/>
      <c r="D71" s="1143" t="s">
        <v>147</v>
      </c>
      <c r="E71" s="1129"/>
      <c r="F71" s="1148">
        <v>0</v>
      </c>
      <c r="G71" s="1145"/>
      <c r="H71" s="1145">
        <f t="shared" ref="H71:L71" si="5">5/12*G20+7/12*H20</f>
        <v>0</v>
      </c>
      <c r="I71" s="1145">
        <f t="shared" si="5"/>
        <v>0</v>
      </c>
      <c r="J71" s="1145">
        <f t="shared" si="5"/>
        <v>0</v>
      </c>
      <c r="K71" s="1145">
        <f t="shared" si="5"/>
        <v>0</v>
      </c>
      <c r="L71" s="1145">
        <f t="shared" si="5"/>
        <v>0</v>
      </c>
      <c r="M71" s="1145"/>
      <c r="N71" s="1129"/>
    </row>
    <row r="72" spans="2:14" s="1124" customFormat="1" x14ac:dyDescent="0.2">
      <c r="B72" s="1129"/>
      <c r="C72" s="1129"/>
      <c r="D72" s="1129" t="s">
        <v>148</v>
      </c>
      <c r="E72" s="1129"/>
      <c r="F72" s="1145">
        <v>0</v>
      </c>
      <c r="G72" s="1145"/>
      <c r="H72" s="1145" t="e">
        <f>bekost!#REF!+5/12*(mat!K34+mat!K44)+7/12*(mat!L34+mat!L44)</f>
        <v>#REF!</v>
      </c>
      <c r="I72" s="1145" t="e">
        <f>bekost!#REF!+5/12*(mat!L34+mat!L44)+7/12*(mat!M34+mat!M44)</f>
        <v>#REF!</v>
      </c>
      <c r="J72" s="1145" t="e">
        <f>bekost!#REF!+5/12*(mat!M34+mat!M44)+7/12*(mat!N34+mat!N44)</f>
        <v>#REF!</v>
      </c>
      <c r="K72" s="1145" t="e">
        <f>bekost!#REF!+5/12*(mat!N34+mat!N44)+7/12*(mat!O34+mat!O44)</f>
        <v>#REF!</v>
      </c>
      <c r="L72" s="1145" t="e">
        <f>bekost!#REF!+(mat!O34+mat!O44)</f>
        <v>#REF!</v>
      </c>
      <c r="M72" s="1145"/>
      <c r="N72" s="1129"/>
    </row>
    <row r="73" spans="2:14" s="1124" customFormat="1" x14ac:dyDescent="0.2">
      <c r="B73" s="1129"/>
      <c r="C73" s="1129"/>
      <c r="D73" s="1129" t="s">
        <v>63</v>
      </c>
      <c r="E73" s="1129"/>
      <c r="F73" s="1145" t="e">
        <f>5/12*bekost!H91+7/12*bekost!I91+mat!#REF!-F72</f>
        <v>#REF!</v>
      </c>
      <c r="G73" s="1145"/>
      <c r="H73" s="1145" t="e">
        <f>bekost!#REF!+5/12*mat!K53+7/12*mat!L53-H71-H72</f>
        <v>#REF!</v>
      </c>
      <c r="I73" s="1145" t="e">
        <f>bekost!#REF!+5/12*mat!L53+7/12*mat!M53-I71-I72</f>
        <v>#REF!</v>
      </c>
      <c r="J73" s="1145" t="e">
        <f>bekost!#REF!+5/12*mat!M53+7/12*mat!N53-J71-J72</f>
        <v>#REF!</v>
      </c>
      <c r="K73" s="1145" t="e">
        <f>bekost!#REF!+5/12*mat!N53+7/12*mat!O53-K71-K72</f>
        <v>#REF!</v>
      </c>
      <c r="L73" s="1145" t="e">
        <f>bekost!#REF!+5/12*mat!O53+7/12*mat!O53-L71-L72</f>
        <v>#REF!</v>
      </c>
      <c r="M73" s="1145"/>
      <c r="N73" s="1129"/>
    </row>
    <row r="74" spans="2:14" s="1124" customFormat="1" x14ac:dyDescent="0.2">
      <c r="B74" s="1129"/>
      <c r="C74" s="1129"/>
      <c r="D74" s="1129"/>
      <c r="E74" s="1129"/>
      <c r="F74" s="1145" t="e">
        <f>SUM(F71:F73)</f>
        <v>#REF!</v>
      </c>
      <c r="G74" s="1145"/>
      <c r="H74" s="1145" t="e">
        <f t="shared" ref="H74:L74" si="6">H65+H68+H72+H73</f>
        <v>#REF!</v>
      </c>
      <c r="I74" s="1145" t="e">
        <f t="shared" si="6"/>
        <v>#REF!</v>
      </c>
      <c r="J74" s="1145" t="e">
        <f t="shared" si="6"/>
        <v>#REF!</v>
      </c>
      <c r="K74" s="1145" t="e">
        <f t="shared" si="6"/>
        <v>#REF!</v>
      </c>
      <c r="L74" s="1145" t="e">
        <f t="shared" si="6"/>
        <v>#REF!</v>
      </c>
      <c r="M74" s="1145"/>
      <c r="N74" s="1129"/>
    </row>
    <row r="75" spans="2:14" s="1124" customFormat="1" x14ac:dyDescent="0.2">
      <c r="B75" s="1129"/>
      <c r="C75" s="1129"/>
      <c r="D75" s="1129"/>
      <c r="E75" s="1129"/>
      <c r="F75" s="1145"/>
      <c r="G75" s="1145"/>
      <c r="H75" s="1145"/>
      <c r="I75" s="1145"/>
      <c r="J75" s="1145"/>
      <c r="K75" s="1145"/>
      <c r="L75" s="1145"/>
      <c r="M75" s="1145"/>
      <c r="N75" s="1129"/>
    </row>
    <row r="76" spans="2:14" s="1124" customFormat="1" x14ac:dyDescent="0.2">
      <c r="B76" s="1129"/>
      <c r="C76" s="1129"/>
      <c r="D76" s="1140" t="s">
        <v>149</v>
      </c>
      <c r="E76" s="1129"/>
      <c r="F76" s="1145"/>
      <c r="G76" s="1145"/>
      <c r="H76" s="1145"/>
      <c r="I76" s="1145"/>
      <c r="J76" s="1145"/>
      <c r="K76" s="1145"/>
      <c r="L76" s="1145"/>
      <c r="M76" s="1145"/>
      <c r="N76" s="1129"/>
    </row>
    <row r="77" spans="2:14" s="1124" customFormat="1" x14ac:dyDescent="0.2">
      <c r="B77" s="1129"/>
      <c r="C77" s="1129"/>
      <c r="D77" s="1129" t="s">
        <v>561</v>
      </c>
      <c r="E77" s="1129"/>
      <c r="F77" s="1144">
        <v>0</v>
      </c>
      <c r="G77" s="1145"/>
      <c r="H77" s="1145" t="e">
        <f>bekost!#REF!+5/12*mat!#REF!+7/12*mat!#REF!</f>
        <v>#REF!</v>
      </c>
      <c r="I77" s="1145" t="e">
        <f>bekost!#REF!+5/12*mat!#REF!+7/12*mat!#REF!</f>
        <v>#REF!</v>
      </c>
      <c r="J77" s="1145" t="e">
        <f>bekost!#REF!+5/12*mat!#REF!+7/12*mat!#REF!</f>
        <v>#REF!</v>
      </c>
      <c r="K77" s="1145" t="e">
        <f>bekost!#REF!+5/12*mat!#REF!+7/12*mat!#REF!</f>
        <v>#REF!</v>
      </c>
      <c r="L77" s="1145" t="e">
        <f>bekost!#REF!+5/12*mat!#REF!+7/12*mat!#REF!</f>
        <v>#REF!</v>
      </c>
      <c r="M77" s="1145"/>
      <c r="N77" s="1129"/>
    </row>
    <row r="78" spans="2:14" s="1124" customFormat="1" x14ac:dyDescent="0.2">
      <c r="B78" s="1129"/>
      <c r="C78" s="1129"/>
      <c r="D78" s="1129" t="s">
        <v>562</v>
      </c>
      <c r="E78" s="1129"/>
      <c r="F78" s="1144">
        <v>0</v>
      </c>
      <c r="G78" s="1145"/>
      <c r="H78" s="1145" t="e">
        <f>bekost!#REF!+5/12*mat!#REF!+7/12*mat!#REF!</f>
        <v>#REF!</v>
      </c>
      <c r="I78" s="1145" t="e">
        <f>bekost!#REF!+5/12*mat!#REF!+7/12*mat!#REF!</f>
        <v>#REF!</v>
      </c>
      <c r="J78" s="1145" t="e">
        <f>bekost!#REF!+5/12*mat!#REF!+7/12*mat!#REF!</f>
        <v>#REF!</v>
      </c>
      <c r="K78" s="1145" t="e">
        <f>bekost!#REF!+5/12*mat!#REF!+7/12*mat!#REF!</f>
        <v>#REF!</v>
      </c>
      <c r="L78" s="1145" t="e">
        <f>bekost!#REF!+5/12*mat!#REF!+7/12*mat!#REF!</f>
        <v>#REF!</v>
      </c>
      <c r="M78" s="1145"/>
      <c r="N78" s="1129"/>
    </row>
    <row r="79" spans="2:14" s="1124" customFormat="1" x14ac:dyDescent="0.2">
      <c r="B79" s="1129"/>
      <c r="C79" s="1129"/>
      <c r="D79" s="1129" t="s">
        <v>563</v>
      </c>
      <c r="E79" s="1129"/>
      <c r="F79" s="1144">
        <v>0</v>
      </c>
      <c r="G79" s="1145"/>
      <c r="H79" s="1145" t="e">
        <f>bekost!#REF!+5/12*mat!K100+7/12*mat!L100</f>
        <v>#REF!</v>
      </c>
      <c r="I79" s="1145" t="e">
        <f>bekost!#REF!+5/12*mat!L100+7/12*mat!M100</f>
        <v>#REF!</v>
      </c>
      <c r="J79" s="1145" t="e">
        <f>bekost!#REF!+5/12*mat!M100+7/12*mat!N100</f>
        <v>#REF!</v>
      </c>
      <c r="K79" s="1145" t="e">
        <f>bekost!#REF!+5/12*mat!N100+7/12*mat!O100</f>
        <v>#REF!</v>
      </c>
      <c r="L79" s="1145" t="e">
        <f>bekost!#REF!+5/12*mat!O100+7/12*mat!O100</f>
        <v>#REF!</v>
      </c>
      <c r="M79" s="1145"/>
      <c r="N79" s="1129"/>
    </row>
    <row r="80" spans="2:14" s="1124" customFormat="1" x14ac:dyDescent="0.2">
      <c r="B80" s="1129"/>
      <c r="C80" s="1129"/>
      <c r="D80" s="1129" t="s">
        <v>564</v>
      </c>
      <c r="E80" s="1129"/>
      <c r="F80" s="1144">
        <v>0</v>
      </c>
      <c r="G80" s="1145"/>
      <c r="H80" s="1145" t="e">
        <f>bekost!#REF!+5/12*mat!K101+7/12*mat!L101</f>
        <v>#REF!</v>
      </c>
      <c r="I80" s="1145" t="e">
        <f>bekost!#REF!+5/12*mat!L101+7/12*mat!M101</f>
        <v>#REF!</v>
      </c>
      <c r="J80" s="1145" t="e">
        <f>bekost!#REF!+5/12*mat!M101+7/12*mat!N101</f>
        <v>#REF!</v>
      </c>
      <c r="K80" s="1145" t="e">
        <f>bekost!#REF!+5/12*mat!N101+7/12*mat!O101</f>
        <v>#REF!</v>
      </c>
      <c r="L80" s="1145" t="e">
        <f>bekost!#REF!+5/12*mat!O101+7/12*mat!O101</f>
        <v>#REF!</v>
      </c>
      <c r="M80" s="1145"/>
      <c r="N80" s="1129"/>
    </row>
    <row r="81" spans="2:14" s="1124" customFormat="1" x14ac:dyDescent="0.2">
      <c r="B81" s="1129"/>
      <c r="C81" s="1129"/>
      <c r="D81" s="1129" t="s">
        <v>565</v>
      </c>
      <c r="E81" s="1129"/>
      <c r="F81" s="1144">
        <v>0</v>
      </c>
      <c r="G81" s="1145"/>
      <c r="H81" s="1145" t="e">
        <f>bekost!#REF!+5/12*(mat!K104+mat!K116)+7/12*(mat!L104+mat!L116)</f>
        <v>#REF!</v>
      </c>
      <c r="I81" s="1145" t="e">
        <f>bekost!#REF!+5/12*(mat!L104+mat!L116)+7/12*(mat!M104+mat!M116)</f>
        <v>#REF!</v>
      </c>
      <c r="J81" s="1145" t="e">
        <f>bekost!#REF!+5/12*(mat!M104+mat!M116)+7/12*(mat!N104+mat!N116)</f>
        <v>#REF!</v>
      </c>
      <c r="K81" s="1145" t="e">
        <f>bekost!#REF!+5/12*(mat!N104+mat!N116)+7/12*(mat!O104+mat!O116)</f>
        <v>#REF!</v>
      </c>
      <c r="L81" s="1145" t="e">
        <f>bekost!#REF!+5/12*(mat!O104+mat!O116)+7/12*(mat!O104+mat!O116)</f>
        <v>#REF!</v>
      </c>
      <c r="M81" s="1145"/>
      <c r="N81" s="1129"/>
    </row>
    <row r="82" spans="2:14" s="1124" customFormat="1" x14ac:dyDescent="0.2">
      <c r="B82" s="1129"/>
      <c r="C82" s="1129"/>
      <c r="D82" s="1129" t="s">
        <v>566</v>
      </c>
      <c r="E82" s="1129"/>
      <c r="F82" s="1145">
        <v>0</v>
      </c>
      <c r="G82" s="1145"/>
      <c r="H82" s="1145">
        <f>'programma''s'!J214+5/12*'programma''s'!I217+7/12*'programma''s'!J217</f>
        <v>13579</v>
      </c>
      <c r="I82" s="1145">
        <f>'programma''s'!K214+5/12*'programma''s'!J217+7/12*'programma''s'!K217</f>
        <v>13579</v>
      </c>
      <c r="J82" s="1145">
        <f>'programma''s'!L214+5/12*'programma''s'!K217+7/12*'programma''s'!L217</f>
        <v>13579</v>
      </c>
      <c r="K82" s="1145">
        <f>'programma''s'!M214+5/12*'programma''s'!L217+7/12*'programma''s'!M217</f>
        <v>13579</v>
      </c>
      <c r="L82" s="1145">
        <f>'programma''s'!N214+5/12*'programma''s'!M217+7/12*'programma''s'!N217</f>
        <v>13579</v>
      </c>
      <c r="M82" s="1145"/>
      <c r="N82" s="1129"/>
    </row>
    <row r="83" spans="2:14" s="1124" customFormat="1" x14ac:dyDescent="0.2">
      <c r="B83" s="1129"/>
      <c r="C83" s="1129"/>
      <c r="D83" s="1129" t="s">
        <v>580</v>
      </c>
      <c r="E83" s="1129"/>
      <c r="F83" s="1144">
        <v>0</v>
      </c>
      <c r="G83" s="1145"/>
      <c r="H83" s="1145" t="e">
        <f>bekost!#REF!</f>
        <v>#REF!</v>
      </c>
      <c r="I83" s="1145" t="e">
        <f>bekost!#REF!</f>
        <v>#REF!</v>
      </c>
      <c r="J83" s="1145" t="e">
        <f>bekost!#REF!</f>
        <v>#REF!</v>
      </c>
      <c r="K83" s="1145" t="e">
        <f>bekost!#REF!</f>
        <v>#REF!</v>
      </c>
      <c r="L83" s="1145" t="e">
        <f>bekost!#REF!</f>
        <v>#REF!</v>
      </c>
      <c r="M83" s="1145"/>
      <c r="N83" s="1129"/>
    </row>
    <row r="84" spans="2:14" s="1124" customFormat="1" x14ac:dyDescent="0.2">
      <c r="B84" s="1129"/>
      <c r="C84" s="1129"/>
      <c r="D84" s="1129" t="s">
        <v>64</v>
      </c>
      <c r="E84" s="1129"/>
      <c r="F84" s="1144">
        <v>0</v>
      </c>
      <c r="G84" s="1145"/>
      <c r="H84" s="1145">
        <f>5/12*act!G34+7/12*act!H34</f>
        <v>13875</v>
      </c>
      <c r="I84" s="1145">
        <f>5/12*act!H34+7/12*act!I34</f>
        <v>13875</v>
      </c>
      <c r="J84" s="1145">
        <f>5/12*act!I34+7/12*act!J34</f>
        <v>13875</v>
      </c>
      <c r="K84" s="1145">
        <f>5/12*act!J34+7/12*act!K34</f>
        <v>13875</v>
      </c>
      <c r="L84" s="1145">
        <f>5/12*act!K34+7/12*act!L34</f>
        <v>13875</v>
      </c>
      <c r="M84" s="1145"/>
      <c r="N84" s="1129"/>
    </row>
    <row r="85" spans="2:14" s="1124" customFormat="1" x14ac:dyDescent="0.2">
      <c r="B85" s="1129"/>
      <c r="C85" s="1129"/>
      <c r="D85" s="1129" t="s">
        <v>65</v>
      </c>
      <c r="E85" s="1129"/>
      <c r="F85" s="1144">
        <v>0</v>
      </c>
      <c r="G85" s="1145"/>
      <c r="H85" s="1145">
        <f>5/12*mat!K93+7/12*mat!L93</f>
        <v>0</v>
      </c>
      <c r="I85" s="1145">
        <f>5/12*mat!L93+7/12*mat!M93</f>
        <v>0</v>
      </c>
      <c r="J85" s="1145">
        <f>5/12*mat!M93+7/12*mat!N93</f>
        <v>0</v>
      </c>
      <c r="K85" s="1145">
        <f>5/12*mat!N93+7/12*mat!O93</f>
        <v>0</v>
      </c>
      <c r="L85" s="1145">
        <f>5/12*mat!O93+7/12*mat!O93</f>
        <v>0</v>
      </c>
      <c r="M85" s="1145"/>
      <c r="N85" s="1129"/>
    </row>
    <row r="86" spans="2:14" s="1124" customFormat="1" x14ac:dyDescent="0.2">
      <c r="B86" s="1129"/>
      <c r="C86" s="1129"/>
      <c r="D86" s="1129" t="s">
        <v>143</v>
      </c>
      <c r="E86" s="1129"/>
      <c r="F86" s="1144">
        <v>0</v>
      </c>
      <c r="G86" s="1145"/>
      <c r="H86" s="1145">
        <f t="shared" ref="H86:L86" si="7">5/12*G34+7/12*H34</f>
        <v>0</v>
      </c>
      <c r="I86" s="1145">
        <f t="shared" si="7"/>
        <v>0</v>
      </c>
      <c r="J86" s="1145">
        <f t="shared" si="7"/>
        <v>0</v>
      </c>
      <c r="K86" s="1145">
        <f t="shared" si="7"/>
        <v>0</v>
      </c>
      <c r="L86" s="1145">
        <f t="shared" si="7"/>
        <v>0</v>
      </c>
      <c r="M86" s="1145"/>
      <c r="N86" s="1129"/>
    </row>
    <row r="87" spans="2:14" s="1124" customFormat="1" x14ac:dyDescent="0.2">
      <c r="B87" s="1129"/>
      <c r="C87" s="1129"/>
      <c r="D87" s="1129"/>
      <c r="E87" s="1129"/>
      <c r="F87" s="1145">
        <f>SUM(F83:F86)</f>
        <v>0</v>
      </c>
      <c r="G87" s="1145"/>
      <c r="H87" s="1145" t="e">
        <f t="shared" ref="H87:L87" si="8">SUM(H77:H86)</f>
        <v>#REF!</v>
      </c>
      <c r="I87" s="1145" t="e">
        <f t="shared" si="8"/>
        <v>#REF!</v>
      </c>
      <c r="J87" s="1145" t="e">
        <f t="shared" si="8"/>
        <v>#REF!</v>
      </c>
      <c r="K87" s="1145" t="e">
        <f t="shared" si="8"/>
        <v>#REF!</v>
      </c>
      <c r="L87" s="1145" t="e">
        <f t="shared" si="8"/>
        <v>#REF!</v>
      </c>
      <c r="M87" s="1145"/>
      <c r="N87" s="1129"/>
    </row>
    <row r="88" spans="2:14" s="1124" customFormat="1" x14ac:dyDescent="0.2">
      <c r="B88" s="1129"/>
      <c r="C88" s="1129"/>
      <c r="D88" s="1129"/>
      <c r="E88" s="1129"/>
      <c r="F88" s="1145"/>
      <c r="G88" s="1145"/>
      <c r="H88" s="1145"/>
      <c r="I88" s="1145"/>
      <c r="J88" s="1145"/>
      <c r="K88" s="1145"/>
      <c r="L88" s="1145"/>
      <c r="M88" s="1129"/>
      <c r="N88" s="1129"/>
    </row>
    <row r="89" spans="2:14" s="1124" customFormat="1" x14ac:dyDescent="0.2">
      <c r="B89" s="1140"/>
      <c r="C89" s="1140"/>
      <c r="D89" s="1150" t="s">
        <v>151</v>
      </c>
      <c r="E89" s="1146"/>
      <c r="F89" s="1151" t="e">
        <f t="shared" ref="F89:L89" si="9">F74-F87</f>
        <v>#REF!</v>
      </c>
      <c r="G89" s="1151"/>
      <c r="H89" s="1151" t="e">
        <f t="shared" si="9"/>
        <v>#REF!</v>
      </c>
      <c r="I89" s="1151" t="e">
        <f t="shared" si="9"/>
        <v>#REF!</v>
      </c>
      <c r="J89" s="1151" t="e">
        <f t="shared" si="9"/>
        <v>#REF!</v>
      </c>
      <c r="K89" s="1151" t="e">
        <f t="shared" si="9"/>
        <v>#REF!</v>
      </c>
      <c r="L89" s="1151" t="e">
        <f t="shared" si="9"/>
        <v>#REF!</v>
      </c>
      <c r="M89" s="1129"/>
      <c r="N89" s="1129"/>
    </row>
    <row r="90" spans="2:14" s="1124" customFormat="1" x14ac:dyDescent="0.2">
      <c r="B90" s="1129"/>
      <c r="C90" s="1129"/>
      <c r="D90" s="1147"/>
      <c r="E90" s="1146"/>
      <c r="F90" s="1152"/>
      <c r="G90" s="1152"/>
      <c r="H90" s="1152"/>
      <c r="I90" s="1152"/>
      <c r="J90" s="1152"/>
      <c r="K90" s="1152"/>
      <c r="L90" s="1152"/>
      <c r="M90" s="1129"/>
      <c r="N90" s="1129"/>
    </row>
    <row r="91" spans="2:14" s="1124" customFormat="1" x14ac:dyDescent="0.2">
      <c r="B91" s="1129"/>
      <c r="C91" s="1129"/>
      <c r="D91" s="1147"/>
      <c r="E91" s="1146"/>
      <c r="F91" s="1153"/>
      <c r="G91" s="1153"/>
      <c r="H91" s="1153"/>
      <c r="I91" s="1153"/>
      <c r="J91" s="1153"/>
      <c r="K91" s="1153"/>
      <c r="L91" s="1153"/>
      <c r="M91" s="1129"/>
      <c r="N91" s="1129"/>
    </row>
    <row r="92" spans="2:14" s="1124" customFormat="1" x14ac:dyDescent="0.2">
      <c r="B92" s="1129"/>
      <c r="C92" s="1129"/>
      <c r="D92" s="1147"/>
      <c r="E92" s="1146"/>
      <c r="F92" s="1153"/>
      <c r="G92" s="1153"/>
      <c r="H92" s="1153"/>
      <c r="I92" s="1153"/>
      <c r="J92" s="1153"/>
      <c r="K92" s="1153"/>
      <c r="L92" s="1153"/>
      <c r="M92" s="1129"/>
      <c r="N92" s="1129"/>
    </row>
    <row r="93" spans="2:14" s="1124" customFormat="1" x14ac:dyDescent="0.2">
      <c r="B93" s="1129"/>
      <c r="C93" s="1129"/>
      <c r="D93" s="1150" t="s">
        <v>130</v>
      </c>
      <c r="E93" s="1146"/>
      <c r="F93" s="1153"/>
      <c r="G93" s="1153"/>
      <c r="H93" s="1153"/>
      <c r="I93" s="1153"/>
      <c r="J93" s="1153"/>
      <c r="K93" s="1153"/>
      <c r="L93" s="1153"/>
      <c r="M93" s="1129"/>
      <c r="N93" s="1129"/>
    </row>
    <row r="94" spans="2:14" s="1124" customFormat="1" x14ac:dyDescent="0.2">
      <c r="B94" s="1129"/>
      <c r="C94" s="1129"/>
      <c r="D94" s="1147"/>
      <c r="E94" s="1146"/>
      <c r="F94" s="1153"/>
      <c r="G94" s="1153"/>
      <c r="H94" s="1153"/>
      <c r="I94" s="1153"/>
      <c r="J94" s="1153"/>
      <c r="K94" s="1153"/>
      <c r="L94" s="1153"/>
      <c r="M94" s="1129"/>
      <c r="N94" s="1129"/>
    </row>
    <row r="95" spans="2:14" s="1124" customFormat="1" x14ac:dyDescent="0.2">
      <c r="B95" s="1129"/>
      <c r="C95" s="1129"/>
      <c r="D95" s="1143" t="s">
        <v>67</v>
      </c>
      <c r="E95" s="1146"/>
      <c r="F95" s="1153">
        <v>0</v>
      </c>
      <c r="G95" s="1153"/>
      <c r="H95" s="1153">
        <f t="shared" ref="H95:L96" si="10">5/12*G43+7/12*H43</f>
        <v>0</v>
      </c>
      <c r="I95" s="1153">
        <f t="shared" si="10"/>
        <v>0</v>
      </c>
      <c r="J95" s="1153">
        <f t="shared" si="10"/>
        <v>0</v>
      </c>
      <c r="K95" s="1153">
        <f t="shared" si="10"/>
        <v>0</v>
      </c>
      <c r="L95" s="1153">
        <f t="shared" si="10"/>
        <v>0</v>
      </c>
      <c r="M95" s="1129"/>
      <c r="N95" s="1129"/>
    </row>
    <row r="96" spans="2:14" s="1124" customFormat="1" x14ac:dyDescent="0.2">
      <c r="B96" s="1129"/>
      <c r="C96" s="1129"/>
      <c r="D96" s="1143" t="s">
        <v>68</v>
      </c>
      <c r="E96" s="1146"/>
      <c r="F96" s="1153">
        <v>0</v>
      </c>
      <c r="G96" s="1153"/>
      <c r="H96" s="1153">
        <f t="shared" si="10"/>
        <v>0</v>
      </c>
      <c r="I96" s="1153">
        <f t="shared" si="10"/>
        <v>0</v>
      </c>
      <c r="J96" s="1153">
        <f t="shared" si="10"/>
        <v>0</v>
      </c>
      <c r="K96" s="1153">
        <f t="shared" si="10"/>
        <v>0</v>
      </c>
      <c r="L96" s="1153">
        <f t="shared" si="10"/>
        <v>0</v>
      </c>
      <c r="M96" s="1129"/>
      <c r="N96" s="1129"/>
    </row>
    <row r="97" spans="2:14" s="1124" customFormat="1" x14ac:dyDescent="0.2">
      <c r="B97" s="1129"/>
      <c r="C97" s="1129"/>
      <c r="D97" s="1143"/>
      <c r="E97" s="1146"/>
      <c r="F97" s="1153"/>
      <c r="G97" s="1153"/>
      <c r="H97" s="1153"/>
      <c r="I97" s="1153"/>
      <c r="J97" s="1153"/>
      <c r="K97" s="1153"/>
      <c r="L97" s="1153"/>
      <c r="M97" s="1129"/>
      <c r="N97" s="1129"/>
    </row>
    <row r="98" spans="2:14" s="1124" customFormat="1" x14ac:dyDescent="0.2">
      <c r="B98" s="1140"/>
      <c r="C98" s="1140"/>
      <c r="D98" s="1150" t="s">
        <v>152</v>
      </c>
      <c r="E98" s="1140"/>
      <c r="F98" s="1151">
        <f t="shared" ref="F98:K98" si="11">F95-F96</f>
        <v>0</v>
      </c>
      <c r="G98" s="1151"/>
      <c r="H98" s="1151">
        <f t="shared" si="11"/>
        <v>0</v>
      </c>
      <c r="I98" s="1151">
        <f t="shared" si="11"/>
        <v>0</v>
      </c>
      <c r="J98" s="1151">
        <f t="shared" si="11"/>
        <v>0</v>
      </c>
      <c r="K98" s="1151">
        <f t="shared" si="11"/>
        <v>0</v>
      </c>
      <c r="L98" s="1151">
        <f>L95-L96</f>
        <v>0</v>
      </c>
      <c r="M98" s="1140"/>
      <c r="N98" s="1140"/>
    </row>
    <row r="99" spans="2:14" s="1124" customFormat="1" x14ac:dyDescent="0.2">
      <c r="B99" s="1129"/>
      <c r="C99" s="1129"/>
      <c r="D99" s="1143"/>
      <c r="E99" s="1146"/>
      <c r="F99" s="1153"/>
      <c r="G99" s="1153"/>
      <c r="H99" s="1153"/>
      <c r="I99" s="1153"/>
      <c r="J99" s="1153"/>
      <c r="K99" s="1153"/>
      <c r="L99" s="1153"/>
      <c r="M99" s="1129"/>
      <c r="N99" s="1129"/>
    </row>
    <row r="100" spans="2:14" s="1124" customFormat="1" x14ac:dyDescent="0.2">
      <c r="B100" s="1129"/>
      <c r="C100" s="1129"/>
      <c r="D100" s="1147"/>
      <c r="E100" s="1146"/>
      <c r="F100" s="1153"/>
      <c r="G100" s="1153"/>
      <c r="H100" s="1153"/>
      <c r="I100" s="1153"/>
      <c r="J100" s="1153"/>
      <c r="K100" s="1153"/>
      <c r="L100" s="1153"/>
      <c r="M100" s="1129"/>
      <c r="N100" s="1129"/>
    </row>
    <row r="101" spans="2:14" s="1124" customFormat="1" x14ac:dyDescent="0.2">
      <c r="B101" s="1129"/>
      <c r="C101" s="1129"/>
      <c r="D101" s="1143"/>
      <c r="E101" s="1146"/>
      <c r="F101" s="1153"/>
      <c r="G101" s="1153"/>
      <c r="H101" s="1153"/>
      <c r="I101" s="1153"/>
      <c r="J101" s="1153"/>
      <c r="K101" s="1153"/>
      <c r="L101" s="1153"/>
      <c r="M101" s="1129"/>
      <c r="N101" s="1129"/>
    </row>
    <row r="102" spans="2:14" s="1124" customFormat="1" x14ac:dyDescent="0.2">
      <c r="B102" s="1140"/>
      <c r="C102" s="1140"/>
      <c r="D102" s="1150" t="s">
        <v>153</v>
      </c>
      <c r="E102" s="1140"/>
      <c r="F102" s="1151" t="e">
        <f t="shared" ref="F102:L102" si="12">F89+F98</f>
        <v>#REF!</v>
      </c>
      <c r="G102" s="1151"/>
      <c r="H102" s="1151" t="e">
        <f t="shared" si="12"/>
        <v>#REF!</v>
      </c>
      <c r="I102" s="1151" t="e">
        <f t="shared" si="12"/>
        <v>#REF!</v>
      </c>
      <c r="J102" s="1151" t="e">
        <f t="shared" si="12"/>
        <v>#REF!</v>
      </c>
      <c r="K102" s="1151" t="e">
        <f t="shared" si="12"/>
        <v>#REF!</v>
      </c>
      <c r="L102" s="1151" t="e">
        <f t="shared" si="12"/>
        <v>#REF!</v>
      </c>
      <c r="M102" s="1140"/>
      <c r="N102" s="1140"/>
    </row>
    <row r="103" spans="2:14" s="1124" customFormat="1" x14ac:dyDescent="0.2">
      <c r="B103" s="1129"/>
      <c r="C103" s="1129"/>
      <c r="D103" s="1143"/>
      <c r="E103" s="1146"/>
      <c r="F103" s="1153"/>
      <c r="G103" s="1153"/>
      <c r="H103" s="1153"/>
      <c r="I103" s="1153"/>
      <c r="J103" s="1153"/>
      <c r="K103" s="1153"/>
      <c r="L103" s="1153"/>
      <c r="M103" s="1129"/>
      <c r="N103" s="1129"/>
    </row>
    <row r="104" spans="2:14" s="1124" customFormat="1" x14ac:dyDescent="0.2">
      <c r="B104" s="1129"/>
      <c r="C104" s="1129"/>
      <c r="D104" s="1154"/>
      <c r="E104" s="1129"/>
      <c r="F104" s="1151"/>
      <c r="G104" s="1151"/>
      <c r="H104" s="1151"/>
      <c r="I104" s="1151"/>
      <c r="J104" s="1151"/>
      <c r="K104" s="1151"/>
      <c r="L104" s="1151"/>
      <c r="M104" s="1129"/>
      <c r="N104" s="1129"/>
    </row>
    <row r="105" spans="2:14" s="1124" customFormat="1" x14ac:dyDescent="0.2">
      <c r="B105" s="1129"/>
      <c r="C105" s="1129"/>
      <c r="D105" s="1154"/>
      <c r="E105" s="1129"/>
      <c r="F105" s="1151"/>
      <c r="G105" s="1151"/>
      <c r="H105" s="1151"/>
      <c r="I105" s="1151"/>
      <c r="J105" s="1151"/>
      <c r="K105" s="1151"/>
      <c r="L105" s="1151"/>
      <c r="M105" s="1129"/>
      <c r="N105" s="1129"/>
    </row>
  </sheetData>
  <sheetProtection algorithmName="SHA-512" hashValue="sh6ZcYMImAN5I/Gu9q/X2GLTWstBRTg+JzlSwmR8diyW5/1PgiZWRxiu1zlmSosoSvVAqHS9fFkYM5NutK7vLg==" saltValue="yG9DPLkbGQWj6oETm+95/A==" spinCount="100000" sheet="1" objects="1" scenarios="1"/>
  <phoneticPr fontId="0" type="noConversion"/>
  <pageMargins left="0.74803149606299213" right="0.74803149606299213" top="0.98425196850393704" bottom="0.98425196850393704" header="0.51181102362204722" footer="0.51181102362204722"/>
  <pageSetup paperSize="9" scale="68" orientation="landscape" r:id="rId1"/>
  <headerFooter alignWithMargins="0">
    <oddHeader>&amp;L&amp;"Arial,Vet"&amp;9&amp;F&amp;R&amp;"Arial,Vet"&amp;9&amp;A</oddHeader>
    <oddFooter>&amp;L&amp;"Arial,Vet"&amp;9be.keizer@wxs.nl&amp;C&amp;"Arial,Vet"&amp;9pagina &amp;P&amp;R&amp;"Arial,Vet"&amp;9&amp;D</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U140"/>
  <sheetViews>
    <sheetView zoomScale="80" zoomScaleNormal="80" zoomScalePageLayoutView="90" workbookViewId="0">
      <selection activeCell="B2" sqref="B2"/>
    </sheetView>
  </sheetViews>
  <sheetFormatPr defaultRowHeight="12.75" x14ac:dyDescent="0.2"/>
  <cols>
    <col min="1" max="1" width="3.7109375" style="100" customWidth="1"/>
    <col min="2" max="3" width="2.7109375" style="100" customWidth="1"/>
    <col min="4" max="4" width="35.5703125" style="100" customWidth="1"/>
    <col min="5" max="5" width="12.5703125" style="100" customWidth="1"/>
    <col min="6" max="6" width="2.7109375" style="100" customWidth="1"/>
    <col min="7" max="12" width="16.5703125" style="102" customWidth="1"/>
    <col min="13" max="13" width="2.7109375" style="100" customWidth="1"/>
    <col min="14" max="14" width="11.42578125" style="320" customWidth="1"/>
    <col min="15" max="15" width="33.7109375" style="100" customWidth="1"/>
    <col min="16" max="16" width="2.5703125" style="100" customWidth="1"/>
    <col min="17" max="21" width="10.7109375" style="100" customWidth="1"/>
    <col min="22" max="22" width="2.7109375" style="100" customWidth="1"/>
    <col min="23" max="16384" width="9.140625" style="100"/>
  </cols>
  <sheetData>
    <row r="2" spans="2:17" x14ac:dyDescent="0.2">
      <c r="B2" s="65"/>
      <c r="C2" s="66"/>
      <c r="D2" s="66"/>
      <c r="E2" s="66"/>
      <c r="F2" s="66"/>
      <c r="G2" s="67"/>
      <c r="H2" s="67"/>
      <c r="I2" s="67"/>
      <c r="J2" s="67"/>
      <c r="K2" s="67"/>
      <c r="L2" s="67"/>
      <c r="M2" s="68"/>
    </row>
    <row r="3" spans="2:17" x14ac:dyDescent="0.2">
      <c r="B3" s="69"/>
      <c r="C3" s="5"/>
      <c r="D3" s="5"/>
      <c r="E3" s="5"/>
      <c r="F3" s="5"/>
      <c r="G3" s="63"/>
      <c r="H3" s="63"/>
      <c r="I3" s="63"/>
      <c r="J3" s="63"/>
      <c r="K3" s="63"/>
      <c r="L3" s="63"/>
      <c r="M3" s="70"/>
    </row>
    <row r="4" spans="2:17" s="152" customFormat="1" ht="18.75" x14ac:dyDescent="0.3">
      <c r="B4" s="366"/>
      <c r="C4" s="472" t="s">
        <v>25</v>
      </c>
      <c r="D4" s="157"/>
      <c r="E4" s="157"/>
      <c r="F4" s="157"/>
      <c r="G4" s="174"/>
      <c r="H4" s="174"/>
      <c r="I4" s="174"/>
      <c r="J4" s="367"/>
      <c r="K4" s="367"/>
      <c r="L4" s="367"/>
      <c r="M4" s="344"/>
      <c r="N4" s="360"/>
    </row>
    <row r="5" spans="2:17" ht="18.75" x14ac:dyDescent="0.3">
      <c r="B5" s="368"/>
      <c r="C5" s="679" t="str">
        <f>'geg ll'!C5</f>
        <v>Voorbeeld SWV VO Alkmaar</v>
      </c>
      <c r="D5" s="5"/>
      <c r="E5" s="5"/>
      <c r="F5" s="5"/>
      <c r="G5" s="63"/>
      <c r="H5" s="63"/>
      <c r="I5" s="63"/>
      <c r="J5" s="109"/>
      <c r="K5" s="109"/>
      <c r="L5" s="109"/>
      <c r="M5" s="70"/>
    </row>
    <row r="6" spans="2:17" x14ac:dyDescent="0.2">
      <c r="B6" s="28"/>
      <c r="C6" s="369"/>
      <c r="D6" s="5"/>
      <c r="E6" s="5"/>
      <c r="F6" s="5"/>
      <c r="G6" s="63"/>
      <c r="H6" s="63"/>
      <c r="I6" s="63"/>
      <c r="J6" s="63"/>
      <c r="K6" s="63"/>
      <c r="L6" s="63"/>
      <c r="M6" s="70"/>
    </row>
    <row r="7" spans="2:17" x14ac:dyDescent="0.2">
      <c r="B7" s="28"/>
      <c r="C7" s="369"/>
      <c r="D7" s="5"/>
      <c r="E7" s="5"/>
      <c r="F7" s="5"/>
      <c r="G7" s="63"/>
      <c r="H7" s="370"/>
      <c r="I7" s="63"/>
      <c r="J7" s="63"/>
      <c r="K7" s="63"/>
      <c r="L7" s="63"/>
      <c r="M7" s="70"/>
    </row>
    <row r="8" spans="2:17" s="165" customFormat="1" x14ac:dyDescent="0.2">
      <c r="B8" s="371"/>
      <c r="C8" s="372"/>
      <c r="D8" s="373"/>
      <c r="E8" s="373"/>
      <c r="F8" s="167"/>
      <c r="G8" s="457">
        <v>2022</v>
      </c>
      <c r="H8" s="457">
        <f>tab!C4</f>
        <v>2023</v>
      </c>
      <c r="I8" s="457">
        <f>tab!D4</f>
        <v>2024</v>
      </c>
      <c r="J8" s="457">
        <f>tab!E4</f>
        <v>2025</v>
      </c>
      <c r="K8" s="457">
        <f>tab!F4</f>
        <v>2026</v>
      </c>
      <c r="L8" s="457">
        <f>tab!G4</f>
        <v>2027</v>
      </c>
      <c r="M8" s="168"/>
      <c r="N8" s="361"/>
    </row>
    <row r="9" spans="2:17" x14ac:dyDescent="0.2">
      <c r="B9" s="72"/>
      <c r="C9" s="51"/>
      <c r="D9" s="50"/>
      <c r="E9" s="50"/>
      <c r="F9" s="5"/>
      <c r="G9" s="48"/>
      <c r="H9" s="48"/>
      <c r="I9" s="48"/>
      <c r="J9" s="48"/>
      <c r="K9" s="48"/>
      <c r="L9" s="48"/>
      <c r="M9" s="70"/>
    </row>
    <row r="10" spans="2:17" x14ac:dyDescent="0.2">
      <c r="B10" s="72"/>
      <c r="C10" s="153"/>
      <c r="D10" s="36"/>
      <c r="E10" s="36"/>
      <c r="F10" s="149"/>
      <c r="G10" s="59"/>
      <c r="H10" s="59"/>
      <c r="I10" s="59"/>
      <c r="J10" s="59"/>
      <c r="K10" s="59"/>
      <c r="L10" s="59"/>
      <c r="M10" s="70"/>
    </row>
    <row r="11" spans="2:17" x14ac:dyDescent="0.2">
      <c r="B11" s="69"/>
      <c r="C11" s="149"/>
      <c r="D11" s="462" t="s">
        <v>131</v>
      </c>
      <c r="E11" s="147"/>
      <c r="F11" s="149"/>
      <c r="G11" s="59"/>
      <c r="H11" s="59"/>
      <c r="I11" s="59"/>
      <c r="J11" s="59"/>
      <c r="K11" s="59"/>
      <c r="L11" s="59"/>
      <c r="M11" s="70"/>
    </row>
    <row r="12" spans="2:17" x14ac:dyDescent="0.2">
      <c r="B12" s="69"/>
      <c r="C12" s="149"/>
      <c r="D12" s="149"/>
      <c r="E12" s="149"/>
      <c r="F12" s="149"/>
      <c r="G12" s="149"/>
      <c r="H12" s="149"/>
      <c r="I12" s="149"/>
      <c r="J12" s="149"/>
      <c r="K12" s="149"/>
      <c r="L12" s="149"/>
      <c r="M12" s="112"/>
      <c r="N12" s="362"/>
      <c r="O12" s="102"/>
      <c r="P12" s="102"/>
      <c r="Q12" s="102"/>
    </row>
    <row r="13" spans="2:17" x14ac:dyDescent="0.2">
      <c r="B13" s="69"/>
      <c r="C13" s="149"/>
      <c r="D13" s="462" t="s">
        <v>69</v>
      </c>
      <c r="E13" s="147"/>
      <c r="F13" s="149"/>
      <c r="G13" s="149"/>
      <c r="H13" s="149"/>
      <c r="I13" s="149"/>
      <c r="J13" s="149"/>
      <c r="K13" s="149"/>
      <c r="L13" s="149"/>
      <c r="M13" s="70"/>
    </row>
    <row r="14" spans="2:17" x14ac:dyDescent="0.2">
      <c r="B14" s="69"/>
      <c r="C14" s="149"/>
      <c r="D14" s="149" t="s">
        <v>209</v>
      </c>
      <c r="E14" s="149"/>
      <c r="F14" s="149"/>
      <c r="G14" s="60">
        <v>0</v>
      </c>
      <c r="H14" s="60">
        <f t="shared" ref="H14:L14" si="0">+G14</f>
        <v>0</v>
      </c>
      <c r="I14" s="60">
        <f t="shared" si="0"/>
        <v>0</v>
      </c>
      <c r="J14" s="60">
        <f t="shared" si="0"/>
        <v>0</v>
      </c>
      <c r="K14" s="60">
        <f t="shared" si="0"/>
        <v>0</v>
      </c>
      <c r="L14" s="992">
        <f t="shared" si="0"/>
        <v>0</v>
      </c>
      <c r="M14" s="70"/>
    </row>
    <row r="15" spans="2:17" x14ac:dyDescent="0.2">
      <c r="B15" s="69"/>
      <c r="C15" s="149"/>
      <c r="D15" s="149" t="s">
        <v>210</v>
      </c>
      <c r="E15" s="149"/>
      <c r="F15" s="149"/>
      <c r="G15" s="995">
        <v>0</v>
      </c>
      <c r="H15" s="429">
        <f>+act!F16</f>
        <v>46025</v>
      </c>
      <c r="I15" s="429">
        <f>+act!G13</f>
        <v>32150</v>
      </c>
      <c r="J15" s="429">
        <f>+act!H13</f>
        <v>18275</v>
      </c>
      <c r="K15" s="429">
        <f>+act!I13</f>
        <v>4400</v>
      </c>
      <c r="L15" s="429">
        <f>+act!J13</f>
        <v>46025</v>
      </c>
      <c r="M15" s="70"/>
    </row>
    <row r="16" spans="2:17" x14ac:dyDescent="0.2">
      <c r="B16" s="69"/>
      <c r="C16" s="149"/>
      <c r="D16" s="149" t="s">
        <v>211</v>
      </c>
      <c r="E16" s="149"/>
      <c r="F16" s="149"/>
      <c r="G16" s="60">
        <v>0</v>
      </c>
      <c r="H16" s="60">
        <f t="shared" ref="H16:L16" si="1">+G16</f>
        <v>0</v>
      </c>
      <c r="I16" s="60">
        <f t="shared" si="1"/>
        <v>0</v>
      </c>
      <c r="J16" s="60">
        <f t="shared" si="1"/>
        <v>0</v>
      </c>
      <c r="K16" s="60">
        <f t="shared" si="1"/>
        <v>0</v>
      </c>
      <c r="L16" s="992">
        <f t="shared" si="1"/>
        <v>0</v>
      </c>
      <c r="M16" s="70"/>
    </row>
    <row r="17" spans="2:21" x14ac:dyDescent="0.2">
      <c r="B17" s="69"/>
      <c r="C17" s="149"/>
      <c r="D17" s="343"/>
      <c r="E17" s="343"/>
      <c r="F17" s="149"/>
      <c r="G17" s="441">
        <f t="shared" ref="G17:L17" si="2">SUM(G14:G16)</f>
        <v>0</v>
      </c>
      <c r="H17" s="441">
        <f t="shared" si="2"/>
        <v>46025</v>
      </c>
      <c r="I17" s="441">
        <f t="shared" si="2"/>
        <v>32150</v>
      </c>
      <c r="J17" s="441">
        <f t="shared" si="2"/>
        <v>18275</v>
      </c>
      <c r="K17" s="441">
        <f t="shared" si="2"/>
        <v>4400</v>
      </c>
      <c r="L17" s="441">
        <f t="shared" si="2"/>
        <v>46025</v>
      </c>
      <c r="M17" s="70"/>
    </row>
    <row r="18" spans="2:21" x14ac:dyDescent="0.2">
      <c r="B18" s="69"/>
      <c r="C18" s="149"/>
      <c r="D18" s="462" t="s">
        <v>73</v>
      </c>
      <c r="E18" s="147"/>
      <c r="F18" s="149"/>
      <c r="G18" s="173"/>
      <c r="H18" s="173"/>
      <c r="I18" s="173"/>
      <c r="J18" s="173"/>
      <c r="K18" s="173"/>
      <c r="L18" s="173"/>
      <c r="M18" s="70"/>
    </row>
    <row r="19" spans="2:21" x14ac:dyDescent="0.2">
      <c r="B19" s="69"/>
      <c r="C19" s="149"/>
      <c r="D19" s="149" t="s">
        <v>212</v>
      </c>
      <c r="E19" s="149"/>
      <c r="F19" s="149"/>
      <c r="G19" s="60">
        <v>0</v>
      </c>
      <c r="H19" s="60">
        <f t="shared" ref="H19:L19" si="3">+G19</f>
        <v>0</v>
      </c>
      <c r="I19" s="60">
        <f t="shared" si="3"/>
        <v>0</v>
      </c>
      <c r="J19" s="60">
        <f t="shared" si="3"/>
        <v>0</v>
      </c>
      <c r="K19" s="60">
        <f t="shared" si="3"/>
        <v>0</v>
      </c>
      <c r="L19" s="992">
        <f t="shared" si="3"/>
        <v>0</v>
      </c>
      <c r="M19" s="70"/>
    </row>
    <row r="20" spans="2:21" x14ac:dyDescent="0.2">
      <c r="B20" s="69"/>
      <c r="C20" s="149"/>
      <c r="D20" s="149" t="s">
        <v>213</v>
      </c>
      <c r="E20" s="149"/>
      <c r="F20" s="149"/>
      <c r="G20" s="60">
        <v>0</v>
      </c>
      <c r="H20" s="60">
        <f t="shared" ref="H20:L21" si="4">+G20</f>
        <v>0</v>
      </c>
      <c r="I20" s="60">
        <f t="shared" si="4"/>
        <v>0</v>
      </c>
      <c r="J20" s="60">
        <f t="shared" si="4"/>
        <v>0</v>
      </c>
      <c r="K20" s="60">
        <f t="shared" si="4"/>
        <v>0</v>
      </c>
      <c r="L20" s="992">
        <f t="shared" si="4"/>
        <v>0</v>
      </c>
      <c r="M20" s="70"/>
    </row>
    <row r="21" spans="2:21" x14ac:dyDescent="0.2">
      <c r="B21" s="69"/>
      <c r="C21" s="149"/>
      <c r="D21" s="149" t="s">
        <v>214</v>
      </c>
      <c r="E21" s="149"/>
      <c r="F21" s="149"/>
      <c r="G21" s="60">
        <v>0</v>
      </c>
      <c r="H21" s="60">
        <f t="shared" si="4"/>
        <v>0</v>
      </c>
      <c r="I21" s="60">
        <f t="shared" si="4"/>
        <v>0</v>
      </c>
      <c r="J21" s="60">
        <f t="shared" si="4"/>
        <v>0</v>
      </c>
      <c r="K21" s="60">
        <f t="shared" si="4"/>
        <v>0</v>
      </c>
      <c r="L21" s="992">
        <f t="shared" si="4"/>
        <v>0</v>
      </c>
      <c r="M21" s="70"/>
    </row>
    <row r="22" spans="2:21" x14ac:dyDescent="0.2">
      <c r="B22" s="69"/>
      <c r="C22" s="149"/>
      <c r="D22" s="149" t="s">
        <v>215</v>
      </c>
      <c r="E22" s="149"/>
      <c r="F22" s="149"/>
      <c r="G22" s="995">
        <f>G56-(G17+SUM(G19:G21))</f>
        <v>0</v>
      </c>
      <c r="H22" s="61">
        <f t="shared" ref="H22:L22" si="5">H56-(H17+(SUM(H19:H21)))</f>
        <v>10898124.787743192</v>
      </c>
      <c r="I22" s="61">
        <f t="shared" si="5"/>
        <v>21856149.575486384</v>
      </c>
      <c r="J22" s="61">
        <f t="shared" si="5"/>
        <v>32813063.313229576</v>
      </c>
      <c r="K22" s="61">
        <f t="shared" si="5"/>
        <v>43769532.630972765</v>
      </c>
      <c r="L22" s="61">
        <f t="shared" si="5"/>
        <v>54672057.418715961</v>
      </c>
      <c r="M22" s="70"/>
    </row>
    <row r="23" spans="2:21" x14ac:dyDescent="0.2">
      <c r="B23" s="69"/>
      <c r="C23" s="149"/>
      <c r="D23" s="343"/>
      <c r="E23" s="343"/>
      <c r="F23" s="149"/>
      <c r="G23" s="441">
        <f t="shared" ref="G23:L23" si="6">SUM(G19:G22)</f>
        <v>0</v>
      </c>
      <c r="H23" s="441">
        <f t="shared" si="6"/>
        <v>10898124.787743192</v>
      </c>
      <c r="I23" s="441">
        <f t="shared" si="6"/>
        <v>21856149.575486384</v>
      </c>
      <c r="J23" s="441">
        <f t="shared" si="6"/>
        <v>32813063.313229576</v>
      </c>
      <c r="K23" s="441">
        <f t="shared" si="6"/>
        <v>43769532.630972765</v>
      </c>
      <c r="L23" s="441">
        <f t="shared" si="6"/>
        <v>54672057.418715961</v>
      </c>
      <c r="M23" s="70"/>
    </row>
    <row r="24" spans="2:21" x14ac:dyDescent="0.2">
      <c r="B24" s="69"/>
      <c r="C24" s="149"/>
      <c r="D24" s="149"/>
      <c r="E24" s="149"/>
      <c r="F24" s="149"/>
      <c r="G24" s="149"/>
      <c r="H24" s="149"/>
      <c r="I24" s="149"/>
      <c r="J24" s="149"/>
      <c r="K24" s="149"/>
      <c r="L24" s="149"/>
      <c r="M24" s="70"/>
    </row>
    <row r="25" spans="2:21" x14ac:dyDescent="0.2">
      <c r="B25" s="69"/>
      <c r="C25" s="149"/>
      <c r="D25" s="343" t="s">
        <v>179</v>
      </c>
      <c r="E25" s="343"/>
      <c r="F25" s="382"/>
      <c r="G25" s="426">
        <f t="shared" ref="G25:L25" si="7">G17+G23</f>
        <v>0</v>
      </c>
      <c r="H25" s="426">
        <f t="shared" si="7"/>
        <v>10944149.787743192</v>
      </c>
      <c r="I25" s="426">
        <f t="shared" si="7"/>
        <v>21888299.575486384</v>
      </c>
      <c r="J25" s="426">
        <f t="shared" si="7"/>
        <v>32831338.313229576</v>
      </c>
      <c r="K25" s="426">
        <f t="shared" si="7"/>
        <v>43773932.630972765</v>
      </c>
      <c r="L25" s="426">
        <f t="shared" si="7"/>
        <v>54718082.418715961</v>
      </c>
      <c r="M25" s="70"/>
    </row>
    <row r="26" spans="2:21" x14ac:dyDescent="0.2">
      <c r="B26" s="69"/>
      <c r="C26" s="149"/>
      <c r="D26" s="149"/>
      <c r="E26" s="149"/>
      <c r="F26" s="382"/>
      <c r="G26" s="64"/>
      <c r="H26" s="64"/>
      <c r="I26" s="64"/>
      <c r="J26" s="64"/>
      <c r="K26" s="64"/>
      <c r="L26" s="64"/>
      <c r="M26" s="70"/>
      <c r="O26" s="315"/>
      <c r="Q26" s="363"/>
      <c r="R26" s="363"/>
      <c r="S26" s="363"/>
      <c r="T26" s="363"/>
      <c r="U26" s="363"/>
    </row>
    <row r="27" spans="2:21" x14ac:dyDescent="0.2">
      <c r="B27" s="69"/>
      <c r="C27" s="5"/>
      <c r="D27" s="5"/>
      <c r="E27" s="5"/>
      <c r="F27" s="375"/>
      <c r="G27" s="63"/>
      <c r="H27" s="63"/>
      <c r="I27" s="63"/>
      <c r="J27" s="63"/>
      <c r="K27" s="63"/>
      <c r="L27" s="63"/>
      <c r="M27" s="70"/>
      <c r="O27" s="315"/>
      <c r="Q27" s="363"/>
      <c r="R27" s="363"/>
      <c r="S27" s="363"/>
      <c r="T27" s="363"/>
      <c r="U27" s="363"/>
    </row>
    <row r="28" spans="2:21" x14ac:dyDescent="0.2">
      <c r="B28" s="69"/>
      <c r="C28" s="149"/>
      <c r="D28" s="149"/>
      <c r="E28" s="149"/>
      <c r="F28" s="382"/>
      <c r="G28" s="382"/>
      <c r="H28" s="382"/>
      <c r="I28" s="382"/>
      <c r="J28" s="382"/>
      <c r="K28" s="382"/>
      <c r="L28" s="382"/>
      <c r="M28" s="70"/>
      <c r="O28" s="315"/>
      <c r="Q28" s="363"/>
      <c r="R28" s="363"/>
      <c r="S28" s="363"/>
      <c r="T28" s="363"/>
      <c r="U28" s="363"/>
    </row>
    <row r="29" spans="2:21" x14ac:dyDescent="0.2">
      <c r="B29" s="69"/>
      <c r="C29" s="149"/>
      <c r="D29" s="462" t="s">
        <v>178</v>
      </c>
      <c r="E29" s="147"/>
      <c r="F29" s="149"/>
      <c r="G29" s="64"/>
      <c r="H29" s="64"/>
      <c r="I29" s="64"/>
      <c r="J29" s="64"/>
      <c r="K29" s="64"/>
      <c r="L29" s="64"/>
      <c r="M29" s="70"/>
      <c r="O29" s="315"/>
      <c r="Q29" s="363"/>
      <c r="R29" s="363"/>
      <c r="S29" s="363"/>
      <c r="T29" s="363"/>
      <c r="U29" s="363"/>
    </row>
    <row r="30" spans="2:21" x14ac:dyDescent="0.2">
      <c r="B30" s="69"/>
      <c r="C30" s="148"/>
      <c r="D30" s="467"/>
      <c r="E30" s="149"/>
      <c r="F30" s="382"/>
      <c r="G30" s="64"/>
      <c r="H30" s="64"/>
      <c r="I30" s="64"/>
      <c r="J30" s="64"/>
      <c r="K30" s="64"/>
      <c r="L30" s="64"/>
      <c r="M30" s="70"/>
      <c r="O30" s="315"/>
      <c r="Q30" s="363"/>
      <c r="R30" s="363"/>
      <c r="S30" s="363"/>
      <c r="T30" s="363"/>
      <c r="U30" s="363"/>
    </row>
    <row r="31" spans="2:21" x14ac:dyDescent="0.2">
      <c r="B31" s="69"/>
      <c r="C31" s="149"/>
      <c r="D31" s="462" t="s">
        <v>216</v>
      </c>
      <c r="E31" s="147"/>
      <c r="F31" s="149"/>
      <c r="G31" s="64"/>
      <c r="H31" s="64"/>
      <c r="I31" s="64"/>
      <c r="J31" s="64"/>
      <c r="K31" s="64"/>
      <c r="L31" s="64"/>
      <c r="M31" s="70"/>
      <c r="O31" s="315"/>
      <c r="Q31" s="363"/>
      <c r="R31" s="363"/>
      <c r="S31" s="363"/>
      <c r="T31" s="363"/>
      <c r="U31" s="363"/>
    </row>
    <row r="32" spans="2:21" x14ac:dyDescent="0.2">
      <c r="B32" s="69"/>
      <c r="C32" s="149"/>
      <c r="D32" s="149" t="s">
        <v>180</v>
      </c>
      <c r="E32" s="149"/>
      <c r="F32" s="149"/>
      <c r="G32" s="995">
        <f>-SUM(bal!G33:G35)</f>
        <v>0</v>
      </c>
      <c r="H32" s="995">
        <f>G36+begr!H50-SUM(bal!H33:H35)</f>
        <v>10944149.787743192</v>
      </c>
      <c r="I32" s="995">
        <f>H36+begr!I50-SUM(bal!I33:I35)</f>
        <v>21888299.575486384</v>
      </c>
      <c r="J32" s="995">
        <f>I36+begr!J50-SUM(bal!J33:J35)</f>
        <v>32832449.363229576</v>
      </c>
      <c r="K32" s="995">
        <f>J36+begr!K50-SUM(bal!K33:K35)</f>
        <v>43776599.150972769</v>
      </c>
      <c r="L32" s="995">
        <f>K36+begr!L50-SUM(bal!L33:L35)</f>
        <v>54720748.938715965</v>
      </c>
      <c r="M32" s="70"/>
      <c r="O32" s="315"/>
      <c r="Q32" s="363"/>
      <c r="R32" s="363"/>
      <c r="S32" s="363"/>
      <c r="T32" s="363"/>
      <c r="U32" s="363"/>
    </row>
    <row r="33" spans="2:21" x14ac:dyDescent="0.2">
      <c r="B33" s="69"/>
      <c r="C33" s="149"/>
      <c r="D33" s="149" t="s">
        <v>181</v>
      </c>
      <c r="E33" s="149"/>
      <c r="F33" s="149"/>
      <c r="G33" s="60">
        <v>0</v>
      </c>
      <c r="H33" s="60">
        <f t="shared" ref="H33:L33" si="8">+G33</f>
        <v>0</v>
      </c>
      <c r="I33" s="60">
        <f t="shared" si="8"/>
        <v>0</v>
      </c>
      <c r="J33" s="60">
        <f t="shared" si="8"/>
        <v>0</v>
      </c>
      <c r="K33" s="60">
        <f t="shared" si="8"/>
        <v>0</v>
      </c>
      <c r="L33" s="992">
        <f t="shared" si="8"/>
        <v>0</v>
      </c>
      <c r="M33" s="70"/>
      <c r="O33" s="315"/>
      <c r="Q33" s="363"/>
      <c r="R33" s="363"/>
      <c r="S33" s="363"/>
      <c r="T33" s="363"/>
      <c r="U33" s="363"/>
    </row>
    <row r="34" spans="2:21" x14ac:dyDescent="0.2">
      <c r="B34" s="69"/>
      <c r="C34" s="149"/>
      <c r="D34" s="149" t="s">
        <v>182</v>
      </c>
      <c r="E34" s="149"/>
      <c r="F34" s="149"/>
      <c r="G34" s="60">
        <v>0</v>
      </c>
      <c r="H34" s="60">
        <f t="shared" ref="H34:L35" si="9">+G34</f>
        <v>0</v>
      </c>
      <c r="I34" s="60">
        <f t="shared" si="9"/>
        <v>0</v>
      </c>
      <c r="J34" s="60">
        <f t="shared" si="9"/>
        <v>0</v>
      </c>
      <c r="K34" s="60">
        <f t="shared" si="9"/>
        <v>0</v>
      </c>
      <c r="L34" s="992">
        <f t="shared" si="9"/>
        <v>0</v>
      </c>
      <c r="M34" s="70"/>
      <c r="O34" s="315"/>
      <c r="Q34" s="363"/>
      <c r="R34" s="363"/>
      <c r="S34" s="363"/>
      <c r="T34" s="363"/>
      <c r="U34" s="363"/>
    </row>
    <row r="35" spans="2:21" x14ac:dyDescent="0.2">
      <c r="B35" s="69"/>
      <c r="C35" s="149"/>
      <c r="D35" s="149" t="s">
        <v>183</v>
      </c>
      <c r="E35" s="149"/>
      <c r="F35" s="149"/>
      <c r="G35" s="60">
        <v>0</v>
      </c>
      <c r="H35" s="60">
        <f t="shared" si="9"/>
        <v>0</v>
      </c>
      <c r="I35" s="60">
        <f t="shared" si="9"/>
        <v>0</v>
      </c>
      <c r="J35" s="60">
        <f t="shared" si="9"/>
        <v>0</v>
      </c>
      <c r="K35" s="60">
        <f t="shared" si="9"/>
        <v>0</v>
      </c>
      <c r="L35" s="992">
        <f t="shared" si="9"/>
        <v>0</v>
      </c>
      <c r="M35" s="70"/>
      <c r="O35" s="315"/>
      <c r="Q35" s="363"/>
      <c r="R35" s="363"/>
      <c r="S35" s="363"/>
      <c r="T35" s="363"/>
      <c r="U35" s="363"/>
    </row>
    <row r="36" spans="2:21" x14ac:dyDescent="0.2">
      <c r="B36" s="69"/>
      <c r="C36" s="149"/>
      <c r="D36" s="153"/>
      <c r="E36" s="153"/>
      <c r="F36" s="149"/>
      <c r="G36" s="441">
        <f t="shared" ref="G36:L36" si="10">SUM(G32:G35)</f>
        <v>0</v>
      </c>
      <c r="H36" s="441">
        <f t="shared" si="10"/>
        <v>10944149.787743192</v>
      </c>
      <c r="I36" s="441">
        <f t="shared" si="10"/>
        <v>21888299.575486384</v>
      </c>
      <c r="J36" s="441">
        <f t="shared" si="10"/>
        <v>32832449.363229576</v>
      </c>
      <c r="K36" s="441">
        <f t="shared" si="10"/>
        <v>43776599.150972769</v>
      </c>
      <c r="L36" s="441">
        <f t="shared" si="10"/>
        <v>54720748.938715965</v>
      </c>
      <c r="M36" s="70"/>
      <c r="O36" s="315"/>
      <c r="Q36" s="363"/>
      <c r="R36" s="363"/>
      <c r="S36" s="363"/>
      <c r="T36" s="363"/>
      <c r="U36" s="363"/>
    </row>
    <row r="37" spans="2:21" x14ac:dyDescent="0.2">
      <c r="B37" s="69"/>
      <c r="C37" s="149"/>
      <c r="D37" s="462" t="s">
        <v>217</v>
      </c>
      <c r="E37" s="147"/>
      <c r="F37" s="149"/>
      <c r="G37" s="149"/>
      <c r="H37" s="149"/>
      <c r="I37" s="149"/>
      <c r="J37" s="149"/>
      <c r="K37" s="149"/>
      <c r="L37" s="149"/>
      <c r="M37" s="70"/>
      <c r="O37" s="315"/>
      <c r="Q37" s="363"/>
      <c r="R37" s="363"/>
      <c r="S37" s="363"/>
      <c r="T37" s="363"/>
      <c r="U37" s="363"/>
    </row>
    <row r="38" spans="2:21" x14ac:dyDescent="0.2">
      <c r="B38" s="69"/>
      <c r="C38" s="149"/>
      <c r="D38" s="149" t="s">
        <v>194</v>
      </c>
      <c r="E38" s="149"/>
      <c r="F38" s="149"/>
      <c r="G38" s="60">
        <v>0</v>
      </c>
      <c r="H38" s="60">
        <f t="shared" ref="H38:L38" si="11">+G38</f>
        <v>0</v>
      </c>
      <c r="I38" s="60">
        <f t="shared" si="11"/>
        <v>0</v>
      </c>
      <c r="J38" s="60">
        <f t="shared" si="11"/>
        <v>0</v>
      </c>
      <c r="K38" s="60">
        <f t="shared" si="11"/>
        <v>0</v>
      </c>
      <c r="L38" s="992">
        <f t="shared" si="11"/>
        <v>0</v>
      </c>
      <c r="M38" s="70"/>
      <c r="O38" s="315"/>
      <c r="Q38" s="363"/>
      <c r="R38" s="363"/>
      <c r="S38" s="363"/>
      <c r="T38" s="363"/>
      <c r="U38" s="363"/>
    </row>
    <row r="39" spans="2:21" x14ac:dyDescent="0.2">
      <c r="B39" s="69"/>
      <c r="C39" s="149"/>
      <c r="D39" s="149" t="s">
        <v>190</v>
      </c>
      <c r="E39" s="149"/>
      <c r="F39" s="149"/>
      <c r="G39" s="60">
        <v>0</v>
      </c>
      <c r="H39" s="997">
        <f>+G39+bekost!I117+bekost!I137-(7/12*'sal SWV'!$AL35+5/12*'sal SWV'!AL68)</f>
        <v>0</v>
      </c>
      <c r="I39" s="997">
        <f>+H39+bekost!J117+bekost!J137-(7/12*'sal SWV'!AL68+5/12*'sal SWV'!AL100)</f>
        <v>0</v>
      </c>
      <c r="J39" s="997">
        <f>+I39+bekost!K117+bekost!K138-(7/12*'sal SWV'!AL100+5/12*'sal SWV'!AL132)</f>
        <v>-1111.05</v>
      </c>
      <c r="K39" s="997">
        <f>+J39+bekost!L117+bekost!L138-(7/12*'sal SWV'!AL132+5/12*'sal SWV'!$AL164)</f>
        <v>-2666.52</v>
      </c>
      <c r="L39" s="997">
        <f>+K39+bekost!M117+bekost!M138-(7/12*'sal SWV'!$AL164+5/12*'sal SWV'!$AL196)</f>
        <v>-2666.52</v>
      </c>
      <c r="M39" s="70"/>
      <c r="O39" s="315"/>
      <c r="Q39" s="363"/>
      <c r="R39" s="363"/>
      <c r="S39" s="363"/>
      <c r="T39" s="363"/>
      <c r="U39" s="363"/>
    </row>
    <row r="40" spans="2:21" x14ac:dyDescent="0.2">
      <c r="B40" s="69"/>
      <c r="C40" s="149"/>
      <c r="D40" s="149" t="s">
        <v>218</v>
      </c>
      <c r="E40" s="149"/>
      <c r="F40" s="149"/>
      <c r="G40" s="60">
        <v>0</v>
      </c>
      <c r="H40" s="60">
        <f t="shared" ref="H40:L40" si="12">G40</f>
        <v>0</v>
      </c>
      <c r="I40" s="60">
        <f t="shared" si="12"/>
        <v>0</v>
      </c>
      <c r="J40" s="60">
        <f t="shared" si="12"/>
        <v>0</v>
      </c>
      <c r="K40" s="60">
        <f t="shared" si="12"/>
        <v>0</v>
      </c>
      <c r="L40" s="992">
        <f t="shared" si="12"/>
        <v>0</v>
      </c>
      <c r="M40" s="70"/>
      <c r="O40" s="315"/>
      <c r="Q40" s="363"/>
      <c r="R40" s="363"/>
      <c r="S40" s="363"/>
      <c r="T40" s="363"/>
      <c r="U40" s="363"/>
    </row>
    <row r="41" spans="2:21" x14ac:dyDescent="0.2">
      <c r="B41" s="69"/>
      <c r="C41" s="149"/>
      <c r="D41" s="153"/>
      <c r="E41" s="153"/>
      <c r="F41" s="149"/>
      <c r="G41" s="441">
        <f t="shared" ref="G41:L41" si="13">SUM(G38:G40)</f>
        <v>0</v>
      </c>
      <c r="H41" s="441">
        <f t="shared" si="13"/>
        <v>0</v>
      </c>
      <c r="I41" s="441">
        <f t="shared" si="13"/>
        <v>0</v>
      </c>
      <c r="J41" s="441">
        <f t="shared" si="13"/>
        <v>-1111.05</v>
      </c>
      <c r="K41" s="441">
        <f t="shared" si="13"/>
        <v>-2666.52</v>
      </c>
      <c r="L41" s="441">
        <f t="shared" si="13"/>
        <v>-2666.52</v>
      </c>
      <c r="M41" s="70"/>
      <c r="O41" s="315"/>
      <c r="Q41" s="363"/>
      <c r="R41" s="363"/>
      <c r="S41" s="363"/>
      <c r="T41" s="363"/>
      <c r="U41" s="363"/>
    </row>
    <row r="42" spans="2:21" x14ac:dyDescent="0.2">
      <c r="B42" s="69"/>
      <c r="C42" s="149"/>
      <c r="D42" s="462" t="s">
        <v>219</v>
      </c>
      <c r="E42" s="147"/>
      <c r="F42" s="149"/>
      <c r="G42" s="173"/>
      <c r="H42" s="173"/>
      <c r="I42" s="173"/>
      <c r="J42" s="173"/>
      <c r="K42" s="173"/>
      <c r="L42" s="173"/>
      <c r="M42" s="70"/>
      <c r="O42" s="315"/>
      <c r="Q42" s="363"/>
      <c r="R42" s="363"/>
      <c r="S42" s="363"/>
      <c r="T42" s="363"/>
      <c r="U42" s="363"/>
    </row>
    <row r="43" spans="2:21" x14ac:dyDescent="0.2">
      <c r="B43" s="69"/>
      <c r="C43" s="149"/>
      <c r="D43" s="149" t="s">
        <v>156</v>
      </c>
      <c r="E43" s="149"/>
      <c r="F43" s="149"/>
      <c r="G43" s="60">
        <v>0</v>
      </c>
      <c r="H43" s="60">
        <f t="shared" ref="H43:L44" si="14">+G43</f>
        <v>0</v>
      </c>
      <c r="I43" s="60">
        <f t="shared" si="14"/>
        <v>0</v>
      </c>
      <c r="J43" s="60">
        <f t="shared" si="14"/>
        <v>0</v>
      </c>
      <c r="K43" s="60">
        <f t="shared" si="14"/>
        <v>0</v>
      </c>
      <c r="L43" s="992">
        <f t="shared" si="14"/>
        <v>0</v>
      </c>
      <c r="M43" s="70"/>
      <c r="O43" s="315"/>
      <c r="Q43" s="363"/>
      <c r="R43" s="363"/>
      <c r="S43" s="363"/>
      <c r="T43" s="363"/>
      <c r="U43" s="363"/>
    </row>
    <row r="44" spans="2:21" x14ac:dyDescent="0.2">
      <c r="B44" s="69"/>
      <c r="C44" s="149"/>
      <c r="D44" s="149" t="s">
        <v>157</v>
      </c>
      <c r="E44" s="149"/>
      <c r="F44" s="149"/>
      <c r="G44" s="60">
        <v>0</v>
      </c>
      <c r="H44" s="60">
        <f t="shared" si="14"/>
        <v>0</v>
      </c>
      <c r="I44" s="60">
        <f t="shared" si="14"/>
        <v>0</v>
      </c>
      <c r="J44" s="60">
        <f t="shared" si="14"/>
        <v>0</v>
      </c>
      <c r="K44" s="60">
        <f t="shared" si="14"/>
        <v>0</v>
      </c>
      <c r="L44" s="992">
        <f t="shared" si="14"/>
        <v>0</v>
      </c>
      <c r="M44" s="70"/>
      <c r="O44" s="315"/>
      <c r="Q44" s="363"/>
      <c r="R44" s="363"/>
      <c r="S44" s="363"/>
      <c r="T44" s="363"/>
      <c r="U44" s="363"/>
    </row>
    <row r="45" spans="2:21" x14ac:dyDescent="0.2">
      <c r="B45" s="69"/>
      <c r="C45" s="149"/>
      <c r="D45" s="343"/>
      <c r="E45" s="343"/>
      <c r="F45" s="149"/>
      <c r="G45" s="441">
        <f t="shared" ref="G45:L45" si="15">SUM(G43:G44)</f>
        <v>0</v>
      </c>
      <c r="H45" s="441">
        <f t="shared" si="15"/>
        <v>0</v>
      </c>
      <c r="I45" s="441">
        <f t="shared" si="15"/>
        <v>0</v>
      </c>
      <c r="J45" s="441">
        <f t="shared" si="15"/>
        <v>0</v>
      </c>
      <c r="K45" s="441">
        <f t="shared" si="15"/>
        <v>0</v>
      </c>
      <c r="L45" s="441">
        <f t="shared" si="15"/>
        <v>0</v>
      </c>
      <c r="M45" s="70"/>
      <c r="O45" s="315"/>
      <c r="Q45" s="363"/>
      <c r="R45" s="363"/>
      <c r="S45" s="363"/>
      <c r="T45" s="363"/>
      <c r="U45" s="363"/>
    </row>
    <row r="46" spans="2:21" x14ac:dyDescent="0.2">
      <c r="B46" s="69"/>
      <c r="C46" s="149"/>
      <c r="D46" s="462" t="s">
        <v>220</v>
      </c>
      <c r="E46" s="147"/>
      <c r="F46" s="149"/>
      <c r="G46" s="173"/>
      <c r="H46" s="173"/>
      <c r="I46" s="173"/>
      <c r="J46" s="173"/>
      <c r="K46" s="173"/>
      <c r="L46" s="173"/>
      <c r="M46" s="70"/>
      <c r="O46" s="315"/>
      <c r="Q46" s="363"/>
      <c r="R46" s="363"/>
      <c r="S46" s="363"/>
      <c r="T46" s="363"/>
      <c r="U46" s="363"/>
    </row>
    <row r="47" spans="2:21" x14ac:dyDescent="0.2">
      <c r="B47" s="69"/>
      <c r="C47" s="149"/>
      <c r="D47" s="149" t="s">
        <v>156</v>
      </c>
      <c r="E47" s="149"/>
      <c r="F47" s="149"/>
      <c r="G47" s="60">
        <v>0</v>
      </c>
      <c r="H47" s="60">
        <f t="shared" ref="H47:L47" si="16">+G47</f>
        <v>0</v>
      </c>
      <c r="I47" s="60">
        <f t="shared" si="16"/>
        <v>0</v>
      </c>
      <c r="J47" s="60">
        <f t="shared" si="16"/>
        <v>0</v>
      </c>
      <c r="K47" s="60">
        <f t="shared" si="16"/>
        <v>0</v>
      </c>
      <c r="L47" s="992">
        <f t="shared" si="16"/>
        <v>0</v>
      </c>
      <c r="M47" s="70"/>
      <c r="O47" s="315"/>
      <c r="Q47" s="363"/>
      <c r="R47" s="363"/>
      <c r="S47" s="363"/>
      <c r="T47" s="363"/>
      <c r="U47" s="363"/>
    </row>
    <row r="48" spans="2:21" x14ac:dyDescent="0.2">
      <c r="B48" s="69"/>
      <c r="C48" s="149"/>
      <c r="D48" s="149" t="s">
        <v>158</v>
      </c>
      <c r="E48" s="149"/>
      <c r="F48" s="149"/>
      <c r="G48" s="60">
        <v>0</v>
      </c>
      <c r="H48" s="60">
        <f t="shared" ref="H48:L53" si="17">+G48</f>
        <v>0</v>
      </c>
      <c r="I48" s="60">
        <f t="shared" si="17"/>
        <v>0</v>
      </c>
      <c r="J48" s="60">
        <f t="shared" si="17"/>
        <v>0</v>
      </c>
      <c r="K48" s="60">
        <f t="shared" si="17"/>
        <v>0</v>
      </c>
      <c r="L48" s="992">
        <f t="shared" si="17"/>
        <v>0</v>
      </c>
      <c r="M48" s="70"/>
      <c r="O48" s="315"/>
      <c r="Q48" s="363"/>
      <c r="R48" s="363"/>
      <c r="S48" s="363"/>
      <c r="T48" s="363"/>
      <c r="U48" s="363"/>
    </row>
    <row r="49" spans="2:21" x14ac:dyDescent="0.2">
      <c r="B49" s="69"/>
      <c r="C49" s="149"/>
      <c r="D49" s="149" t="s">
        <v>159</v>
      </c>
      <c r="E49" s="149"/>
      <c r="F49" s="149"/>
      <c r="G49" s="60">
        <v>0</v>
      </c>
      <c r="H49" s="60">
        <f t="shared" si="17"/>
        <v>0</v>
      </c>
      <c r="I49" s="60">
        <f t="shared" si="17"/>
        <v>0</v>
      </c>
      <c r="J49" s="60">
        <f t="shared" si="17"/>
        <v>0</v>
      </c>
      <c r="K49" s="60">
        <f t="shared" si="17"/>
        <v>0</v>
      </c>
      <c r="L49" s="992">
        <f t="shared" si="17"/>
        <v>0</v>
      </c>
      <c r="M49" s="70"/>
      <c r="O49" s="315"/>
      <c r="Q49" s="363"/>
      <c r="R49" s="363"/>
      <c r="S49" s="363"/>
      <c r="T49" s="363"/>
      <c r="U49" s="363"/>
    </row>
    <row r="50" spans="2:21" x14ac:dyDescent="0.2">
      <c r="B50" s="69"/>
      <c r="C50" s="149"/>
      <c r="D50" s="149" t="s">
        <v>160</v>
      </c>
      <c r="E50" s="149"/>
      <c r="F50" s="149"/>
      <c r="G50" s="60">
        <v>0</v>
      </c>
      <c r="H50" s="60">
        <f t="shared" si="17"/>
        <v>0</v>
      </c>
      <c r="I50" s="60">
        <f t="shared" si="17"/>
        <v>0</v>
      </c>
      <c r="J50" s="60">
        <f t="shared" si="17"/>
        <v>0</v>
      </c>
      <c r="K50" s="60">
        <f t="shared" si="17"/>
        <v>0</v>
      </c>
      <c r="L50" s="992">
        <f t="shared" si="17"/>
        <v>0</v>
      </c>
      <c r="M50" s="70"/>
      <c r="O50" s="315"/>
      <c r="Q50" s="363"/>
      <c r="R50" s="363"/>
      <c r="S50" s="363"/>
      <c r="T50" s="363"/>
      <c r="U50" s="363"/>
    </row>
    <row r="51" spans="2:21" x14ac:dyDescent="0.2">
      <c r="B51" s="69"/>
      <c r="C51" s="149"/>
      <c r="D51" s="149" t="s">
        <v>161</v>
      </c>
      <c r="E51" s="149"/>
      <c r="F51" s="149"/>
      <c r="G51" s="60">
        <v>0</v>
      </c>
      <c r="H51" s="60">
        <f t="shared" si="17"/>
        <v>0</v>
      </c>
      <c r="I51" s="60">
        <f t="shared" si="17"/>
        <v>0</v>
      </c>
      <c r="J51" s="60">
        <f t="shared" si="17"/>
        <v>0</v>
      </c>
      <c r="K51" s="60">
        <f t="shared" si="17"/>
        <v>0</v>
      </c>
      <c r="L51" s="992">
        <f t="shared" si="17"/>
        <v>0</v>
      </c>
      <c r="M51" s="70"/>
      <c r="O51" s="315"/>
      <c r="Q51" s="363"/>
      <c r="R51" s="363"/>
      <c r="S51" s="363"/>
      <c r="T51" s="363"/>
      <c r="U51" s="363"/>
    </row>
    <row r="52" spans="2:21" x14ac:dyDescent="0.2">
      <c r="B52" s="69"/>
      <c r="C52" s="149"/>
      <c r="D52" s="149" t="s">
        <v>162</v>
      </c>
      <c r="E52" s="149"/>
      <c r="F52" s="149"/>
      <c r="G52" s="60">
        <v>0</v>
      </c>
      <c r="H52" s="60">
        <f t="shared" si="17"/>
        <v>0</v>
      </c>
      <c r="I52" s="60">
        <f t="shared" si="17"/>
        <v>0</v>
      </c>
      <c r="J52" s="60">
        <f t="shared" si="17"/>
        <v>0</v>
      </c>
      <c r="K52" s="60">
        <f t="shared" si="17"/>
        <v>0</v>
      </c>
      <c r="L52" s="992">
        <f t="shared" si="17"/>
        <v>0</v>
      </c>
      <c r="M52" s="70"/>
      <c r="O52" s="315"/>
      <c r="Q52" s="363"/>
      <c r="R52" s="363"/>
      <c r="S52" s="363"/>
      <c r="T52" s="363"/>
      <c r="U52" s="363"/>
    </row>
    <row r="53" spans="2:21" x14ac:dyDescent="0.2">
      <c r="B53" s="69"/>
      <c r="C53" s="149"/>
      <c r="D53" s="149" t="s">
        <v>163</v>
      </c>
      <c r="E53" s="149"/>
      <c r="F53" s="149"/>
      <c r="G53" s="60">
        <v>0</v>
      </c>
      <c r="H53" s="60">
        <f t="shared" si="17"/>
        <v>0</v>
      </c>
      <c r="I53" s="60">
        <f t="shared" si="17"/>
        <v>0</v>
      </c>
      <c r="J53" s="60">
        <f t="shared" si="17"/>
        <v>0</v>
      </c>
      <c r="K53" s="60">
        <f t="shared" si="17"/>
        <v>0</v>
      </c>
      <c r="L53" s="992">
        <f t="shared" si="17"/>
        <v>0</v>
      </c>
      <c r="M53" s="70"/>
      <c r="O53" s="315"/>
      <c r="Q53" s="363"/>
      <c r="R53" s="363"/>
      <c r="S53" s="363"/>
      <c r="T53" s="363"/>
      <c r="U53" s="363"/>
    </row>
    <row r="54" spans="2:21" x14ac:dyDescent="0.2">
      <c r="B54" s="69"/>
      <c r="C54" s="149"/>
      <c r="D54" s="343"/>
      <c r="E54" s="343"/>
      <c r="F54" s="149"/>
      <c r="G54" s="441">
        <f t="shared" ref="G54:L54" si="18">SUM(G47:G53)</f>
        <v>0</v>
      </c>
      <c r="H54" s="441">
        <f t="shared" si="18"/>
        <v>0</v>
      </c>
      <c r="I54" s="441">
        <f t="shared" si="18"/>
        <v>0</v>
      </c>
      <c r="J54" s="441">
        <f t="shared" si="18"/>
        <v>0</v>
      </c>
      <c r="K54" s="441">
        <f t="shared" si="18"/>
        <v>0</v>
      </c>
      <c r="L54" s="441">
        <f t="shared" si="18"/>
        <v>0</v>
      </c>
      <c r="M54" s="70"/>
      <c r="O54" s="315"/>
      <c r="Q54" s="363"/>
      <c r="R54" s="363"/>
      <c r="S54" s="363"/>
      <c r="T54" s="363"/>
      <c r="U54" s="363"/>
    </row>
    <row r="55" spans="2:21" x14ac:dyDescent="0.2">
      <c r="B55" s="69"/>
      <c r="C55" s="149"/>
      <c r="D55" s="149"/>
      <c r="E55" s="149"/>
      <c r="F55" s="149"/>
      <c r="G55" s="149"/>
      <c r="H55" s="149"/>
      <c r="I55" s="149"/>
      <c r="J55" s="149"/>
      <c r="K55" s="149"/>
      <c r="L55" s="149"/>
      <c r="M55" s="70"/>
      <c r="O55" s="315"/>
      <c r="Q55" s="363"/>
      <c r="R55" s="363"/>
      <c r="S55" s="363"/>
      <c r="T55" s="363"/>
      <c r="U55" s="363"/>
    </row>
    <row r="56" spans="2:21" x14ac:dyDescent="0.2">
      <c r="B56" s="69"/>
      <c r="C56" s="149"/>
      <c r="D56" s="470" t="s">
        <v>184</v>
      </c>
      <c r="E56" s="342"/>
      <c r="F56" s="149"/>
      <c r="G56" s="426">
        <f t="shared" ref="G56:L56" si="19">G36+G41+G45+G54</f>
        <v>0</v>
      </c>
      <c r="H56" s="426">
        <f t="shared" si="19"/>
        <v>10944149.787743192</v>
      </c>
      <c r="I56" s="426">
        <f t="shared" si="19"/>
        <v>21888299.575486384</v>
      </c>
      <c r="J56" s="426">
        <f t="shared" si="19"/>
        <v>32831338.313229576</v>
      </c>
      <c r="K56" s="426">
        <f t="shared" si="19"/>
        <v>43773932.630972765</v>
      </c>
      <c r="L56" s="426">
        <f t="shared" si="19"/>
        <v>54718082.418715961</v>
      </c>
      <c r="M56" s="70"/>
      <c r="O56" s="315"/>
      <c r="Q56" s="363"/>
      <c r="R56" s="363"/>
      <c r="S56" s="363"/>
      <c r="T56" s="363"/>
      <c r="U56" s="363"/>
    </row>
    <row r="57" spans="2:21" x14ac:dyDescent="0.2">
      <c r="B57" s="69"/>
      <c r="C57" s="149"/>
      <c r="D57" s="343"/>
      <c r="E57" s="343"/>
      <c r="F57" s="149"/>
      <c r="G57" s="318"/>
      <c r="H57" s="318"/>
      <c r="I57" s="318"/>
      <c r="J57" s="318"/>
      <c r="K57" s="318"/>
      <c r="L57" s="318"/>
      <c r="M57" s="70"/>
      <c r="O57" s="315"/>
      <c r="Q57" s="363"/>
      <c r="R57" s="363"/>
      <c r="S57" s="363"/>
      <c r="T57" s="363"/>
      <c r="U57" s="363"/>
    </row>
    <row r="58" spans="2:21" x14ac:dyDescent="0.2">
      <c r="B58" s="69"/>
      <c r="C58" s="5"/>
      <c r="D58" s="108"/>
      <c r="E58" s="108"/>
      <c r="F58" s="5"/>
      <c r="G58" s="376"/>
      <c r="H58" s="376"/>
      <c r="I58" s="376"/>
      <c r="J58" s="376"/>
      <c r="K58" s="376"/>
      <c r="L58" s="376"/>
      <c r="M58" s="70"/>
      <c r="O58" s="315"/>
      <c r="Q58" s="363"/>
      <c r="R58" s="363"/>
      <c r="S58" s="363"/>
      <c r="T58" s="363"/>
      <c r="U58" s="363"/>
    </row>
    <row r="59" spans="2:21" x14ac:dyDescent="0.2">
      <c r="B59" s="69"/>
      <c r="C59" s="5"/>
      <c r="D59" s="5"/>
      <c r="E59" s="5"/>
      <c r="F59" s="5"/>
      <c r="G59" s="5"/>
      <c r="H59" s="5"/>
      <c r="I59" s="5"/>
      <c r="J59" s="5"/>
      <c r="K59" s="5"/>
      <c r="L59" s="5"/>
      <c r="M59" s="70"/>
    </row>
    <row r="60" spans="2:21" x14ac:dyDescent="0.2">
      <c r="B60" s="69"/>
      <c r="C60" s="149"/>
      <c r="D60" s="149"/>
      <c r="E60" s="149"/>
      <c r="F60" s="149"/>
      <c r="G60" s="382"/>
      <c r="H60" s="382"/>
      <c r="I60" s="382"/>
      <c r="J60" s="382"/>
      <c r="K60" s="382"/>
      <c r="L60" s="382"/>
      <c r="M60" s="377"/>
    </row>
    <row r="61" spans="2:21" x14ac:dyDescent="0.2">
      <c r="B61" s="69"/>
      <c r="C61" s="149"/>
      <c r="D61" s="462" t="s">
        <v>132</v>
      </c>
      <c r="E61" s="469" t="s">
        <v>199</v>
      </c>
      <c r="F61" s="467"/>
      <c r="G61" s="676"/>
      <c r="H61" s="469">
        <f t="shared" ref="H61:L61" si="20">H8</f>
        <v>2023</v>
      </c>
      <c r="I61" s="469">
        <f t="shared" si="20"/>
        <v>2024</v>
      </c>
      <c r="J61" s="469">
        <f t="shared" si="20"/>
        <v>2025</v>
      </c>
      <c r="K61" s="469">
        <f t="shared" si="20"/>
        <v>2026</v>
      </c>
      <c r="L61" s="469">
        <f t="shared" si="20"/>
        <v>2027</v>
      </c>
      <c r="M61" s="377"/>
    </row>
    <row r="62" spans="2:21" x14ac:dyDescent="0.2">
      <c r="B62" s="69"/>
      <c r="C62" s="149"/>
      <c r="D62" s="149"/>
      <c r="E62" s="382"/>
      <c r="F62" s="149"/>
      <c r="G62" s="676"/>
      <c r="H62" s="382"/>
      <c r="I62" s="382"/>
      <c r="J62" s="382"/>
      <c r="K62" s="382"/>
      <c r="L62" s="382"/>
      <c r="M62" s="377"/>
    </row>
    <row r="63" spans="2:21" x14ac:dyDescent="0.2">
      <c r="B63" s="704"/>
      <c r="C63" s="149"/>
      <c r="D63" s="149" t="s">
        <v>494</v>
      </c>
      <c r="E63" s="650" t="s">
        <v>384</v>
      </c>
      <c r="F63" s="149"/>
      <c r="G63" s="676"/>
      <c r="H63" s="442">
        <f t="shared" ref="H63:L63" si="21">(H32+H41)/H56</f>
        <v>1</v>
      </c>
      <c r="I63" s="442">
        <f t="shared" si="21"/>
        <v>1</v>
      </c>
      <c r="J63" s="442">
        <f>(J32+J41)/J56</f>
        <v>1</v>
      </c>
      <c r="K63" s="442">
        <f t="shared" si="21"/>
        <v>1</v>
      </c>
      <c r="L63" s="442">
        <f t="shared" si="21"/>
        <v>1</v>
      </c>
      <c r="M63" s="378"/>
    </row>
    <row r="64" spans="2:21" x14ac:dyDescent="0.2">
      <c r="B64" s="69"/>
      <c r="C64" s="149"/>
      <c r="D64" s="149" t="s">
        <v>693</v>
      </c>
      <c r="E64" s="64" t="s">
        <v>692</v>
      </c>
      <c r="F64" s="149"/>
      <c r="G64" s="676"/>
      <c r="H64" s="443" t="str">
        <f t="shared" ref="H64:L64" si="22">IF(H54=0,"nvt",H23/H54)</f>
        <v>nvt</v>
      </c>
      <c r="I64" s="443" t="str">
        <f t="shared" si="22"/>
        <v>nvt</v>
      </c>
      <c r="J64" s="443" t="str">
        <f t="shared" si="22"/>
        <v>nvt</v>
      </c>
      <c r="K64" s="443" t="str">
        <f t="shared" si="22"/>
        <v>nvt</v>
      </c>
      <c r="L64" s="443" t="str">
        <f t="shared" si="22"/>
        <v>nvt</v>
      </c>
      <c r="M64" s="377"/>
    </row>
    <row r="65" spans="2:14" x14ac:dyDescent="0.2">
      <c r="B65" s="69"/>
      <c r="C65" s="149"/>
      <c r="D65" s="149" t="s">
        <v>191</v>
      </c>
      <c r="E65" s="651" t="s">
        <v>201</v>
      </c>
      <c r="F65" s="149"/>
      <c r="G65" s="676"/>
      <c r="H65" s="442">
        <f>begr!H50/(begr!H23+begr!H44)</f>
        <v>0.51911290340774474</v>
      </c>
      <c r="I65" s="442">
        <f>begr!I50/(begr!I23+begr!I44)</f>
        <v>0.51911290340774474</v>
      </c>
      <c r="J65" s="442">
        <f>begr!J50/(begr!J23+begr!J44)</f>
        <v>0.51911290340774474</v>
      </c>
      <c r="K65" s="442">
        <f>begr!K50/(begr!K23+begr!K44)</f>
        <v>0.51911290340774474</v>
      </c>
      <c r="L65" s="442">
        <f>begr!K50/(begr!K43+begr!K23)</f>
        <v>0.51911290340774474</v>
      </c>
      <c r="M65" s="377"/>
    </row>
    <row r="66" spans="2:14" s="165" customFormat="1" x14ac:dyDescent="0.2">
      <c r="B66" s="166"/>
      <c r="C66" s="282"/>
      <c r="D66" s="149" t="s">
        <v>155</v>
      </c>
      <c r="E66" s="652">
        <v>0.05</v>
      </c>
      <c r="F66" s="149"/>
      <c r="G66" s="676"/>
      <c r="H66" s="444">
        <f>IF(begr!H35=0,"nvt",H36/begr!H35)</f>
        <v>1.0794901902886807</v>
      </c>
      <c r="I66" s="444">
        <f>IF(begr!I35=0,"nvt",I36/begr!I35)</f>
        <v>2.1589803805773613</v>
      </c>
      <c r="J66" s="444">
        <f>IF(begr!J35=0,"nvt",J36/begr!J35)</f>
        <v>3.2384705708660424</v>
      </c>
      <c r="K66" s="444">
        <f>IF(begr!K35=0,"nvt",K36/begr!K35)</f>
        <v>4.3179607611547226</v>
      </c>
      <c r="L66" s="444">
        <f>IF(begr!L35=0,"nvt",L36/begr!L35)</f>
        <v>5.3974509514434041</v>
      </c>
      <c r="M66" s="379"/>
      <c r="N66" s="361"/>
    </row>
    <row r="67" spans="2:14" s="165" customFormat="1" hidden="1" x14ac:dyDescent="0.2">
      <c r="B67" s="166"/>
      <c r="C67" s="282"/>
      <c r="D67" s="149" t="s">
        <v>202</v>
      </c>
      <c r="E67" s="652" t="s">
        <v>195</v>
      </c>
      <c r="F67" s="149"/>
      <c r="G67" s="444" t="e">
        <f>G25/(begr!#REF!+begr!#REF!)</f>
        <v>#REF!</v>
      </c>
      <c r="H67" s="444" t="e">
        <f>H25/(begr!#REF!+begr!#REF!)</f>
        <v>#REF!</v>
      </c>
      <c r="I67" s="444" t="e">
        <f>I25/(begr!#REF!+begr!#REF!)</f>
        <v>#REF!</v>
      </c>
      <c r="J67" s="444" t="e">
        <f>J25/(begr!#REF!+begr!#REF!)</f>
        <v>#REF!</v>
      </c>
      <c r="K67" s="444" t="e">
        <f>K25/(begr!#REF!+begr!#REF!)</f>
        <v>#REF!</v>
      </c>
      <c r="L67" s="444">
        <f>(L25-act!M39)/(begr!K23+begr!K43)</f>
        <v>2.5954380362278759</v>
      </c>
      <c r="M67" s="379"/>
      <c r="N67" s="361"/>
    </row>
    <row r="68" spans="2:14" s="165" customFormat="1" x14ac:dyDescent="0.2">
      <c r="B68" s="166"/>
      <c r="C68" s="282"/>
      <c r="D68" s="149" t="s">
        <v>694</v>
      </c>
      <c r="E68" s="652"/>
      <c r="F68" s="149"/>
      <c r="G68" s="1162" t="s">
        <v>695</v>
      </c>
      <c r="H68" s="1161"/>
      <c r="I68" s="1161"/>
      <c r="J68" s="1161"/>
      <c r="K68" s="1161"/>
      <c r="L68" s="1161"/>
      <c r="M68" s="1160"/>
      <c r="N68" s="361"/>
    </row>
    <row r="69" spans="2:14" x14ac:dyDescent="0.2">
      <c r="B69" s="69"/>
      <c r="C69" s="149"/>
      <c r="D69" s="149"/>
      <c r="E69" s="149"/>
      <c r="F69" s="149"/>
      <c r="G69" s="149"/>
      <c r="H69" s="149"/>
      <c r="I69" s="149"/>
      <c r="J69" s="149"/>
      <c r="K69" s="149"/>
      <c r="L69" s="149"/>
      <c r="M69" s="70"/>
    </row>
    <row r="70" spans="2:14" x14ac:dyDescent="0.2">
      <c r="B70" s="69"/>
      <c r="C70" s="5"/>
      <c r="D70" s="5"/>
      <c r="E70" s="5"/>
      <c r="F70" s="5"/>
      <c r="G70" s="5"/>
      <c r="H70" s="5"/>
      <c r="I70" s="5"/>
      <c r="J70" s="5"/>
      <c r="K70" s="5"/>
      <c r="L70" s="5"/>
      <c r="M70" s="70"/>
    </row>
    <row r="71" spans="2:14" x14ac:dyDescent="0.2">
      <c r="B71" s="78"/>
      <c r="C71" s="75"/>
      <c r="D71" s="380"/>
      <c r="E71" s="380"/>
      <c r="F71" s="75"/>
      <c r="G71" s="381"/>
      <c r="H71" s="381"/>
      <c r="I71" s="381"/>
      <c r="J71" s="381"/>
      <c r="K71" s="381"/>
      <c r="L71" s="381"/>
      <c r="M71" s="77"/>
    </row>
    <row r="72" spans="2:14" x14ac:dyDescent="0.2">
      <c r="G72" s="100"/>
      <c r="H72" s="100"/>
      <c r="I72" s="100"/>
      <c r="J72" s="100"/>
      <c r="K72" s="100"/>
      <c r="L72" s="100"/>
    </row>
    <row r="73" spans="2:14" x14ac:dyDescent="0.2">
      <c r="G73" s="100"/>
      <c r="H73" s="100"/>
      <c r="I73" s="100"/>
      <c r="J73" s="100"/>
      <c r="K73" s="100"/>
      <c r="L73" s="100"/>
    </row>
    <row r="74" spans="2:14" s="8" customFormat="1" ht="18.75" x14ac:dyDescent="0.3">
      <c r="B74" s="100"/>
      <c r="C74" s="100"/>
      <c r="D74" s="100"/>
      <c r="E74" s="100"/>
      <c r="F74" s="100"/>
      <c r="G74" s="100"/>
      <c r="H74" s="100"/>
      <c r="I74" s="100"/>
      <c r="J74" s="100"/>
      <c r="K74" s="100"/>
      <c r="L74" s="100"/>
      <c r="M74" s="100"/>
      <c r="N74" s="364"/>
    </row>
    <row r="75" spans="2:14" x14ac:dyDescent="0.2">
      <c r="G75" s="100"/>
      <c r="H75" s="100"/>
      <c r="I75" s="100"/>
      <c r="J75" s="100"/>
      <c r="K75" s="100"/>
      <c r="L75" s="100"/>
    </row>
    <row r="76" spans="2:14" x14ac:dyDescent="0.2">
      <c r="G76" s="100"/>
      <c r="H76" s="100"/>
      <c r="I76" s="100"/>
      <c r="J76" s="100"/>
      <c r="K76" s="100"/>
      <c r="L76" s="100"/>
    </row>
    <row r="77" spans="2:14" x14ac:dyDescent="0.2">
      <c r="G77" s="100"/>
      <c r="H77" s="100"/>
      <c r="I77" s="100"/>
      <c r="J77" s="100"/>
      <c r="K77" s="100"/>
      <c r="L77" s="100"/>
    </row>
    <row r="78" spans="2:14" x14ac:dyDescent="0.2">
      <c r="G78" s="100"/>
      <c r="H78" s="100"/>
      <c r="I78" s="100"/>
      <c r="J78" s="100"/>
      <c r="K78" s="100"/>
      <c r="L78" s="100"/>
    </row>
    <row r="79" spans="2:14" s="103" customFormat="1" x14ac:dyDescent="0.2">
      <c r="N79" s="365"/>
    </row>
    <row r="80" spans="2:14" x14ac:dyDescent="0.2">
      <c r="G80" s="100"/>
      <c r="H80" s="100"/>
      <c r="I80" s="100"/>
      <c r="J80" s="100"/>
      <c r="K80" s="100"/>
      <c r="L80" s="100"/>
    </row>
    <row r="81" spans="7:14" x14ac:dyDescent="0.2">
      <c r="G81" s="100"/>
      <c r="H81" s="100"/>
      <c r="I81" s="100"/>
      <c r="J81" s="100"/>
      <c r="K81" s="100"/>
      <c r="L81" s="100"/>
    </row>
    <row r="82" spans="7:14" x14ac:dyDescent="0.2">
      <c r="G82" s="100"/>
      <c r="H82" s="100"/>
      <c r="I82" s="100"/>
      <c r="J82" s="100"/>
      <c r="K82" s="100"/>
      <c r="L82" s="100"/>
    </row>
    <row r="83" spans="7:14" x14ac:dyDescent="0.2">
      <c r="G83" s="100"/>
      <c r="H83" s="100"/>
      <c r="I83" s="100"/>
      <c r="J83" s="100"/>
      <c r="K83" s="100"/>
      <c r="L83" s="100"/>
    </row>
    <row r="84" spans="7:14" s="103" customFormat="1" x14ac:dyDescent="0.2">
      <c r="N84" s="365"/>
    </row>
    <row r="85" spans="7:14" x14ac:dyDescent="0.2">
      <c r="G85" s="100"/>
      <c r="H85" s="100"/>
      <c r="I85" s="100"/>
      <c r="J85" s="100"/>
      <c r="K85" s="100"/>
      <c r="L85" s="100"/>
    </row>
    <row r="86" spans="7:14" x14ac:dyDescent="0.2">
      <c r="G86" s="100"/>
      <c r="H86" s="100"/>
      <c r="I86" s="100"/>
      <c r="J86" s="100"/>
      <c r="K86" s="100"/>
      <c r="L86" s="100"/>
    </row>
    <row r="87" spans="7:14" x14ac:dyDescent="0.2">
      <c r="G87" s="100"/>
      <c r="H87" s="100"/>
      <c r="I87" s="100"/>
      <c r="J87" s="100"/>
      <c r="K87" s="100"/>
      <c r="L87" s="100"/>
    </row>
    <row r="88" spans="7:14" x14ac:dyDescent="0.2">
      <c r="G88" s="100"/>
      <c r="H88" s="100"/>
      <c r="I88" s="100"/>
      <c r="J88" s="100"/>
      <c r="K88" s="100"/>
      <c r="L88" s="100"/>
    </row>
    <row r="89" spans="7:14" s="103" customFormat="1" x14ac:dyDescent="0.2">
      <c r="N89" s="365"/>
    </row>
    <row r="90" spans="7:14" x14ac:dyDescent="0.2">
      <c r="G90" s="100"/>
      <c r="H90" s="100"/>
      <c r="I90" s="100"/>
      <c r="J90" s="100"/>
      <c r="K90" s="100"/>
      <c r="L90" s="100"/>
    </row>
    <row r="91" spans="7:14" x14ac:dyDescent="0.2">
      <c r="G91" s="100"/>
      <c r="H91" s="100"/>
      <c r="I91" s="100"/>
      <c r="J91" s="100"/>
      <c r="K91" s="100"/>
      <c r="L91" s="100"/>
    </row>
    <row r="92" spans="7:14" x14ac:dyDescent="0.2">
      <c r="G92" s="100"/>
      <c r="H92" s="100"/>
      <c r="I92" s="100"/>
      <c r="J92" s="100"/>
      <c r="K92" s="100"/>
      <c r="L92" s="100"/>
    </row>
    <row r="93" spans="7:14" x14ac:dyDescent="0.2">
      <c r="G93" s="100"/>
      <c r="H93" s="100"/>
      <c r="I93" s="100"/>
      <c r="J93" s="100"/>
      <c r="K93" s="100"/>
      <c r="L93" s="100"/>
    </row>
    <row r="94" spans="7:14" s="103" customFormat="1" x14ac:dyDescent="0.2">
      <c r="N94" s="365"/>
    </row>
    <row r="95" spans="7:14" x14ac:dyDescent="0.2">
      <c r="G95" s="100"/>
      <c r="H95" s="100"/>
      <c r="I95" s="100"/>
      <c r="J95" s="100"/>
      <c r="K95" s="100"/>
      <c r="L95" s="100"/>
    </row>
    <row r="96" spans="7:14" x14ac:dyDescent="0.2">
      <c r="G96" s="100"/>
      <c r="H96" s="100"/>
      <c r="I96" s="100"/>
      <c r="J96" s="100"/>
      <c r="K96" s="100"/>
      <c r="L96" s="100"/>
    </row>
    <row r="97" spans="7:14" x14ac:dyDescent="0.2">
      <c r="G97" s="100"/>
      <c r="H97" s="100"/>
      <c r="I97" s="100"/>
      <c r="J97" s="100"/>
      <c r="K97" s="100"/>
      <c r="L97" s="100"/>
    </row>
    <row r="98" spans="7:14" x14ac:dyDescent="0.2">
      <c r="G98" s="100"/>
      <c r="H98" s="100"/>
      <c r="I98" s="100"/>
      <c r="J98" s="100"/>
      <c r="K98" s="100"/>
      <c r="L98" s="100"/>
    </row>
    <row r="99" spans="7:14" s="103" customFormat="1" x14ac:dyDescent="0.2">
      <c r="N99" s="365"/>
    </row>
    <row r="100" spans="7:14" x14ac:dyDescent="0.2">
      <c r="G100" s="100"/>
      <c r="H100" s="100"/>
      <c r="I100" s="100"/>
      <c r="J100" s="100"/>
      <c r="K100" s="100"/>
      <c r="L100" s="100"/>
    </row>
    <row r="101" spans="7:14" x14ac:dyDescent="0.2">
      <c r="G101" s="100"/>
      <c r="H101" s="100"/>
      <c r="I101" s="100"/>
      <c r="J101" s="100"/>
      <c r="K101" s="100"/>
      <c r="L101" s="100"/>
    </row>
    <row r="102" spans="7:14" x14ac:dyDescent="0.2">
      <c r="G102" s="100"/>
      <c r="H102" s="100"/>
      <c r="I102" s="100"/>
      <c r="J102" s="100"/>
      <c r="K102" s="100"/>
      <c r="L102" s="100"/>
    </row>
    <row r="103" spans="7:14" x14ac:dyDescent="0.2">
      <c r="G103" s="100"/>
      <c r="H103" s="100"/>
      <c r="I103" s="100"/>
      <c r="J103" s="100"/>
      <c r="K103" s="100"/>
      <c r="L103" s="100"/>
    </row>
    <row r="104" spans="7:14" s="103" customFormat="1" x14ac:dyDescent="0.2">
      <c r="N104" s="365"/>
    </row>
    <row r="105" spans="7:14" x14ac:dyDescent="0.2">
      <c r="G105" s="100"/>
      <c r="H105" s="100"/>
      <c r="I105" s="100"/>
      <c r="J105" s="100"/>
      <c r="K105" s="100"/>
      <c r="L105" s="100"/>
    </row>
    <row r="106" spans="7:14" x14ac:dyDescent="0.2">
      <c r="G106" s="100"/>
      <c r="H106" s="100"/>
      <c r="I106" s="100"/>
      <c r="J106" s="100"/>
      <c r="K106" s="100"/>
      <c r="L106" s="100"/>
    </row>
    <row r="107" spans="7:14" x14ac:dyDescent="0.2">
      <c r="G107" s="100"/>
      <c r="H107" s="100"/>
      <c r="I107" s="100"/>
      <c r="J107" s="100"/>
      <c r="K107" s="100"/>
      <c r="L107" s="100"/>
    </row>
    <row r="108" spans="7:14" x14ac:dyDescent="0.2">
      <c r="G108" s="100"/>
      <c r="H108" s="100"/>
      <c r="I108" s="100"/>
      <c r="J108" s="100"/>
      <c r="K108" s="100"/>
      <c r="L108" s="100"/>
    </row>
    <row r="109" spans="7:14" x14ac:dyDescent="0.2">
      <c r="G109" s="100"/>
      <c r="H109" s="100"/>
      <c r="I109" s="100"/>
      <c r="J109" s="100"/>
      <c r="K109" s="100"/>
      <c r="L109" s="100"/>
    </row>
    <row r="110" spans="7:14" x14ac:dyDescent="0.2">
      <c r="G110" s="100"/>
      <c r="H110" s="100"/>
      <c r="I110" s="100"/>
      <c r="J110" s="100"/>
      <c r="K110" s="100"/>
      <c r="L110" s="100"/>
    </row>
    <row r="111" spans="7:14" x14ac:dyDescent="0.2">
      <c r="G111" s="100"/>
      <c r="H111" s="100"/>
      <c r="I111" s="100"/>
      <c r="J111" s="100"/>
      <c r="K111" s="100"/>
      <c r="L111" s="100"/>
    </row>
    <row r="112" spans="7:14" x14ac:dyDescent="0.2">
      <c r="G112" s="100"/>
      <c r="H112" s="100"/>
      <c r="I112" s="100"/>
      <c r="J112" s="100"/>
      <c r="K112" s="100"/>
      <c r="L112" s="100"/>
    </row>
    <row r="113" spans="7:14" x14ac:dyDescent="0.2">
      <c r="G113" s="100"/>
      <c r="H113" s="100"/>
      <c r="I113" s="100"/>
      <c r="J113" s="100"/>
      <c r="K113" s="100"/>
      <c r="L113" s="100"/>
    </row>
    <row r="115" spans="7:14" s="103" customFormat="1" x14ac:dyDescent="0.2">
      <c r="G115" s="104"/>
      <c r="H115" s="104"/>
      <c r="I115" s="104"/>
      <c r="J115" s="104"/>
      <c r="K115" s="104"/>
      <c r="L115" s="104"/>
      <c r="N115" s="365"/>
    </row>
    <row r="120" spans="7:14" s="103" customFormat="1" x14ac:dyDescent="0.2">
      <c r="G120" s="104"/>
      <c r="H120" s="104"/>
      <c r="I120" s="104"/>
      <c r="J120" s="104"/>
      <c r="K120" s="104"/>
      <c r="L120" s="104"/>
      <c r="N120" s="365"/>
    </row>
    <row r="125" spans="7:14" s="103" customFormat="1" x14ac:dyDescent="0.2">
      <c r="G125" s="104"/>
      <c r="H125" s="104"/>
      <c r="I125" s="104"/>
      <c r="J125" s="104"/>
      <c r="K125" s="104"/>
      <c r="L125" s="104"/>
      <c r="N125" s="365"/>
    </row>
    <row r="130" spans="4:14" s="103" customFormat="1" x14ac:dyDescent="0.2">
      <c r="G130" s="104"/>
      <c r="H130" s="104"/>
      <c r="I130" s="104"/>
      <c r="J130" s="104"/>
      <c r="K130" s="104"/>
      <c r="L130" s="104"/>
      <c r="N130" s="365"/>
    </row>
    <row r="135" spans="4:14" s="103" customFormat="1" x14ac:dyDescent="0.2">
      <c r="G135" s="104"/>
      <c r="H135" s="104"/>
      <c r="I135" s="104"/>
      <c r="J135" s="104"/>
      <c r="K135" s="104"/>
      <c r="L135" s="104"/>
      <c r="N135" s="365"/>
    </row>
    <row r="138" spans="4:14" x14ac:dyDescent="0.2">
      <c r="D138" s="103"/>
      <c r="E138" s="103"/>
      <c r="F138" s="103"/>
      <c r="G138" s="104"/>
      <c r="H138" s="104"/>
      <c r="I138" s="104"/>
    </row>
    <row r="139" spans="4:14" x14ac:dyDescent="0.2">
      <c r="D139" s="103"/>
      <c r="E139" s="103"/>
      <c r="F139" s="103"/>
      <c r="G139" s="104"/>
      <c r="H139" s="104"/>
      <c r="I139" s="104"/>
    </row>
    <row r="140" spans="4:14" s="103" customFormat="1" x14ac:dyDescent="0.2">
      <c r="G140" s="104"/>
      <c r="H140" s="104"/>
      <c r="I140" s="104"/>
      <c r="J140" s="104"/>
      <c r="K140" s="104"/>
      <c r="L140" s="104"/>
      <c r="N140" s="365"/>
    </row>
  </sheetData>
  <sheetProtection algorithmName="SHA-512" hashValue="jJHsG6+GmcIYpJVT/fWdM7wGaIIfXs+mvfPXEDGt3oWM6EC7K8s3ACiVXZGx7sShTvSHLoerNa2BfZGBtGzU/Q==" saltValue="VPJCZ4ZfznYHNLFJR7tKEg==" spinCount="100000" sheet="1" objects="1" scenarios="1"/>
  <phoneticPr fontId="0" type="noConversion"/>
  <hyperlinks>
    <hyperlink ref="G68" r:id="rId1" xr:uid="{D43927AD-E6CF-4A24-A10B-0A0AA7CCBBB7}"/>
  </hyperlinks>
  <pageMargins left="0.74803149606299213" right="0.74803149606299213" top="0.98425196850393704" bottom="0.98425196850393704" header="0.51181102362204722" footer="0.51181102362204722"/>
  <pageSetup paperSize="9" scale="51"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3" max="1048575" man="1"/>
  </colBreaks>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R55"/>
  <sheetViews>
    <sheetView zoomScale="85" zoomScaleNormal="85" workbookViewId="0">
      <selection activeCell="B2" sqref="B2"/>
    </sheetView>
  </sheetViews>
  <sheetFormatPr defaultRowHeight="12.75" x14ac:dyDescent="0.2"/>
  <cols>
    <col min="1" max="1" width="3.7109375" style="383" customWidth="1"/>
    <col min="2" max="3" width="2.7109375" style="383" customWidth="1"/>
    <col min="4" max="4" width="45.7109375" style="383" customWidth="1"/>
    <col min="5" max="6" width="2.7109375" style="384" customWidth="1"/>
    <col min="7" max="7" width="3.28515625" style="384" customWidth="1"/>
    <col min="8" max="12" width="16.85546875" style="384" customWidth="1"/>
    <col min="13" max="13" width="2.7109375" style="384" customWidth="1"/>
    <col min="14" max="14" width="2.7109375" style="383" customWidth="1"/>
    <col min="15" max="15" width="2.7109375" style="385" customWidth="1"/>
    <col min="16" max="16" width="2.7109375" style="383" customWidth="1"/>
    <col min="17" max="17" width="2.5703125" style="383" customWidth="1"/>
    <col min="18" max="22" width="10.7109375" style="383" customWidth="1"/>
    <col min="23" max="23" width="2.7109375" style="383" customWidth="1"/>
    <col min="24" max="16384" width="9.140625" style="383"/>
  </cols>
  <sheetData>
    <row r="1" spans="2:15" ht="12" customHeight="1" x14ac:dyDescent="0.2"/>
    <row r="2" spans="2:15" x14ac:dyDescent="0.2">
      <c r="B2" s="65"/>
      <c r="C2" s="66"/>
      <c r="D2" s="66"/>
      <c r="E2" s="67"/>
      <c r="F2" s="67"/>
      <c r="G2" s="67"/>
      <c r="H2" s="67"/>
      <c r="I2" s="67"/>
      <c r="J2" s="67"/>
      <c r="K2" s="716"/>
      <c r="L2" s="716"/>
      <c r="M2" s="67"/>
      <c r="N2" s="68"/>
    </row>
    <row r="3" spans="2:15" x14ac:dyDescent="0.2">
      <c r="B3" s="69"/>
      <c r="C3" s="5"/>
      <c r="D3" s="5"/>
      <c r="E3" s="63"/>
      <c r="F3" s="63"/>
      <c r="G3" s="63"/>
      <c r="H3" s="63"/>
      <c r="I3" s="63"/>
      <c r="J3" s="63"/>
      <c r="K3" s="63"/>
      <c r="L3" s="63"/>
      <c r="M3" s="63"/>
      <c r="N3" s="70"/>
    </row>
    <row r="4" spans="2:15" s="389" customFormat="1" ht="18.75" x14ac:dyDescent="0.3">
      <c r="B4" s="386"/>
      <c r="C4" s="484" t="s">
        <v>26</v>
      </c>
      <c r="D4" s="167"/>
      <c r="E4" s="387"/>
      <c r="F4" s="387"/>
      <c r="G4" s="387"/>
      <c r="H4" s="387"/>
      <c r="I4" s="387"/>
      <c r="J4" s="387"/>
      <c r="K4" s="387"/>
      <c r="L4" s="387"/>
      <c r="M4" s="387"/>
      <c r="N4" s="168"/>
      <c r="O4" s="388"/>
    </row>
    <row r="5" spans="2:15" s="391" customFormat="1" ht="18.75" x14ac:dyDescent="0.3">
      <c r="B5" s="368"/>
      <c r="C5" s="974" t="str">
        <f>'geg ll'!C5</f>
        <v>Voorbeeld SWV VO Alkmaar</v>
      </c>
      <c r="D5" s="52"/>
      <c r="E5" s="79"/>
      <c r="F5" s="79"/>
      <c r="G5" s="79"/>
      <c r="H5" s="79"/>
      <c r="I5" s="79"/>
      <c r="J5" s="79"/>
      <c r="K5" s="79"/>
      <c r="L5" s="79"/>
      <c r="M5" s="79"/>
      <c r="N5" s="81"/>
      <c r="O5" s="390"/>
    </row>
    <row r="6" spans="2:15" x14ac:dyDescent="0.2">
      <c r="B6" s="28"/>
      <c r="C6" s="369"/>
      <c r="D6" s="5"/>
      <c r="E6" s="63"/>
      <c r="F6" s="63"/>
      <c r="G6" s="63"/>
      <c r="H6" s="63"/>
      <c r="I6" s="63"/>
      <c r="J6" s="63"/>
      <c r="K6" s="63"/>
      <c r="L6" s="63"/>
      <c r="M6" s="63"/>
      <c r="N6" s="70"/>
    </row>
    <row r="7" spans="2:15" x14ac:dyDescent="0.2">
      <c r="B7" s="28"/>
      <c r="C7" s="369"/>
      <c r="D7" s="5"/>
      <c r="E7" s="63"/>
      <c r="F7" s="63"/>
      <c r="G7" s="63"/>
      <c r="H7" s="63"/>
      <c r="I7" s="63"/>
      <c r="J7" s="63"/>
      <c r="K7" s="63"/>
      <c r="L7" s="63"/>
      <c r="M7" s="63"/>
      <c r="N7" s="70"/>
    </row>
    <row r="8" spans="2:15" s="389" customFormat="1" x14ac:dyDescent="0.2">
      <c r="B8" s="371"/>
      <c r="C8" s="372"/>
      <c r="D8" s="392"/>
      <c r="E8" s="374"/>
      <c r="F8" s="457"/>
      <c r="G8" s="457"/>
      <c r="H8" s="457">
        <f>tab!C4</f>
        <v>2023</v>
      </c>
      <c r="I8" s="457">
        <f>tab!D4</f>
        <v>2024</v>
      </c>
      <c r="J8" s="457">
        <f>tab!E4</f>
        <v>2025</v>
      </c>
      <c r="K8" s="457">
        <f>tab!F4</f>
        <v>2026</v>
      </c>
      <c r="L8" s="457">
        <f>tab!G4</f>
        <v>2027</v>
      </c>
      <c r="M8" s="374"/>
      <c r="N8" s="168"/>
      <c r="O8" s="388"/>
    </row>
    <row r="9" spans="2:15" x14ac:dyDescent="0.2">
      <c r="B9" s="72"/>
      <c r="C9" s="51"/>
      <c r="D9" s="50"/>
      <c r="E9" s="48"/>
      <c r="F9" s="48"/>
      <c r="G9" s="48"/>
      <c r="H9" s="48"/>
      <c r="I9" s="48"/>
      <c r="J9" s="48"/>
      <c r="K9" s="48"/>
      <c r="L9" s="48"/>
      <c r="M9" s="48"/>
      <c r="N9" s="70"/>
    </row>
    <row r="10" spans="2:15" x14ac:dyDescent="0.2">
      <c r="B10" s="69"/>
      <c r="C10" s="393"/>
      <c r="D10" s="122"/>
      <c r="E10" s="71"/>
      <c r="F10" s="686"/>
      <c r="G10" s="686"/>
      <c r="H10" s="71"/>
      <c r="I10" s="71"/>
      <c r="J10" s="71"/>
      <c r="K10" s="71"/>
      <c r="L10" s="71"/>
      <c r="M10" s="82"/>
      <c r="N10" s="70"/>
    </row>
    <row r="11" spans="2:15" s="398" customFormat="1" x14ac:dyDescent="0.2">
      <c r="B11" s="72"/>
      <c r="C11" s="394"/>
      <c r="D11" s="147" t="s">
        <v>547</v>
      </c>
      <c r="E11" s="155"/>
      <c r="F11" s="1049"/>
      <c r="G11" s="1049"/>
      <c r="H11" s="395">
        <f>bal!H22</f>
        <v>10898124.787743192</v>
      </c>
      <c r="I11" s="395">
        <f>bal!I22</f>
        <v>21856149.575486384</v>
      </c>
      <c r="J11" s="395">
        <f>bal!J22</f>
        <v>32813063.313229576</v>
      </c>
      <c r="K11" s="395">
        <f>bal!K22</f>
        <v>43769532.630972765</v>
      </c>
      <c r="L11" s="395">
        <f>bal!L22</f>
        <v>54672057.418715961</v>
      </c>
      <c r="M11" s="396"/>
      <c r="N11" s="83"/>
      <c r="O11" s="397"/>
    </row>
    <row r="12" spans="2:15" x14ac:dyDescent="0.2">
      <c r="B12" s="69"/>
      <c r="C12" s="73"/>
      <c r="D12" s="399"/>
      <c r="E12" s="62"/>
      <c r="F12" s="1030"/>
      <c r="G12" s="1030"/>
      <c r="H12" s="62"/>
      <c r="I12" s="62"/>
      <c r="J12" s="62"/>
      <c r="K12" s="62"/>
      <c r="L12" s="62"/>
      <c r="M12" s="400"/>
      <c r="N12" s="70"/>
    </row>
    <row r="13" spans="2:15" x14ac:dyDescent="0.2">
      <c r="B13" s="69"/>
      <c r="C13" s="5"/>
      <c r="D13" s="5"/>
      <c r="E13" s="63"/>
      <c r="F13" s="63"/>
      <c r="G13" s="63"/>
      <c r="H13" s="63"/>
      <c r="I13" s="63"/>
      <c r="J13" s="63"/>
      <c r="K13" s="63"/>
      <c r="L13" s="63"/>
      <c r="M13" s="63"/>
      <c r="N13" s="70"/>
    </row>
    <row r="14" spans="2:15" x14ac:dyDescent="0.2">
      <c r="B14" s="69"/>
      <c r="C14" s="393"/>
      <c r="D14" s="122"/>
      <c r="E14" s="71"/>
      <c r="F14" s="71"/>
      <c r="G14" s="71"/>
      <c r="H14" s="71"/>
      <c r="I14" s="71"/>
      <c r="J14" s="71"/>
      <c r="K14" s="71"/>
      <c r="L14" s="71"/>
      <c r="M14" s="82"/>
      <c r="N14" s="70"/>
    </row>
    <row r="15" spans="2:15" x14ac:dyDescent="0.2">
      <c r="B15" s="69"/>
      <c r="C15" s="401"/>
      <c r="D15" s="462" t="s">
        <v>164</v>
      </c>
      <c r="E15" s="64"/>
      <c r="F15" s="498"/>
      <c r="G15" s="498"/>
      <c r="H15" s="64"/>
      <c r="I15" s="64"/>
      <c r="J15" s="64"/>
      <c r="K15" s="64"/>
      <c r="L15" s="64"/>
      <c r="M15" s="84"/>
      <c r="N15" s="70"/>
    </row>
    <row r="16" spans="2:15" x14ac:dyDescent="0.2">
      <c r="B16" s="69"/>
      <c r="C16" s="401"/>
      <c r="D16" s="153"/>
      <c r="E16" s="64"/>
      <c r="F16" s="498"/>
      <c r="G16" s="498"/>
      <c r="H16" s="64"/>
      <c r="I16" s="64"/>
      <c r="J16" s="64"/>
      <c r="K16" s="64"/>
      <c r="L16" s="64"/>
      <c r="M16" s="84"/>
      <c r="N16" s="70"/>
    </row>
    <row r="17" spans="2:18" x14ac:dyDescent="0.2">
      <c r="B17" s="69"/>
      <c r="C17" s="401"/>
      <c r="D17" s="149" t="s">
        <v>153</v>
      </c>
      <c r="E17" s="64"/>
      <c r="F17" s="1043"/>
      <c r="G17" s="1043"/>
      <c r="H17" s="402">
        <f>begr!H50</f>
        <v>10944149.787743192</v>
      </c>
      <c r="I17" s="402">
        <f>begr!I50</f>
        <v>10944149.787743192</v>
      </c>
      <c r="J17" s="402">
        <f>begr!J50</f>
        <v>10944149.787743192</v>
      </c>
      <c r="K17" s="402">
        <f>begr!K50</f>
        <v>10944149.787743192</v>
      </c>
      <c r="L17" s="402">
        <f>begr!L50</f>
        <v>10944149.787743192</v>
      </c>
      <c r="M17" s="84"/>
      <c r="N17" s="70"/>
    </row>
    <row r="18" spans="2:18" x14ac:dyDescent="0.2">
      <c r="B18" s="69"/>
      <c r="C18" s="401"/>
      <c r="D18" s="149"/>
      <c r="E18" s="64"/>
      <c r="F18" s="498"/>
      <c r="G18" s="498"/>
      <c r="H18" s="64"/>
      <c r="I18" s="64"/>
      <c r="J18" s="64"/>
      <c r="K18" s="64"/>
      <c r="L18" s="64"/>
      <c r="M18" s="84"/>
      <c r="N18" s="70"/>
    </row>
    <row r="19" spans="2:18" x14ac:dyDescent="0.2">
      <c r="B19" s="69"/>
      <c r="C19" s="401"/>
      <c r="D19" s="149" t="s">
        <v>64</v>
      </c>
      <c r="E19" s="64"/>
      <c r="F19" s="499"/>
      <c r="G19" s="499"/>
      <c r="H19" s="61">
        <f>act!F34</f>
        <v>13875</v>
      </c>
      <c r="I19" s="61">
        <f>act!G34</f>
        <v>13875</v>
      </c>
      <c r="J19" s="61">
        <f>act!H34</f>
        <v>13875</v>
      </c>
      <c r="K19" s="61">
        <f>act!I34</f>
        <v>13875</v>
      </c>
      <c r="L19" s="61">
        <f>act!J34</f>
        <v>13875</v>
      </c>
      <c r="M19" s="84"/>
      <c r="N19" s="70"/>
    </row>
    <row r="20" spans="2:18" x14ac:dyDescent="0.2">
      <c r="B20" s="69"/>
      <c r="C20" s="401"/>
      <c r="D20" s="149"/>
      <c r="E20" s="64"/>
      <c r="F20" s="499"/>
      <c r="G20" s="499"/>
      <c r="H20" s="173"/>
      <c r="I20" s="173"/>
      <c r="J20" s="173"/>
      <c r="K20" s="173"/>
      <c r="L20" s="173"/>
      <c r="M20" s="84"/>
      <c r="N20" s="70"/>
    </row>
    <row r="21" spans="2:18" x14ac:dyDescent="0.2">
      <c r="B21" s="69"/>
      <c r="C21" s="401"/>
      <c r="D21" s="403" t="s">
        <v>165</v>
      </c>
      <c r="E21" s="64"/>
      <c r="F21" s="499"/>
      <c r="G21" s="499"/>
      <c r="H21" s="173"/>
      <c r="I21" s="173"/>
      <c r="J21" s="173"/>
      <c r="K21" s="173"/>
      <c r="L21" s="173"/>
      <c r="M21" s="84"/>
      <c r="N21" s="70"/>
    </row>
    <row r="22" spans="2:18" x14ac:dyDescent="0.2">
      <c r="B22" s="69"/>
      <c r="C22" s="401"/>
      <c r="D22" s="149" t="s">
        <v>166</v>
      </c>
      <c r="E22" s="64"/>
      <c r="F22" s="499"/>
      <c r="G22" s="499"/>
      <c r="H22" s="61">
        <f>bal!G19-bal!H19</f>
        <v>0</v>
      </c>
      <c r="I22" s="61">
        <f>bal!H19-bal!I19</f>
        <v>0</v>
      </c>
      <c r="J22" s="61">
        <f>bal!I19-bal!J19</f>
        <v>0</v>
      </c>
      <c r="K22" s="61">
        <f>bal!J19-bal!K19</f>
        <v>0</v>
      </c>
      <c r="L22" s="61">
        <f>bal!K19-bal!L19</f>
        <v>0</v>
      </c>
      <c r="M22" s="84"/>
      <c r="N22" s="70"/>
    </row>
    <row r="23" spans="2:18" x14ac:dyDescent="0.2">
      <c r="B23" s="69"/>
      <c r="C23" s="401"/>
      <c r="D23" s="149" t="s">
        <v>167</v>
      </c>
      <c r="E23" s="64"/>
      <c r="F23" s="499"/>
      <c r="G23" s="499"/>
      <c r="H23" s="61">
        <f>bal!G20-bal!H20</f>
        <v>0</v>
      </c>
      <c r="I23" s="61">
        <f>bal!H20-bal!I20</f>
        <v>0</v>
      </c>
      <c r="J23" s="61">
        <f>bal!I20-bal!J20</f>
        <v>0</v>
      </c>
      <c r="K23" s="61">
        <f>bal!J20-bal!K20</f>
        <v>0</v>
      </c>
      <c r="L23" s="61">
        <f>bal!K20-bal!L20</f>
        <v>0</v>
      </c>
      <c r="M23" s="84"/>
      <c r="N23" s="70"/>
      <c r="R23" s="547"/>
    </row>
    <row r="24" spans="2:18" x14ac:dyDescent="0.2">
      <c r="B24" s="69"/>
      <c r="C24" s="401"/>
      <c r="D24" s="149" t="s">
        <v>168</v>
      </c>
      <c r="E24" s="64"/>
      <c r="F24" s="499"/>
      <c r="G24" s="499"/>
      <c r="H24" s="61">
        <f>bal!G21-bal!H21</f>
        <v>0</v>
      </c>
      <c r="I24" s="61">
        <f>bal!H21-bal!I21</f>
        <v>0</v>
      </c>
      <c r="J24" s="61">
        <f>bal!I21-bal!J21</f>
        <v>0</v>
      </c>
      <c r="K24" s="61">
        <f>bal!J21-bal!K21</f>
        <v>0</v>
      </c>
      <c r="L24" s="61">
        <f>bal!K21-bal!L21</f>
        <v>0</v>
      </c>
      <c r="M24" s="84"/>
      <c r="N24" s="70"/>
    </row>
    <row r="25" spans="2:18" x14ac:dyDescent="0.2">
      <c r="B25" s="69"/>
      <c r="C25" s="401"/>
      <c r="D25" s="149" t="s">
        <v>169</v>
      </c>
      <c r="E25" s="64"/>
      <c r="F25" s="499"/>
      <c r="G25" s="499"/>
      <c r="H25" s="61">
        <f>bal!G54-bal!H54</f>
        <v>0</v>
      </c>
      <c r="I25" s="61">
        <f>bal!H54-bal!I54</f>
        <v>0</v>
      </c>
      <c r="J25" s="61">
        <f>bal!I54-bal!J54</f>
        <v>0</v>
      </c>
      <c r="K25" s="61">
        <f>bal!J54-bal!K54</f>
        <v>0</v>
      </c>
      <c r="L25" s="61">
        <f>bal!K54-bal!L54</f>
        <v>0</v>
      </c>
      <c r="M25" s="84"/>
      <c r="N25" s="70"/>
    </row>
    <row r="26" spans="2:18" x14ac:dyDescent="0.2">
      <c r="B26" s="69"/>
      <c r="C26" s="401"/>
      <c r="D26" s="149"/>
      <c r="E26" s="64"/>
      <c r="F26" s="1050"/>
      <c r="G26" s="1050"/>
      <c r="H26" s="404">
        <f t="shared" ref="H26:L26" si="0">SUM(H22:H25)</f>
        <v>0</v>
      </c>
      <c r="I26" s="404">
        <f t="shared" si="0"/>
        <v>0</v>
      </c>
      <c r="J26" s="404">
        <f t="shared" si="0"/>
        <v>0</v>
      </c>
      <c r="K26" s="404">
        <f t="shared" si="0"/>
        <v>0</v>
      </c>
      <c r="L26" s="404">
        <f t="shared" si="0"/>
        <v>0</v>
      </c>
      <c r="M26" s="84"/>
      <c r="N26" s="70"/>
    </row>
    <row r="27" spans="2:18" x14ac:dyDescent="0.2">
      <c r="B27" s="69"/>
      <c r="C27" s="401"/>
      <c r="D27" s="405"/>
      <c r="E27" s="64"/>
      <c r="F27" s="499"/>
      <c r="G27" s="499"/>
      <c r="H27" s="173"/>
      <c r="I27" s="173"/>
      <c r="J27" s="173"/>
      <c r="K27" s="173"/>
      <c r="L27" s="173"/>
      <c r="M27" s="84"/>
      <c r="N27" s="70"/>
    </row>
    <row r="28" spans="2:18" x14ac:dyDescent="0.2">
      <c r="B28" s="69"/>
      <c r="C28" s="401"/>
      <c r="D28" s="149" t="s">
        <v>170</v>
      </c>
      <c r="E28" s="64"/>
      <c r="F28" s="499"/>
      <c r="G28" s="499"/>
      <c r="H28" s="61">
        <f>bal!H41-bal!G41</f>
        <v>0</v>
      </c>
      <c r="I28" s="61">
        <f>bal!I41-bal!H41</f>
        <v>0</v>
      </c>
      <c r="J28" s="61">
        <f>bal!J41-bal!I41</f>
        <v>-1111.05</v>
      </c>
      <c r="K28" s="61">
        <f>bal!K41-bal!J41</f>
        <v>-1555.47</v>
      </c>
      <c r="L28" s="61">
        <f>bal!L41-bal!K41</f>
        <v>0</v>
      </c>
      <c r="M28" s="84"/>
      <c r="N28" s="70"/>
    </row>
    <row r="29" spans="2:18" x14ac:dyDescent="0.2">
      <c r="B29" s="69"/>
      <c r="C29" s="401"/>
      <c r="D29" s="149"/>
      <c r="E29" s="64"/>
      <c r="F29" s="499"/>
      <c r="G29" s="499"/>
      <c r="H29" s="173"/>
      <c r="I29" s="173"/>
      <c r="J29" s="173"/>
      <c r="K29" s="173"/>
      <c r="L29" s="173"/>
      <c r="M29" s="84"/>
      <c r="N29" s="70"/>
    </row>
    <row r="30" spans="2:18" x14ac:dyDescent="0.2">
      <c r="B30" s="69"/>
      <c r="C30" s="401"/>
      <c r="D30" s="153" t="s">
        <v>44</v>
      </c>
      <c r="E30" s="64"/>
      <c r="F30" s="1051"/>
      <c r="G30" s="1051"/>
      <c r="H30" s="406">
        <f>H17+H19+H26+I28</f>
        <v>10958024.787743192</v>
      </c>
      <c r="I30" s="406">
        <f>I17+I19+I26+J28</f>
        <v>10956913.737743191</v>
      </c>
      <c r="J30" s="406">
        <f>J17+J19+J26+K28</f>
        <v>10956469.317743191</v>
      </c>
      <c r="K30" s="406">
        <f>K17+K19+K26+L28</f>
        <v>10958024.787743192</v>
      </c>
      <c r="L30" s="406">
        <f>L17+L19+L26+L28</f>
        <v>10958024.787743192</v>
      </c>
      <c r="M30" s="84"/>
      <c r="N30" s="70"/>
    </row>
    <row r="31" spans="2:18" x14ac:dyDescent="0.2">
      <c r="B31" s="69"/>
      <c r="C31" s="401"/>
      <c r="D31" s="149"/>
      <c r="E31" s="64"/>
      <c r="F31" s="499"/>
      <c r="G31" s="499"/>
      <c r="H31" s="173"/>
      <c r="I31" s="173"/>
      <c r="J31" s="173"/>
      <c r="K31" s="173"/>
      <c r="L31" s="173"/>
      <c r="M31" s="84"/>
      <c r="N31" s="70"/>
    </row>
    <row r="32" spans="2:18" x14ac:dyDescent="0.2">
      <c r="B32" s="69"/>
      <c r="C32" s="5"/>
      <c r="D32" s="5"/>
      <c r="E32" s="63"/>
      <c r="F32" s="63"/>
      <c r="G32" s="63"/>
      <c r="H32" s="63"/>
      <c r="I32" s="63"/>
      <c r="J32" s="63"/>
      <c r="K32" s="63"/>
      <c r="L32" s="63"/>
      <c r="M32" s="63"/>
      <c r="N32" s="70"/>
    </row>
    <row r="33" spans="2:17" x14ac:dyDescent="0.2">
      <c r="B33" s="69"/>
      <c r="C33" s="401"/>
      <c r="D33" s="149"/>
      <c r="E33" s="64"/>
      <c r="F33" s="173"/>
      <c r="G33" s="173"/>
      <c r="H33" s="173"/>
      <c r="I33" s="173"/>
      <c r="J33" s="173"/>
      <c r="K33" s="173"/>
      <c r="L33" s="173"/>
      <c r="M33" s="84"/>
      <c r="N33" s="70"/>
    </row>
    <row r="34" spans="2:17" x14ac:dyDescent="0.2">
      <c r="B34" s="69"/>
      <c r="C34" s="401"/>
      <c r="D34" s="462" t="s">
        <v>171</v>
      </c>
      <c r="E34" s="64"/>
      <c r="F34" s="499"/>
      <c r="G34" s="499"/>
      <c r="H34" s="173"/>
      <c r="I34" s="173"/>
      <c r="J34" s="173"/>
      <c r="K34" s="173"/>
      <c r="L34" s="173"/>
      <c r="M34" s="84"/>
      <c r="N34" s="70"/>
    </row>
    <row r="35" spans="2:17" x14ac:dyDescent="0.2">
      <c r="B35" s="69"/>
      <c r="C35" s="401"/>
      <c r="D35" s="153"/>
      <c r="E35" s="64"/>
      <c r="F35" s="499"/>
      <c r="G35" s="499"/>
      <c r="H35" s="173"/>
      <c r="I35" s="173"/>
      <c r="J35" s="173"/>
      <c r="K35" s="173"/>
      <c r="L35" s="173"/>
      <c r="M35" s="84"/>
      <c r="N35" s="70"/>
    </row>
    <row r="36" spans="2:17" x14ac:dyDescent="0.2">
      <c r="B36" s="69"/>
      <c r="C36" s="401"/>
      <c r="D36" s="149" t="s">
        <v>196</v>
      </c>
      <c r="E36" s="64"/>
      <c r="F36" s="499"/>
      <c r="G36" s="499"/>
      <c r="H36" s="61">
        <f>act!F25</f>
        <v>0</v>
      </c>
      <c r="I36" s="61">
        <f>act!G25</f>
        <v>0</v>
      </c>
      <c r="J36" s="61">
        <f>act!H25</f>
        <v>0</v>
      </c>
      <c r="K36" s="61">
        <f>act!I25</f>
        <v>55500</v>
      </c>
      <c r="L36" s="61">
        <f>act!J25</f>
        <v>0</v>
      </c>
      <c r="M36" s="84"/>
      <c r="N36" s="70"/>
    </row>
    <row r="37" spans="2:17" x14ac:dyDescent="0.2">
      <c r="B37" s="69"/>
      <c r="C37" s="401"/>
      <c r="D37" s="149" t="s">
        <v>197</v>
      </c>
      <c r="E37" s="64"/>
      <c r="F37" s="499"/>
      <c r="G37" s="499"/>
      <c r="H37" s="61">
        <f>bal!I14-bal!H14</f>
        <v>0</v>
      </c>
      <c r="I37" s="61">
        <f>bal!J14-bal!I14</f>
        <v>0</v>
      </c>
      <c r="J37" s="61">
        <f>bal!K14-bal!J14</f>
        <v>0</v>
      </c>
      <c r="K37" s="61">
        <f>bal!L14-bal!K14</f>
        <v>0</v>
      </c>
      <c r="L37" s="61">
        <f>bal!L14-bal!L14</f>
        <v>0</v>
      </c>
      <c r="M37" s="84"/>
      <c r="N37" s="70"/>
    </row>
    <row r="38" spans="2:17" x14ac:dyDescent="0.2">
      <c r="B38" s="69"/>
      <c r="C38" s="401"/>
      <c r="D38" s="149" t="s">
        <v>198</v>
      </c>
      <c r="E38" s="64"/>
      <c r="F38" s="499"/>
      <c r="G38" s="499"/>
      <c r="H38" s="61">
        <f>bal!I16-bal!H16</f>
        <v>0</v>
      </c>
      <c r="I38" s="61">
        <f>bal!J16-bal!I16</f>
        <v>0</v>
      </c>
      <c r="J38" s="61">
        <f>bal!K16-bal!J16</f>
        <v>0</v>
      </c>
      <c r="K38" s="61">
        <f>bal!L16-bal!K16</f>
        <v>0</v>
      </c>
      <c r="L38" s="61">
        <f>bal!L16-bal!L16</f>
        <v>0</v>
      </c>
      <c r="M38" s="84"/>
      <c r="N38" s="70"/>
    </row>
    <row r="39" spans="2:17" x14ac:dyDescent="0.2">
      <c r="B39" s="69"/>
      <c r="C39" s="401"/>
      <c r="D39" s="149"/>
      <c r="E39" s="64"/>
      <c r="F39" s="499"/>
      <c r="G39" s="499"/>
      <c r="H39" s="173"/>
      <c r="I39" s="173"/>
      <c r="J39" s="173"/>
      <c r="K39" s="173"/>
      <c r="L39" s="173"/>
      <c r="M39" s="84"/>
      <c r="N39" s="70"/>
    </row>
    <row r="40" spans="2:17" x14ac:dyDescent="0.2">
      <c r="B40" s="69"/>
      <c r="C40" s="401"/>
      <c r="D40" s="153"/>
      <c r="E40" s="64"/>
      <c r="F40" s="787"/>
      <c r="G40" s="787"/>
      <c r="H40" s="407">
        <f t="shared" ref="H40:L40" si="1">SUM(H36:H38)</f>
        <v>0</v>
      </c>
      <c r="I40" s="407">
        <f t="shared" si="1"/>
        <v>0</v>
      </c>
      <c r="J40" s="407">
        <f t="shared" si="1"/>
        <v>0</v>
      </c>
      <c r="K40" s="407">
        <f t="shared" si="1"/>
        <v>55500</v>
      </c>
      <c r="L40" s="407">
        <f t="shared" si="1"/>
        <v>0</v>
      </c>
      <c r="M40" s="84"/>
      <c r="N40" s="70"/>
    </row>
    <row r="41" spans="2:17" x14ac:dyDescent="0.2">
      <c r="B41" s="69"/>
      <c r="C41" s="401"/>
      <c r="D41" s="149"/>
      <c r="E41" s="64"/>
      <c r="F41" s="499"/>
      <c r="G41" s="499"/>
      <c r="H41" s="173"/>
      <c r="I41" s="173"/>
      <c r="J41" s="173"/>
      <c r="K41" s="173"/>
      <c r="L41" s="173"/>
      <c r="M41" s="84"/>
      <c r="N41" s="70"/>
    </row>
    <row r="42" spans="2:17" x14ac:dyDescent="0.2">
      <c r="B42" s="69"/>
      <c r="C42" s="5"/>
      <c r="D42" s="5"/>
      <c r="E42" s="63"/>
      <c r="F42" s="63"/>
      <c r="G42" s="63"/>
      <c r="H42" s="63"/>
      <c r="I42" s="63"/>
      <c r="J42" s="63"/>
      <c r="K42" s="63"/>
      <c r="L42" s="63"/>
      <c r="M42" s="63"/>
      <c r="N42" s="70"/>
    </row>
    <row r="43" spans="2:17" x14ac:dyDescent="0.2">
      <c r="B43" s="69"/>
      <c r="C43" s="401"/>
      <c r="D43" s="149"/>
      <c r="E43" s="64"/>
      <c r="F43" s="499"/>
      <c r="G43" s="499"/>
      <c r="H43" s="173"/>
      <c r="I43" s="173"/>
      <c r="J43" s="173"/>
      <c r="K43" s="173"/>
      <c r="L43" s="173"/>
      <c r="M43" s="84"/>
      <c r="N43" s="70"/>
    </row>
    <row r="44" spans="2:17" x14ac:dyDescent="0.2">
      <c r="B44" s="69"/>
      <c r="C44" s="401"/>
      <c r="D44" s="462" t="s">
        <v>172</v>
      </c>
      <c r="E44" s="64"/>
      <c r="F44" s="1051"/>
      <c r="G44" s="1051"/>
      <c r="H44" s="406">
        <f>bal!I45-bal!H45</f>
        <v>0</v>
      </c>
      <c r="I44" s="406">
        <f>bal!J45-bal!I45</f>
        <v>0</v>
      </c>
      <c r="J44" s="406">
        <f>bal!K45-bal!J45</f>
        <v>0</v>
      </c>
      <c r="K44" s="406">
        <f>bal!L45-bal!K45</f>
        <v>0</v>
      </c>
      <c r="L44" s="406">
        <f>bal!L45-bal!L45</f>
        <v>0</v>
      </c>
      <c r="M44" s="84"/>
      <c r="N44" s="70"/>
    </row>
    <row r="45" spans="2:17" x14ac:dyDescent="0.2">
      <c r="B45" s="69"/>
      <c r="C45" s="401"/>
      <c r="D45" s="153"/>
      <c r="E45" s="64"/>
      <c r="F45" s="499"/>
      <c r="G45" s="499"/>
      <c r="H45" s="173"/>
      <c r="I45" s="173"/>
      <c r="J45" s="173"/>
      <c r="K45" s="173"/>
      <c r="L45" s="173"/>
      <c r="M45" s="84"/>
      <c r="N45" s="70"/>
    </row>
    <row r="46" spans="2:17" x14ac:dyDescent="0.2">
      <c r="B46" s="69"/>
      <c r="C46" s="5"/>
      <c r="D46" s="5"/>
      <c r="E46" s="63"/>
      <c r="F46" s="63"/>
      <c r="G46" s="63"/>
      <c r="H46" s="63"/>
      <c r="I46" s="63"/>
      <c r="J46" s="63"/>
      <c r="K46" s="63"/>
      <c r="L46" s="63"/>
      <c r="M46" s="63"/>
      <c r="N46" s="70"/>
    </row>
    <row r="47" spans="2:17" x14ac:dyDescent="0.2">
      <c r="B47" s="69"/>
      <c r="C47" s="401"/>
      <c r="D47" s="149"/>
      <c r="E47" s="64"/>
      <c r="F47" s="499"/>
      <c r="G47" s="499"/>
      <c r="H47" s="173"/>
      <c r="I47" s="173"/>
      <c r="J47" s="173"/>
      <c r="K47" s="173"/>
      <c r="L47" s="173"/>
      <c r="M47" s="84"/>
      <c r="N47" s="70"/>
    </row>
    <row r="48" spans="2:17" x14ac:dyDescent="0.2">
      <c r="B48" s="69"/>
      <c r="C48" s="401"/>
      <c r="D48" s="470" t="s">
        <v>173</v>
      </c>
      <c r="E48" s="64"/>
      <c r="F48" s="1051"/>
      <c r="G48" s="1051"/>
      <c r="H48" s="406">
        <f t="shared" ref="H48:L48" si="2">H30-H40+H44</f>
        <v>10958024.787743192</v>
      </c>
      <c r="I48" s="406">
        <f t="shared" si="2"/>
        <v>10956913.737743191</v>
      </c>
      <c r="J48" s="406">
        <f t="shared" si="2"/>
        <v>10956469.317743191</v>
      </c>
      <c r="K48" s="406">
        <f t="shared" si="2"/>
        <v>10902524.787743192</v>
      </c>
      <c r="L48" s="406">
        <f t="shared" si="2"/>
        <v>10958024.787743192</v>
      </c>
      <c r="M48" s="84"/>
      <c r="N48" s="70"/>
      <c r="Q48" s="547"/>
    </row>
    <row r="49" spans="2:15" x14ac:dyDescent="0.2">
      <c r="B49" s="69"/>
      <c r="C49" s="401"/>
      <c r="D49" s="408" t="s">
        <v>174</v>
      </c>
      <c r="E49" s="409"/>
      <c r="F49" s="1052"/>
      <c r="G49" s="1052"/>
      <c r="H49" s="410">
        <f>bal!I22-bal!H22</f>
        <v>10958024.787743192</v>
      </c>
      <c r="I49" s="410">
        <f>bal!J22-bal!I22</f>
        <v>10956913.737743191</v>
      </c>
      <c r="J49" s="410">
        <f>bal!K22-bal!J22</f>
        <v>10956469.31774319</v>
      </c>
      <c r="K49" s="410">
        <f>bal!L22-bal!K22</f>
        <v>10902524.787743196</v>
      </c>
      <c r="L49" s="410">
        <v>10886208</v>
      </c>
      <c r="M49" s="84"/>
      <c r="N49" s="70"/>
    </row>
    <row r="50" spans="2:15" x14ac:dyDescent="0.2">
      <c r="B50" s="69"/>
      <c r="C50" s="401"/>
      <c r="D50" s="149"/>
      <c r="E50" s="64"/>
      <c r="F50" s="499"/>
      <c r="G50" s="499"/>
      <c r="H50" s="173"/>
      <c r="I50" s="173"/>
      <c r="J50" s="173"/>
      <c r="K50" s="173"/>
      <c r="L50" s="173"/>
      <c r="M50" s="84"/>
      <c r="N50" s="70"/>
    </row>
    <row r="51" spans="2:15" s="398" customFormat="1" x14ac:dyDescent="0.2">
      <c r="B51" s="72"/>
      <c r="C51" s="394"/>
      <c r="D51" s="462" t="s">
        <v>175</v>
      </c>
      <c r="E51" s="155"/>
      <c r="F51" s="1051"/>
      <c r="G51" s="1051"/>
      <c r="H51" s="406">
        <f t="shared" ref="H51:K51" si="3">H11+H48</f>
        <v>21856149.575486384</v>
      </c>
      <c r="I51" s="406">
        <f t="shared" si="3"/>
        <v>32813063.313229576</v>
      </c>
      <c r="J51" s="406">
        <f t="shared" si="3"/>
        <v>43769532.630972765</v>
      </c>
      <c r="K51" s="406">
        <f t="shared" si="3"/>
        <v>54672057.418715954</v>
      </c>
      <c r="L51" s="406">
        <f>L11+L48</f>
        <v>65630082.20645915</v>
      </c>
      <c r="M51" s="396"/>
      <c r="N51" s="83"/>
      <c r="O51" s="397"/>
    </row>
    <row r="52" spans="2:15" s="398" customFormat="1" x14ac:dyDescent="0.2">
      <c r="B52" s="72"/>
      <c r="C52" s="394"/>
      <c r="D52" s="411" t="s">
        <v>176</v>
      </c>
      <c r="E52" s="412"/>
      <c r="F52" s="1053"/>
      <c r="G52" s="1053"/>
      <c r="H52" s="413" t="str">
        <f>bal!H64</f>
        <v>nvt</v>
      </c>
      <c r="I52" s="413" t="str">
        <f>bal!I64</f>
        <v>nvt</v>
      </c>
      <c r="J52" s="413" t="str">
        <f>bal!J64</f>
        <v>nvt</v>
      </c>
      <c r="K52" s="413" t="str">
        <f>bal!K64</f>
        <v>nvt</v>
      </c>
      <c r="L52" s="413" t="str">
        <f>bal!L64</f>
        <v>nvt</v>
      </c>
      <c r="M52" s="413"/>
      <c r="N52" s="83"/>
      <c r="O52" s="397"/>
    </row>
    <row r="53" spans="2:15" x14ac:dyDescent="0.2">
      <c r="B53" s="69"/>
      <c r="C53" s="73"/>
      <c r="D53" s="74"/>
      <c r="E53" s="62"/>
      <c r="F53" s="414"/>
      <c r="G53" s="414"/>
      <c r="H53" s="414"/>
      <c r="I53" s="414"/>
      <c r="J53" s="414"/>
      <c r="K53" s="414"/>
      <c r="L53" s="414"/>
      <c r="M53" s="400"/>
      <c r="N53" s="70"/>
    </row>
    <row r="54" spans="2:15" x14ac:dyDescent="0.2">
      <c r="B54" s="69"/>
      <c r="C54" s="5"/>
      <c r="D54" s="5"/>
      <c r="E54" s="63"/>
      <c r="F54" s="415"/>
      <c r="G54" s="415"/>
      <c r="H54" s="415"/>
      <c r="I54" s="415"/>
      <c r="J54" s="415"/>
      <c r="K54" s="415"/>
      <c r="L54" s="415"/>
      <c r="M54" s="63"/>
      <c r="N54" s="70"/>
    </row>
    <row r="55" spans="2:15" x14ac:dyDescent="0.2">
      <c r="B55" s="78"/>
      <c r="C55" s="75"/>
      <c r="D55" s="75"/>
      <c r="E55" s="76"/>
      <c r="F55" s="317"/>
      <c r="G55" s="317"/>
      <c r="H55" s="317"/>
      <c r="I55" s="317"/>
      <c r="J55" s="317"/>
      <c r="K55" s="317"/>
      <c r="L55" s="317"/>
      <c r="M55" s="493" t="s">
        <v>254</v>
      </c>
      <c r="N55" s="77"/>
    </row>
  </sheetData>
  <sheetProtection algorithmName="SHA-512" hashValue="QiEV17prZbICKY8keZmkc9mD+vhUZJa+mhIyUrhZFYn0YjgBY7/JirM4H3sJaasXXBEcvC7AsGvZsuykhSTyLw==" saltValue="X4xYj+xg4qoEDIGLz1E2QA==" spinCount="100000" sheet="1" objects="1" scenarios="1"/>
  <phoneticPr fontId="0" type="noConversion"/>
  <hyperlinks>
    <hyperlink ref="M55" r:id="rId1" xr:uid="{00000000-0004-0000-0D00-000000000000}"/>
  </hyperlinks>
  <pageMargins left="0.74803149606299213" right="0.74803149606299213" top="0.98425196850393704" bottom="0.98425196850393704" header="0.51181102362204722" footer="0.51181102362204722"/>
  <pageSetup paperSize="9" scale="66"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4" min="1" max="64" man="1"/>
  </colBreaks>
  <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1232"/>
  <sheetViews>
    <sheetView zoomScale="85" zoomScaleNormal="85" workbookViewId="0">
      <selection activeCell="B2" sqref="B2"/>
    </sheetView>
  </sheetViews>
  <sheetFormatPr defaultRowHeight="12.75" x14ac:dyDescent="0.2"/>
  <cols>
    <col min="1" max="1" width="3.7109375" style="495" customWidth="1"/>
    <col min="2" max="3" width="2.7109375" style="501" customWidth="1"/>
    <col min="4" max="4" width="41" style="501" customWidth="1"/>
    <col min="5" max="5" width="9.42578125" style="501" customWidth="1"/>
    <col min="6" max="6" width="14.85546875" style="502" hidden="1" customWidth="1"/>
    <col min="7" max="7" width="1.5703125" style="502" customWidth="1"/>
    <col min="8" max="12" width="14.85546875" style="502" customWidth="1"/>
    <col min="13" max="13" width="2.7109375" style="503" customWidth="1"/>
    <col min="14" max="14" width="2.7109375" style="501" customWidth="1"/>
    <col min="15" max="16" width="14.7109375" style="495" customWidth="1"/>
    <col min="17" max="37" width="9.140625" style="495"/>
    <col min="38" max="16384" width="9.140625" style="501"/>
  </cols>
  <sheetData>
    <row r="1" spans="1:37" s="495" customFormat="1" x14ac:dyDescent="0.2">
      <c r="F1" s="544"/>
      <c r="G1" s="544"/>
      <c r="H1" s="544"/>
      <c r="I1" s="544"/>
      <c r="J1" s="544"/>
      <c r="K1" s="544"/>
      <c r="L1" s="544"/>
      <c r="M1" s="545"/>
    </row>
    <row r="2" spans="1:37" x14ac:dyDescent="0.2">
      <c r="B2" s="522"/>
      <c r="C2" s="504"/>
      <c r="D2" s="504"/>
      <c r="E2" s="504"/>
      <c r="F2" s="505"/>
      <c r="G2" s="505"/>
      <c r="H2" s="505"/>
      <c r="I2" s="505"/>
      <c r="J2" s="505"/>
      <c r="K2" s="505"/>
      <c r="L2" s="505"/>
      <c r="M2" s="506"/>
      <c r="N2" s="507"/>
    </row>
    <row r="3" spans="1:37" x14ac:dyDescent="0.2">
      <c r="B3" s="508"/>
      <c r="C3" s="509"/>
      <c r="D3" s="509"/>
      <c r="E3" s="509"/>
      <c r="F3" s="510"/>
      <c r="G3" s="510"/>
      <c r="H3" s="510"/>
      <c r="I3" s="510"/>
      <c r="J3" s="510"/>
      <c r="K3" s="510"/>
      <c r="L3" s="510"/>
      <c r="M3" s="511"/>
      <c r="N3" s="612"/>
    </row>
    <row r="4" spans="1:37" s="516" customFormat="1" ht="18.75" x14ac:dyDescent="0.3">
      <c r="A4" s="546"/>
      <c r="B4" s="512"/>
      <c r="C4" s="975" t="s">
        <v>588</v>
      </c>
      <c r="D4" s="513"/>
      <c r="E4" s="513"/>
      <c r="F4" s="514"/>
      <c r="G4" s="514"/>
      <c r="H4" s="514"/>
      <c r="I4" s="514"/>
      <c r="J4" s="514"/>
      <c r="K4" s="514"/>
      <c r="L4" s="514"/>
      <c r="M4" s="515"/>
      <c r="N4" s="613"/>
      <c r="O4" s="546"/>
      <c r="P4" s="546"/>
      <c r="Q4" s="546"/>
      <c r="R4" s="546"/>
      <c r="S4" s="546"/>
      <c r="T4" s="546"/>
      <c r="U4" s="546"/>
      <c r="V4" s="546"/>
      <c r="W4" s="546"/>
      <c r="X4" s="546"/>
      <c r="Y4" s="546"/>
      <c r="Z4" s="546"/>
      <c r="AA4" s="546"/>
      <c r="AB4" s="546"/>
      <c r="AC4" s="546"/>
      <c r="AD4" s="546"/>
      <c r="AE4" s="546"/>
      <c r="AF4" s="546"/>
      <c r="AG4" s="546"/>
      <c r="AH4" s="546"/>
      <c r="AI4" s="546"/>
      <c r="AJ4" s="546"/>
      <c r="AK4" s="546"/>
    </row>
    <row r="5" spans="1:37" s="516" customFormat="1" ht="18.75" x14ac:dyDescent="0.3">
      <c r="A5" s="546"/>
      <c r="B5" s="512"/>
      <c r="C5" s="975" t="str">
        <f>'geg ll'!C5</f>
        <v>Voorbeeld SWV VO Alkmaar</v>
      </c>
      <c r="D5" s="513"/>
      <c r="E5" s="513"/>
      <c r="F5" s="514"/>
      <c r="G5" s="514"/>
      <c r="H5" s="514"/>
      <c r="I5" s="514"/>
      <c r="J5" s="514"/>
      <c r="K5" s="514"/>
      <c r="L5" s="514"/>
      <c r="M5" s="515"/>
      <c r="N5" s="613"/>
      <c r="O5" s="546"/>
      <c r="P5" s="546"/>
      <c r="Q5" s="546"/>
      <c r="R5" s="546"/>
      <c r="S5" s="546"/>
      <c r="T5" s="546"/>
      <c r="U5" s="546"/>
      <c r="V5" s="546"/>
      <c r="W5" s="546"/>
      <c r="X5" s="546"/>
      <c r="Y5" s="546"/>
      <c r="Z5" s="546"/>
      <c r="AA5" s="546"/>
      <c r="AB5" s="546"/>
      <c r="AC5" s="546"/>
      <c r="AD5" s="546"/>
      <c r="AE5" s="546"/>
      <c r="AF5" s="546"/>
      <c r="AG5" s="546"/>
      <c r="AH5" s="546"/>
      <c r="AI5" s="546"/>
      <c r="AJ5" s="546"/>
      <c r="AK5" s="546"/>
    </row>
    <row r="6" spans="1:37" x14ac:dyDescent="0.2">
      <c r="B6" s="508"/>
      <c r="C6" s="509"/>
      <c r="D6" s="509"/>
      <c r="E6" s="509"/>
      <c r="F6" s="510"/>
      <c r="G6" s="510"/>
      <c r="H6" s="510"/>
      <c r="I6" s="510"/>
      <c r="J6" s="510"/>
      <c r="K6" s="510"/>
      <c r="L6" s="510"/>
      <c r="M6" s="511"/>
      <c r="N6" s="612"/>
    </row>
    <row r="7" spans="1:37" x14ac:dyDescent="0.2">
      <c r="B7" s="508"/>
      <c r="C7" s="509"/>
      <c r="D7" s="509"/>
      <c r="E7" s="509"/>
      <c r="F7" s="523" t="e">
        <f>+tab!#REF!</f>
        <v>#REF!</v>
      </c>
      <c r="G7" s="523"/>
      <c r="H7" s="523">
        <f>tab!C4</f>
        <v>2023</v>
      </c>
      <c r="I7" s="523">
        <f>tab!D4</f>
        <v>2024</v>
      </c>
      <c r="J7" s="523">
        <f>tab!E4</f>
        <v>2025</v>
      </c>
      <c r="K7" s="523">
        <f>tab!F4</f>
        <v>2026</v>
      </c>
      <c r="L7" s="523">
        <f>tab!G4</f>
        <v>2027</v>
      </c>
      <c r="M7" s="509"/>
      <c r="N7" s="612"/>
    </row>
    <row r="8" spans="1:37" x14ac:dyDescent="0.2">
      <c r="B8" s="508"/>
      <c r="C8" s="509"/>
      <c r="D8" s="509"/>
      <c r="E8" s="509"/>
      <c r="F8" s="517"/>
      <c r="G8" s="517"/>
      <c r="H8" s="517"/>
      <c r="I8" s="517"/>
      <c r="J8" s="517"/>
      <c r="K8" s="517"/>
      <c r="L8" s="517"/>
      <c r="M8" s="511"/>
      <c r="N8" s="612"/>
    </row>
    <row r="9" spans="1:37" x14ac:dyDescent="0.2">
      <c r="B9" s="518"/>
      <c r="C9" s="548"/>
      <c r="D9" s="548"/>
      <c r="E9" s="548"/>
      <c r="F9" s="549"/>
      <c r="G9" s="549"/>
      <c r="H9" s="549"/>
      <c r="I9" s="549"/>
      <c r="J9" s="549"/>
      <c r="K9" s="549"/>
      <c r="L9" s="549"/>
      <c r="M9" s="548"/>
      <c r="N9" s="612"/>
    </row>
    <row r="10" spans="1:37" x14ac:dyDescent="0.2">
      <c r="B10" s="518"/>
      <c r="C10" s="548"/>
      <c r="D10" s="550" t="s">
        <v>500</v>
      </c>
      <c r="E10" s="548"/>
      <c r="F10" s="549"/>
      <c r="G10" s="549"/>
      <c r="H10" s="549"/>
      <c r="I10" s="549"/>
      <c r="J10" s="549"/>
      <c r="K10" s="549"/>
      <c r="L10" s="549"/>
      <c r="M10" s="548"/>
      <c r="N10" s="612"/>
    </row>
    <row r="11" spans="1:37" x14ac:dyDescent="0.2">
      <c r="B11" s="518"/>
      <c r="C11" s="548"/>
      <c r="D11" s="548"/>
      <c r="E11" s="548"/>
      <c r="F11" s="549"/>
      <c r="G11" s="549"/>
      <c r="H11" s="549"/>
      <c r="I11" s="549"/>
      <c r="J11" s="549"/>
      <c r="K11" s="549"/>
      <c r="L11" s="549"/>
      <c r="M11" s="548"/>
      <c r="N11" s="612"/>
    </row>
    <row r="12" spans="1:37" x14ac:dyDescent="0.2">
      <c r="B12" s="518"/>
      <c r="C12" s="548"/>
      <c r="D12" s="551" t="s">
        <v>260</v>
      </c>
      <c r="E12" s="548"/>
      <c r="F12" s="549"/>
      <c r="G12" s="587"/>
      <c r="H12" s="549"/>
      <c r="I12" s="549"/>
      <c r="J12" s="549"/>
      <c r="K12" s="549"/>
      <c r="L12" s="549"/>
      <c r="M12" s="548"/>
      <c r="N12" s="612"/>
    </row>
    <row r="13" spans="1:37" x14ac:dyDescent="0.2">
      <c r="B13" s="518"/>
      <c r="C13" s="548"/>
      <c r="D13" s="548" t="s">
        <v>261</v>
      </c>
      <c r="E13" s="548"/>
      <c r="F13" s="552" t="e">
        <f>begr!F74</f>
        <v>#REF!</v>
      </c>
      <c r="G13" s="582"/>
      <c r="H13" s="552">
        <f>begr!H23</f>
        <v>21082407.537743192</v>
      </c>
      <c r="I13" s="552">
        <f>begr!I23</f>
        <v>21082407.537743192</v>
      </c>
      <c r="J13" s="552">
        <f>begr!J23</f>
        <v>21082407.537743192</v>
      </c>
      <c r="K13" s="552">
        <f>begr!K23</f>
        <v>21082407.537743192</v>
      </c>
      <c r="L13" s="552">
        <f>begr!L23</f>
        <v>21082407.537743192</v>
      </c>
      <c r="M13" s="548"/>
      <c r="N13" s="612"/>
    </row>
    <row r="14" spans="1:37" x14ac:dyDescent="0.2">
      <c r="B14" s="518"/>
      <c r="C14" s="548"/>
      <c r="D14" s="548" t="s">
        <v>262</v>
      </c>
      <c r="E14" s="548"/>
      <c r="F14" s="552">
        <f>begr!F95</f>
        <v>0</v>
      </c>
      <c r="G14" s="582"/>
      <c r="H14" s="552">
        <f>begr!H43</f>
        <v>0</v>
      </c>
      <c r="I14" s="552">
        <f>begr!I43</f>
        <v>0</v>
      </c>
      <c r="J14" s="552">
        <f>begr!J43</f>
        <v>0</v>
      </c>
      <c r="K14" s="552">
        <f>begr!K43</f>
        <v>0</v>
      </c>
      <c r="L14" s="552">
        <f>begr!L43</f>
        <v>0</v>
      </c>
      <c r="M14" s="548"/>
      <c r="N14" s="612"/>
    </row>
    <row r="15" spans="1:37" x14ac:dyDescent="0.2">
      <c r="B15" s="519"/>
      <c r="C15" s="548"/>
      <c r="D15" s="553" t="s">
        <v>44</v>
      </c>
      <c r="E15" s="548"/>
      <c r="F15" s="554" t="e">
        <f t="shared" ref="F15:K15" si="0">SUM(F13:F14)</f>
        <v>#REF!</v>
      </c>
      <c r="G15" s="1054"/>
      <c r="H15" s="554">
        <f t="shared" si="0"/>
        <v>21082407.537743192</v>
      </c>
      <c r="I15" s="554">
        <f t="shared" si="0"/>
        <v>21082407.537743192</v>
      </c>
      <c r="J15" s="554">
        <f t="shared" si="0"/>
        <v>21082407.537743192</v>
      </c>
      <c r="K15" s="554">
        <f t="shared" si="0"/>
        <v>21082407.537743192</v>
      </c>
      <c r="L15" s="554">
        <f>SUM(L13:L14)</f>
        <v>21082407.537743192</v>
      </c>
      <c r="M15" s="548"/>
      <c r="N15" s="612"/>
    </row>
    <row r="16" spans="1:37" x14ac:dyDescent="0.2">
      <c r="B16" s="518"/>
      <c r="C16" s="555"/>
      <c r="D16" s="556" t="s">
        <v>263</v>
      </c>
      <c r="E16" s="557"/>
      <c r="F16" s="653" t="e">
        <f>IF('geg ll'!#REF!=0,0,+F15/'geg ll'!#REF!)</f>
        <v>#REF!</v>
      </c>
      <c r="G16" s="1055"/>
      <c r="H16" s="653">
        <f>IF('geg ll'!G80=0,0,+H15/'geg ll'!G80)</f>
        <v>1372.7313151284798</v>
      </c>
      <c r="I16" s="653">
        <f>IF('geg ll'!H80=0,0,+I15/'geg ll'!H80)</f>
        <v>1372.7313151284798</v>
      </c>
      <c r="J16" s="653">
        <f>IF('geg ll'!I80=0,0,+J15/'geg ll'!I80)</f>
        <v>1372.7313151284798</v>
      </c>
      <c r="K16" s="653">
        <f>IF('geg ll'!J80=0,0,+K15/'geg ll'!J80)</f>
        <v>1372.7313151284798</v>
      </c>
      <c r="L16" s="653">
        <f>IF('geg ll'!K80=0,0,+L15/'geg ll'!K80)</f>
        <v>1372.7313151284798</v>
      </c>
      <c r="M16" s="548"/>
      <c r="N16" s="612"/>
    </row>
    <row r="17" spans="2:14" x14ac:dyDescent="0.2">
      <c r="B17" s="518"/>
      <c r="C17" s="548"/>
      <c r="D17" s="558"/>
      <c r="E17" s="548"/>
      <c r="F17" s="559"/>
      <c r="G17" s="582"/>
      <c r="H17" s="559"/>
      <c r="I17" s="559"/>
      <c r="J17" s="559"/>
      <c r="K17" s="559"/>
      <c r="L17" s="559"/>
      <c r="M17" s="548"/>
      <c r="N17" s="612"/>
    </row>
    <row r="18" spans="2:14" x14ac:dyDescent="0.2">
      <c r="B18" s="518"/>
      <c r="C18" s="548"/>
      <c r="D18" s="551" t="s">
        <v>264</v>
      </c>
      <c r="E18" s="548"/>
      <c r="F18" s="560"/>
      <c r="G18" s="1056"/>
      <c r="H18" s="560"/>
      <c r="I18" s="560"/>
      <c r="J18" s="560"/>
      <c r="K18" s="560"/>
      <c r="L18" s="560"/>
      <c r="M18" s="558"/>
      <c r="N18" s="612"/>
    </row>
    <row r="19" spans="2:14" x14ac:dyDescent="0.2">
      <c r="B19" s="518"/>
      <c r="C19" s="548"/>
      <c r="D19" s="548" t="s">
        <v>265</v>
      </c>
      <c r="E19" s="548"/>
      <c r="F19" s="552">
        <f>begr!F87</f>
        <v>0</v>
      </c>
      <c r="G19" s="582"/>
      <c r="H19" s="552">
        <f>begr!H35</f>
        <v>10138257.75</v>
      </c>
      <c r="I19" s="552">
        <f>begr!I35</f>
        <v>10138257.75</v>
      </c>
      <c r="J19" s="552">
        <f>begr!J35</f>
        <v>10138257.75</v>
      </c>
      <c r="K19" s="552">
        <f>begr!K35</f>
        <v>10138257.75</v>
      </c>
      <c r="L19" s="552">
        <f>begr!L35</f>
        <v>10138257.75</v>
      </c>
      <c r="M19" s="548"/>
      <c r="N19" s="612"/>
    </row>
    <row r="20" spans="2:14" x14ac:dyDescent="0.2">
      <c r="B20" s="518"/>
      <c r="C20" s="548"/>
      <c r="D20" s="548" t="s">
        <v>266</v>
      </c>
      <c r="E20" s="548"/>
      <c r="F20" s="552">
        <f>begr!F96</f>
        <v>0</v>
      </c>
      <c r="G20" s="582"/>
      <c r="H20" s="552">
        <f>begr!H44</f>
        <v>0</v>
      </c>
      <c r="I20" s="552">
        <f>begr!I44</f>
        <v>0</v>
      </c>
      <c r="J20" s="552">
        <f>begr!J44</f>
        <v>0</v>
      </c>
      <c r="K20" s="552">
        <f>begr!K44</f>
        <v>0</v>
      </c>
      <c r="L20" s="552">
        <f>begr!L44</f>
        <v>0</v>
      </c>
      <c r="M20" s="548"/>
      <c r="N20" s="612"/>
    </row>
    <row r="21" spans="2:14" x14ac:dyDescent="0.2">
      <c r="B21" s="519"/>
      <c r="C21" s="548"/>
      <c r="D21" s="553" t="s">
        <v>44</v>
      </c>
      <c r="E21" s="548"/>
      <c r="F21" s="554">
        <f t="shared" ref="F21:K21" si="1">SUM(F19:F20)</f>
        <v>0</v>
      </c>
      <c r="G21" s="1054"/>
      <c r="H21" s="554">
        <f t="shared" si="1"/>
        <v>10138257.75</v>
      </c>
      <c r="I21" s="554">
        <f t="shared" si="1"/>
        <v>10138257.75</v>
      </c>
      <c r="J21" s="554">
        <f t="shared" si="1"/>
        <v>10138257.75</v>
      </c>
      <c r="K21" s="554">
        <f t="shared" si="1"/>
        <v>10138257.75</v>
      </c>
      <c r="L21" s="554">
        <f>SUM(L19:L20)</f>
        <v>10138257.75</v>
      </c>
      <c r="M21" s="548"/>
      <c r="N21" s="612"/>
    </row>
    <row r="22" spans="2:14" x14ac:dyDescent="0.2">
      <c r="B22" s="518"/>
      <c r="C22" s="555"/>
      <c r="D22" s="556" t="s">
        <v>263</v>
      </c>
      <c r="E22" s="557"/>
      <c r="F22" s="653" t="e">
        <f>IF('geg ll'!#REF!=0,0,+F21/'geg ll'!#REF!)</f>
        <v>#REF!</v>
      </c>
      <c r="G22" s="1055"/>
      <c r="H22" s="653">
        <f>IF('geg ll'!G$80=0,0,+H21/'geg ll'!G$80)</f>
        <v>660.12877653340274</v>
      </c>
      <c r="I22" s="653">
        <f>IF('geg ll'!H$80=0,0,+I21/'geg ll'!H$80)</f>
        <v>660.12877653340274</v>
      </c>
      <c r="J22" s="653">
        <f>IF('geg ll'!I$80=0,0,+J21/'geg ll'!I$80)</f>
        <v>660.12877653340274</v>
      </c>
      <c r="K22" s="653">
        <f>IF('geg ll'!J$80=0,0,+K21/'geg ll'!J$80)</f>
        <v>660.12877653340274</v>
      </c>
      <c r="L22" s="653">
        <f>IF('geg ll'!K$80=0,0,+L21/'geg ll'!K$80)</f>
        <v>660.12877653340274</v>
      </c>
      <c r="M22" s="548"/>
      <c r="N22" s="612"/>
    </row>
    <row r="23" spans="2:14" x14ac:dyDescent="0.2">
      <c r="B23" s="518"/>
      <c r="C23" s="548"/>
      <c r="D23" s="548"/>
      <c r="E23" s="548"/>
      <c r="F23" s="549"/>
      <c r="G23" s="587"/>
      <c r="H23" s="549"/>
      <c r="I23" s="549"/>
      <c r="J23" s="549"/>
      <c r="K23" s="549"/>
      <c r="L23" s="549"/>
      <c r="M23" s="548"/>
      <c r="N23" s="612"/>
    </row>
    <row r="24" spans="2:14" x14ac:dyDescent="0.2">
      <c r="B24" s="518"/>
      <c r="C24" s="548"/>
      <c r="D24" s="551" t="s">
        <v>385</v>
      </c>
      <c r="E24" s="548"/>
      <c r="F24" s="549"/>
      <c r="G24" s="587"/>
      <c r="H24" s="549"/>
      <c r="I24" s="549"/>
      <c r="J24" s="549"/>
      <c r="K24" s="549"/>
      <c r="L24" s="549"/>
      <c r="M24" s="548"/>
      <c r="N24" s="612"/>
    </row>
    <row r="25" spans="2:14" x14ac:dyDescent="0.2">
      <c r="B25" s="518"/>
      <c r="C25" s="548"/>
      <c r="D25" s="548" t="s">
        <v>385</v>
      </c>
      <c r="E25" s="548"/>
      <c r="F25" s="552">
        <f>+bekost!G108</f>
        <v>0</v>
      </c>
      <c r="G25" s="582"/>
      <c r="H25" s="552">
        <f>+bekost!I108</f>
        <v>80193.600000000006</v>
      </c>
      <c r="I25" s="552">
        <f>+bekost!J108</f>
        <v>85452.800000000003</v>
      </c>
      <c r="J25" s="552">
        <f>+bekost!K108</f>
        <v>91259.200000000012</v>
      </c>
      <c r="K25" s="552">
        <f>+bekost!L108</f>
        <v>100561.60000000001</v>
      </c>
      <c r="L25" s="552">
        <f>+bekost!M108</f>
        <v>108614.40000000001</v>
      </c>
      <c r="M25" s="548"/>
      <c r="N25" s="612"/>
    </row>
    <row r="26" spans="2:14" x14ac:dyDescent="0.2">
      <c r="B26" s="519"/>
      <c r="C26" s="548"/>
      <c r="D26" s="553" t="s">
        <v>44</v>
      </c>
      <c r="E26" s="558"/>
      <c r="F26" s="554">
        <f t="shared" ref="F26:K26" si="2">SUM(F25:F25)</f>
        <v>0</v>
      </c>
      <c r="G26" s="1054"/>
      <c r="H26" s="554">
        <f t="shared" si="2"/>
        <v>80193.600000000006</v>
      </c>
      <c r="I26" s="554">
        <f t="shared" si="2"/>
        <v>85452.800000000003</v>
      </c>
      <c r="J26" s="554">
        <f t="shared" si="2"/>
        <v>91259.200000000012</v>
      </c>
      <c r="K26" s="554">
        <f t="shared" si="2"/>
        <v>100561.60000000001</v>
      </c>
      <c r="L26" s="554">
        <f>SUM(L25:L25)</f>
        <v>108614.40000000001</v>
      </c>
      <c r="M26" s="548"/>
      <c r="N26" s="612"/>
    </row>
    <row r="27" spans="2:14" x14ac:dyDescent="0.2">
      <c r="B27" s="518"/>
      <c r="C27" s="555"/>
      <c r="D27" s="556" t="s">
        <v>263</v>
      </c>
      <c r="E27" s="557"/>
      <c r="F27" s="653" t="e">
        <f>IF('geg ll'!#REF!=0,0,+F26/'geg ll'!#REF!)</f>
        <v>#REF!</v>
      </c>
      <c r="G27" s="1055"/>
      <c r="H27" s="653">
        <f>IF('geg ll'!G$80=0,0,+H26/'geg ll'!G$80)</f>
        <v>5.2216173980987115</v>
      </c>
      <c r="I27" s="653">
        <f>IF('geg ll'!H$80=0,0,+I26/'geg ll'!H$80)</f>
        <v>5.5640578200286495</v>
      </c>
      <c r="J27" s="653">
        <f>IF('geg ll'!I$80=0,0,+J26/'geg ll'!I$80)</f>
        <v>5.9421278812345362</v>
      </c>
      <c r="K27" s="653">
        <f>IF('geg ll'!J$80=0,0,+K26/'geg ll'!J$80)</f>
        <v>6.5478317489256419</v>
      </c>
      <c r="L27" s="653">
        <f>IF('geg ll'!K$80=0,0,+L26/'geg ll'!K$80)</f>
        <v>7.0721708555801541</v>
      </c>
      <c r="M27" s="548"/>
      <c r="N27" s="612"/>
    </row>
    <row r="28" spans="2:14" x14ac:dyDescent="0.2">
      <c r="B28" s="518"/>
      <c r="C28" s="548"/>
      <c r="D28" s="548"/>
      <c r="E28" s="548"/>
      <c r="F28" s="559"/>
      <c r="G28" s="582"/>
      <c r="H28" s="559"/>
      <c r="I28" s="559"/>
      <c r="J28" s="559"/>
      <c r="K28" s="559"/>
      <c r="L28" s="559"/>
      <c r="M28" s="548"/>
      <c r="N28" s="612"/>
    </row>
    <row r="29" spans="2:14" x14ac:dyDescent="0.2">
      <c r="B29" s="518"/>
      <c r="C29" s="548"/>
      <c r="D29" s="561" t="s">
        <v>267</v>
      </c>
      <c r="E29" s="548"/>
      <c r="F29" s="559"/>
      <c r="G29" s="582"/>
      <c r="H29" s="559"/>
      <c r="I29" s="559"/>
      <c r="J29" s="559"/>
      <c r="K29" s="559"/>
      <c r="L29" s="559"/>
      <c r="M29" s="548"/>
      <c r="N29" s="612"/>
    </row>
    <row r="30" spans="2:14" x14ac:dyDescent="0.2">
      <c r="B30" s="518"/>
      <c r="C30" s="548"/>
      <c r="D30" s="562" t="s">
        <v>306</v>
      </c>
      <c r="E30" s="548"/>
      <c r="F30" s="552">
        <f>+mat!J83</f>
        <v>0</v>
      </c>
      <c r="G30" s="582"/>
      <c r="H30" s="552">
        <f>+mat!K83</f>
        <v>0</v>
      </c>
      <c r="I30" s="552">
        <f>+mat!L83</f>
        <v>0</v>
      </c>
      <c r="J30" s="552">
        <f>+mat!M83</f>
        <v>0</v>
      </c>
      <c r="K30" s="552">
        <f>+mat!N83</f>
        <v>0</v>
      </c>
      <c r="L30" s="552">
        <f>+mat!O83</f>
        <v>0</v>
      </c>
      <c r="M30" s="548"/>
      <c r="N30" s="612"/>
    </row>
    <row r="31" spans="2:14" x14ac:dyDescent="0.2">
      <c r="B31" s="518"/>
      <c r="C31" s="548"/>
      <c r="D31" s="562" t="s">
        <v>307</v>
      </c>
      <c r="E31" s="548"/>
      <c r="F31" s="552">
        <f>+mat!J90</f>
        <v>0</v>
      </c>
      <c r="G31" s="582"/>
      <c r="H31" s="552">
        <f>+mat!K90</f>
        <v>0</v>
      </c>
      <c r="I31" s="552">
        <f>+mat!L90</f>
        <v>0</v>
      </c>
      <c r="J31" s="552">
        <f>+mat!M90</f>
        <v>0</v>
      </c>
      <c r="K31" s="552">
        <f>+mat!N90</f>
        <v>0</v>
      </c>
      <c r="L31" s="552">
        <f>+mat!O90</f>
        <v>0</v>
      </c>
      <c r="M31" s="548"/>
      <c r="N31" s="612"/>
    </row>
    <row r="32" spans="2:14" x14ac:dyDescent="0.2">
      <c r="B32" s="518"/>
      <c r="C32" s="548"/>
      <c r="D32" s="562" t="s">
        <v>268</v>
      </c>
      <c r="E32" s="548"/>
      <c r="F32" s="552">
        <f>+act!F30</f>
        <v>0</v>
      </c>
      <c r="G32" s="582"/>
      <c r="H32" s="552">
        <f>+act!F30</f>
        <v>0</v>
      </c>
      <c r="I32" s="552">
        <f>+act!G30</f>
        <v>0</v>
      </c>
      <c r="J32" s="552">
        <f>+act!H30</f>
        <v>0</v>
      </c>
      <c r="K32" s="552">
        <f>+act!I30</f>
        <v>0</v>
      </c>
      <c r="L32" s="552">
        <f>+act!J30</f>
        <v>0</v>
      </c>
      <c r="M32" s="548"/>
      <c r="N32" s="612"/>
    </row>
    <row r="33" spans="2:14" x14ac:dyDescent="0.2">
      <c r="B33" s="519"/>
      <c r="C33" s="548"/>
      <c r="D33" s="553" t="s">
        <v>44</v>
      </c>
      <c r="E33" s="558"/>
      <c r="F33" s="554">
        <f t="shared" ref="F33:K33" si="3">SUM(F30:F32)</f>
        <v>0</v>
      </c>
      <c r="G33" s="1054"/>
      <c r="H33" s="554">
        <f t="shared" si="3"/>
        <v>0</v>
      </c>
      <c r="I33" s="554">
        <f t="shared" si="3"/>
        <v>0</v>
      </c>
      <c r="J33" s="554">
        <f t="shared" si="3"/>
        <v>0</v>
      </c>
      <c r="K33" s="554">
        <f t="shared" si="3"/>
        <v>0</v>
      </c>
      <c r="L33" s="554">
        <f>SUM(L30:L32)</f>
        <v>0</v>
      </c>
      <c r="M33" s="548"/>
      <c r="N33" s="612"/>
    </row>
    <row r="34" spans="2:14" x14ac:dyDescent="0.2">
      <c r="B34" s="518"/>
      <c r="C34" s="548"/>
      <c r="D34" s="556" t="s">
        <v>263</v>
      </c>
      <c r="E34" s="557"/>
      <c r="F34" s="653" t="e">
        <f>IF('geg ll'!#REF!=0,0,+F33/'geg ll'!#REF!)</f>
        <v>#REF!</v>
      </c>
      <c r="G34" s="1055"/>
      <c r="H34" s="653">
        <f>IF('geg ll'!G$80=0,0,+H33/'geg ll'!G$80)</f>
        <v>0</v>
      </c>
      <c r="I34" s="653">
        <f>IF('geg ll'!H$80=0,0,+I33/'geg ll'!H$80)</f>
        <v>0</v>
      </c>
      <c r="J34" s="653">
        <f>IF('geg ll'!I$80=0,0,+J33/'geg ll'!I$80)</f>
        <v>0</v>
      </c>
      <c r="K34" s="653">
        <f>IF('geg ll'!J$80=0,0,+K33/'geg ll'!J$80)</f>
        <v>0</v>
      </c>
      <c r="L34" s="653">
        <f>IF('geg ll'!K$80=0,0,+L33/'geg ll'!K$80)</f>
        <v>0</v>
      </c>
      <c r="M34" s="548"/>
      <c r="N34" s="612"/>
    </row>
    <row r="35" spans="2:14" x14ac:dyDescent="0.2">
      <c r="B35" s="518"/>
      <c r="C35" s="548"/>
      <c r="D35" s="562"/>
      <c r="E35" s="548"/>
      <c r="F35" s="559"/>
      <c r="G35" s="582"/>
      <c r="H35" s="559"/>
      <c r="I35" s="559"/>
      <c r="J35" s="559"/>
      <c r="K35" s="559"/>
      <c r="L35" s="559"/>
      <c r="M35" s="548"/>
      <c r="N35" s="612"/>
    </row>
    <row r="36" spans="2:14" x14ac:dyDescent="0.2">
      <c r="B36" s="508"/>
      <c r="C36" s="548"/>
      <c r="D36" s="563" t="s">
        <v>132</v>
      </c>
      <c r="E36" s="548"/>
      <c r="F36" s="559"/>
      <c r="G36" s="582"/>
      <c r="H36" s="559"/>
      <c r="I36" s="559"/>
      <c r="J36" s="559"/>
      <c r="K36" s="559"/>
      <c r="L36" s="559"/>
      <c r="M36" s="564"/>
      <c r="N36" s="612"/>
    </row>
    <row r="37" spans="2:14" x14ac:dyDescent="0.2">
      <c r="B37" s="508"/>
      <c r="C37" s="548"/>
      <c r="D37" s="548"/>
      <c r="E37" s="548"/>
      <c r="F37" s="559"/>
      <c r="G37" s="582"/>
      <c r="H37" s="559"/>
      <c r="I37" s="559"/>
      <c r="J37" s="559"/>
      <c r="K37" s="559"/>
      <c r="L37" s="559"/>
      <c r="M37" s="564"/>
      <c r="N37" s="612"/>
    </row>
    <row r="38" spans="2:14" x14ac:dyDescent="0.2">
      <c r="B38" s="508"/>
      <c r="C38" s="548"/>
      <c r="D38" s="548" t="s">
        <v>269</v>
      </c>
      <c r="E38" s="548"/>
      <c r="F38" s="565" t="e">
        <f>IF(F13=0,0,+bal!G32/F13)</f>
        <v>#REF!</v>
      </c>
      <c r="G38" s="1057"/>
      <c r="H38" s="1068">
        <f>IF(H13=0,0,+bal!H36/H13)</f>
        <v>0.51911290340774474</v>
      </c>
      <c r="I38" s="1068">
        <f>IF(I13=0,0,+bal!I36/I13)</f>
        <v>1.0382258068154895</v>
      </c>
      <c r="J38" s="1068">
        <f>IF(J13=0,0,+bal!J36/J13)</f>
        <v>1.5573387102232343</v>
      </c>
      <c r="K38" s="1068">
        <f>IF(K13=0,0,+bal!K36/K13)</f>
        <v>2.076451613630979</v>
      </c>
      <c r="L38" s="1068">
        <f>IF(L13=0,0,+bal!L36/L13)</f>
        <v>2.5955645170387243</v>
      </c>
      <c r="M38" s="564"/>
      <c r="N38" s="612"/>
    </row>
    <row r="39" spans="2:14" x14ac:dyDescent="0.2">
      <c r="B39" s="508"/>
      <c r="C39" s="548"/>
      <c r="D39" s="548" t="s">
        <v>270</v>
      </c>
      <c r="E39" s="548"/>
      <c r="F39" s="565" t="e">
        <f>IF(F13=0,0,begr!F14/F13)</f>
        <v>#REF!</v>
      </c>
      <c r="G39" s="1057"/>
      <c r="H39" s="565">
        <f>IF(H13=0,0,begr!H14/H13)</f>
        <v>1</v>
      </c>
      <c r="I39" s="565">
        <f>IF(I13=0,0,begr!I14/I13)</f>
        <v>1</v>
      </c>
      <c r="J39" s="565">
        <f>IF(J13=0,0,begr!J14/J13)</f>
        <v>1</v>
      </c>
      <c r="K39" s="565">
        <f>IF(K13=0,0,begr!K14/K13)</f>
        <v>1</v>
      </c>
      <c r="L39" s="565">
        <f>IF(L13=0,0,begr!L14/L13)</f>
        <v>1</v>
      </c>
      <c r="M39" s="564"/>
      <c r="N39" s="612"/>
    </row>
    <row r="40" spans="2:14" x14ac:dyDescent="0.2">
      <c r="B40" s="508"/>
      <c r="C40" s="548"/>
      <c r="D40" s="548" t="s">
        <v>271</v>
      </c>
      <c r="E40" s="548"/>
      <c r="F40" s="565" t="e">
        <f>IF(F13=0,0,begr!F17/F13)</f>
        <v>#REF!</v>
      </c>
      <c r="G40" s="1057"/>
      <c r="H40" s="565">
        <f>IF(H13=0,0,begr!H17/H13)</f>
        <v>0</v>
      </c>
      <c r="I40" s="565">
        <f>IF(I13=0,0,begr!I17/I13)</f>
        <v>0</v>
      </c>
      <c r="J40" s="565">
        <f>IF(J13=0,0,begr!J17/J13)</f>
        <v>0</v>
      </c>
      <c r="K40" s="565">
        <f>IF(K13=0,0,begr!K17/K13)</f>
        <v>0</v>
      </c>
      <c r="L40" s="565">
        <f>IF(L13=0,0,begr!L17/L13)</f>
        <v>0</v>
      </c>
      <c r="M40" s="564"/>
      <c r="N40" s="612"/>
    </row>
    <row r="41" spans="2:14" x14ac:dyDescent="0.2">
      <c r="B41" s="508"/>
      <c r="C41" s="548"/>
      <c r="D41" s="548" t="s">
        <v>272</v>
      </c>
      <c r="E41" s="548"/>
      <c r="F41" s="565" t="e">
        <f>IF(F13=0,0,(begr!F22+begr!F43)/F13)</f>
        <v>#REF!</v>
      </c>
      <c r="G41" s="1057"/>
      <c r="H41" s="565">
        <f>IF(H13=0,0,(begr!H22+begr!H43)/H13)</f>
        <v>0</v>
      </c>
      <c r="I41" s="565">
        <f>IF(I13=0,0,(begr!I22+begr!I43)/I13)</f>
        <v>0</v>
      </c>
      <c r="J41" s="565">
        <f>IF(J13=0,0,(begr!J22+begr!J43)/J13)</f>
        <v>0</v>
      </c>
      <c r="K41" s="565">
        <f>IF(K13=0,0,(begr!K22+begr!K43)/K13)</f>
        <v>0</v>
      </c>
      <c r="L41" s="565">
        <f>IF(L13=0,0,(begr!L22+begr!L43)/L13)</f>
        <v>0</v>
      </c>
      <c r="M41" s="564"/>
      <c r="N41" s="612"/>
    </row>
    <row r="42" spans="2:14" x14ac:dyDescent="0.2">
      <c r="B42" s="508"/>
      <c r="C42" s="548"/>
      <c r="D42" s="548" t="s">
        <v>273</v>
      </c>
      <c r="E42" s="562"/>
      <c r="F42" s="565" t="e">
        <f>IF(F13=0,0,act!F25/F13)</f>
        <v>#REF!</v>
      </c>
      <c r="G42" s="1057"/>
      <c r="H42" s="1068">
        <f>IF(H13=0,0,act!F25/H13)</f>
        <v>0</v>
      </c>
      <c r="I42" s="1068">
        <f>IF(I13=0,0,act!G25/I13)</f>
        <v>0</v>
      </c>
      <c r="J42" s="1068">
        <f>IF(J13=0,0,act!H25/J13)</f>
        <v>0</v>
      </c>
      <c r="K42" s="1068">
        <f>IF(K13=0,0,act!I25/K13)</f>
        <v>2.6325266647388369E-3</v>
      </c>
      <c r="L42" s="1068">
        <f>IF(L13=0,0,act!J25/L13)</f>
        <v>0</v>
      </c>
      <c r="M42" s="564"/>
      <c r="N42" s="612"/>
    </row>
    <row r="43" spans="2:14" x14ac:dyDescent="0.2">
      <c r="B43" s="508"/>
      <c r="C43" s="548"/>
      <c r="D43" s="548"/>
      <c r="E43" s="562"/>
      <c r="F43" s="566"/>
      <c r="G43" s="1057"/>
      <c r="H43" s="566"/>
      <c r="I43" s="566"/>
      <c r="J43" s="566"/>
      <c r="K43" s="566"/>
      <c r="L43" s="566"/>
      <c r="M43" s="564"/>
      <c r="N43" s="612"/>
    </row>
    <row r="44" spans="2:14" x14ac:dyDescent="0.2">
      <c r="B44" s="508"/>
      <c r="C44" s="548"/>
      <c r="D44" s="551" t="s">
        <v>133</v>
      </c>
      <c r="E44" s="650" t="s">
        <v>384</v>
      </c>
      <c r="F44" s="567"/>
      <c r="G44" s="1058"/>
      <c r="H44" s="567"/>
      <c r="I44" s="567"/>
      <c r="J44" s="567"/>
      <c r="K44" s="567"/>
      <c r="L44" s="567"/>
      <c r="M44" s="564"/>
      <c r="N44" s="612"/>
    </row>
    <row r="45" spans="2:14" x14ac:dyDescent="0.2">
      <c r="B45" s="508"/>
      <c r="C45" s="568"/>
      <c r="D45" s="548" t="s">
        <v>274</v>
      </c>
      <c r="E45" s="562"/>
      <c r="F45" s="569">
        <f>+bal!G36</f>
        <v>0</v>
      </c>
      <c r="G45" s="1059"/>
      <c r="H45" s="569">
        <f>+bal!H36</f>
        <v>10944149.787743192</v>
      </c>
      <c r="I45" s="569">
        <f>+bal!I36</f>
        <v>21888299.575486384</v>
      </c>
      <c r="J45" s="569">
        <f>+bal!J36</f>
        <v>32832449.363229576</v>
      </c>
      <c r="K45" s="569">
        <f>+bal!K36</f>
        <v>43776599.150972769</v>
      </c>
      <c r="L45" s="569">
        <f>+bal!L36</f>
        <v>54720748.938715965</v>
      </c>
      <c r="M45" s="568"/>
      <c r="N45" s="612"/>
    </row>
    <row r="46" spans="2:14" x14ac:dyDescent="0.2">
      <c r="B46" s="508"/>
      <c r="C46" s="568"/>
      <c r="D46" s="548" t="s">
        <v>275</v>
      </c>
      <c r="E46" s="562"/>
      <c r="F46" s="569">
        <f>+bal!G25</f>
        <v>0</v>
      </c>
      <c r="G46" s="1059"/>
      <c r="H46" s="569">
        <f>+bal!H25</f>
        <v>10944149.787743192</v>
      </c>
      <c r="I46" s="569">
        <f>+bal!I25</f>
        <v>21888299.575486384</v>
      </c>
      <c r="J46" s="569">
        <f>+bal!J25</f>
        <v>32831338.313229576</v>
      </c>
      <c r="K46" s="569">
        <f>+bal!K25</f>
        <v>43773932.630972765</v>
      </c>
      <c r="L46" s="569">
        <f>+bal!L25</f>
        <v>54718082.418715961</v>
      </c>
      <c r="M46" s="568"/>
      <c r="N46" s="612"/>
    </row>
    <row r="47" spans="2:14" x14ac:dyDescent="0.2">
      <c r="B47" s="508"/>
      <c r="C47" s="568"/>
      <c r="D47" s="548"/>
      <c r="E47" s="562"/>
      <c r="F47" s="570">
        <f t="shared" ref="F47:K47" si="4">IF(F46=0,0,F45/F46)</f>
        <v>0</v>
      </c>
      <c r="G47" s="1060"/>
      <c r="H47" s="570">
        <f t="shared" si="4"/>
        <v>1</v>
      </c>
      <c r="I47" s="570">
        <f t="shared" si="4"/>
        <v>1</v>
      </c>
      <c r="J47" s="570">
        <f t="shared" si="4"/>
        <v>1.0000338411425511</v>
      </c>
      <c r="K47" s="570">
        <f t="shared" si="4"/>
        <v>1.0000609157057576</v>
      </c>
      <c r="L47" s="570">
        <f>IF(L46=0,0,L45/L46)</f>
        <v>1.0000487319708977</v>
      </c>
      <c r="M47" s="568"/>
      <c r="N47" s="612"/>
    </row>
    <row r="48" spans="2:14" x14ac:dyDescent="0.2">
      <c r="B48" s="508"/>
      <c r="C48" s="548"/>
      <c r="D48" s="551" t="s">
        <v>494</v>
      </c>
      <c r="E48" s="553"/>
      <c r="F48" s="567"/>
      <c r="G48" s="1058"/>
      <c r="H48" s="567"/>
      <c r="I48" s="567"/>
      <c r="J48" s="567"/>
      <c r="K48" s="567"/>
      <c r="L48" s="567"/>
      <c r="M48" s="564"/>
      <c r="N48" s="529"/>
    </row>
    <row r="49" spans="2:14" x14ac:dyDescent="0.2">
      <c r="B49" s="508"/>
      <c r="C49" s="568"/>
      <c r="D49" s="548" t="s">
        <v>501</v>
      </c>
      <c r="E49" s="562"/>
      <c r="F49" s="569">
        <f>bal!G36+bal!G41</f>
        <v>0</v>
      </c>
      <c r="G49" s="1059"/>
      <c r="H49" s="569">
        <f>bal!H36+bal!H41</f>
        <v>10944149.787743192</v>
      </c>
      <c r="I49" s="569">
        <f>bal!I36+bal!I41</f>
        <v>21888299.575486384</v>
      </c>
      <c r="J49" s="569">
        <f>bal!J36+bal!J41</f>
        <v>32831338.313229576</v>
      </c>
      <c r="K49" s="569">
        <f>bal!K36+bal!K41</f>
        <v>43773932.630972765</v>
      </c>
      <c r="L49" s="569">
        <f>bal!L36+bal!L41</f>
        <v>54718082.418715961</v>
      </c>
      <c r="M49" s="568"/>
      <c r="N49" s="529"/>
    </row>
    <row r="50" spans="2:14" x14ac:dyDescent="0.2">
      <c r="B50" s="508"/>
      <c r="C50" s="568"/>
      <c r="D50" s="548" t="s">
        <v>275</v>
      </c>
      <c r="E50" s="562"/>
      <c r="F50" s="569">
        <f>bal!G25</f>
        <v>0</v>
      </c>
      <c r="G50" s="1059"/>
      <c r="H50" s="569">
        <f>bal!H25</f>
        <v>10944149.787743192</v>
      </c>
      <c r="I50" s="569">
        <f>bal!I25</f>
        <v>21888299.575486384</v>
      </c>
      <c r="J50" s="569">
        <f>bal!J25</f>
        <v>32831338.313229576</v>
      </c>
      <c r="K50" s="569">
        <f>bal!K25</f>
        <v>43773932.630972765</v>
      </c>
      <c r="L50" s="569">
        <f>bal!L25</f>
        <v>54718082.418715961</v>
      </c>
      <c r="M50" s="568"/>
      <c r="N50" s="529"/>
    </row>
    <row r="51" spans="2:14" x14ac:dyDescent="0.2">
      <c r="B51" s="508"/>
      <c r="C51" s="568"/>
      <c r="D51" s="548"/>
      <c r="E51" s="562"/>
      <c r="F51" s="570">
        <f t="shared" ref="F51:K51" si="5">IF(F50=0,0,F49/F50)</f>
        <v>0</v>
      </c>
      <c r="G51" s="1060"/>
      <c r="H51" s="570">
        <f t="shared" si="5"/>
        <v>1</v>
      </c>
      <c r="I51" s="570">
        <f t="shared" si="5"/>
        <v>1</v>
      </c>
      <c r="J51" s="570">
        <f t="shared" si="5"/>
        <v>1</v>
      </c>
      <c r="K51" s="570">
        <f t="shared" si="5"/>
        <v>1</v>
      </c>
      <c r="L51" s="570">
        <f>IF(L50=0,0,L49/L50)</f>
        <v>1</v>
      </c>
      <c r="M51" s="568"/>
      <c r="N51" s="529"/>
    </row>
    <row r="52" spans="2:14" x14ac:dyDescent="0.2">
      <c r="B52" s="508"/>
      <c r="C52" s="548"/>
      <c r="D52" s="551" t="s">
        <v>134</v>
      </c>
      <c r="E52" s="64" t="s">
        <v>200</v>
      </c>
      <c r="F52" s="559"/>
      <c r="G52" s="582"/>
      <c r="H52" s="559"/>
      <c r="I52" s="559"/>
      <c r="J52" s="559"/>
      <c r="K52" s="559"/>
      <c r="L52" s="559"/>
      <c r="M52" s="564"/>
      <c r="N52" s="612"/>
    </row>
    <row r="53" spans="2:14" x14ac:dyDescent="0.2">
      <c r="B53" s="508"/>
      <c r="C53" s="548"/>
      <c r="D53" s="548" t="s">
        <v>276</v>
      </c>
      <c r="E53" s="562"/>
      <c r="F53" s="569">
        <f>+bal!G23</f>
        <v>0</v>
      </c>
      <c r="G53" s="1059"/>
      <c r="H53" s="569">
        <f>+bal!H23</f>
        <v>10898124.787743192</v>
      </c>
      <c r="I53" s="569">
        <f>+bal!I23</f>
        <v>21856149.575486384</v>
      </c>
      <c r="J53" s="569">
        <f>+bal!J23</f>
        <v>32813063.313229576</v>
      </c>
      <c r="K53" s="569">
        <f>+bal!K23</f>
        <v>43769532.630972765</v>
      </c>
      <c r="L53" s="569">
        <f>+bal!L23</f>
        <v>54672057.418715961</v>
      </c>
      <c r="M53" s="564"/>
      <c r="N53" s="612"/>
    </row>
    <row r="54" spans="2:14" x14ac:dyDescent="0.2">
      <c r="B54" s="508"/>
      <c r="C54" s="548"/>
      <c r="D54" s="548" t="s">
        <v>169</v>
      </c>
      <c r="E54" s="562"/>
      <c r="F54" s="569">
        <f>+bal!G54</f>
        <v>0</v>
      </c>
      <c r="G54" s="1059"/>
      <c r="H54" s="569">
        <f>+bal!H54</f>
        <v>0</v>
      </c>
      <c r="I54" s="569">
        <f>+bal!I54</f>
        <v>0</v>
      </c>
      <c r="J54" s="569">
        <f>+bal!J54</f>
        <v>0</v>
      </c>
      <c r="K54" s="569">
        <f>+bal!K54</f>
        <v>0</v>
      </c>
      <c r="L54" s="569">
        <f>+bal!L54</f>
        <v>0</v>
      </c>
      <c r="M54" s="564"/>
      <c r="N54" s="612"/>
    </row>
    <row r="55" spans="2:14" x14ac:dyDescent="0.2">
      <c r="B55" s="508"/>
      <c r="C55" s="548"/>
      <c r="D55" s="548"/>
      <c r="E55" s="562"/>
      <c r="F55" s="571">
        <f t="shared" ref="F55:K55" si="6">IF(F54=0,0,F53/F54)</f>
        <v>0</v>
      </c>
      <c r="G55" s="1061"/>
      <c r="H55" s="571">
        <f t="shared" si="6"/>
        <v>0</v>
      </c>
      <c r="I55" s="571">
        <f t="shared" si="6"/>
        <v>0</v>
      </c>
      <c r="J55" s="571">
        <f t="shared" si="6"/>
        <v>0</v>
      </c>
      <c r="K55" s="571">
        <f t="shared" si="6"/>
        <v>0</v>
      </c>
      <c r="L55" s="571">
        <f>IF(L54=0,0,L53/L54)</f>
        <v>0</v>
      </c>
      <c r="M55" s="564"/>
      <c r="N55" s="612"/>
    </row>
    <row r="56" spans="2:14" x14ac:dyDescent="0.2">
      <c r="B56" s="508"/>
      <c r="C56" s="548"/>
      <c r="D56" s="551" t="s">
        <v>191</v>
      </c>
      <c r="E56" s="651" t="s">
        <v>201</v>
      </c>
      <c r="F56" s="559"/>
      <c r="G56" s="582"/>
      <c r="H56" s="559"/>
      <c r="I56" s="559"/>
      <c r="J56" s="559"/>
      <c r="K56" s="559"/>
      <c r="L56" s="559"/>
      <c r="M56" s="564"/>
      <c r="N56" s="612"/>
    </row>
    <row r="57" spans="2:14" x14ac:dyDescent="0.2">
      <c r="B57" s="508"/>
      <c r="C57" s="548"/>
      <c r="D57" s="562" t="s">
        <v>277</v>
      </c>
      <c r="E57" s="562"/>
      <c r="F57" s="569">
        <f>begr!F50</f>
        <v>0</v>
      </c>
      <c r="G57" s="1059"/>
      <c r="H57" s="569">
        <f>begr!H50</f>
        <v>10944149.787743192</v>
      </c>
      <c r="I57" s="569">
        <f>begr!I50</f>
        <v>10944149.787743192</v>
      </c>
      <c r="J57" s="569">
        <f>begr!J50</f>
        <v>10944149.787743192</v>
      </c>
      <c r="K57" s="569">
        <f>begr!K50</f>
        <v>10944149.787743192</v>
      </c>
      <c r="L57" s="569">
        <f>begr!L50</f>
        <v>10944149.787743192</v>
      </c>
      <c r="M57" s="564"/>
      <c r="N57" s="612"/>
    </row>
    <row r="58" spans="2:14" x14ac:dyDescent="0.2">
      <c r="B58" s="508"/>
      <c r="C58" s="548"/>
      <c r="D58" s="548" t="s">
        <v>261</v>
      </c>
      <c r="E58" s="562"/>
      <c r="F58" s="569">
        <f>begr!F23</f>
        <v>0</v>
      </c>
      <c r="G58" s="1059"/>
      <c r="H58" s="569">
        <f>begr!H23</f>
        <v>21082407.537743192</v>
      </c>
      <c r="I58" s="569">
        <f>begr!I23</f>
        <v>21082407.537743192</v>
      </c>
      <c r="J58" s="569">
        <f>begr!J23</f>
        <v>21082407.537743192</v>
      </c>
      <c r="K58" s="569">
        <f>begr!K23</f>
        <v>21082407.537743192</v>
      </c>
      <c r="L58" s="569">
        <f>begr!L23</f>
        <v>21082407.537743192</v>
      </c>
      <c r="M58" s="564"/>
      <c r="N58" s="612"/>
    </row>
    <row r="59" spans="2:14" x14ac:dyDescent="0.2">
      <c r="B59" s="508"/>
      <c r="C59" s="548"/>
      <c r="D59" s="548"/>
      <c r="E59" s="562"/>
      <c r="F59" s="572">
        <f t="shared" ref="F59:K59" si="7">IF(F58=0,0,F57/F58)</f>
        <v>0</v>
      </c>
      <c r="G59" s="1062"/>
      <c r="H59" s="572">
        <f t="shared" si="7"/>
        <v>0.51911290340774474</v>
      </c>
      <c r="I59" s="572">
        <f t="shared" si="7"/>
        <v>0.51911290340774474</v>
      </c>
      <c r="J59" s="572">
        <f t="shared" si="7"/>
        <v>0.51911290340774474</v>
      </c>
      <c r="K59" s="572">
        <f t="shared" si="7"/>
        <v>0.51911290340774474</v>
      </c>
      <c r="L59" s="572">
        <f>IF(L58=0,0,L57/L58)</f>
        <v>0.51911290340774474</v>
      </c>
      <c r="M59" s="564"/>
      <c r="N59" s="612"/>
    </row>
    <row r="60" spans="2:14" x14ac:dyDescent="0.2">
      <c r="B60" s="508"/>
      <c r="C60" s="548"/>
      <c r="D60" s="551" t="s">
        <v>278</v>
      </c>
      <c r="E60" s="652">
        <v>0.05</v>
      </c>
      <c r="F60" s="573"/>
      <c r="G60" s="1063"/>
      <c r="H60" s="573"/>
      <c r="I60" s="573"/>
      <c r="J60" s="573"/>
      <c r="K60" s="573"/>
      <c r="L60" s="573"/>
      <c r="M60" s="564"/>
      <c r="N60" s="612"/>
    </row>
    <row r="61" spans="2:14" x14ac:dyDescent="0.2">
      <c r="B61" s="508"/>
      <c r="C61" s="548"/>
      <c r="D61" s="548" t="s">
        <v>279</v>
      </c>
      <c r="E61" s="562"/>
      <c r="F61" s="552">
        <f>+bal!G36</f>
        <v>0</v>
      </c>
      <c r="G61" s="582"/>
      <c r="H61" s="552">
        <f>+bal!H36</f>
        <v>10944149.787743192</v>
      </c>
      <c r="I61" s="552">
        <f>+bal!I36</f>
        <v>21888299.575486384</v>
      </c>
      <c r="J61" s="552">
        <f>+bal!J36</f>
        <v>32832449.363229576</v>
      </c>
      <c r="K61" s="552">
        <f>+bal!K36</f>
        <v>43776599.150972769</v>
      </c>
      <c r="L61" s="552">
        <f>+bal!L36</f>
        <v>54720748.938715965</v>
      </c>
      <c r="M61" s="564"/>
      <c r="N61" s="612"/>
    </row>
    <row r="62" spans="2:14" x14ac:dyDescent="0.2">
      <c r="B62" s="508"/>
      <c r="C62" s="548"/>
      <c r="D62" s="548" t="s">
        <v>280</v>
      </c>
      <c r="E62" s="562"/>
      <c r="F62" s="552">
        <f>+bal!G15</f>
        <v>0</v>
      </c>
      <c r="G62" s="582"/>
      <c r="H62" s="552">
        <f>+bal!H15</f>
        <v>46025</v>
      </c>
      <c r="I62" s="552">
        <f>+bal!I15</f>
        <v>32150</v>
      </c>
      <c r="J62" s="552">
        <f>+bal!J15</f>
        <v>18275</v>
      </c>
      <c r="K62" s="552">
        <f>+bal!K15</f>
        <v>4400</v>
      </c>
      <c r="L62" s="552">
        <f>+bal!L15</f>
        <v>46025</v>
      </c>
      <c r="M62" s="564"/>
      <c r="N62" s="612"/>
    </row>
    <row r="63" spans="2:14" x14ac:dyDescent="0.2">
      <c r="B63" s="508"/>
      <c r="C63" s="548"/>
      <c r="D63" s="548" t="s">
        <v>549</v>
      </c>
      <c r="E63" s="562"/>
      <c r="F63" s="552">
        <f>begr!F35+begr!F44</f>
        <v>0</v>
      </c>
      <c r="G63" s="582"/>
      <c r="H63" s="552">
        <f>begr!H35+begr!H44</f>
        <v>10138257.75</v>
      </c>
      <c r="I63" s="552">
        <f>begr!I35+begr!I44</f>
        <v>10138257.75</v>
      </c>
      <c r="J63" s="552">
        <f>begr!J35+begr!J44</f>
        <v>10138257.75</v>
      </c>
      <c r="K63" s="552">
        <f>begr!K35+begr!K44</f>
        <v>10138257.75</v>
      </c>
      <c r="L63" s="552">
        <f>begr!L35+begr!L44</f>
        <v>10138257.75</v>
      </c>
      <c r="M63" s="564"/>
      <c r="N63" s="612"/>
    </row>
    <row r="64" spans="2:14" x14ac:dyDescent="0.2">
      <c r="B64" s="508"/>
      <c r="C64" s="548"/>
      <c r="D64" s="548"/>
      <c r="E64" s="562"/>
      <c r="F64" s="572">
        <f t="shared" ref="F64:K64" si="8">IF(F63=0,0,(F61-F62)/F63)</f>
        <v>0</v>
      </c>
      <c r="G64" s="1062"/>
      <c r="H64" s="572">
        <f t="shared" si="8"/>
        <v>1.0749504556385137</v>
      </c>
      <c r="I64" s="572">
        <f t="shared" si="8"/>
        <v>2.1558092242709437</v>
      </c>
      <c r="J64" s="572">
        <f t="shared" si="8"/>
        <v>3.2366679929033739</v>
      </c>
      <c r="K64" s="572">
        <f t="shared" si="8"/>
        <v>4.3175267615358042</v>
      </c>
      <c r="L64" s="572">
        <f>IF(L63=0,0,(L61-L62)/L63)</f>
        <v>5.3929112167932374</v>
      </c>
      <c r="M64" s="564"/>
      <c r="N64" s="612"/>
    </row>
    <row r="65" spans="2:14" hidden="1" x14ac:dyDescent="0.2">
      <c r="B65" s="508"/>
      <c r="C65" s="564"/>
      <c r="D65" s="574" t="s">
        <v>281</v>
      </c>
      <c r="E65" s="652" t="s">
        <v>195</v>
      </c>
      <c r="F65" s="559"/>
      <c r="G65" s="582"/>
      <c r="H65" s="559"/>
      <c r="I65" s="559"/>
      <c r="J65" s="559"/>
      <c r="K65" s="559"/>
      <c r="L65" s="559"/>
      <c r="M65" s="564"/>
      <c r="N65" s="612"/>
    </row>
    <row r="66" spans="2:14" hidden="1" x14ac:dyDescent="0.2">
      <c r="B66" s="508"/>
      <c r="C66" s="564"/>
      <c r="D66" s="564" t="s">
        <v>282</v>
      </c>
      <c r="E66" s="564"/>
      <c r="F66" s="575">
        <f>+bal!G25</f>
        <v>0</v>
      </c>
      <c r="G66" s="581"/>
      <c r="H66" s="575">
        <f>+bal!I25</f>
        <v>21888299.575486384</v>
      </c>
      <c r="I66" s="575">
        <f>+bal!J25</f>
        <v>32831338.313229576</v>
      </c>
      <c r="J66" s="575">
        <f>+bal!K25</f>
        <v>43773932.630972765</v>
      </c>
      <c r="K66" s="575">
        <f>+bal!L25</f>
        <v>54718082.418715961</v>
      </c>
      <c r="L66" s="575" t="e">
        <f>+bal!#REF!</f>
        <v>#REF!</v>
      </c>
      <c r="M66" s="564"/>
      <c r="N66" s="612"/>
    </row>
    <row r="67" spans="2:14" hidden="1" x14ac:dyDescent="0.2">
      <c r="B67" s="508"/>
      <c r="C67" s="564"/>
      <c r="D67" s="564" t="s">
        <v>283</v>
      </c>
      <c r="E67" s="564"/>
      <c r="F67" s="552" t="e">
        <f>+begr!#REF!+begr!#REF!</f>
        <v>#REF!</v>
      </c>
      <c r="G67" s="582"/>
      <c r="H67" s="552" t="e">
        <f>+begr!#REF!+begr!#REF!</f>
        <v>#REF!</v>
      </c>
      <c r="I67" s="552" t="e">
        <f>+begr!#REF!+begr!#REF!</f>
        <v>#REF!</v>
      </c>
      <c r="J67" s="552" t="e">
        <f>+begr!#REF!+begr!#REF!</f>
        <v>#REF!</v>
      </c>
      <c r="K67" s="552" t="e">
        <f>+begr!#REF!+begr!#REF!</f>
        <v>#REF!</v>
      </c>
      <c r="L67" s="552" t="e">
        <f>+begr!#REF!+begr!#REF!</f>
        <v>#REF!</v>
      </c>
      <c r="M67" s="564"/>
      <c r="N67" s="612"/>
    </row>
    <row r="68" spans="2:14" hidden="1" x14ac:dyDescent="0.2">
      <c r="B68" s="508"/>
      <c r="C68" s="564"/>
      <c r="D68" s="564"/>
      <c r="E68" s="564"/>
      <c r="F68" s="576" t="e">
        <f t="shared" ref="F68:K68" si="9">F66/F67</f>
        <v>#REF!</v>
      </c>
      <c r="G68" s="1064"/>
      <c r="H68" s="576" t="e">
        <f t="shared" si="9"/>
        <v>#REF!</v>
      </c>
      <c r="I68" s="576" t="e">
        <f t="shared" si="9"/>
        <v>#REF!</v>
      </c>
      <c r="J68" s="576" t="e">
        <f t="shared" si="9"/>
        <v>#REF!</v>
      </c>
      <c r="K68" s="576" t="e">
        <f t="shared" si="9"/>
        <v>#REF!</v>
      </c>
      <c r="L68" s="576" t="e">
        <f>L66/L67</f>
        <v>#REF!</v>
      </c>
      <c r="M68" s="564"/>
      <c r="N68" s="612"/>
    </row>
    <row r="69" spans="2:14" x14ac:dyDescent="0.2">
      <c r="B69" s="508"/>
      <c r="C69" s="591"/>
      <c r="D69" s="591"/>
      <c r="E69" s="591"/>
      <c r="F69" s="592"/>
      <c r="G69" s="1065"/>
      <c r="H69" s="592"/>
      <c r="I69" s="592"/>
      <c r="J69" s="592"/>
      <c r="K69" s="592"/>
      <c r="L69" s="592"/>
      <c r="M69" s="591"/>
      <c r="N69" s="612"/>
    </row>
    <row r="70" spans="2:14" x14ac:dyDescent="0.2">
      <c r="B70" s="614"/>
      <c r="C70" s="615"/>
      <c r="D70" s="616"/>
      <c r="E70" s="616"/>
      <c r="F70" s="616"/>
      <c r="G70" s="616"/>
      <c r="H70" s="616"/>
      <c r="I70" s="616"/>
      <c r="J70" s="616"/>
      <c r="K70" s="616"/>
      <c r="L70" s="616"/>
      <c r="M70" s="616"/>
      <c r="N70" s="617"/>
    </row>
    <row r="71" spans="2:14" x14ac:dyDescent="0.2">
      <c r="B71" s="522"/>
      <c r="C71" s="621"/>
      <c r="D71" s="504"/>
      <c r="E71" s="504"/>
      <c r="F71" s="504"/>
      <c r="G71" s="504"/>
      <c r="H71" s="504"/>
      <c r="I71" s="504"/>
      <c r="J71" s="504"/>
      <c r="K71" s="504"/>
      <c r="L71" s="504"/>
      <c r="M71" s="504"/>
      <c r="N71" s="507"/>
    </row>
    <row r="72" spans="2:14" x14ac:dyDescent="0.2">
      <c r="B72" s="508"/>
      <c r="C72" s="599"/>
      <c r="D72" s="600"/>
      <c r="E72" s="600"/>
      <c r="F72" s="600"/>
      <c r="G72" s="600"/>
      <c r="H72" s="600"/>
      <c r="I72" s="600"/>
      <c r="J72" s="600"/>
      <c r="K72" s="600"/>
      <c r="L72" s="600"/>
      <c r="M72" s="600"/>
      <c r="N72" s="612"/>
    </row>
    <row r="73" spans="2:14" x14ac:dyDescent="0.2">
      <c r="B73" s="508"/>
      <c r="C73" s="548"/>
      <c r="D73" s="563" t="s">
        <v>284</v>
      </c>
      <c r="E73" s="577"/>
      <c r="F73" s="559"/>
      <c r="G73" s="559"/>
      <c r="H73" s="559"/>
      <c r="I73" s="559"/>
      <c r="J73" s="559"/>
      <c r="K73" s="559"/>
      <c r="L73" s="559"/>
      <c r="M73" s="564"/>
      <c r="N73" s="612"/>
    </row>
    <row r="74" spans="2:14" x14ac:dyDescent="0.2">
      <c r="B74" s="508"/>
      <c r="C74" s="548"/>
      <c r="D74" s="555"/>
      <c r="E74" s="577"/>
      <c r="F74" s="559"/>
      <c r="G74" s="559"/>
      <c r="H74" s="559"/>
      <c r="I74" s="559"/>
      <c r="J74" s="559"/>
      <c r="K74" s="559"/>
      <c r="L74" s="559"/>
      <c r="M74" s="564"/>
      <c r="N74" s="612"/>
    </row>
    <row r="75" spans="2:14" x14ac:dyDescent="0.2">
      <c r="B75" s="508"/>
      <c r="C75" s="549"/>
      <c r="D75" s="548" t="s">
        <v>285</v>
      </c>
      <c r="E75" s="548"/>
      <c r="F75" s="578">
        <f t="shared" ref="F75:K75" si="10">IF(F21=0,0,+F15/F21)</f>
        <v>0</v>
      </c>
      <c r="G75" s="1066"/>
      <c r="H75" s="578">
        <f t="shared" si="10"/>
        <v>2.0794901902886807</v>
      </c>
      <c r="I75" s="578">
        <f t="shared" si="10"/>
        <v>2.0794901902886807</v>
      </c>
      <c r="J75" s="578">
        <f t="shared" si="10"/>
        <v>2.0794901902886807</v>
      </c>
      <c r="K75" s="578">
        <f t="shared" si="10"/>
        <v>2.0794901902886807</v>
      </c>
      <c r="L75" s="578">
        <f>IF(L21=0,0,+L15/L21)</f>
        <v>2.0794901902886807</v>
      </c>
      <c r="M75" s="579"/>
      <c r="N75" s="612"/>
    </row>
    <row r="76" spans="2:14" x14ac:dyDescent="0.2">
      <c r="B76" s="508"/>
      <c r="C76" s="548"/>
      <c r="D76" s="548" t="s">
        <v>286</v>
      </c>
      <c r="E76" s="577"/>
      <c r="F76" s="578" t="e">
        <f>bekost!H95/bekost!#REF!</f>
        <v>#REF!</v>
      </c>
      <c r="G76" s="1066"/>
      <c r="H76" s="578">
        <f>bekost!I95/bekost!I166</f>
        <v>2.0662256361263025</v>
      </c>
      <c r="I76" s="578">
        <f>bekost!J95/bekost!J166</f>
        <v>2.0651611716340517</v>
      </c>
      <c r="J76" s="578">
        <f>bekost!K95/bekost!K166</f>
        <v>2.063987226762682</v>
      </c>
      <c r="K76" s="578">
        <f>bekost!L95/bekost!L166</f>
        <v>2.0621092358845234</v>
      </c>
      <c r="L76" s="578">
        <f>bekost!M95/bekost!M166</f>
        <v>2.0604862748160073</v>
      </c>
      <c r="M76" s="564"/>
      <c r="N76" s="612"/>
    </row>
    <row r="77" spans="2:14" x14ac:dyDescent="0.2">
      <c r="B77" s="508"/>
      <c r="C77" s="549"/>
      <c r="D77" s="548" t="s">
        <v>660</v>
      </c>
      <c r="E77" s="548"/>
      <c r="F77" s="552" t="e">
        <f>bekost!#REF!/'geg ll'!#REF!</f>
        <v>#REF!</v>
      </c>
      <c r="G77" s="582"/>
      <c r="H77" s="552">
        <f>bekost!I166/'geg ll'!G80</f>
        <v>664.36660698007552</v>
      </c>
      <c r="I77" s="552">
        <f>bekost!J166/'geg ll'!H80</f>
        <v>664.70904740200535</v>
      </c>
      <c r="J77" s="552">
        <f>bekost!K166/'geg ll'!I80</f>
        <v>665.08711746321126</v>
      </c>
      <c r="K77" s="552">
        <f>bekost!L166/'geg ll'!J80</f>
        <v>665.69282133090246</v>
      </c>
      <c r="L77" s="552">
        <f>bekost!M166/'geg ll'!K80</f>
        <v>666.21716043755691</v>
      </c>
      <c r="M77" s="579"/>
      <c r="N77" s="612"/>
    </row>
    <row r="78" spans="2:14" x14ac:dyDescent="0.2">
      <c r="B78" s="508"/>
      <c r="C78" s="549"/>
      <c r="D78" s="548" t="s">
        <v>287</v>
      </c>
      <c r="E78" s="548"/>
      <c r="F78" s="552">
        <f>IF(F119=0,0,+F26/F119)</f>
        <v>0</v>
      </c>
      <c r="G78" s="582"/>
      <c r="H78" s="552">
        <f>IF(H119=0,0,+H26/H119)</f>
        <v>80193.600000000006</v>
      </c>
      <c r="I78" s="552">
        <f>IF(I119=0,0,+I26/I119)</f>
        <v>85452.800000000003</v>
      </c>
      <c r="J78" s="552">
        <f>IF(J119=0,0,+J26/J119)</f>
        <v>91259.200000000012</v>
      </c>
      <c r="K78" s="552">
        <f>IF(K119=0,0,+K26/K119)</f>
        <v>100561.60000000001</v>
      </c>
      <c r="L78" s="552">
        <f>IF(L119=0,0,+L26/L119)</f>
        <v>108614.40000000001</v>
      </c>
      <c r="M78" s="564"/>
      <c r="N78" s="612"/>
    </row>
    <row r="79" spans="2:14" x14ac:dyDescent="0.2">
      <c r="B79" s="508"/>
      <c r="C79" s="549"/>
      <c r="D79" s="548"/>
      <c r="E79" s="548"/>
      <c r="F79" s="559"/>
      <c r="G79" s="582"/>
      <c r="H79" s="559"/>
      <c r="I79" s="559"/>
      <c r="J79" s="559"/>
      <c r="K79" s="559"/>
      <c r="L79" s="559"/>
      <c r="M79" s="579"/>
      <c r="N79" s="612"/>
    </row>
    <row r="80" spans="2:14" x14ac:dyDescent="0.2">
      <c r="B80" s="508"/>
      <c r="C80" s="549"/>
      <c r="D80" s="548" t="s">
        <v>288</v>
      </c>
      <c r="E80" s="548"/>
      <c r="F80" s="578" t="e">
        <f>IF(F15=0,0,bekost!#REF!/F15)</f>
        <v>#REF!</v>
      </c>
      <c r="G80" s="1066"/>
      <c r="H80" s="578">
        <f>IF(H15=0,0,bekost!I95/H15)</f>
        <v>1</v>
      </c>
      <c r="I80" s="578">
        <f>IF(I15=0,0,bekost!J95/I15)</f>
        <v>1</v>
      </c>
      <c r="J80" s="578">
        <f>IF(J15=0,0,bekost!K95/J15)</f>
        <v>1</v>
      </c>
      <c r="K80" s="578">
        <f>IF(K15=0,0,bekost!L95/K15)</f>
        <v>1</v>
      </c>
      <c r="L80" s="578">
        <f>IF(L15=0,0,bekost!M95/L15)</f>
        <v>1</v>
      </c>
      <c r="M80" s="579"/>
      <c r="N80" s="612"/>
    </row>
    <row r="81" spans="1:37" x14ac:dyDescent="0.2">
      <c r="B81" s="508"/>
      <c r="C81" s="549"/>
      <c r="D81" s="548" t="s">
        <v>289</v>
      </c>
      <c r="E81" s="548"/>
      <c r="F81" s="578">
        <f>IF(F21=0,0,bekost!#REF!/F21)</f>
        <v>0</v>
      </c>
      <c r="G81" s="1066"/>
      <c r="H81" s="578">
        <f>IF(H21=0,0,bekost!I166/H21)</f>
        <v>1.0064197026357906</v>
      </c>
      <c r="I81" s="578">
        <f>IF(I21=0,0,bekost!J166/I21)</f>
        <v>1.0069384505439309</v>
      </c>
      <c r="J81" s="578">
        <f>IF(J21=0,0,bekost!K166/J21)</f>
        <v>1.0075111722228605</v>
      </c>
      <c r="K81" s="578">
        <f>IF(K21=0,0,bekost!L166/K21)</f>
        <v>1.0084287263262763</v>
      </c>
      <c r="L81" s="578">
        <f>IF(L21=0,0,bekost!M166/L21)</f>
        <v>1.009223024537919</v>
      </c>
      <c r="M81" s="564"/>
      <c r="N81" s="612"/>
    </row>
    <row r="82" spans="1:37" x14ac:dyDescent="0.2">
      <c r="B82" s="508"/>
      <c r="C82" s="549"/>
      <c r="D82" s="548" t="s">
        <v>290</v>
      </c>
      <c r="E82" s="548"/>
      <c r="F82" s="578">
        <f>IF(F21=0,0,F26/F21)</f>
        <v>0</v>
      </c>
      <c r="G82" s="1066"/>
      <c r="H82" s="578">
        <f>IF(H21=0,0,H26/H21)</f>
        <v>7.9099981453914017E-3</v>
      </c>
      <c r="I82" s="578">
        <f>IF(I21=0,0,I26/I21)</f>
        <v>8.428746053531732E-3</v>
      </c>
      <c r="J82" s="578">
        <f>IF(J21=0,0,J26/J21)</f>
        <v>9.0014677324612314E-3</v>
      </c>
      <c r="K82" s="578">
        <f>IF(K21=0,0,K26/K21)</f>
        <v>9.9190218358770777E-3</v>
      </c>
      <c r="L82" s="578">
        <f>IF(L21=0,0,L26/L21)</f>
        <v>1.071332004752E-2</v>
      </c>
      <c r="M82" s="579"/>
      <c r="N82" s="612"/>
    </row>
    <row r="83" spans="1:37" x14ac:dyDescent="0.2">
      <c r="B83" s="508"/>
      <c r="C83" s="549"/>
      <c r="D83" s="548" t="s">
        <v>291</v>
      </c>
      <c r="E83" s="548"/>
      <c r="F83" s="578" t="e">
        <f>IF(F15=0,0,mat!#REF!/F15)</f>
        <v>#REF!</v>
      </c>
      <c r="G83" s="1066"/>
      <c r="H83" s="578">
        <f>IF(H15=0,0,mat!K57/H15)</f>
        <v>0</v>
      </c>
      <c r="I83" s="578">
        <f>IF(I15=0,0,mat!L57/I15)</f>
        <v>0</v>
      </c>
      <c r="J83" s="578">
        <f>IF(J15=0,0,mat!M57/J15)</f>
        <v>0</v>
      </c>
      <c r="K83" s="578">
        <f>IF(K15=0,0,mat!N57/K15)</f>
        <v>0</v>
      </c>
      <c r="L83" s="578">
        <f>IF(L15=0,0,mat!O57/L15)</f>
        <v>0</v>
      </c>
      <c r="M83" s="579"/>
      <c r="N83" s="612"/>
    </row>
    <row r="84" spans="1:37" x14ac:dyDescent="0.2">
      <c r="B84" s="508"/>
      <c r="C84" s="549"/>
      <c r="D84" s="548" t="s">
        <v>292</v>
      </c>
      <c r="E84" s="548"/>
      <c r="F84" s="578">
        <f>IF(F21=0,0,mat!#REF!/F21)</f>
        <v>0</v>
      </c>
      <c r="G84" s="1066"/>
      <c r="H84" s="578">
        <f>IF(H21=0,0,mat!K145/H21)</f>
        <v>1.4902955096007496E-3</v>
      </c>
      <c r="I84" s="578">
        <f>IF(I21=0,0,mat!L145/I21)</f>
        <v>1.4902955096007496E-3</v>
      </c>
      <c r="J84" s="578">
        <f>IF(J21=0,0,mat!M145/J21)</f>
        <v>1.4902955096007496E-3</v>
      </c>
      <c r="K84" s="578">
        <f>IF(K21=0,0,mat!N145/K21)</f>
        <v>1.4902955096007496E-3</v>
      </c>
      <c r="L84" s="578">
        <f>IF(L21=0,0,mat!O145/L21)</f>
        <v>1.4902955096007496E-3</v>
      </c>
      <c r="M84" s="579"/>
      <c r="N84" s="612"/>
    </row>
    <row r="85" spans="1:37" x14ac:dyDescent="0.2">
      <c r="B85" s="508"/>
      <c r="C85" s="549"/>
      <c r="D85" s="548"/>
      <c r="E85" s="548"/>
      <c r="F85" s="580"/>
      <c r="G85" s="1066"/>
      <c r="H85" s="580"/>
      <c r="I85" s="580"/>
      <c r="J85" s="580"/>
      <c r="K85" s="580"/>
      <c r="L85" s="580"/>
      <c r="M85" s="579"/>
      <c r="N85" s="612"/>
    </row>
    <row r="86" spans="1:37" x14ac:dyDescent="0.2">
      <c r="B86" s="508"/>
      <c r="C86" s="549"/>
      <c r="D86" s="548" t="s">
        <v>341</v>
      </c>
      <c r="E86" s="548"/>
      <c r="F86" s="552" t="e">
        <f>+F25/'geg ll'!#REF!</f>
        <v>#REF!</v>
      </c>
      <c r="G86" s="582"/>
      <c r="H86" s="552">
        <f>+H25/'geg ll'!G80</f>
        <v>5.2216173980987115</v>
      </c>
      <c r="I86" s="552">
        <f>+I25/'geg ll'!H80</f>
        <v>5.5640578200286495</v>
      </c>
      <c r="J86" s="552">
        <f>+J25/'geg ll'!I80</f>
        <v>5.9421278812345362</v>
      </c>
      <c r="K86" s="552">
        <f>+K25/'geg ll'!J80</f>
        <v>6.5478317489256419</v>
      </c>
      <c r="L86" s="552">
        <f>+L25/'geg ll'!K80</f>
        <v>7.0721708555801541</v>
      </c>
      <c r="M86" s="564"/>
      <c r="N86" s="612"/>
    </row>
    <row r="87" spans="1:37" x14ac:dyDescent="0.2">
      <c r="B87" s="508"/>
      <c r="C87" s="593"/>
      <c r="D87" s="594"/>
      <c r="E87" s="594"/>
      <c r="F87" s="595"/>
      <c r="G87" s="1067"/>
      <c r="H87" s="595"/>
      <c r="I87" s="595"/>
      <c r="J87" s="595"/>
      <c r="K87" s="595"/>
      <c r="L87" s="595"/>
      <c r="M87" s="591"/>
      <c r="N87" s="612"/>
    </row>
    <row r="88" spans="1:37" s="503" customFormat="1" x14ac:dyDescent="0.2">
      <c r="A88" s="545"/>
      <c r="B88" s="608"/>
      <c r="C88" s="607"/>
      <c r="D88" s="607"/>
      <c r="E88" s="607"/>
      <c r="F88" s="609"/>
      <c r="G88" s="609"/>
      <c r="H88" s="609"/>
      <c r="I88" s="609"/>
      <c r="J88" s="609"/>
      <c r="K88" s="609"/>
      <c r="L88" s="609"/>
      <c r="M88" s="607"/>
      <c r="N88" s="610"/>
      <c r="O88" s="545"/>
      <c r="P88" s="545"/>
      <c r="Q88" s="545"/>
      <c r="R88" s="545"/>
      <c r="S88" s="545"/>
      <c r="T88" s="545"/>
      <c r="U88" s="545"/>
      <c r="V88" s="545"/>
      <c r="W88" s="545"/>
      <c r="X88" s="545"/>
      <c r="Y88" s="545"/>
      <c r="Z88" s="545"/>
      <c r="AA88" s="545"/>
      <c r="AB88" s="545"/>
      <c r="AC88" s="545"/>
      <c r="AD88" s="545"/>
      <c r="AE88" s="545"/>
      <c r="AF88" s="545"/>
      <c r="AG88" s="545"/>
      <c r="AH88" s="545"/>
      <c r="AI88" s="545"/>
      <c r="AJ88" s="545"/>
      <c r="AK88" s="545"/>
    </row>
    <row r="89" spans="1:37" s="503" customFormat="1" x14ac:dyDescent="0.2">
      <c r="A89" s="545"/>
      <c r="B89" s="608"/>
      <c r="C89" s="607"/>
      <c r="D89" s="607"/>
      <c r="E89" s="607"/>
      <c r="F89" s="611" t="e">
        <f>F7</f>
        <v>#REF!</v>
      </c>
      <c r="G89" s="611"/>
      <c r="H89" s="611">
        <f>H7</f>
        <v>2023</v>
      </c>
      <c r="I89" s="611">
        <f>I7</f>
        <v>2024</v>
      </c>
      <c r="J89" s="611">
        <f>J7</f>
        <v>2025</v>
      </c>
      <c r="K89" s="611">
        <f>K7</f>
        <v>2026</v>
      </c>
      <c r="L89" s="611">
        <f>L7</f>
        <v>2027</v>
      </c>
      <c r="M89" s="607"/>
      <c r="N89" s="610"/>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row>
    <row r="90" spans="1:37" s="503" customFormat="1" x14ac:dyDescent="0.2">
      <c r="A90" s="545"/>
      <c r="B90" s="608"/>
      <c r="C90" s="607"/>
      <c r="D90" s="607"/>
      <c r="E90" s="607"/>
      <c r="F90" s="609"/>
      <c r="G90" s="609"/>
      <c r="H90" s="609"/>
      <c r="I90" s="609"/>
      <c r="J90" s="609"/>
      <c r="K90" s="609"/>
      <c r="L90" s="609"/>
      <c r="M90" s="607"/>
      <c r="N90" s="610"/>
      <c r="O90" s="545"/>
      <c r="P90" s="545"/>
      <c r="Q90" s="545"/>
      <c r="R90" s="545"/>
      <c r="S90" s="545"/>
      <c r="T90" s="545"/>
      <c r="U90" s="545"/>
      <c r="V90" s="545"/>
      <c r="W90" s="545"/>
      <c r="X90" s="545"/>
      <c r="Y90" s="545"/>
      <c r="Z90" s="545"/>
      <c r="AA90" s="545"/>
      <c r="AB90" s="545"/>
      <c r="AC90" s="545"/>
      <c r="AD90" s="545"/>
      <c r="AE90" s="545"/>
      <c r="AF90" s="545"/>
      <c r="AG90" s="545"/>
      <c r="AH90" s="545"/>
      <c r="AI90" s="545"/>
      <c r="AJ90" s="545"/>
      <c r="AK90" s="545"/>
    </row>
    <row r="91" spans="1:37" s="503" customFormat="1" x14ac:dyDescent="0.2">
      <c r="A91" s="545"/>
      <c r="B91" s="520"/>
      <c r="C91" s="601"/>
      <c r="D91" s="601"/>
      <c r="E91" s="601"/>
      <c r="F91" s="602"/>
      <c r="G91" s="602"/>
      <c r="H91" s="602"/>
      <c r="I91" s="602"/>
      <c r="J91" s="602"/>
      <c r="K91" s="602"/>
      <c r="L91" s="602"/>
      <c r="M91" s="601"/>
      <c r="N91" s="622"/>
      <c r="O91" s="545"/>
      <c r="P91" s="545"/>
      <c r="Q91" s="545"/>
      <c r="R91" s="545"/>
      <c r="S91" s="545"/>
      <c r="T91" s="545"/>
      <c r="U91" s="545"/>
      <c r="V91" s="545"/>
      <c r="W91" s="545"/>
      <c r="X91" s="545"/>
      <c r="Y91" s="545"/>
      <c r="Z91" s="545"/>
      <c r="AA91" s="545"/>
      <c r="AB91" s="545"/>
      <c r="AC91" s="545"/>
      <c r="AD91" s="545"/>
      <c r="AE91" s="545"/>
      <c r="AF91" s="545"/>
      <c r="AG91" s="545"/>
      <c r="AH91" s="545"/>
      <c r="AI91" s="545"/>
      <c r="AJ91" s="545"/>
      <c r="AK91" s="545"/>
    </row>
    <row r="92" spans="1:37" x14ac:dyDescent="0.2">
      <c r="B92" s="518"/>
      <c r="C92" s="583"/>
      <c r="D92" s="584" t="s">
        <v>293</v>
      </c>
      <c r="E92" s="583"/>
      <c r="F92" s="585"/>
      <c r="G92" s="585"/>
      <c r="H92" s="585"/>
      <c r="I92" s="585"/>
      <c r="J92" s="585"/>
      <c r="K92" s="585"/>
      <c r="L92" s="585"/>
      <c r="M92" s="581"/>
      <c r="N92" s="612"/>
    </row>
    <row r="93" spans="1:37" x14ac:dyDescent="0.2">
      <c r="B93" s="508"/>
      <c r="C93" s="585"/>
      <c r="D93" s="583"/>
      <c r="E93" s="583"/>
      <c r="F93" s="582"/>
      <c r="G93" s="582"/>
      <c r="H93" s="582"/>
      <c r="I93" s="582"/>
      <c r="J93" s="582"/>
      <c r="K93" s="582"/>
      <c r="L93" s="582"/>
      <c r="M93" s="581"/>
      <c r="N93" s="612"/>
    </row>
    <row r="94" spans="1:37" x14ac:dyDescent="0.2">
      <c r="B94" s="508"/>
      <c r="C94" s="585"/>
      <c r="D94" s="585" t="s">
        <v>308</v>
      </c>
      <c r="E94" s="585"/>
      <c r="F94" s="578" t="e">
        <f>IF('geg ll'!#REF!=0,0,+'geg ll'!#REF!/'geg ll'!#REF!)</f>
        <v>#REF!</v>
      </c>
      <c r="G94" s="1066"/>
      <c r="H94" s="578">
        <f>IF('geg ll'!$G22=0,0,+'geg ll'!G22/'geg ll'!$G22)</f>
        <v>1</v>
      </c>
      <c r="I94" s="578">
        <f>IF('geg ll'!$G22=0,0,+'geg ll'!H22/'geg ll'!$G22)</f>
        <v>1</v>
      </c>
      <c r="J94" s="578">
        <f>IF('geg ll'!$G22=0,0,+'geg ll'!I22/'geg ll'!$G22)</f>
        <v>1</v>
      </c>
      <c r="K94" s="578">
        <f>IF('geg ll'!$G22=0,0,+'geg ll'!J22/'geg ll'!$G22)</f>
        <v>1</v>
      </c>
      <c r="L94" s="578">
        <f>IF('geg ll'!$G22=0,0,+'geg ll'!K22/'geg ll'!$G22)</f>
        <v>1</v>
      </c>
      <c r="M94" s="581"/>
      <c r="N94" s="612"/>
    </row>
    <row r="95" spans="1:37" x14ac:dyDescent="0.2">
      <c r="B95" s="508"/>
      <c r="C95" s="585"/>
      <c r="D95" s="585" t="s">
        <v>309</v>
      </c>
      <c r="E95" s="585"/>
      <c r="F95" s="578" t="e">
        <f>IF('geg ll'!#REF!=0,0,+'geg ll'!#REF!/'geg ll'!#REF!)</f>
        <v>#REF!</v>
      </c>
      <c r="G95" s="1066"/>
      <c r="H95" s="578">
        <f>IF('geg ll'!$G23=0,0,+'geg ll'!G23/'geg ll'!$G23)</f>
        <v>1</v>
      </c>
      <c r="I95" s="578">
        <f>IF('geg ll'!$G23=0,0,+'geg ll'!H23/'geg ll'!$G23)</f>
        <v>1</v>
      </c>
      <c r="J95" s="578">
        <f>IF('geg ll'!$G23=0,0,+'geg ll'!I23/'geg ll'!$G23)</f>
        <v>1</v>
      </c>
      <c r="K95" s="578">
        <f>IF('geg ll'!$G23=0,0,+'geg ll'!J23/'geg ll'!$G23)</f>
        <v>1</v>
      </c>
      <c r="L95" s="578">
        <f>IF('geg ll'!$G23=0,0,+'geg ll'!K23/'geg ll'!$G23)</f>
        <v>1</v>
      </c>
      <c r="M95" s="581"/>
      <c r="N95" s="612"/>
    </row>
    <row r="96" spans="1:37" x14ac:dyDescent="0.2">
      <c r="B96" s="508"/>
      <c r="C96" s="585"/>
      <c r="D96" s="585" t="s">
        <v>310</v>
      </c>
      <c r="E96" s="585"/>
      <c r="F96" s="578" t="e">
        <f>IF('geg ll'!#REF!=0,0,+'geg ll'!#REF!/'geg ll'!#REF!)</f>
        <v>#REF!</v>
      </c>
      <c r="G96" s="1066"/>
      <c r="H96" s="578">
        <f>IF('geg ll'!$G24=0,0,+'geg ll'!G24/'geg ll'!$G24)</f>
        <v>1</v>
      </c>
      <c r="I96" s="578">
        <f>IF('geg ll'!$G24=0,0,+'geg ll'!H24/'geg ll'!$G24)</f>
        <v>1</v>
      </c>
      <c r="J96" s="578">
        <f>IF('geg ll'!$G24=0,0,+'geg ll'!I24/'geg ll'!$G24)</f>
        <v>1</v>
      </c>
      <c r="K96" s="578">
        <f>IF('geg ll'!$G24=0,0,+'geg ll'!J24/'geg ll'!$G24)</f>
        <v>1</v>
      </c>
      <c r="L96" s="578">
        <f>IF('geg ll'!$G24=0,0,+'geg ll'!K24/'geg ll'!$G24)</f>
        <v>1</v>
      </c>
      <c r="M96" s="581"/>
      <c r="N96" s="612"/>
    </row>
    <row r="97" spans="2:14" x14ac:dyDescent="0.2">
      <c r="B97" s="508"/>
      <c r="C97" s="585"/>
      <c r="D97" s="585" t="s">
        <v>313</v>
      </c>
      <c r="E97" s="585"/>
      <c r="F97" s="578" t="e">
        <f>IF(+'geg ll'!#REF!=0,0,'geg ll'!#REF!/'geg ll'!#REF!)</f>
        <v>#REF!</v>
      </c>
      <c r="G97" s="1066"/>
      <c r="H97" s="578">
        <f>IF(+'geg ll'!$G75=0,0,'geg ll'!G75/'geg ll'!$G75)</f>
        <v>1</v>
      </c>
      <c r="I97" s="578">
        <f>IF(+'geg ll'!$G75=0,0,'geg ll'!H75/'geg ll'!$G75)</f>
        <v>1</v>
      </c>
      <c r="J97" s="578">
        <f>IF(+'geg ll'!$G75=0,0,'geg ll'!I75/'geg ll'!$G75)</f>
        <v>1</v>
      </c>
      <c r="K97" s="578">
        <f>IF(+'geg ll'!$G75=0,0,'geg ll'!J75/'geg ll'!$G75)</f>
        <v>1</v>
      </c>
      <c r="L97" s="578">
        <f>IF(+'geg ll'!$G75=0,0,'geg ll'!K75/'geg ll'!$G75)</f>
        <v>1</v>
      </c>
      <c r="M97" s="581"/>
      <c r="N97" s="612"/>
    </row>
    <row r="98" spans="2:14" x14ac:dyDescent="0.2">
      <c r="B98" s="508"/>
      <c r="C98" s="585"/>
      <c r="D98" s="585" t="s">
        <v>314</v>
      </c>
      <c r="E98" s="585"/>
      <c r="F98" s="578" t="e">
        <f>IF(+'geg ll'!#REF!=0,0,'geg ll'!#REF!/'geg ll'!#REF!)</f>
        <v>#REF!</v>
      </c>
      <c r="G98" s="1066"/>
      <c r="H98" s="578">
        <f>IF(+'geg ll'!$G76=0,0,'geg ll'!G76/'geg ll'!$G76)</f>
        <v>1</v>
      </c>
      <c r="I98" s="578">
        <f>IF(+'geg ll'!$G76=0,0,'geg ll'!H76/'geg ll'!$G76)</f>
        <v>1</v>
      </c>
      <c r="J98" s="578">
        <f>IF(+'geg ll'!$G76=0,0,'geg ll'!I76/'geg ll'!$G76)</f>
        <v>1</v>
      </c>
      <c r="K98" s="578">
        <f>IF(+'geg ll'!$G76=0,0,'geg ll'!J76/'geg ll'!$G76)</f>
        <v>1</v>
      </c>
      <c r="L98" s="578">
        <f>IF(+'geg ll'!$G76=0,0,'geg ll'!K76/'geg ll'!$G76)</f>
        <v>1</v>
      </c>
      <c r="M98" s="581"/>
      <c r="N98" s="612"/>
    </row>
    <row r="99" spans="2:14" x14ac:dyDescent="0.2">
      <c r="B99" s="508"/>
      <c r="C99" s="585"/>
      <c r="D99" s="585" t="s">
        <v>315</v>
      </c>
      <c r="E99" s="585"/>
      <c r="F99" s="578" t="e">
        <f>IF(+'geg ll'!#REF!=0,0,'geg ll'!#REF!/'geg ll'!#REF!)</f>
        <v>#REF!</v>
      </c>
      <c r="G99" s="1066"/>
      <c r="H99" s="578">
        <f>IF(+'geg ll'!$G77=0,0,'geg ll'!G77/'geg ll'!$G77)</f>
        <v>1</v>
      </c>
      <c r="I99" s="578">
        <f>IF(+'geg ll'!$G77=0,0,'geg ll'!H77/'geg ll'!$G77)</f>
        <v>1</v>
      </c>
      <c r="J99" s="578">
        <f>IF(+'geg ll'!$G77=0,0,'geg ll'!I77/'geg ll'!$G77)</f>
        <v>1</v>
      </c>
      <c r="K99" s="578">
        <f>IF(+'geg ll'!$G77=0,0,'geg ll'!J77/'geg ll'!$G77)</f>
        <v>1</v>
      </c>
      <c r="L99" s="578">
        <f>IF(+'geg ll'!$G77=0,0,'geg ll'!K77/'geg ll'!$G77)</f>
        <v>1</v>
      </c>
      <c r="M99" s="581"/>
      <c r="N99" s="612"/>
    </row>
    <row r="100" spans="2:14" x14ac:dyDescent="0.2">
      <c r="B100" s="508"/>
      <c r="C100" s="585"/>
      <c r="D100" s="585" t="s">
        <v>312</v>
      </c>
      <c r="E100" s="585"/>
      <c r="F100" s="578" t="e">
        <f>IF(+'geg ll'!#REF!=0,0,'geg ll'!#REF!/'geg ll'!#REF!)</f>
        <v>#REF!</v>
      </c>
      <c r="G100" s="1066"/>
      <c r="H100" s="578">
        <f>IF(+'geg ll'!$G78=0,0,'geg ll'!G78/'geg ll'!$G78)</f>
        <v>1</v>
      </c>
      <c r="I100" s="578">
        <f>IF(+'geg ll'!$G78=0,0,'geg ll'!H78/'geg ll'!$G78)</f>
        <v>1</v>
      </c>
      <c r="J100" s="578">
        <f>IF(+'geg ll'!$G78=0,0,'geg ll'!I78/'geg ll'!$G78)</f>
        <v>1</v>
      </c>
      <c r="K100" s="578">
        <f>IF(+'geg ll'!$G78=0,0,'geg ll'!J78/'geg ll'!$G78)</f>
        <v>1</v>
      </c>
      <c r="L100" s="578">
        <f>IF(+'geg ll'!$G78=0,0,'geg ll'!K78/'geg ll'!$G78)</f>
        <v>1</v>
      </c>
      <c r="M100" s="581"/>
      <c r="N100" s="612"/>
    </row>
    <row r="101" spans="2:14" x14ac:dyDescent="0.2">
      <c r="B101" s="508"/>
      <c r="C101" s="585"/>
      <c r="D101" s="585" t="s">
        <v>311</v>
      </c>
      <c r="E101" s="585"/>
      <c r="F101" s="578" t="e">
        <f>IF(+'geg ll'!#REF!=0,0,'geg ll'!#REF!/'geg ll'!#REF!)</f>
        <v>#REF!</v>
      </c>
      <c r="G101" s="1066"/>
      <c r="H101" s="578">
        <f>IF(+'geg ll'!$G80=0,0,'geg ll'!G80/'geg ll'!$G80)</f>
        <v>1</v>
      </c>
      <c r="I101" s="578">
        <f>IF(+'geg ll'!$G80=0,0,'geg ll'!H80/'geg ll'!$G80)</f>
        <v>1</v>
      </c>
      <c r="J101" s="578">
        <f>IF(+'geg ll'!$G80=0,0,'geg ll'!I80/'geg ll'!$G80)</f>
        <v>1</v>
      </c>
      <c r="K101" s="578">
        <f>IF(+'geg ll'!$G80=0,0,'geg ll'!J80/'geg ll'!$G80)</f>
        <v>1</v>
      </c>
      <c r="L101" s="578">
        <f>IF(+'geg ll'!$G80=0,0,'geg ll'!K80/'geg ll'!$G80)</f>
        <v>1</v>
      </c>
      <c r="M101" s="581"/>
      <c r="N101" s="612"/>
    </row>
    <row r="102" spans="2:14" x14ac:dyDescent="0.2">
      <c r="B102" s="508"/>
      <c r="C102" s="585"/>
      <c r="D102" s="585" t="s">
        <v>342</v>
      </c>
      <c r="E102" s="585"/>
      <c r="F102" s="578">
        <f t="shared" ref="F102" si="11">IF($F119=0,0,+F119/$F119)</f>
        <v>1</v>
      </c>
      <c r="G102" s="1066"/>
      <c r="H102" s="578">
        <f>IF($H119=0,0,+H119/$H119)</f>
        <v>1</v>
      </c>
      <c r="I102" s="578">
        <f t="shared" ref="I102:L102" si="12">IF($H119=0,0,+I119/$H119)</f>
        <v>1</v>
      </c>
      <c r="J102" s="578">
        <f t="shared" si="12"/>
        <v>1</v>
      </c>
      <c r="K102" s="578">
        <f t="shared" si="12"/>
        <v>1</v>
      </c>
      <c r="L102" s="578">
        <f t="shared" si="12"/>
        <v>1</v>
      </c>
      <c r="M102" s="581"/>
      <c r="N102" s="612"/>
    </row>
    <row r="103" spans="2:14" x14ac:dyDescent="0.2">
      <c r="B103" s="508"/>
      <c r="C103" s="585"/>
      <c r="D103" s="585" t="s">
        <v>294</v>
      </c>
      <c r="E103" s="585"/>
      <c r="F103" s="578">
        <f>IF($F26=0,0,F26/$F26)</f>
        <v>0</v>
      </c>
      <c r="G103" s="1066"/>
      <c r="H103" s="578">
        <f>IF($H26=0,0,H26/$H26)</f>
        <v>1</v>
      </c>
      <c r="I103" s="578">
        <f t="shared" ref="I103:L103" si="13">IF($H26=0,0,I26/$H26)</f>
        <v>1.0655812932702859</v>
      </c>
      <c r="J103" s="578">
        <f t="shared" si="13"/>
        <v>1.1379860737016421</v>
      </c>
      <c r="K103" s="578">
        <f t="shared" si="13"/>
        <v>1.2539853554398355</v>
      </c>
      <c r="L103" s="578">
        <f t="shared" si="13"/>
        <v>1.354402346321901</v>
      </c>
      <c r="M103" s="581"/>
      <c r="N103" s="612"/>
    </row>
    <row r="104" spans="2:14" x14ac:dyDescent="0.2">
      <c r="B104" s="508"/>
      <c r="C104" s="585"/>
      <c r="D104" s="585" t="s">
        <v>295</v>
      </c>
      <c r="E104" s="585"/>
      <c r="F104" s="578" t="e">
        <f>IF($F15=0,0,F15/$F15)</f>
        <v>#REF!</v>
      </c>
      <c r="G104" s="1066"/>
      <c r="H104" s="578">
        <f>IF($H15=0,0,H15/$H15)</f>
        <v>1</v>
      </c>
      <c r="I104" s="578">
        <f t="shared" ref="I104:L104" si="14">IF($H15=0,0,I15/$H15)</f>
        <v>1</v>
      </c>
      <c r="J104" s="578">
        <f t="shared" si="14"/>
        <v>1</v>
      </c>
      <c r="K104" s="578">
        <f t="shared" si="14"/>
        <v>1</v>
      </c>
      <c r="L104" s="578">
        <f t="shared" si="14"/>
        <v>1</v>
      </c>
      <c r="M104" s="581"/>
      <c r="N104" s="612"/>
    </row>
    <row r="105" spans="2:14" x14ac:dyDescent="0.2">
      <c r="B105" s="508"/>
      <c r="C105" s="585"/>
      <c r="D105" s="585" t="s">
        <v>296</v>
      </c>
      <c r="E105" s="585"/>
      <c r="F105" s="578">
        <f>IF(begr!$F14=0,0,begr!F14/begr!$F14)</f>
        <v>0</v>
      </c>
      <c r="G105" s="1066"/>
      <c r="H105" s="578">
        <f>IF(begr!$H14=0,0,begr!H14/begr!$H14)</f>
        <v>1</v>
      </c>
      <c r="I105" s="578">
        <f>IF(begr!$H14=0,0,begr!I14/begr!$H14)</f>
        <v>1</v>
      </c>
      <c r="J105" s="578">
        <f>IF(begr!$H14=0,0,begr!J14/begr!$H14)</f>
        <v>1</v>
      </c>
      <c r="K105" s="578">
        <f>IF(begr!$H14=0,0,begr!K14/begr!$H14)</f>
        <v>1</v>
      </c>
      <c r="L105" s="578">
        <f>IF(begr!$H14=0,0,begr!L14/begr!$H14)</f>
        <v>1</v>
      </c>
      <c r="M105" s="581"/>
      <c r="N105" s="612"/>
    </row>
    <row r="106" spans="2:14" x14ac:dyDescent="0.2">
      <c r="B106" s="508"/>
      <c r="C106" s="585"/>
      <c r="D106" s="585" t="s">
        <v>297</v>
      </c>
      <c r="E106" s="585"/>
      <c r="F106" s="578">
        <f>IF(begr!$F17=0,0,begr!F17/begr!$F17)</f>
        <v>0</v>
      </c>
      <c r="G106" s="1066"/>
      <c r="H106" s="578">
        <f>IF(begr!$H17=0,0,begr!H17/begr!$H17)</f>
        <v>0</v>
      </c>
      <c r="I106" s="578">
        <f>IF(begr!$H17=0,0,begr!I17/begr!$H17)</f>
        <v>0</v>
      </c>
      <c r="J106" s="578">
        <f>IF(begr!$H17=0,0,begr!J17/begr!$H17)</f>
        <v>0</v>
      </c>
      <c r="K106" s="578">
        <f>IF(begr!$H17=0,0,begr!K17/begr!$H17)</f>
        <v>0</v>
      </c>
      <c r="L106" s="578">
        <f>IF(begr!$H17=0,0,begr!L17/begr!$H17)</f>
        <v>0</v>
      </c>
      <c r="M106" s="581"/>
      <c r="N106" s="612"/>
    </row>
    <row r="107" spans="2:14" x14ac:dyDescent="0.2">
      <c r="B107" s="508"/>
      <c r="C107" s="585"/>
      <c r="D107" s="585" t="s">
        <v>298</v>
      </c>
      <c r="E107" s="585"/>
      <c r="F107" s="578">
        <f>IF(begr!$F21=0,0,begr!F21/begr!$F21)</f>
        <v>0</v>
      </c>
      <c r="G107" s="1066"/>
      <c r="H107" s="578">
        <f>IF(begr!$H21=0,0,begr!H21/begr!$H21)</f>
        <v>0</v>
      </c>
      <c r="I107" s="578">
        <f>IF(begr!$H21=0,0,begr!I21/begr!$H21)</f>
        <v>0</v>
      </c>
      <c r="J107" s="578">
        <f>IF(begr!$H21=0,0,begr!J21/begr!$H21)</f>
        <v>0</v>
      </c>
      <c r="K107" s="578">
        <f>IF(begr!$H21=0,0,begr!K21/begr!$H21)</f>
        <v>0</v>
      </c>
      <c r="L107" s="578">
        <f>IF(begr!$H21=0,0,begr!L21/begr!$H21)</f>
        <v>0</v>
      </c>
      <c r="M107" s="581"/>
      <c r="N107" s="612"/>
    </row>
    <row r="108" spans="2:14" x14ac:dyDescent="0.2">
      <c r="B108" s="508"/>
      <c r="C108" s="585"/>
      <c r="D108" s="585" t="s">
        <v>299</v>
      </c>
      <c r="E108" s="585"/>
      <c r="F108" s="578">
        <f>IF(begr!$F22=0,0,begr!F22/begr!$F22)</f>
        <v>0</v>
      </c>
      <c r="G108" s="1066"/>
      <c r="H108" s="578">
        <f>IF(begr!$H22=0,0,begr!H22/begr!$H22)</f>
        <v>0</v>
      </c>
      <c r="I108" s="578">
        <f>IF(begr!$H22=0,0,begr!I22/begr!$H22)</f>
        <v>0</v>
      </c>
      <c r="J108" s="578">
        <f>IF(begr!$H22=0,0,begr!J22/begr!$H22)</f>
        <v>0</v>
      </c>
      <c r="K108" s="578">
        <f>IF(begr!$H22=0,0,begr!K22/begr!$H22)</f>
        <v>0</v>
      </c>
      <c r="L108" s="578">
        <f>IF(begr!$H22=0,0,begr!L22/begr!$H22)</f>
        <v>0</v>
      </c>
      <c r="M108" s="581"/>
      <c r="N108" s="612"/>
    </row>
    <row r="109" spans="2:14" x14ac:dyDescent="0.2">
      <c r="B109" s="508"/>
      <c r="C109" s="585"/>
      <c r="D109" s="585" t="s">
        <v>300</v>
      </c>
      <c r="E109" s="585"/>
      <c r="F109" s="578">
        <f>IF($F21=0,0,+F21/$F21)</f>
        <v>0</v>
      </c>
      <c r="G109" s="1066"/>
      <c r="H109" s="578">
        <f>IF($H21=0,0,+H21/$H21)</f>
        <v>1</v>
      </c>
      <c r="I109" s="578">
        <f t="shared" ref="I109:L109" si="15">IF($H21=0,0,+I21/$H21)</f>
        <v>1</v>
      </c>
      <c r="J109" s="578">
        <f t="shared" si="15"/>
        <v>1</v>
      </c>
      <c r="K109" s="578">
        <f t="shared" si="15"/>
        <v>1</v>
      </c>
      <c r="L109" s="578">
        <f t="shared" si="15"/>
        <v>1</v>
      </c>
      <c r="M109" s="581"/>
      <c r="N109" s="612"/>
    </row>
    <row r="110" spans="2:14" x14ac:dyDescent="0.2">
      <c r="B110" s="508"/>
      <c r="C110" s="585"/>
      <c r="D110" s="585" t="s">
        <v>301</v>
      </c>
      <c r="E110" s="585"/>
      <c r="F110" s="578" t="e">
        <f>IF(bekost!#REF!=0,0,bekost!#REF!/bekost!#REF!)</f>
        <v>#REF!</v>
      </c>
      <c r="G110" s="1066"/>
      <c r="H110" s="578">
        <f>IF(bekost!I166=0,0,bekost!I166/bekost!$I166)</f>
        <v>1</v>
      </c>
      <c r="I110" s="578">
        <f>IF(bekost!J166=0,0,bekost!J166/bekost!$I166)</f>
        <v>1.0005154389433968</v>
      </c>
      <c r="J110" s="578">
        <f>IF(bekost!K166=0,0,bekost!K166/bekost!$I166)</f>
        <v>1.0010845073722336</v>
      </c>
      <c r="K110" s="578">
        <f>IF(bekost!L166=0,0,bekost!L166/bekost!$I166)</f>
        <v>1.0019962086247161</v>
      </c>
      <c r="L110" s="578">
        <f>IF(bekost!M166=0,0,bekost!M166/bekost!$I166)</f>
        <v>1.002785440204307</v>
      </c>
      <c r="M110" s="581"/>
      <c r="N110" s="612"/>
    </row>
    <row r="111" spans="2:14" x14ac:dyDescent="0.2">
      <c r="B111" s="508"/>
      <c r="C111" s="585"/>
      <c r="D111" s="585" t="s">
        <v>302</v>
      </c>
      <c r="E111" s="585"/>
      <c r="F111" s="578">
        <f>IF(begr!$F32=0,0,begr!F32/begr!$F32)</f>
        <v>0</v>
      </c>
      <c r="G111" s="1066"/>
      <c r="H111" s="578">
        <f>IF(begr!$H32=0,0,begr!H32/begr!$H32)</f>
        <v>1</v>
      </c>
      <c r="I111" s="578">
        <f>IF(begr!$H32=0,0,begr!I32/begr!$H32)</f>
        <v>1</v>
      </c>
      <c r="J111" s="578">
        <f>IF(begr!$H32=0,0,begr!J32/begr!$H32)</f>
        <v>1</v>
      </c>
      <c r="K111" s="578">
        <f>IF(begr!$H32=0,0,begr!K32/begr!$H32)</f>
        <v>1</v>
      </c>
      <c r="L111" s="578">
        <f>IF(begr!$H32=0,0,begr!L32/begr!$H32)</f>
        <v>1</v>
      </c>
      <c r="M111" s="581"/>
      <c r="N111" s="612"/>
    </row>
    <row r="112" spans="2:14" x14ac:dyDescent="0.2">
      <c r="B112" s="508"/>
      <c r="C112" s="585"/>
      <c r="D112" s="585" t="s">
        <v>303</v>
      </c>
      <c r="E112" s="585"/>
      <c r="F112" s="578">
        <f t="shared" ref="F112" si="16">IF($F33=0,0,F33/$F33)</f>
        <v>0</v>
      </c>
      <c r="G112" s="1066"/>
      <c r="H112" s="578">
        <f>IF($H33=0,0,H33/$H33)</f>
        <v>0</v>
      </c>
      <c r="I112" s="578">
        <f t="shared" ref="I112:L112" si="17">IF($H33=0,0,I33/$H33)</f>
        <v>0</v>
      </c>
      <c r="J112" s="578">
        <f t="shared" si="17"/>
        <v>0</v>
      </c>
      <c r="K112" s="578">
        <f t="shared" si="17"/>
        <v>0</v>
      </c>
      <c r="L112" s="578">
        <f t="shared" si="17"/>
        <v>0</v>
      </c>
      <c r="M112" s="581"/>
      <c r="N112" s="612"/>
    </row>
    <row r="113" spans="2:14" x14ac:dyDescent="0.2">
      <c r="B113" s="508"/>
      <c r="C113" s="585"/>
      <c r="D113" s="586" t="s">
        <v>304</v>
      </c>
      <c r="E113" s="585"/>
      <c r="F113" s="578">
        <f>IF(begr!$F34=0,0,begr!F34/begr!$F34)</f>
        <v>0</v>
      </c>
      <c r="G113" s="1066"/>
      <c r="H113" s="578">
        <f>IF(begr!$H34=0,0,begr!H34/begr!$H34)</f>
        <v>0</v>
      </c>
      <c r="I113" s="578">
        <f>IF(begr!$H34=0,0,begr!I34/begr!$H34)</f>
        <v>0</v>
      </c>
      <c r="J113" s="578">
        <f>IF(begr!$H34=0,0,begr!J34/begr!$H34)</f>
        <v>0</v>
      </c>
      <c r="K113" s="578">
        <f>IF(begr!$H34=0,0,begr!K34/begr!$H34)</f>
        <v>0</v>
      </c>
      <c r="L113" s="578">
        <f>IF(begr!$H34=0,0,begr!L34/begr!$H34)</f>
        <v>0</v>
      </c>
      <c r="M113" s="581"/>
      <c r="N113" s="612"/>
    </row>
    <row r="114" spans="2:14" x14ac:dyDescent="0.2">
      <c r="B114" s="508"/>
      <c r="C114" s="596"/>
      <c r="D114" s="596"/>
      <c r="E114" s="596"/>
      <c r="F114" s="597"/>
      <c r="G114" s="597"/>
      <c r="H114" s="597"/>
      <c r="I114" s="597"/>
      <c r="J114" s="597"/>
      <c r="K114" s="597"/>
      <c r="L114" s="597"/>
      <c r="M114" s="598"/>
      <c r="N114" s="612"/>
    </row>
    <row r="115" spans="2:14" x14ac:dyDescent="0.2">
      <c r="B115" s="605"/>
      <c r="C115" s="618"/>
      <c r="D115" s="618"/>
      <c r="E115" s="618"/>
      <c r="F115" s="619"/>
      <c r="G115" s="619"/>
      <c r="H115" s="619"/>
      <c r="I115" s="619"/>
      <c r="J115" s="619"/>
      <c r="K115" s="619"/>
      <c r="L115" s="619"/>
      <c r="M115" s="620"/>
      <c r="N115" s="606"/>
    </row>
    <row r="116" spans="2:14" x14ac:dyDescent="0.2">
      <c r="B116" s="508"/>
      <c r="C116" s="603"/>
      <c r="D116" s="603"/>
      <c r="E116" s="603"/>
      <c r="F116" s="604"/>
      <c r="G116" s="604"/>
      <c r="H116" s="604"/>
      <c r="I116" s="604"/>
      <c r="J116" s="604"/>
      <c r="K116" s="604"/>
      <c r="L116" s="604"/>
      <c r="M116" s="601"/>
      <c r="N116" s="612"/>
    </row>
    <row r="117" spans="2:14" x14ac:dyDescent="0.2">
      <c r="B117" s="508"/>
      <c r="C117" s="585"/>
      <c r="D117" s="588" t="s">
        <v>305</v>
      </c>
      <c r="E117" s="585"/>
      <c r="F117" s="589" t="e">
        <f>+tab!#REF!</f>
        <v>#REF!</v>
      </c>
      <c r="G117" s="589"/>
      <c r="H117" s="1118">
        <f>H7</f>
        <v>2023</v>
      </c>
      <c r="I117" s="1118">
        <f t="shared" ref="I117:L117" si="18">I7</f>
        <v>2024</v>
      </c>
      <c r="J117" s="1118">
        <f t="shared" si="18"/>
        <v>2025</v>
      </c>
      <c r="K117" s="1118">
        <f t="shared" si="18"/>
        <v>2026</v>
      </c>
      <c r="L117" s="1118">
        <f t="shared" si="18"/>
        <v>2027</v>
      </c>
      <c r="M117" s="585"/>
      <c r="N117" s="612"/>
    </row>
    <row r="118" spans="2:14" x14ac:dyDescent="0.2">
      <c r="B118" s="508"/>
      <c r="C118" s="585"/>
      <c r="D118" s="588"/>
      <c r="E118" s="585"/>
      <c r="F118" s="585"/>
      <c r="G118" s="585"/>
      <c r="H118" s="585"/>
      <c r="I118" s="585"/>
      <c r="J118" s="585"/>
      <c r="K118" s="585"/>
      <c r="L118" s="585"/>
      <c r="M118" s="585"/>
      <c r="N118" s="612"/>
    </row>
    <row r="119" spans="2:14" x14ac:dyDescent="0.2">
      <c r="B119" s="508"/>
      <c r="C119" s="585"/>
      <c r="D119" s="586" t="s">
        <v>355</v>
      </c>
      <c r="E119" s="585"/>
      <c r="F119" s="578">
        <f>'sal SWV'!K35</f>
        <v>1</v>
      </c>
      <c r="G119" s="1066"/>
      <c r="H119" s="578">
        <f>'sal SWV'!K35</f>
        <v>1</v>
      </c>
      <c r="I119" s="578">
        <f>'sal SWV'!K68</f>
        <v>1</v>
      </c>
      <c r="J119" s="578">
        <f>+'sal SWV'!K100</f>
        <v>1</v>
      </c>
      <c r="K119" s="578">
        <f>+'sal SWV'!K132</f>
        <v>1</v>
      </c>
      <c r="L119" s="578">
        <f>+'sal SWV'!K164</f>
        <v>1</v>
      </c>
      <c r="M119" s="590"/>
      <c r="N119" s="612"/>
    </row>
    <row r="120" spans="2:14" x14ac:dyDescent="0.2">
      <c r="B120" s="508"/>
      <c r="C120" s="585"/>
      <c r="D120" s="585"/>
      <c r="E120" s="585"/>
      <c r="F120" s="587"/>
      <c r="G120" s="587"/>
      <c r="H120" s="587"/>
      <c r="I120" s="587"/>
      <c r="J120" s="587"/>
      <c r="K120" s="587"/>
      <c r="L120" s="587"/>
      <c r="M120" s="581"/>
      <c r="N120" s="612"/>
    </row>
    <row r="121" spans="2:14" x14ac:dyDescent="0.2">
      <c r="B121" s="508"/>
      <c r="C121" s="509"/>
      <c r="D121" s="509"/>
      <c r="E121" s="509"/>
      <c r="F121" s="497"/>
      <c r="G121" s="497"/>
      <c r="H121" s="497"/>
      <c r="I121" s="497"/>
      <c r="J121" s="497"/>
      <c r="K121" s="497"/>
      <c r="L121" s="497"/>
      <c r="M121" s="511"/>
      <c r="N121" s="612"/>
    </row>
    <row r="122" spans="2:14" x14ac:dyDescent="0.2">
      <c r="B122" s="521"/>
      <c r="C122" s="623"/>
      <c r="D122" s="623"/>
      <c r="E122" s="623"/>
      <c r="F122" s="624"/>
      <c r="G122" s="624"/>
      <c r="H122" s="624"/>
      <c r="I122" s="624"/>
      <c r="J122" s="624"/>
      <c r="K122" s="1006"/>
      <c r="L122" s="1006"/>
      <c r="M122" s="625"/>
      <c r="N122" s="626"/>
    </row>
    <row r="123" spans="2:14" s="495" customFormat="1" x14ac:dyDescent="0.2">
      <c r="F123" s="544"/>
      <c r="G123" s="544"/>
      <c r="H123" s="544"/>
      <c r="I123" s="544"/>
      <c r="J123" s="544"/>
      <c r="K123" s="544"/>
      <c r="L123" s="544"/>
      <c r="M123" s="545"/>
    </row>
    <row r="124" spans="2:14" s="495" customFormat="1" x14ac:dyDescent="0.2">
      <c r="F124" s="544"/>
      <c r="G124" s="544"/>
      <c r="H124" s="544"/>
      <c r="I124" s="544"/>
      <c r="J124" s="544"/>
      <c r="K124" s="544"/>
      <c r="L124" s="544"/>
      <c r="M124" s="545"/>
    </row>
    <row r="125" spans="2:14" s="495" customFormat="1" x14ac:dyDescent="0.2">
      <c r="M125" s="545"/>
    </row>
    <row r="126" spans="2:14" s="495" customFormat="1" x14ac:dyDescent="0.2">
      <c r="M126" s="545"/>
    </row>
    <row r="127" spans="2:14" s="495" customFormat="1" x14ac:dyDescent="0.2">
      <c r="M127" s="545"/>
    </row>
    <row r="128" spans="2:14" s="495" customFormat="1" x14ac:dyDescent="0.2"/>
    <row r="129" spans="6:13" s="495" customFormat="1" x14ac:dyDescent="0.2"/>
    <row r="130" spans="6:13" s="495" customFormat="1" x14ac:dyDescent="0.2"/>
    <row r="131" spans="6:13" s="495" customFormat="1" x14ac:dyDescent="0.2"/>
    <row r="132" spans="6:13" s="495" customFormat="1" x14ac:dyDescent="0.2"/>
    <row r="133" spans="6:13" s="495" customFormat="1" x14ac:dyDescent="0.2">
      <c r="M133" s="545"/>
    </row>
    <row r="134" spans="6:13" s="495" customFormat="1" x14ac:dyDescent="0.2">
      <c r="M134" s="545"/>
    </row>
    <row r="135" spans="6:13" s="495" customFormat="1" x14ac:dyDescent="0.2">
      <c r="M135" s="545"/>
    </row>
    <row r="136" spans="6:13" s="495" customFormat="1" x14ac:dyDescent="0.2">
      <c r="M136" s="545"/>
    </row>
    <row r="137" spans="6:13" s="495" customFormat="1" x14ac:dyDescent="0.2">
      <c r="M137" s="545"/>
    </row>
    <row r="138" spans="6:13" s="495" customFormat="1" x14ac:dyDescent="0.2">
      <c r="F138" s="544"/>
      <c r="G138" s="544"/>
      <c r="H138" s="544"/>
      <c r="I138" s="544"/>
      <c r="J138" s="544"/>
      <c r="K138" s="544"/>
      <c r="L138" s="544"/>
      <c r="M138" s="545"/>
    </row>
    <row r="139" spans="6:13" s="495" customFormat="1" x14ac:dyDescent="0.2">
      <c r="F139" s="544"/>
      <c r="G139" s="544"/>
      <c r="H139" s="544"/>
      <c r="I139" s="544"/>
      <c r="J139" s="544"/>
      <c r="K139" s="544"/>
      <c r="L139" s="544"/>
      <c r="M139" s="545"/>
    </row>
    <row r="140" spans="6:13" s="495" customFormat="1" x14ac:dyDescent="0.2">
      <c r="F140" s="544"/>
      <c r="G140" s="544"/>
      <c r="H140" s="544"/>
      <c r="I140" s="544"/>
      <c r="J140" s="544"/>
      <c r="K140" s="544"/>
      <c r="L140" s="544"/>
      <c r="M140" s="545"/>
    </row>
    <row r="141" spans="6:13" s="495" customFormat="1" x14ac:dyDescent="0.2">
      <c r="F141" s="544"/>
      <c r="G141" s="544"/>
      <c r="H141" s="544"/>
      <c r="I141" s="544"/>
      <c r="J141" s="544"/>
      <c r="K141" s="544"/>
      <c r="L141" s="544"/>
      <c r="M141" s="545"/>
    </row>
    <row r="142" spans="6:13" s="495" customFormat="1" x14ac:dyDescent="0.2">
      <c r="F142" s="544"/>
      <c r="G142" s="544"/>
      <c r="H142" s="544"/>
      <c r="I142" s="544"/>
      <c r="J142" s="544"/>
      <c r="K142" s="544"/>
      <c r="L142" s="544"/>
      <c r="M142" s="545"/>
    </row>
    <row r="143" spans="6:13" s="495" customFormat="1" x14ac:dyDescent="0.2">
      <c r="F143" s="544"/>
      <c r="G143" s="544"/>
      <c r="H143" s="544"/>
      <c r="I143" s="544"/>
      <c r="J143" s="544"/>
      <c r="K143" s="544"/>
      <c r="L143" s="544"/>
      <c r="M143" s="545"/>
    </row>
    <row r="144" spans="6:13" s="495" customFormat="1" x14ac:dyDescent="0.2">
      <c r="F144" s="544"/>
      <c r="G144" s="544"/>
      <c r="H144" s="544"/>
      <c r="I144" s="544"/>
      <c r="J144" s="544"/>
      <c r="K144" s="544"/>
      <c r="L144" s="544"/>
      <c r="M144" s="545"/>
    </row>
    <row r="145" spans="6:13" s="495" customFormat="1" x14ac:dyDescent="0.2">
      <c r="F145" s="544"/>
      <c r="G145" s="544"/>
      <c r="H145" s="544"/>
      <c r="I145" s="544"/>
      <c r="J145" s="544"/>
      <c r="K145" s="544"/>
      <c r="L145" s="544"/>
      <c r="M145" s="545"/>
    </row>
    <row r="146" spans="6:13" s="495" customFormat="1" x14ac:dyDescent="0.2">
      <c r="F146" s="544"/>
      <c r="G146" s="544"/>
      <c r="H146" s="544"/>
      <c r="I146" s="544"/>
      <c r="J146" s="544"/>
      <c r="K146" s="544"/>
      <c r="L146" s="544"/>
      <c r="M146" s="545"/>
    </row>
    <row r="147" spans="6:13" s="495" customFormat="1" x14ac:dyDescent="0.2">
      <c r="F147" s="544"/>
      <c r="G147" s="544"/>
      <c r="H147" s="544"/>
      <c r="I147" s="544"/>
      <c r="J147" s="544"/>
      <c r="K147" s="544"/>
      <c r="L147" s="544"/>
      <c r="M147" s="545"/>
    </row>
    <row r="148" spans="6:13" s="495" customFormat="1" x14ac:dyDescent="0.2">
      <c r="F148" s="544"/>
      <c r="G148" s="544"/>
      <c r="H148" s="544"/>
      <c r="I148" s="544"/>
      <c r="J148" s="544"/>
      <c r="K148" s="544"/>
      <c r="L148" s="544"/>
      <c r="M148" s="545"/>
    </row>
    <row r="149" spans="6:13" s="495" customFormat="1" x14ac:dyDescent="0.2">
      <c r="F149" s="544"/>
      <c r="G149" s="544"/>
      <c r="H149" s="544"/>
      <c r="I149" s="544"/>
      <c r="J149" s="544"/>
      <c r="K149" s="544"/>
      <c r="L149" s="544"/>
      <c r="M149" s="545"/>
    </row>
    <row r="150" spans="6:13" s="495" customFormat="1" x14ac:dyDescent="0.2">
      <c r="F150" s="544"/>
      <c r="G150" s="544"/>
      <c r="H150" s="544"/>
      <c r="I150" s="544"/>
      <c r="J150" s="544"/>
      <c r="K150" s="544"/>
      <c r="L150" s="544"/>
      <c r="M150" s="545"/>
    </row>
    <row r="151" spans="6:13" s="495" customFormat="1" x14ac:dyDescent="0.2">
      <c r="F151" s="544"/>
      <c r="G151" s="544"/>
      <c r="H151" s="544"/>
      <c r="I151" s="544"/>
      <c r="J151" s="544"/>
      <c r="K151" s="544"/>
      <c r="L151" s="544"/>
      <c r="M151" s="545"/>
    </row>
    <row r="152" spans="6:13" s="495" customFormat="1" x14ac:dyDescent="0.2">
      <c r="F152" s="544"/>
      <c r="G152" s="544"/>
      <c r="H152" s="544"/>
      <c r="I152" s="544"/>
      <c r="J152" s="544"/>
      <c r="K152" s="544"/>
      <c r="L152" s="544"/>
      <c r="M152" s="545"/>
    </row>
    <row r="153" spans="6:13" s="495" customFormat="1" x14ac:dyDescent="0.2">
      <c r="F153" s="544"/>
      <c r="G153" s="544"/>
      <c r="H153" s="544"/>
      <c r="I153" s="544"/>
      <c r="J153" s="544"/>
      <c r="K153" s="544"/>
      <c r="L153" s="544"/>
      <c r="M153" s="545"/>
    </row>
    <row r="154" spans="6:13" s="495" customFormat="1" x14ac:dyDescent="0.2">
      <c r="F154" s="544"/>
      <c r="G154" s="544"/>
      <c r="H154" s="544"/>
      <c r="I154" s="544"/>
      <c r="J154" s="544"/>
      <c r="K154" s="544"/>
      <c r="L154" s="544"/>
      <c r="M154" s="545"/>
    </row>
    <row r="155" spans="6:13" s="495" customFormat="1" x14ac:dyDescent="0.2">
      <c r="F155" s="544"/>
      <c r="G155" s="544"/>
      <c r="H155" s="544"/>
      <c r="I155" s="544"/>
      <c r="J155" s="544"/>
      <c r="K155" s="544"/>
      <c r="L155" s="544"/>
      <c r="M155" s="545"/>
    </row>
    <row r="156" spans="6:13" s="495" customFormat="1" x14ac:dyDescent="0.2">
      <c r="F156" s="544"/>
      <c r="G156" s="544"/>
      <c r="H156" s="544"/>
      <c r="I156" s="544"/>
      <c r="J156" s="544"/>
      <c r="K156" s="544"/>
      <c r="L156" s="544"/>
      <c r="M156" s="545"/>
    </row>
    <row r="157" spans="6:13" s="495" customFormat="1" x14ac:dyDescent="0.2">
      <c r="F157" s="544"/>
      <c r="G157" s="544"/>
      <c r="H157" s="544"/>
      <c r="I157" s="544"/>
      <c r="J157" s="544"/>
      <c r="K157" s="544"/>
      <c r="L157" s="544"/>
      <c r="M157" s="545"/>
    </row>
    <row r="158" spans="6:13" s="495" customFormat="1" x14ac:dyDescent="0.2">
      <c r="F158" s="544"/>
      <c r="G158" s="544"/>
      <c r="H158" s="544"/>
      <c r="I158" s="544"/>
      <c r="J158" s="544"/>
      <c r="K158" s="544"/>
      <c r="L158" s="544"/>
      <c r="M158" s="545"/>
    </row>
    <row r="159" spans="6:13" s="495" customFormat="1" x14ac:dyDescent="0.2">
      <c r="F159" s="544"/>
      <c r="G159" s="544"/>
      <c r="H159" s="544"/>
      <c r="I159" s="544"/>
      <c r="J159" s="544"/>
      <c r="K159" s="544"/>
      <c r="L159" s="544"/>
      <c r="M159" s="545"/>
    </row>
    <row r="160" spans="6:13" s="495" customFormat="1" x14ac:dyDescent="0.2">
      <c r="F160" s="544"/>
      <c r="G160" s="544"/>
      <c r="H160" s="544"/>
      <c r="I160" s="544"/>
      <c r="J160" s="544"/>
      <c r="K160" s="544"/>
      <c r="L160" s="544"/>
      <c r="M160" s="545"/>
    </row>
    <row r="161" spans="6:13" s="495" customFormat="1" x14ac:dyDescent="0.2">
      <c r="F161" s="544"/>
      <c r="G161" s="544"/>
      <c r="H161" s="544"/>
      <c r="I161" s="544"/>
      <c r="J161" s="544"/>
      <c r="K161" s="544"/>
      <c r="L161" s="544"/>
      <c r="M161" s="545"/>
    </row>
    <row r="162" spans="6:13" s="495" customFormat="1" x14ac:dyDescent="0.2">
      <c r="F162" s="544"/>
      <c r="G162" s="544"/>
      <c r="H162" s="544"/>
      <c r="I162" s="544"/>
      <c r="J162" s="544"/>
      <c r="K162" s="544"/>
      <c r="L162" s="544"/>
      <c r="M162" s="545"/>
    </row>
    <row r="163" spans="6:13" s="495" customFormat="1" x14ac:dyDescent="0.2">
      <c r="F163" s="544"/>
      <c r="G163" s="544"/>
      <c r="H163" s="544"/>
      <c r="I163" s="544"/>
      <c r="J163" s="544"/>
      <c r="K163" s="544"/>
      <c r="L163" s="544"/>
      <c r="M163" s="545"/>
    </row>
    <row r="164" spans="6:13" s="495" customFormat="1" x14ac:dyDescent="0.2">
      <c r="F164" s="544"/>
      <c r="G164" s="544"/>
      <c r="H164" s="544"/>
      <c r="I164" s="544"/>
      <c r="J164" s="544"/>
      <c r="K164" s="544"/>
      <c r="L164" s="544"/>
      <c r="M164" s="545"/>
    </row>
    <row r="165" spans="6:13" s="495" customFormat="1" x14ac:dyDescent="0.2">
      <c r="F165" s="544"/>
      <c r="G165" s="544"/>
      <c r="H165" s="544"/>
      <c r="I165" s="544"/>
      <c r="J165" s="544"/>
      <c r="K165" s="544"/>
      <c r="L165" s="544"/>
      <c r="M165" s="545"/>
    </row>
    <row r="166" spans="6:13" s="495" customFormat="1" x14ac:dyDescent="0.2">
      <c r="F166" s="544"/>
      <c r="G166" s="544"/>
      <c r="H166" s="544"/>
      <c r="I166" s="544"/>
      <c r="J166" s="544"/>
      <c r="K166" s="544"/>
      <c r="L166" s="544"/>
      <c r="M166" s="545"/>
    </row>
    <row r="167" spans="6:13" s="495" customFormat="1" x14ac:dyDescent="0.2">
      <c r="F167" s="544"/>
      <c r="G167" s="544"/>
      <c r="H167" s="544"/>
      <c r="I167" s="544"/>
      <c r="J167" s="544"/>
      <c r="K167" s="544"/>
      <c r="L167" s="544"/>
      <c r="M167" s="545"/>
    </row>
    <row r="168" spans="6:13" s="495" customFormat="1" x14ac:dyDescent="0.2">
      <c r="F168" s="544"/>
      <c r="G168" s="544"/>
      <c r="H168" s="544"/>
      <c r="I168" s="544"/>
      <c r="J168" s="544"/>
      <c r="K168" s="544"/>
      <c r="L168" s="544"/>
      <c r="M168" s="545"/>
    </row>
    <row r="169" spans="6:13" s="495" customFormat="1" x14ac:dyDescent="0.2">
      <c r="F169" s="544"/>
      <c r="G169" s="544"/>
      <c r="H169" s="544"/>
      <c r="I169" s="544"/>
      <c r="J169" s="544"/>
      <c r="K169" s="544"/>
      <c r="L169" s="544"/>
      <c r="M169" s="545"/>
    </row>
    <row r="170" spans="6:13" s="495" customFormat="1" x14ac:dyDescent="0.2">
      <c r="F170" s="544"/>
      <c r="G170" s="544"/>
      <c r="H170" s="544"/>
      <c r="I170" s="544"/>
      <c r="J170" s="544"/>
      <c r="K170" s="544"/>
      <c r="L170" s="544"/>
      <c r="M170" s="545"/>
    </row>
    <row r="171" spans="6:13" s="495" customFormat="1" x14ac:dyDescent="0.2">
      <c r="F171" s="544"/>
      <c r="G171" s="544"/>
      <c r="H171" s="544"/>
      <c r="I171" s="544"/>
      <c r="J171" s="544"/>
      <c r="K171" s="544"/>
      <c r="L171" s="544"/>
      <c r="M171" s="545"/>
    </row>
    <row r="172" spans="6:13" s="495" customFormat="1" x14ac:dyDescent="0.2">
      <c r="F172" s="544"/>
      <c r="G172" s="544"/>
      <c r="H172" s="544"/>
      <c r="I172" s="544"/>
      <c r="J172" s="544"/>
      <c r="K172" s="544"/>
      <c r="L172" s="544"/>
      <c r="M172" s="545"/>
    </row>
    <row r="173" spans="6:13" s="495" customFormat="1" x14ac:dyDescent="0.2">
      <c r="F173" s="544"/>
      <c r="G173" s="544"/>
      <c r="H173" s="544"/>
      <c r="I173" s="544"/>
      <c r="J173" s="544"/>
      <c r="K173" s="544"/>
      <c r="L173" s="544"/>
      <c r="M173" s="545"/>
    </row>
    <row r="174" spans="6:13" s="495" customFormat="1" x14ac:dyDescent="0.2">
      <c r="F174" s="544"/>
      <c r="G174" s="544"/>
      <c r="H174" s="544"/>
      <c r="I174" s="544"/>
      <c r="J174" s="544"/>
      <c r="K174" s="544"/>
      <c r="L174" s="544"/>
      <c r="M174" s="545"/>
    </row>
    <row r="175" spans="6:13" s="495" customFormat="1" x14ac:dyDescent="0.2">
      <c r="F175" s="544"/>
      <c r="G175" s="544"/>
      <c r="H175" s="544"/>
      <c r="I175" s="544"/>
      <c r="J175" s="544"/>
      <c r="K175" s="544"/>
      <c r="L175" s="544"/>
      <c r="M175" s="545"/>
    </row>
    <row r="176" spans="6:13" s="495" customFormat="1" x14ac:dyDescent="0.2">
      <c r="F176" s="544"/>
      <c r="G176" s="544"/>
      <c r="H176" s="544"/>
      <c r="I176" s="544"/>
      <c r="J176" s="544"/>
      <c r="K176" s="544"/>
      <c r="L176" s="544"/>
      <c r="M176" s="545"/>
    </row>
    <row r="177" spans="6:13" s="495" customFormat="1" x14ac:dyDescent="0.2">
      <c r="F177" s="544"/>
      <c r="G177" s="544"/>
      <c r="H177" s="544"/>
      <c r="I177" s="544"/>
      <c r="J177" s="544"/>
      <c r="K177" s="544"/>
      <c r="L177" s="544"/>
      <c r="M177" s="545"/>
    </row>
    <row r="178" spans="6:13" s="495" customFormat="1" x14ac:dyDescent="0.2">
      <c r="F178" s="544"/>
      <c r="G178" s="544"/>
      <c r="H178" s="544"/>
      <c r="I178" s="544"/>
      <c r="J178" s="544"/>
      <c r="K178" s="544"/>
      <c r="L178" s="544"/>
      <c r="M178" s="545"/>
    </row>
    <row r="179" spans="6:13" s="495" customFormat="1" x14ac:dyDescent="0.2">
      <c r="F179" s="544"/>
      <c r="G179" s="544"/>
      <c r="H179" s="544"/>
      <c r="I179" s="544"/>
      <c r="J179" s="544"/>
      <c r="K179" s="544"/>
      <c r="L179" s="544"/>
      <c r="M179" s="545"/>
    </row>
    <row r="180" spans="6:13" s="495" customFormat="1" x14ac:dyDescent="0.2">
      <c r="F180" s="544"/>
      <c r="G180" s="544"/>
      <c r="H180" s="544"/>
      <c r="I180" s="544"/>
      <c r="J180" s="544"/>
      <c r="K180" s="544"/>
      <c r="L180" s="544"/>
      <c r="M180" s="545"/>
    </row>
    <row r="181" spans="6:13" s="495" customFormat="1" x14ac:dyDescent="0.2">
      <c r="F181" s="544"/>
      <c r="G181" s="544"/>
      <c r="H181" s="544"/>
      <c r="I181" s="544"/>
      <c r="J181" s="544"/>
      <c r="K181" s="544"/>
      <c r="L181" s="544"/>
      <c r="M181" s="545"/>
    </row>
    <row r="182" spans="6:13" s="495" customFormat="1" x14ac:dyDescent="0.2">
      <c r="F182" s="544"/>
      <c r="G182" s="544"/>
      <c r="H182" s="544"/>
      <c r="I182" s="544"/>
      <c r="J182" s="544"/>
      <c r="K182" s="544"/>
      <c r="L182" s="544"/>
      <c r="M182" s="545"/>
    </row>
    <row r="183" spans="6:13" s="495" customFormat="1" x14ac:dyDescent="0.2">
      <c r="F183" s="544"/>
      <c r="G183" s="544"/>
      <c r="H183" s="544"/>
      <c r="I183" s="544"/>
      <c r="J183" s="544"/>
      <c r="K183" s="544"/>
      <c r="L183" s="544"/>
      <c r="M183" s="545"/>
    </row>
    <row r="184" spans="6:13" s="495" customFormat="1" x14ac:dyDescent="0.2">
      <c r="F184" s="544"/>
      <c r="G184" s="544"/>
      <c r="H184" s="544"/>
      <c r="I184" s="544"/>
      <c r="J184" s="544"/>
      <c r="K184" s="544"/>
      <c r="L184" s="544"/>
      <c r="M184" s="545"/>
    </row>
    <row r="185" spans="6:13" s="495" customFormat="1" x14ac:dyDescent="0.2">
      <c r="F185" s="544"/>
      <c r="G185" s="544"/>
      <c r="H185" s="544"/>
      <c r="I185" s="544"/>
      <c r="J185" s="544"/>
      <c r="K185" s="544"/>
      <c r="L185" s="544"/>
      <c r="M185" s="545"/>
    </row>
    <row r="186" spans="6:13" s="495" customFormat="1" x14ac:dyDescent="0.2">
      <c r="F186" s="544"/>
      <c r="G186" s="544"/>
      <c r="H186" s="544"/>
      <c r="I186" s="544"/>
      <c r="J186" s="544"/>
      <c r="K186" s="544"/>
      <c r="L186" s="544"/>
      <c r="M186" s="545"/>
    </row>
    <row r="187" spans="6:13" s="495" customFormat="1" x14ac:dyDescent="0.2">
      <c r="F187" s="544"/>
      <c r="G187" s="544"/>
      <c r="H187" s="544"/>
      <c r="I187" s="544"/>
      <c r="J187" s="544"/>
      <c r="K187" s="544"/>
      <c r="L187" s="544"/>
      <c r="M187" s="545"/>
    </row>
    <row r="188" spans="6:13" s="495" customFormat="1" x14ac:dyDescent="0.2">
      <c r="F188" s="544"/>
      <c r="G188" s="544"/>
      <c r="H188" s="544"/>
      <c r="I188" s="544"/>
      <c r="J188" s="544"/>
      <c r="K188" s="544"/>
      <c r="L188" s="544"/>
      <c r="M188" s="545"/>
    </row>
    <row r="189" spans="6:13" s="495" customFormat="1" x14ac:dyDescent="0.2">
      <c r="F189" s="544"/>
      <c r="G189" s="544"/>
      <c r="H189" s="544"/>
      <c r="I189" s="544"/>
      <c r="J189" s="544"/>
      <c r="K189" s="544"/>
      <c r="L189" s="544"/>
      <c r="M189" s="545"/>
    </row>
    <row r="190" spans="6:13" s="495" customFormat="1" x14ac:dyDescent="0.2">
      <c r="F190" s="544"/>
      <c r="G190" s="544"/>
      <c r="H190" s="544"/>
      <c r="I190" s="544"/>
      <c r="J190" s="544"/>
      <c r="K190" s="544"/>
      <c r="L190" s="544"/>
      <c r="M190" s="545"/>
    </row>
    <row r="191" spans="6:13" s="495" customFormat="1" x14ac:dyDescent="0.2">
      <c r="F191" s="544"/>
      <c r="G191" s="544"/>
      <c r="H191" s="544"/>
      <c r="I191" s="544"/>
      <c r="J191" s="544"/>
      <c r="K191" s="544"/>
      <c r="L191" s="544"/>
      <c r="M191" s="545"/>
    </row>
    <row r="192" spans="6:13" s="495" customFormat="1" x14ac:dyDescent="0.2">
      <c r="F192" s="544"/>
      <c r="G192" s="544"/>
      <c r="H192" s="544"/>
      <c r="I192" s="544"/>
      <c r="J192" s="544"/>
      <c r="K192" s="544"/>
      <c r="L192" s="544"/>
      <c r="M192" s="545"/>
    </row>
    <row r="193" spans="6:13" s="495" customFormat="1" x14ac:dyDescent="0.2">
      <c r="F193" s="544"/>
      <c r="G193" s="544"/>
      <c r="H193" s="544"/>
      <c r="I193" s="544"/>
      <c r="J193" s="544"/>
      <c r="K193" s="544"/>
      <c r="L193" s="544"/>
      <c r="M193" s="545"/>
    </row>
    <row r="194" spans="6:13" s="495" customFormat="1" x14ac:dyDescent="0.2">
      <c r="F194" s="544"/>
      <c r="G194" s="544"/>
      <c r="H194" s="544"/>
      <c r="I194" s="544"/>
      <c r="J194" s="544"/>
      <c r="K194" s="544"/>
      <c r="L194" s="544"/>
      <c r="M194" s="545"/>
    </row>
    <row r="195" spans="6:13" s="495" customFormat="1" x14ac:dyDescent="0.2">
      <c r="F195" s="544"/>
      <c r="G195" s="544"/>
      <c r="H195" s="544"/>
      <c r="I195" s="544"/>
      <c r="J195" s="544"/>
      <c r="K195" s="544"/>
      <c r="L195" s="544"/>
      <c r="M195" s="545"/>
    </row>
    <row r="196" spans="6:13" s="495" customFormat="1" x14ac:dyDescent="0.2">
      <c r="F196" s="544"/>
      <c r="G196" s="544"/>
      <c r="H196" s="544"/>
      <c r="I196" s="544"/>
      <c r="J196" s="544"/>
      <c r="K196" s="544"/>
      <c r="L196" s="544"/>
      <c r="M196" s="545"/>
    </row>
    <row r="197" spans="6:13" s="495" customFormat="1" x14ac:dyDescent="0.2">
      <c r="F197" s="544"/>
      <c r="G197" s="544"/>
      <c r="H197" s="544"/>
      <c r="I197" s="544"/>
      <c r="J197" s="544"/>
      <c r="K197" s="544"/>
      <c r="L197" s="544"/>
      <c r="M197" s="545"/>
    </row>
    <row r="198" spans="6:13" s="495" customFormat="1" x14ac:dyDescent="0.2">
      <c r="F198" s="544"/>
      <c r="G198" s="544"/>
      <c r="H198" s="544"/>
      <c r="I198" s="544"/>
      <c r="J198" s="544"/>
      <c r="K198" s="544"/>
      <c r="L198" s="544"/>
      <c r="M198" s="545"/>
    </row>
    <row r="199" spans="6:13" s="495" customFormat="1" x14ac:dyDescent="0.2">
      <c r="F199" s="544"/>
      <c r="G199" s="544"/>
      <c r="H199" s="544"/>
      <c r="I199" s="544"/>
      <c r="J199" s="544"/>
      <c r="K199" s="544"/>
      <c r="L199" s="544"/>
      <c r="M199" s="545"/>
    </row>
    <row r="200" spans="6:13" s="495" customFormat="1" x14ac:dyDescent="0.2">
      <c r="F200" s="544"/>
      <c r="G200" s="544"/>
      <c r="H200" s="544"/>
      <c r="I200" s="544"/>
      <c r="J200" s="544"/>
      <c r="K200" s="544"/>
      <c r="L200" s="544"/>
      <c r="M200" s="545"/>
    </row>
    <row r="201" spans="6:13" s="495" customFormat="1" x14ac:dyDescent="0.2">
      <c r="F201" s="544"/>
      <c r="G201" s="544"/>
      <c r="H201" s="544"/>
      <c r="I201" s="544"/>
      <c r="J201" s="544"/>
      <c r="K201" s="544"/>
      <c r="L201" s="544"/>
      <c r="M201" s="545"/>
    </row>
    <row r="202" spans="6:13" s="495" customFormat="1" x14ac:dyDescent="0.2">
      <c r="F202" s="544"/>
      <c r="G202" s="544"/>
      <c r="H202" s="544"/>
      <c r="I202" s="544"/>
      <c r="J202" s="544"/>
      <c r="K202" s="544"/>
      <c r="L202" s="544"/>
      <c r="M202" s="545"/>
    </row>
    <row r="203" spans="6:13" s="495" customFormat="1" x14ac:dyDescent="0.2">
      <c r="F203" s="544"/>
      <c r="G203" s="544"/>
      <c r="H203" s="544"/>
      <c r="I203" s="544"/>
      <c r="J203" s="544"/>
      <c r="K203" s="544"/>
      <c r="L203" s="544"/>
      <c r="M203" s="545"/>
    </row>
    <row r="204" spans="6:13" s="495" customFormat="1" x14ac:dyDescent="0.2">
      <c r="F204" s="544"/>
      <c r="G204" s="544"/>
      <c r="H204" s="544"/>
      <c r="I204" s="544"/>
      <c r="J204" s="544"/>
      <c r="K204" s="544"/>
      <c r="L204" s="544"/>
      <c r="M204" s="545"/>
    </row>
    <row r="205" spans="6:13" s="495" customFormat="1" x14ac:dyDescent="0.2">
      <c r="F205" s="544"/>
      <c r="G205" s="544"/>
      <c r="H205" s="544"/>
      <c r="I205" s="544"/>
      <c r="J205" s="544"/>
      <c r="K205" s="544"/>
      <c r="L205" s="544"/>
      <c r="M205" s="545"/>
    </row>
    <row r="206" spans="6:13" s="495" customFormat="1" x14ac:dyDescent="0.2">
      <c r="F206" s="544"/>
      <c r="G206" s="544"/>
      <c r="H206" s="544"/>
      <c r="I206" s="544"/>
      <c r="J206" s="544"/>
      <c r="K206" s="544"/>
      <c r="L206" s="544"/>
      <c r="M206" s="545"/>
    </row>
    <row r="207" spans="6:13" s="495" customFormat="1" x14ac:dyDescent="0.2">
      <c r="F207" s="544"/>
      <c r="G207" s="544"/>
      <c r="H207" s="544"/>
      <c r="I207" s="544"/>
      <c r="J207" s="544"/>
      <c r="K207" s="544"/>
      <c r="L207" s="544"/>
      <c r="M207" s="545"/>
    </row>
    <row r="208" spans="6:13" s="495" customFormat="1" x14ac:dyDescent="0.2">
      <c r="F208" s="544"/>
      <c r="G208" s="544"/>
      <c r="H208" s="544"/>
      <c r="I208" s="544"/>
      <c r="J208" s="544"/>
      <c r="K208" s="544"/>
      <c r="L208" s="544"/>
      <c r="M208" s="545"/>
    </row>
    <row r="209" spans="6:13" s="495" customFormat="1" x14ac:dyDescent="0.2">
      <c r="F209" s="544"/>
      <c r="G209" s="544"/>
      <c r="H209" s="544"/>
      <c r="I209" s="544"/>
      <c r="J209" s="544"/>
      <c r="K209" s="544"/>
      <c r="L209" s="544"/>
      <c r="M209" s="545"/>
    </row>
    <row r="210" spans="6:13" s="495" customFormat="1" x14ac:dyDescent="0.2">
      <c r="F210" s="544"/>
      <c r="G210" s="544"/>
      <c r="H210" s="544"/>
      <c r="I210" s="544"/>
      <c r="J210" s="544"/>
      <c r="K210" s="544"/>
      <c r="L210" s="544"/>
      <c r="M210" s="545"/>
    </row>
    <row r="211" spans="6:13" s="495" customFormat="1" x14ac:dyDescent="0.2">
      <c r="F211" s="544"/>
      <c r="G211" s="544"/>
      <c r="H211" s="544"/>
      <c r="I211" s="544"/>
      <c r="J211" s="544"/>
      <c r="K211" s="544"/>
      <c r="L211" s="544"/>
      <c r="M211" s="545"/>
    </row>
    <row r="212" spans="6:13" s="495" customFormat="1" x14ac:dyDescent="0.2">
      <c r="F212" s="544"/>
      <c r="G212" s="544"/>
      <c r="H212" s="544"/>
      <c r="I212" s="544"/>
      <c r="J212" s="544"/>
      <c r="K212" s="544"/>
      <c r="L212" s="544"/>
      <c r="M212" s="545"/>
    </row>
    <row r="213" spans="6:13" s="495" customFormat="1" x14ac:dyDescent="0.2">
      <c r="F213" s="544"/>
      <c r="G213" s="544"/>
      <c r="H213" s="544"/>
      <c r="I213" s="544"/>
      <c r="J213" s="544"/>
      <c r="K213" s="544"/>
      <c r="L213" s="544"/>
      <c r="M213" s="545"/>
    </row>
    <row r="214" spans="6:13" s="495" customFormat="1" x14ac:dyDescent="0.2">
      <c r="F214" s="544"/>
      <c r="G214" s="544"/>
      <c r="H214" s="544"/>
      <c r="I214" s="544"/>
      <c r="J214" s="544"/>
      <c r="K214" s="544"/>
      <c r="L214" s="544"/>
      <c r="M214" s="545"/>
    </row>
    <row r="215" spans="6:13" s="495" customFormat="1" x14ac:dyDescent="0.2">
      <c r="F215" s="544"/>
      <c r="G215" s="544"/>
      <c r="H215" s="544"/>
      <c r="I215" s="544"/>
      <c r="J215" s="544"/>
      <c r="K215" s="544"/>
      <c r="L215" s="544"/>
      <c r="M215" s="545"/>
    </row>
    <row r="216" spans="6:13" s="495" customFormat="1" x14ac:dyDescent="0.2">
      <c r="F216" s="544"/>
      <c r="G216" s="544"/>
      <c r="H216" s="544"/>
      <c r="I216" s="544"/>
      <c r="J216" s="544"/>
      <c r="K216" s="544"/>
      <c r="L216" s="544"/>
      <c r="M216" s="545"/>
    </row>
    <row r="217" spans="6:13" s="495" customFormat="1" x14ac:dyDescent="0.2">
      <c r="F217" s="544"/>
      <c r="G217" s="544"/>
      <c r="H217" s="544"/>
      <c r="I217" s="544"/>
      <c r="J217" s="544"/>
      <c r="K217" s="544"/>
      <c r="L217" s="544"/>
      <c r="M217" s="545"/>
    </row>
    <row r="218" spans="6:13" s="495" customFormat="1" x14ac:dyDescent="0.2">
      <c r="F218" s="544"/>
      <c r="G218" s="544"/>
      <c r="H218" s="544"/>
      <c r="I218" s="544"/>
      <c r="J218" s="544"/>
      <c r="K218" s="544"/>
      <c r="L218" s="544"/>
      <c r="M218" s="545"/>
    </row>
    <row r="219" spans="6:13" s="495" customFormat="1" x14ac:dyDescent="0.2">
      <c r="F219" s="544"/>
      <c r="G219" s="544"/>
      <c r="H219" s="544"/>
      <c r="I219" s="544"/>
      <c r="J219" s="544"/>
      <c r="K219" s="544"/>
      <c r="L219" s="544"/>
      <c r="M219" s="545"/>
    </row>
    <row r="220" spans="6:13" s="495" customFormat="1" x14ac:dyDescent="0.2">
      <c r="F220" s="544"/>
      <c r="G220" s="544"/>
      <c r="H220" s="544"/>
      <c r="I220" s="544"/>
      <c r="J220" s="544"/>
      <c r="K220" s="544"/>
      <c r="L220" s="544"/>
      <c r="M220" s="545"/>
    </row>
    <row r="221" spans="6:13" s="495" customFormat="1" x14ac:dyDescent="0.2">
      <c r="F221" s="544"/>
      <c r="G221" s="544"/>
      <c r="H221" s="544"/>
      <c r="I221" s="544"/>
      <c r="J221" s="544"/>
      <c r="K221" s="544"/>
      <c r="L221" s="544"/>
      <c r="M221" s="545"/>
    </row>
    <row r="222" spans="6:13" s="495" customFormat="1" x14ac:dyDescent="0.2">
      <c r="F222" s="544"/>
      <c r="G222" s="544"/>
      <c r="H222" s="544"/>
      <c r="I222" s="544"/>
      <c r="J222" s="544"/>
      <c r="K222" s="544"/>
      <c r="L222" s="544"/>
      <c r="M222" s="545"/>
    </row>
    <row r="223" spans="6:13" s="495" customFormat="1" x14ac:dyDescent="0.2">
      <c r="F223" s="544"/>
      <c r="G223" s="544"/>
      <c r="H223" s="544"/>
      <c r="I223" s="544"/>
      <c r="J223" s="544"/>
      <c r="K223" s="544"/>
      <c r="L223" s="544"/>
      <c r="M223" s="545"/>
    </row>
    <row r="224" spans="6:13" s="495" customFormat="1" x14ac:dyDescent="0.2">
      <c r="F224" s="544"/>
      <c r="G224" s="544"/>
      <c r="H224" s="544"/>
      <c r="I224" s="544"/>
      <c r="J224" s="544"/>
      <c r="K224" s="544"/>
      <c r="L224" s="544"/>
      <c r="M224" s="545"/>
    </row>
    <row r="225" spans="6:13" s="495" customFormat="1" x14ac:dyDescent="0.2">
      <c r="F225" s="544"/>
      <c r="G225" s="544"/>
      <c r="H225" s="544"/>
      <c r="I225" s="544"/>
      <c r="J225" s="544"/>
      <c r="K225" s="544"/>
      <c r="L225" s="544"/>
      <c r="M225" s="545"/>
    </row>
    <row r="226" spans="6:13" s="495" customFormat="1" x14ac:dyDescent="0.2">
      <c r="F226" s="544"/>
      <c r="G226" s="544"/>
      <c r="H226" s="544"/>
      <c r="I226" s="544"/>
      <c r="J226" s="544"/>
      <c r="K226" s="544"/>
      <c r="L226" s="544"/>
      <c r="M226" s="545"/>
    </row>
    <row r="227" spans="6:13" s="495" customFormat="1" x14ac:dyDescent="0.2">
      <c r="F227" s="544"/>
      <c r="G227" s="544"/>
      <c r="H227" s="544"/>
      <c r="I227" s="544"/>
      <c r="J227" s="544"/>
      <c r="K227" s="544"/>
      <c r="L227" s="544"/>
      <c r="M227" s="545"/>
    </row>
    <row r="228" spans="6:13" s="495" customFormat="1" x14ac:dyDescent="0.2">
      <c r="F228" s="544"/>
      <c r="G228" s="544"/>
      <c r="H228" s="544"/>
      <c r="I228" s="544"/>
      <c r="J228" s="544"/>
      <c r="K228" s="544"/>
      <c r="L228" s="544"/>
      <c r="M228" s="545"/>
    </row>
    <row r="229" spans="6:13" s="495" customFormat="1" x14ac:dyDescent="0.2">
      <c r="F229" s="544"/>
      <c r="G229" s="544"/>
      <c r="H229" s="544"/>
      <c r="I229" s="544"/>
      <c r="J229" s="544"/>
      <c r="K229" s="544"/>
      <c r="L229" s="544"/>
      <c r="M229" s="545"/>
    </row>
    <row r="230" spans="6:13" s="495" customFormat="1" x14ac:dyDescent="0.2">
      <c r="F230" s="544"/>
      <c r="G230" s="544"/>
      <c r="H230" s="544"/>
      <c r="I230" s="544"/>
      <c r="J230" s="544"/>
      <c r="K230" s="544"/>
      <c r="L230" s="544"/>
      <c r="M230" s="545"/>
    </row>
    <row r="231" spans="6:13" s="495" customFormat="1" x14ac:dyDescent="0.2">
      <c r="F231" s="544"/>
      <c r="G231" s="544"/>
      <c r="H231" s="544"/>
      <c r="I231" s="544"/>
      <c r="J231" s="544"/>
      <c r="K231" s="544"/>
      <c r="L231" s="544"/>
      <c r="M231" s="545"/>
    </row>
    <row r="232" spans="6:13" s="495" customFormat="1" x14ac:dyDescent="0.2">
      <c r="F232" s="544"/>
      <c r="G232" s="544"/>
      <c r="H232" s="544"/>
      <c r="I232" s="544"/>
      <c r="J232" s="544"/>
      <c r="K232" s="544"/>
      <c r="L232" s="544"/>
      <c r="M232" s="545"/>
    </row>
    <row r="233" spans="6:13" s="495" customFormat="1" x14ac:dyDescent="0.2">
      <c r="F233" s="544"/>
      <c r="G233" s="544"/>
      <c r="H233" s="544"/>
      <c r="I233" s="544"/>
      <c r="J233" s="544"/>
      <c r="K233" s="544"/>
      <c r="L233" s="544"/>
      <c r="M233" s="545"/>
    </row>
    <row r="234" spans="6:13" s="495" customFormat="1" x14ac:dyDescent="0.2">
      <c r="F234" s="544"/>
      <c r="G234" s="544"/>
      <c r="H234" s="544"/>
      <c r="I234" s="544"/>
      <c r="J234" s="544"/>
      <c r="K234" s="544"/>
      <c r="L234" s="544"/>
      <c r="M234" s="545"/>
    </row>
    <row r="235" spans="6:13" s="495" customFormat="1" x14ac:dyDescent="0.2">
      <c r="F235" s="544"/>
      <c r="G235" s="544"/>
      <c r="H235" s="544"/>
      <c r="I235" s="544"/>
      <c r="J235" s="544"/>
      <c r="K235" s="544"/>
      <c r="L235" s="544"/>
      <c r="M235" s="545"/>
    </row>
    <row r="236" spans="6:13" s="495" customFormat="1" x14ac:dyDescent="0.2">
      <c r="F236" s="544"/>
      <c r="G236" s="544"/>
      <c r="H236" s="544"/>
      <c r="I236" s="544"/>
      <c r="J236" s="544"/>
      <c r="K236" s="544"/>
      <c r="L236" s="544"/>
      <c r="M236" s="545"/>
    </row>
    <row r="237" spans="6:13" s="495" customFormat="1" x14ac:dyDescent="0.2">
      <c r="F237" s="544"/>
      <c r="G237" s="544"/>
      <c r="H237" s="544"/>
      <c r="I237" s="544"/>
      <c r="J237" s="544"/>
      <c r="K237" s="544"/>
      <c r="L237" s="544"/>
      <c r="M237" s="545"/>
    </row>
    <row r="238" spans="6:13" s="495" customFormat="1" x14ac:dyDescent="0.2">
      <c r="F238" s="544"/>
      <c r="G238" s="544"/>
      <c r="H238" s="544"/>
      <c r="I238" s="544"/>
      <c r="J238" s="544"/>
      <c r="K238" s="544"/>
      <c r="L238" s="544"/>
      <c r="M238" s="545"/>
    </row>
    <row r="239" spans="6:13" s="495" customFormat="1" x14ac:dyDescent="0.2">
      <c r="F239" s="544"/>
      <c r="G239" s="544"/>
      <c r="H239" s="544"/>
      <c r="I239" s="544"/>
      <c r="J239" s="544"/>
      <c r="K239" s="544"/>
      <c r="L239" s="544"/>
      <c r="M239" s="545"/>
    </row>
    <row r="240" spans="6:13" s="495" customFormat="1" x14ac:dyDescent="0.2">
      <c r="F240" s="544"/>
      <c r="G240" s="544"/>
      <c r="H240" s="544"/>
      <c r="I240" s="544"/>
      <c r="J240" s="544"/>
      <c r="K240" s="544"/>
      <c r="L240" s="544"/>
      <c r="M240" s="545"/>
    </row>
    <row r="241" spans="6:13" s="495" customFormat="1" x14ac:dyDescent="0.2">
      <c r="F241" s="544"/>
      <c r="G241" s="544"/>
      <c r="H241" s="544"/>
      <c r="I241" s="544"/>
      <c r="J241" s="544"/>
      <c r="K241" s="544"/>
      <c r="L241" s="544"/>
      <c r="M241" s="545"/>
    </row>
    <row r="242" spans="6:13" s="495" customFormat="1" x14ac:dyDescent="0.2">
      <c r="F242" s="544"/>
      <c r="G242" s="544"/>
      <c r="H242" s="544"/>
      <c r="I242" s="544"/>
      <c r="J242" s="544"/>
      <c r="K242" s="544"/>
      <c r="L242" s="544"/>
      <c r="M242" s="545"/>
    </row>
    <row r="243" spans="6:13" s="495" customFormat="1" x14ac:dyDescent="0.2">
      <c r="F243" s="544"/>
      <c r="G243" s="544"/>
      <c r="H243" s="544"/>
      <c r="I243" s="544"/>
      <c r="J243" s="544"/>
      <c r="K243" s="544"/>
      <c r="L243" s="544"/>
      <c r="M243" s="545"/>
    </row>
    <row r="244" spans="6:13" s="495" customFormat="1" x14ac:dyDescent="0.2">
      <c r="F244" s="544"/>
      <c r="G244" s="544"/>
      <c r="H244" s="544"/>
      <c r="I244" s="544"/>
      <c r="J244" s="544"/>
      <c r="K244" s="544"/>
      <c r="L244" s="544"/>
      <c r="M244" s="545"/>
    </row>
    <row r="245" spans="6:13" s="495" customFormat="1" x14ac:dyDescent="0.2">
      <c r="F245" s="544"/>
      <c r="G245" s="544"/>
      <c r="H245" s="544"/>
      <c r="I245" s="544"/>
      <c r="J245" s="544"/>
      <c r="K245" s="544"/>
      <c r="L245" s="544"/>
      <c r="M245" s="545"/>
    </row>
    <row r="246" spans="6:13" s="495" customFormat="1" x14ac:dyDescent="0.2">
      <c r="F246" s="544"/>
      <c r="G246" s="544"/>
      <c r="H246" s="544"/>
      <c r="I246" s="544"/>
      <c r="J246" s="544"/>
      <c r="K246" s="544"/>
      <c r="L246" s="544"/>
      <c r="M246" s="545"/>
    </row>
    <row r="247" spans="6:13" s="495" customFormat="1" x14ac:dyDescent="0.2">
      <c r="F247" s="544"/>
      <c r="G247" s="544"/>
      <c r="H247" s="544"/>
      <c r="I247" s="544"/>
      <c r="J247" s="544"/>
      <c r="K247" s="544"/>
      <c r="L247" s="544"/>
      <c r="M247" s="545"/>
    </row>
    <row r="248" spans="6:13" s="495" customFormat="1" x14ac:dyDescent="0.2">
      <c r="F248" s="544"/>
      <c r="G248" s="544"/>
      <c r="H248" s="544"/>
      <c r="I248" s="544"/>
      <c r="J248" s="544"/>
      <c r="K248" s="544"/>
      <c r="L248" s="544"/>
      <c r="M248" s="545"/>
    </row>
    <row r="249" spans="6:13" s="495" customFormat="1" x14ac:dyDescent="0.2">
      <c r="F249" s="544"/>
      <c r="G249" s="544"/>
      <c r="H249" s="544"/>
      <c r="I249" s="544"/>
      <c r="J249" s="544"/>
      <c r="K249" s="544"/>
      <c r="L249" s="544"/>
      <c r="M249" s="545"/>
    </row>
    <row r="250" spans="6:13" s="495" customFormat="1" x14ac:dyDescent="0.2">
      <c r="F250" s="544"/>
      <c r="G250" s="544"/>
      <c r="H250" s="544"/>
      <c r="I250" s="544"/>
      <c r="J250" s="544"/>
      <c r="K250" s="544"/>
      <c r="L250" s="544"/>
      <c r="M250" s="545"/>
    </row>
    <row r="251" spans="6:13" s="495" customFormat="1" x14ac:dyDescent="0.2">
      <c r="F251" s="544"/>
      <c r="G251" s="544"/>
      <c r="H251" s="544"/>
      <c r="I251" s="544"/>
      <c r="J251" s="544"/>
      <c r="K251" s="544"/>
      <c r="L251" s="544"/>
      <c r="M251" s="545"/>
    </row>
    <row r="252" spans="6:13" s="495" customFormat="1" x14ac:dyDescent="0.2">
      <c r="F252" s="544"/>
      <c r="G252" s="544"/>
      <c r="H252" s="544"/>
      <c r="I252" s="544"/>
      <c r="J252" s="544"/>
      <c r="K252" s="544"/>
      <c r="L252" s="544"/>
      <c r="M252" s="545"/>
    </row>
    <row r="253" spans="6:13" s="495" customFormat="1" x14ac:dyDescent="0.2">
      <c r="F253" s="544"/>
      <c r="G253" s="544"/>
      <c r="H253" s="544"/>
      <c r="I253" s="544"/>
      <c r="J253" s="544"/>
      <c r="K253" s="544"/>
      <c r="L253" s="544"/>
      <c r="M253" s="545"/>
    </row>
    <row r="254" spans="6:13" s="495" customFormat="1" x14ac:dyDescent="0.2">
      <c r="F254" s="544"/>
      <c r="G254" s="544"/>
      <c r="H254" s="544"/>
      <c r="I254" s="544"/>
      <c r="J254" s="544"/>
      <c r="K254" s="544"/>
      <c r="L254" s="544"/>
      <c r="M254" s="545"/>
    </row>
    <row r="255" spans="6:13" s="495" customFormat="1" x14ac:dyDescent="0.2">
      <c r="F255" s="544"/>
      <c r="G255" s="544"/>
      <c r="H255" s="544"/>
      <c r="I255" s="544"/>
      <c r="J255" s="544"/>
      <c r="K255" s="544"/>
      <c r="L255" s="544"/>
      <c r="M255" s="545"/>
    </row>
    <row r="256" spans="6:13" s="495" customFormat="1" x14ac:dyDescent="0.2">
      <c r="F256" s="544"/>
      <c r="G256" s="544"/>
      <c r="H256" s="544"/>
      <c r="I256" s="544"/>
      <c r="J256" s="544"/>
      <c r="K256" s="544"/>
      <c r="L256" s="544"/>
      <c r="M256" s="545"/>
    </row>
    <row r="257" spans="6:13" s="495" customFormat="1" x14ac:dyDescent="0.2">
      <c r="F257" s="544"/>
      <c r="G257" s="544"/>
      <c r="H257" s="544"/>
      <c r="I257" s="544"/>
      <c r="J257" s="544"/>
      <c r="K257" s="544"/>
      <c r="L257" s="544"/>
      <c r="M257" s="545"/>
    </row>
    <row r="258" spans="6:13" s="495" customFormat="1" x14ac:dyDescent="0.2">
      <c r="F258" s="544"/>
      <c r="G258" s="544"/>
      <c r="H258" s="544"/>
      <c r="I258" s="544"/>
      <c r="J258" s="544"/>
      <c r="K258" s="544"/>
      <c r="L258" s="544"/>
      <c r="M258" s="545"/>
    </row>
    <row r="259" spans="6:13" s="495" customFormat="1" x14ac:dyDescent="0.2">
      <c r="F259" s="544"/>
      <c r="G259" s="544"/>
      <c r="H259" s="544"/>
      <c r="I259" s="544"/>
      <c r="J259" s="544"/>
      <c r="K259" s="544"/>
      <c r="L259" s="544"/>
      <c r="M259" s="545"/>
    </row>
    <row r="260" spans="6:13" s="495" customFormat="1" x14ac:dyDescent="0.2">
      <c r="F260" s="544"/>
      <c r="G260" s="544"/>
      <c r="H260" s="544"/>
      <c r="I260" s="544"/>
      <c r="J260" s="544"/>
      <c r="K260" s="544"/>
      <c r="L260" s="544"/>
      <c r="M260" s="545"/>
    </row>
    <row r="261" spans="6:13" s="495" customFormat="1" x14ac:dyDescent="0.2">
      <c r="F261" s="544"/>
      <c r="G261" s="544"/>
      <c r="H261" s="544"/>
      <c r="I261" s="544"/>
      <c r="J261" s="544"/>
      <c r="K261" s="544"/>
      <c r="L261" s="544"/>
      <c r="M261" s="545"/>
    </row>
    <row r="262" spans="6:13" s="495" customFormat="1" x14ac:dyDescent="0.2">
      <c r="F262" s="544"/>
      <c r="G262" s="544"/>
      <c r="H262" s="544"/>
      <c r="I262" s="544"/>
      <c r="J262" s="544"/>
      <c r="K262" s="544"/>
      <c r="L262" s="544"/>
      <c r="M262" s="545"/>
    </row>
    <row r="263" spans="6:13" s="495" customFormat="1" x14ac:dyDescent="0.2">
      <c r="F263" s="544"/>
      <c r="G263" s="544"/>
      <c r="H263" s="544"/>
      <c r="I263" s="544"/>
      <c r="J263" s="544"/>
      <c r="K263" s="544"/>
      <c r="L263" s="544"/>
      <c r="M263" s="545"/>
    </row>
    <row r="264" spans="6:13" s="495" customFormat="1" x14ac:dyDescent="0.2">
      <c r="F264" s="544"/>
      <c r="G264" s="544"/>
      <c r="H264" s="544"/>
      <c r="I264" s="544"/>
      <c r="J264" s="544"/>
      <c r="K264" s="544"/>
      <c r="L264" s="544"/>
      <c r="M264" s="545"/>
    </row>
    <row r="265" spans="6:13" s="495" customFormat="1" x14ac:dyDescent="0.2">
      <c r="F265" s="544"/>
      <c r="G265" s="544"/>
      <c r="H265" s="544"/>
      <c r="I265" s="544"/>
      <c r="J265" s="544"/>
      <c r="K265" s="544"/>
      <c r="L265" s="544"/>
      <c r="M265" s="545"/>
    </row>
    <row r="266" spans="6:13" s="495" customFormat="1" x14ac:dyDescent="0.2">
      <c r="F266" s="544"/>
      <c r="G266" s="544"/>
      <c r="H266" s="544"/>
      <c r="I266" s="544"/>
      <c r="J266" s="544"/>
      <c r="K266" s="544"/>
      <c r="L266" s="544"/>
      <c r="M266" s="545"/>
    </row>
    <row r="267" spans="6:13" s="495" customFormat="1" x14ac:dyDescent="0.2">
      <c r="F267" s="544"/>
      <c r="G267" s="544"/>
      <c r="H267" s="544"/>
      <c r="I267" s="544"/>
      <c r="J267" s="544"/>
      <c r="K267" s="544"/>
      <c r="L267" s="544"/>
      <c r="M267" s="545"/>
    </row>
    <row r="268" spans="6:13" s="495" customFormat="1" x14ac:dyDescent="0.2">
      <c r="F268" s="544"/>
      <c r="G268" s="544"/>
      <c r="H268" s="544"/>
      <c r="I268" s="544"/>
      <c r="J268" s="544"/>
      <c r="K268" s="544"/>
      <c r="L268" s="544"/>
      <c r="M268" s="545"/>
    </row>
    <row r="269" spans="6:13" s="495" customFormat="1" x14ac:dyDescent="0.2">
      <c r="F269" s="544"/>
      <c r="G269" s="544"/>
      <c r="H269" s="544"/>
      <c r="I269" s="544"/>
      <c r="J269" s="544"/>
      <c r="K269" s="544"/>
      <c r="L269" s="544"/>
      <c r="M269" s="545"/>
    </row>
    <row r="270" spans="6:13" s="495" customFormat="1" x14ac:dyDescent="0.2">
      <c r="F270" s="544"/>
      <c r="G270" s="544"/>
      <c r="H270" s="544"/>
      <c r="I270" s="544"/>
      <c r="J270" s="544"/>
      <c r="K270" s="544"/>
      <c r="L270" s="544"/>
      <c r="M270" s="545"/>
    </row>
    <row r="271" spans="6:13" s="495" customFormat="1" x14ac:dyDescent="0.2">
      <c r="F271" s="544"/>
      <c r="G271" s="544"/>
      <c r="H271" s="544"/>
      <c r="I271" s="544"/>
      <c r="J271" s="544"/>
      <c r="K271" s="544"/>
      <c r="L271" s="544"/>
      <c r="M271" s="545"/>
    </row>
    <row r="272" spans="6:13" s="495" customFormat="1" x14ac:dyDescent="0.2">
      <c r="F272" s="544"/>
      <c r="G272" s="544"/>
      <c r="H272" s="544"/>
      <c r="I272" s="544"/>
      <c r="J272" s="544"/>
      <c r="K272" s="544"/>
      <c r="L272" s="544"/>
      <c r="M272" s="545"/>
    </row>
    <row r="273" spans="6:13" s="495" customFormat="1" x14ac:dyDescent="0.2">
      <c r="F273" s="544"/>
      <c r="G273" s="544"/>
      <c r="H273" s="544"/>
      <c r="I273" s="544"/>
      <c r="J273" s="544"/>
      <c r="K273" s="544"/>
      <c r="L273" s="544"/>
      <c r="M273" s="545"/>
    </row>
    <row r="274" spans="6:13" s="495" customFormat="1" x14ac:dyDescent="0.2">
      <c r="F274" s="544"/>
      <c r="G274" s="544"/>
      <c r="H274" s="544"/>
      <c r="I274" s="544"/>
      <c r="J274" s="544"/>
      <c r="K274" s="544"/>
      <c r="L274" s="544"/>
      <c r="M274" s="545"/>
    </row>
    <row r="275" spans="6:13" s="495" customFormat="1" x14ac:dyDescent="0.2">
      <c r="F275" s="544"/>
      <c r="G275" s="544"/>
      <c r="H275" s="544"/>
      <c r="I275" s="544"/>
      <c r="J275" s="544"/>
      <c r="K275" s="544"/>
      <c r="L275" s="544"/>
      <c r="M275" s="545"/>
    </row>
    <row r="276" spans="6:13" s="495" customFormat="1" x14ac:dyDescent="0.2">
      <c r="F276" s="544"/>
      <c r="G276" s="544"/>
      <c r="H276" s="544"/>
      <c r="I276" s="544"/>
      <c r="J276" s="544"/>
      <c r="K276" s="544"/>
      <c r="L276" s="544"/>
      <c r="M276" s="545"/>
    </row>
    <row r="277" spans="6:13" s="495" customFormat="1" x14ac:dyDescent="0.2">
      <c r="F277" s="544"/>
      <c r="G277" s="544"/>
      <c r="H277" s="544"/>
      <c r="I277" s="544"/>
      <c r="J277" s="544"/>
      <c r="K277" s="544"/>
      <c r="L277" s="544"/>
      <c r="M277" s="545"/>
    </row>
    <row r="278" spans="6:13" s="495" customFormat="1" x14ac:dyDescent="0.2">
      <c r="F278" s="544"/>
      <c r="G278" s="544"/>
      <c r="H278" s="544"/>
      <c r="I278" s="544"/>
      <c r="J278" s="544"/>
      <c r="K278" s="544"/>
      <c r="L278" s="544"/>
      <c r="M278" s="545"/>
    </row>
    <row r="279" spans="6:13" s="495" customFormat="1" x14ac:dyDescent="0.2">
      <c r="F279" s="544"/>
      <c r="G279" s="544"/>
      <c r="H279" s="544"/>
      <c r="I279" s="544"/>
      <c r="J279" s="544"/>
      <c r="K279" s="544"/>
      <c r="L279" s="544"/>
      <c r="M279" s="545"/>
    </row>
    <row r="280" spans="6:13" s="495" customFormat="1" x14ac:dyDescent="0.2">
      <c r="F280" s="544"/>
      <c r="G280" s="544"/>
      <c r="H280" s="544"/>
      <c r="I280" s="544"/>
      <c r="J280" s="544"/>
      <c r="K280" s="544"/>
      <c r="L280" s="544"/>
      <c r="M280" s="545"/>
    </row>
    <row r="281" spans="6:13" s="495" customFormat="1" x14ac:dyDescent="0.2">
      <c r="F281" s="544"/>
      <c r="G281" s="544"/>
      <c r="H281" s="544"/>
      <c r="I281" s="544"/>
      <c r="J281" s="544"/>
      <c r="K281" s="544"/>
      <c r="L281" s="544"/>
      <c r="M281" s="545"/>
    </row>
    <row r="282" spans="6:13" s="495" customFormat="1" x14ac:dyDescent="0.2">
      <c r="F282" s="544"/>
      <c r="G282" s="544"/>
      <c r="H282" s="544"/>
      <c r="I282" s="544"/>
      <c r="J282" s="544"/>
      <c r="K282" s="544"/>
      <c r="L282" s="544"/>
      <c r="M282" s="545"/>
    </row>
    <row r="283" spans="6:13" s="495" customFormat="1" x14ac:dyDescent="0.2">
      <c r="F283" s="544"/>
      <c r="G283" s="544"/>
      <c r="H283" s="544"/>
      <c r="I283" s="544"/>
      <c r="J283" s="544"/>
      <c r="K283" s="544"/>
      <c r="L283" s="544"/>
      <c r="M283" s="545"/>
    </row>
    <row r="284" spans="6:13" s="495" customFormat="1" x14ac:dyDescent="0.2">
      <c r="F284" s="544"/>
      <c r="G284" s="544"/>
      <c r="H284" s="544"/>
      <c r="I284" s="544"/>
      <c r="J284" s="544"/>
      <c r="K284" s="544"/>
      <c r="L284" s="544"/>
      <c r="M284" s="545"/>
    </row>
    <row r="285" spans="6:13" s="495" customFormat="1" x14ac:dyDescent="0.2">
      <c r="F285" s="544"/>
      <c r="G285" s="544"/>
      <c r="H285" s="544"/>
      <c r="I285" s="544"/>
      <c r="J285" s="544"/>
      <c r="K285" s="544"/>
      <c r="L285" s="544"/>
      <c r="M285" s="545"/>
    </row>
    <row r="286" spans="6:13" s="495" customFormat="1" x14ac:dyDescent="0.2">
      <c r="F286" s="544"/>
      <c r="G286" s="544"/>
      <c r="H286" s="544"/>
      <c r="I286" s="544"/>
      <c r="J286" s="544"/>
      <c r="K286" s="544"/>
      <c r="L286" s="544"/>
      <c r="M286" s="545"/>
    </row>
    <row r="287" spans="6:13" s="495" customFormat="1" x14ac:dyDescent="0.2">
      <c r="F287" s="544"/>
      <c r="G287" s="544"/>
      <c r="H287" s="544"/>
      <c r="I287" s="544"/>
      <c r="J287" s="544"/>
      <c r="K287" s="544"/>
      <c r="L287" s="544"/>
      <c r="M287" s="545"/>
    </row>
    <row r="288" spans="6:13" s="495" customFormat="1" x14ac:dyDescent="0.2">
      <c r="F288" s="544"/>
      <c r="G288" s="544"/>
      <c r="H288" s="544"/>
      <c r="I288" s="544"/>
      <c r="J288" s="544"/>
      <c r="K288" s="544"/>
      <c r="L288" s="544"/>
      <c r="M288" s="545"/>
    </row>
    <row r="289" spans="6:13" s="495" customFormat="1" x14ac:dyDescent="0.2">
      <c r="F289" s="544"/>
      <c r="G289" s="544"/>
      <c r="H289" s="544"/>
      <c r="I289" s="544"/>
      <c r="J289" s="544"/>
      <c r="K289" s="544"/>
      <c r="L289" s="544"/>
      <c r="M289" s="545"/>
    </row>
    <row r="290" spans="6:13" s="495" customFormat="1" x14ac:dyDescent="0.2">
      <c r="F290" s="544"/>
      <c r="G290" s="544"/>
      <c r="H290" s="544"/>
      <c r="I290" s="544"/>
      <c r="J290" s="544"/>
      <c r="K290" s="544"/>
      <c r="L290" s="544"/>
      <c r="M290" s="545"/>
    </row>
    <row r="291" spans="6:13" s="495" customFormat="1" x14ac:dyDescent="0.2">
      <c r="F291" s="544"/>
      <c r="G291" s="544"/>
      <c r="H291" s="544"/>
      <c r="I291" s="544"/>
      <c r="J291" s="544"/>
      <c r="K291" s="544"/>
      <c r="L291" s="544"/>
      <c r="M291" s="545"/>
    </row>
    <row r="292" spans="6:13" s="495" customFormat="1" x14ac:dyDescent="0.2">
      <c r="F292" s="544"/>
      <c r="G292" s="544"/>
      <c r="H292" s="544"/>
      <c r="I292" s="544"/>
      <c r="J292" s="544"/>
      <c r="K292" s="544"/>
      <c r="L292" s="544"/>
      <c r="M292" s="545"/>
    </row>
    <row r="293" spans="6:13" s="495" customFormat="1" x14ac:dyDescent="0.2">
      <c r="F293" s="544"/>
      <c r="G293" s="544"/>
      <c r="H293" s="544"/>
      <c r="I293" s="544"/>
      <c r="J293" s="544"/>
      <c r="K293" s="544"/>
      <c r="L293" s="544"/>
      <c r="M293" s="545"/>
    </row>
    <row r="294" spans="6:13" s="495" customFormat="1" x14ac:dyDescent="0.2">
      <c r="F294" s="544"/>
      <c r="G294" s="544"/>
      <c r="H294" s="544"/>
      <c r="I294" s="544"/>
      <c r="J294" s="544"/>
      <c r="K294" s="544"/>
      <c r="L294" s="544"/>
      <c r="M294" s="545"/>
    </row>
    <row r="295" spans="6:13" s="495" customFormat="1" x14ac:dyDescent="0.2">
      <c r="F295" s="544"/>
      <c r="G295" s="544"/>
      <c r="H295" s="544"/>
      <c r="I295" s="544"/>
      <c r="J295" s="544"/>
      <c r="K295" s="544"/>
      <c r="L295" s="544"/>
      <c r="M295" s="545"/>
    </row>
    <row r="296" spans="6:13" s="495" customFormat="1" x14ac:dyDescent="0.2">
      <c r="F296" s="544"/>
      <c r="G296" s="544"/>
      <c r="H296" s="544"/>
      <c r="I296" s="544"/>
      <c r="J296" s="544"/>
      <c r="K296" s="544"/>
      <c r="L296" s="544"/>
      <c r="M296" s="545"/>
    </row>
    <row r="297" spans="6:13" s="495" customFormat="1" x14ac:dyDescent="0.2">
      <c r="F297" s="544"/>
      <c r="G297" s="544"/>
      <c r="H297" s="544"/>
      <c r="I297" s="544"/>
      <c r="J297" s="544"/>
      <c r="K297" s="544"/>
      <c r="L297" s="544"/>
      <c r="M297" s="545"/>
    </row>
    <row r="298" spans="6:13" s="495" customFormat="1" x14ac:dyDescent="0.2">
      <c r="F298" s="544"/>
      <c r="G298" s="544"/>
      <c r="H298" s="544"/>
      <c r="I298" s="544"/>
      <c r="J298" s="544"/>
      <c r="K298" s="544"/>
      <c r="L298" s="544"/>
      <c r="M298" s="545"/>
    </row>
    <row r="299" spans="6:13" s="495" customFormat="1" x14ac:dyDescent="0.2">
      <c r="F299" s="544"/>
      <c r="G299" s="544"/>
      <c r="H299" s="544"/>
      <c r="I299" s="544"/>
      <c r="J299" s="544"/>
      <c r="K299" s="544"/>
      <c r="L299" s="544"/>
      <c r="M299" s="545"/>
    </row>
    <row r="300" spans="6:13" s="495" customFormat="1" x14ac:dyDescent="0.2">
      <c r="F300" s="544"/>
      <c r="G300" s="544"/>
      <c r="H300" s="544"/>
      <c r="I300" s="544"/>
      <c r="J300" s="544"/>
      <c r="K300" s="544"/>
      <c r="L300" s="544"/>
      <c r="M300" s="545"/>
    </row>
    <row r="301" spans="6:13" s="495" customFormat="1" x14ac:dyDescent="0.2">
      <c r="F301" s="544"/>
      <c r="G301" s="544"/>
      <c r="H301" s="544"/>
      <c r="I301" s="544"/>
      <c r="J301" s="544"/>
      <c r="K301" s="544"/>
      <c r="L301" s="544"/>
      <c r="M301" s="545"/>
    </row>
    <row r="302" spans="6:13" s="495" customFormat="1" x14ac:dyDescent="0.2">
      <c r="F302" s="544"/>
      <c r="G302" s="544"/>
      <c r="H302" s="544"/>
      <c r="I302" s="544"/>
      <c r="J302" s="544"/>
      <c r="K302" s="544"/>
      <c r="L302" s="544"/>
      <c r="M302" s="545"/>
    </row>
    <row r="303" spans="6:13" s="495" customFormat="1" x14ac:dyDescent="0.2">
      <c r="F303" s="544"/>
      <c r="G303" s="544"/>
      <c r="H303" s="544"/>
      <c r="I303" s="544"/>
      <c r="J303" s="544"/>
      <c r="K303" s="544"/>
      <c r="L303" s="544"/>
      <c r="M303" s="545"/>
    </row>
    <row r="304" spans="6:13" s="495" customFormat="1" x14ac:dyDescent="0.2">
      <c r="F304" s="544"/>
      <c r="G304" s="544"/>
      <c r="H304" s="544"/>
      <c r="I304" s="544"/>
      <c r="J304" s="544"/>
      <c r="K304" s="544"/>
      <c r="L304" s="544"/>
      <c r="M304" s="545"/>
    </row>
    <row r="305" spans="6:13" s="495" customFormat="1" x14ac:dyDescent="0.2">
      <c r="F305" s="544"/>
      <c r="G305" s="544"/>
      <c r="H305" s="544"/>
      <c r="I305" s="544"/>
      <c r="J305" s="544"/>
      <c r="K305" s="544"/>
      <c r="L305" s="544"/>
      <c r="M305" s="545"/>
    </row>
    <row r="306" spans="6:13" s="495" customFormat="1" x14ac:dyDescent="0.2">
      <c r="F306" s="544"/>
      <c r="G306" s="544"/>
      <c r="H306" s="544"/>
      <c r="I306" s="544"/>
      <c r="J306" s="544"/>
      <c r="K306" s="544"/>
      <c r="L306" s="544"/>
      <c r="M306" s="545"/>
    </row>
    <row r="307" spans="6:13" s="495" customFormat="1" x14ac:dyDescent="0.2">
      <c r="F307" s="544"/>
      <c r="G307" s="544"/>
      <c r="H307" s="544"/>
      <c r="I307" s="544"/>
      <c r="J307" s="544"/>
      <c r="K307" s="544"/>
      <c r="L307" s="544"/>
      <c r="M307" s="545"/>
    </row>
    <row r="308" spans="6:13" s="495" customFormat="1" x14ac:dyDescent="0.2">
      <c r="F308" s="544"/>
      <c r="G308" s="544"/>
      <c r="H308" s="544"/>
      <c r="I308" s="544"/>
      <c r="J308" s="544"/>
      <c r="K308" s="544"/>
      <c r="L308" s="544"/>
      <c r="M308" s="545"/>
    </row>
    <row r="309" spans="6:13" s="495" customFormat="1" x14ac:dyDescent="0.2">
      <c r="F309" s="544"/>
      <c r="G309" s="544"/>
      <c r="H309" s="544"/>
      <c r="I309" s="544"/>
      <c r="J309" s="544"/>
      <c r="K309" s="544"/>
      <c r="L309" s="544"/>
      <c r="M309" s="545"/>
    </row>
    <row r="310" spans="6:13" s="495" customFormat="1" x14ac:dyDescent="0.2">
      <c r="F310" s="544"/>
      <c r="G310" s="544"/>
      <c r="H310" s="544"/>
      <c r="I310" s="544"/>
      <c r="J310" s="544"/>
      <c r="K310" s="544"/>
      <c r="L310" s="544"/>
      <c r="M310" s="545"/>
    </row>
    <row r="311" spans="6:13" s="495" customFormat="1" x14ac:dyDescent="0.2">
      <c r="F311" s="544"/>
      <c r="G311" s="544"/>
      <c r="H311" s="544"/>
      <c r="I311" s="544"/>
      <c r="J311" s="544"/>
      <c r="K311" s="544"/>
      <c r="L311" s="544"/>
      <c r="M311" s="545"/>
    </row>
    <row r="312" spans="6:13" s="495" customFormat="1" x14ac:dyDescent="0.2">
      <c r="F312" s="544"/>
      <c r="G312" s="544"/>
      <c r="H312" s="544"/>
      <c r="I312" s="544"/>
      <c r="J312" s="544"/>
      <c r="K312" s="544"/>
      <c r="L312" s="544"/>
      <c r="M312" s="545"/>
    </row>
    <row r="313" spans="6:13" s="495" customFormat="1" x14ac:dyDescent="0.2">
      <c r="F313" s="544"/>
      <c r="G313" s="544"/>
      <c r="H313" s="544"/>
      <c r="I313" s="544"/>
      <c r="J313" s="544"/>
      <c r="K313" s="544"/>
      <c r="L313" s="544"/>
      <c r="M313" s="545"/>
    </row>
    <row r="314" spans="6:13" s="495" customFormat="1" x14ac:dyDescent="0.2">
      <c r="F314" s="544"/>
      <c r="G314" s="544"/>
      <c r="H314" s="544"/>
      <c r="I314" s="544"/>
      <c r="J314" s="544"/>
      <c r="K314" s="544"/>
      <c r="L314" s="544"/>
      <c r="M314" s="545"/>
    </row>
    <row r="315" spans="6:13" s="495" customFormat="1" x14ac:dyDescent="0.2">
      <c r="F315" s="544"/>
      <c r="G315" s="544"/>
      <c r="H315" s="544"/>
      <c r="I315" s="544"/>
      <c r="J315" s="544"/>
      <c r="K315" s="544"/>
      <c r="L315" s="544"/>
      <c r="M315" s="545"/>
    </row>
    <row r="316" spans="6:13" s="495" customFormat="1" x14ac:dyDescent="0.2">
      <c r="F316" s="544"/>
      <c r="G316" s="544"/>
      <c r="H316" s="544"/>
      <c r="I316" s="544"/>
      <c r="J316" s="544"/>
      <c r="K316" s="544"/>
      <c r="L316" s="544"/>
      <c r="M316" s="545"/>
    </row>
    <row r="317" spans="6:13" s="495" customFormat="1" x14ac:dyDescent="0.2">
      <c r="F317" s="544"/>
      <c r="G317" s="544"/>
      <c r="H317" s="544"/>
      <c r="I317" s="544"/>
      <c r="J317" s="544"/>
      <c r="K317" s="544"/>
      <c r="L317" s="544"/>
      <c r="M317" s="545"/>
    </row>
    <row r="318" spans="6:13" s="495" customFormat="1" x14ac:dyDescent="0.2">
      <c r="F318" s="544"/>
      <c r="G318" s="544"/>
      <c r="H318" s="544"/>
      <c r="I318" s="544"/>
      <c r="J318" s="544"/>
      <c r="K318" s="544"/>
      <c r="L318" s="544"/>
      <c r="M318" s="545"/>
    </row>
    <row r="319" spans="6:13" s="495" customFormat="1" x14ac:dyDescent="0.2">
      <c r="F319" s="544"/>
      <c r="G319" s="544"/>
      <c r="H319" s="544"/>
      <c r="I319" s="544"/>
      <c r="J319" s="544"/>
      <c r="K319" s="544"/>
      <c r="L319" s="544"/>
      <c r="M319" s="545"/>
    </row>
    <row r="320" spans="6:13" s="495" customFormat="1" x14ac:dyDescent="0.2">
      <c r="F320" s="544"/>
      <c r="G320" s="544"/>
      <c r="H320" s="544"/>
      <c r="I320" s="544"/>
      <c r="J320" s="544"/>
      <c r="K320" s="544"/>
      <c r="L320" s="544"/>
      <c r="M320" s="545"/>
    </row>
    <row r="321" spans="6:13" s="495" customFormat="1" x14ac:dyDescent="0.2">
      <c r="F321" s="544"/>
      <c r="G321" s="544"/>
      <c r="H321" s="544"/>
      <c r="I321" s="544"/>
      <c r="J321" s="544"/>
      <c r="K321" s="544"/>
      <c r="L321" s="544"/>
      <c r="M321" s="545"/>
    </row>
    <row r="322" spans="6:13" s="495" customFormat="1" x14ac:dyDescent="0.2">
      <c r="F322" s="544"/>
      <c r="G322" s="544"/>
      <c r="H322" s="544"/>
      <c r="I322" s="544"/>
      <c r="J322" s="544"/>
      <c r="K322" s="544"/>
      <c r="L322" s="544"/>
      <c r="M322" s="545"/>
    </row>
    <row r="323" spans="6:13" s="495" customFormat="1" x14ac:dyDescent="0.2">
      <c r="F323" s="544"/>
      <c r="G323" s="544"/>
      <c r="H323" s="544"/>
      <c r="I323" s="544"/>
      <c r="J323" s="544"/>
      <c r="K323" s="544"/>
      <c r="L323" s="544"/>
      <c r="M323" s="545"/>
    </row>
    <row r="324" spans="6:13" s="495" customFormat="1" x14ac:dyDescent="0.2">
      <c r="F324" s="544"/>
      <c r="G324" s="544"/>
      <c r="H324" s="544"/>
      <c r="I324" s="544"/>
      <c r="J324" s="544"/>
      <c r="K324" s="544"/>
      <c r="L324" s="544"/>
      <c r="M324" s="545"/>
    </row>
    <row r="325" spans="6:13" s="495" customFormat="1" x14ac:dyDescent="0.2">
      <c r="F325" s="544"/>
      <c r="G325" s="544"/>
      <c r="H325" s="544"/>
      <c r="I325" s="544"/>
      <c r="J325" s="544"/>
      <c r="K325" s="544"/>
      <c r="L325" s="544"/>
      <c r="M325" s="545"/>
    </row>
    <row r="326" spans="6:13" s="495" customFormat="1" x14ac:dyDescent="0.2">
      <c r="F326" s="544"/>
      <c r="G326" s="544"/>
      <c r="H326" s="544"/>
      <c r="I326" s="544"/>
      <c r="J326" s="544"/>
      <c r="K326" s="544"/>
      <c r="L326" s="544"/>
      <c r="M326" s="545"/>
    </row>
    <row r="327" spans="6:13" s="495" customFormat="1" x14ac:dyDescent="0.2">
      <c r="F327" s="544"/>
      <c r="G327" s="544"/>
      <c r="H327" s="544"/>
      <c r="I327" s="544"/>
      <c r="J327" s="544"/>
      <c r="K327" s="544"/>
      <c r="L327" s="544"/>
      <c r="M327" s="545"/>
    </row>
    <row r="328" spans="6:13" s="495" customFormat="1" x14ac:dyDescent="0.2">
      <c r="F328" s="544"/>
      <c r="G328" s="544"/>
      <c r="H328" s="544"/>
      <c r="I328" s="544"/>
      <c r="J328" s="544"/>
      <c r="K328" s="544"/>
      <c r="L328" s="544"/>
      <c r="M328" s="545"/>
    </row>
    <row r="329" spans="6:13" s="495" customFormat="1" x14ac:dyDescent="0.2">
      <c r="F329" s="544"/>
      <c r="G329" s="544"/>
      <c r="H329" s="544"/>
      <c r="I329" s="544"/>
      <c r="J329" s="544"/>
      <c r="K329" s="544"/>
      <c r="L329" s="544"/>
      <c r="M329" s="545"/>
    </row>
    <row r="330" spans="6:13" s="495" customFormat="1" x14ac:dyDescent="0.2">
      <c r="F330" s="544"/>
      <c r="G330" s="544"/>
      <c r="H330" s="544"/>
      <c r="I330" s="544"/>
      <c r="J330" s="544"/>
      <c r="K330" s="544"/>
      <c r="L330" s="544"/>
      <c r="M330" s="545"/>
    </row>
    <row r="331" spans="6:13" s="495" customFormat="1" x14ac:dyDescent="0.2">
      <c r="F331" s="544"/>
      <c r="G331" s="544"/>
      <c r="H331" s="544"/>
      <c r="I331" s="544"/>
      <c r="J331" s="544"/>
      <c r="K331" s="544"/>
      <c r="L331" s="544"/>
      <c r="M331" s="545"/>
    </row>
    <row r="332" spans="6:13" s="495" customFormat="1" x14ac:dyDescent="0.2">
      <c r="F332" s="544"/>
      <c r="G332" s="544"/>
      <c r="H332" s="544"/>
      <c r="I332" s="544"/>
      <c r="J332" s="544"/>
      <c r="K332" s="544"/>
      <c r="L332" s="544"/>
      <c r="M332" s="545"/>
    </row>
    <row r="333" spans="6:13" s="495" customFormat="1" x14ac:dyDescent="0.2">
      <c r="F333" s="544"/>
      <c r="G333" s="544"/>
      <c r="H333" s="544"/>
      <c r="I333" s="544"/>
      <c r="J333" s="544"/>
      <c r="K333" s="544"/>
      <c r="L333" s="544"/>
      <c r="M333" s="545"/>
    </row>
    <row r="334" spans="6:13" s="495" customFormat="1" x14ac:dyDescent="0.2">
      <c r="F334" s="544"/>
      <c r="G334" s="544"/>
      <c r="H334" s="544"/>
      <c r="I334" s="544"/>
      <c r="J334" s="544"/>
      <c r="K334" s="544"/>
      <c r="L334" s="544"/>
      <c r="M334" s="545"/>
    </row>
    <row r="335" spans="6:13" s="495" customFormat="1" x14ac:dyDescent="0.2">
      <c r="F335" s="544"/>
      <c r="G335" s="544"/>
      <c r="H335" s="544"/>
      <c r="I335" s="544"/>
      <c r="J335" s="544"/>
      <c r="K335" s="544"/>
      <c r="L335" s="544"/>
      <c r="M335" s="545"/>
    </row>
    <row r="336" spans="6:13" s="495" customFormat="1" x14ac:dyDescent="0.2">
      <c r="F336" s="544"/>
      <c r="G336" s="544"/>
      <c r="H336" s="544"/>
      <c r="I336" s="544"/>
      <c r="J336" s="544"/>
      <c r="K336" s="544"/>
      <c r="L336" s="544"/>
      <c r="M336" s="545"/>
    </row>
    <row r="337" spans="6:13" s="495" customFormat="1" x14ac:dyDescent="0.2">
      <c r="F337" s="544"/>
      <c r="G337" s="544"/>
      <c r="H337" s="544"/>
      <c r="I337" s="544"/>
      <c r="J337" s="544"/>
      <c r="K337" s="544"/>
      <c r="L337" s="544"/>
      <c r="M337" s="545"/>
    </row>
    <row r="338" spans="6:13" s="495" customFormat="1" x14ac:dyDescent="0.2">
      <c r="F338" s="544"/>
      <c r="G338" s="544"/>
      <c r="H338" s="544"/>
      <c r="I338" s="544"/>
      <c r="J338" s="544"/>
      <c r="K338" s="544"/>
      <c r="L338" s="544"/>
      <c r="M338" s="545"/>
    </row>
    <row r="339" spans="6:13" s="495" customFormat="1" x14ac:dyDescent="0.2">
      <c r="F339" s="544"/>
      <c r="G339" s="544"/>
      <c r="H339" s="544"/>
      <c r="I339" s="544"/>
      <c r="J339" s="544"/>
      <c r="K339" s="544"/>
      <c r="L339" s="544"/>
      <c r="M339" s="545"/>
    </row>
    <row r="340" spans="6:13" s="495" customFormat="1" x14ac:dyDescent="0.2">
      <c r="F340" s="544"/>
      <c r="G340" s="544"/>
      <c r="H340" s="544"/>
      <c r="I340" s="544"/>
      <c r="J340" s="544"/>
      <c r="K340" s="544"/>
      <c r="L340" s="544"/>
      <c r="M340" s="545"/>
    </row>
    <row r="341" spans="6:13" s="495" customFormat="1" x14ac:dyDescent="0.2">
      <c r="F341" s="544"/>
      <c r="G341" s="544"/>
      <c r="H341" s="544"/>
      <c r="I341" s="544"/>
      <c r="J341" s="544"/>
      <c r="K341" s="544"/>
      <c r="L341" s="544"/>
      <c r="M341" s="545"/>
    </row>
    <row r="342" spans="6:13" s="495" customFormat="1" x14ac:dyDescent="0.2">
      <c r="F342" s="544"/>
      <c r="G342" s="544"/>
      <c r="H342" s="544"/>
      <c r="I342" s="544"/>
      <c r="J342" s="544"/>
      <c r="K342" s="544"/>
      <c r="L342" s="544"/>
      <c r="M342" s="545"/>
    </row>
    <row r="343" spans="6:13" s="495" customFormat="1" x14ac:dyDescent="0.2">
      <c r="F343" s="544"/>
      <c r="G343" s="544"/>
      <c r="H343" s="544"/>
      <c r="I343" s="544"/>
      <c r="J343" s="544"/>
      <c r="K343" s="544"/>
      <c r="L343" s="544"/>
      <c r="M343" s="545"/>
    </row>
    <row r="344" spans="6:13" s="495" customFormat="1" x14ac:dyDescent="0.2">
      <c r="F344" s="544"/>
      <c r="G344" s="544"/>
      <c r="H344" s="544"/>
      <c r="I344" s="544"/>
      <c r="J344" s="544"/>
      <c r="K344" s="544"/>
      <c r="L344" s="544"/>
      <c r="M344" s="545"/>
    </row>
    <row r="345" spans="6:13" s="495" customFormat="1" x14ac:dyDescent="0.2">
      <c r="F345" s="544"/>
      <c r="G345" s="544"/>
      <c r="H345" s="544"/>
      <c r="I345" s="544"/>
      <c r="J345" s="544"/>
      <c r="K345" s="544"/>
      <c r="L345" s="544"/>
      <c r="M345" s="545"/>
    </row>
    <row r="346" spans="6:13" s="495" customFormat="1" x14ac:dyDescent="0.2">
      <c r="F346" s="544"/>
      <c r="G346" s="544"/>
      <c r="H346" s="544"/>
      <c r="I346" s="544"/>
      <c r="J346" s="544"/>
      <c r="K346" s="544"/>
      <c r="L346" s="544"/>
      <c r="M346" s="545"/>
    </row>
    <row r="347" spans="6:13" s="495" customFormat="1" x14ac:dyDescent="0.2">
      <c r="F347" s="544"/>
      <c r="G347" s="544"/>
      <c r="H347" s="544"/>
      <c r="I347" s="544"/>
      <c r="J347" s="544"/>
      <c r="K347" s="544"/>
      <c r="L347" s="544"/>
      <c r="M347" s="545"/>
    </row>
    <row r="348" spans="6:13" s="495" customFormat="1" x14ac:dyDescent="0.2">
      <c r="F348" s="544"/>
      <c r="G348" s="544"/>
      <c r="H348" s="544"/>
      <c r="I348" s="544"/>
      <c r="J348" s="544"/>
      <c r="K348" s="544"/>
      <c r="L348" s="544"/>
      <c r="M348" s="545"/>
    </row>
    <row r="349" spans="6:13" s="495" customFormat="1" x14ac:dyDescent="0.2">
      <c r="F349" s="544"/>
      <c r="G349" s="544"/>
      <c r="H349" s="544"/>
      <c r="I349" s="544"/>
      <c r="J349" s="544"/>
      <c r="K349" s="544"/>
      <c r="L349" s="544"/>
      <c r="M349" s="545"/>
    </row>
    <row r="350" spans="6:13" s="495" customFormat="1" x14ac:dyDescent="0.2">
      <c r="F350" s="544"/>
      <c r="G350" s="544"/>
      <c r="H350" s="544"/>
      <c r="I350" s="544"/>
      <c r="J350" s="544"/>
      <c r="K350" s="544"/>
      <c r="L350" s="544"/>
      <c r="M350" s="545"/>
    </row>
    <row r="351" spans="6:13" s="495" customFormat="1" x14ac:dyDescent="0.2">
      <c r="F351" s="544"/>
      <c r="G351" s="544"/>
      <c r="H351" s="544"/>
      <c r="I351" s="544"/>
      <c r="J351" s="544"/>
      <c r="K351" s="544"/>
      <c r="L351" s="544"/>
      <c r="M351" s="545"/>
    </row>
    <row r="352" spans="6:13" s="495" customFormat="1" x14ac:dyDescent="0.2">
      <c r="F352" s="544"/>
      <c r="G352" s="544"/>
      <c r="H352" s="544"/>
      <c r="I352" s="544"/>
      <c r="J352" s="544"/>
      <c r="K352" s="544"/>
      <c r="L352" s="544"/>
      <c r="M352" s="545"/>
    </row>
    <row r="353" spans="6:13" s="495" customFormat="1" x14ac:dyDescent="0.2">
      <c r="F353" s="544"/>
      <c r="G353" s="544"/>
      <c r="H353" s="544"/>
      <c r="I353" s="544"/>
      <c r="J353" s="544"/>
      <c r="K353" s="544"/>
      <c r="L353" s="544"/>
      <c r="M353" s="545"/>
    </row>
    <row r="354" spans="6:13" s="495" customFormat="1" x14ac:dyDescent="0.2">
      <c r="F354" s="544"/>
      <c r="G354" s="544"/>
      <c r="H354" s="544"/>
      <c r="I354" s="544"/>
      <c r="J354" s="544"/>
      <c r="K354" s="544"/>
      <c r="L354" s="544"/>
      <c r="M354" s="545"/>
    </row>
    <row r="355" spans="6:13" s="495" customFormat="1" x14ac:dyDescent="0.2">
      <c r="F355" s="544"/>
      <c r="G355" s="544"/>
      <c r="H355" s="544"/>
      <c r="I355" s="544"/>
      <c r="J355" s="544"/>
      <c r="K355" s="544"/>
      <c r="L355" s="544"/>
      <c r="M355" s="545"/>
    </row>
    <row r="356" spans="6:13" s="495" customFormat="1" x14ac:dyDescent="0.2">
      <c r="F356" s="544"/>
      <c r="G356" s="544"/>
      <c r="H356" s="544"/>
      <c r="I356" s="544"/>
      <c r="J356" s="544"/>
      <c r="K356" s="544"/>
      <c r="L356" s="544"/>
      <c r="M356" s="545"/>
    </row>
    <row r="357" spans="6:13" s="495" customFormat="1" x14ac:dyDescent="0.2">
      <c r="F357" s="544"/>
      <c r="G357" s="544"/>
      <c r="H357" s="544"/>
      <c r="I357" s="544"/>
      <c r="J357" s="544"/>
      <c r="K357" s="544"/>
      <c r="L357" s="544"/>
      <c r="M357" s="545"/>
    </row>
    <row r="358" spans="6:13" s="495" customFormat="1" x14ac:dyDescent="0.2">
      <c r="F358" s="544"/>
      <c r="G358" s="544"/>
      <c r="H358" s="544"/>
      <c r="I358" s="544"/>
      <c r="J358" s="544"/>
      <c r="K358" s="544"/>
      <c r="L358" s="544"/>
      <c r="M358" s="545"/>
    </row>
    <row r="359" spans="6:13" s="495" customFormat="1" x14ac:dyDescent="0.2">
      <c r="F359" s="544"/>
      <c r="G359" s="544"/>
      <c r="H359" s="544"/>
      <c r="I359" s="544"/>
      <c r="J359" s="544"/>
      <c r="K359" s="544"/>
      <c r="L359" s="544"/>
      <c r="M359" s="545"/>
    </row>
    <row r="360" spans="6:13" s="495" customFormat="1" x14ac:dyDescent="0.2">
      <c r="F360" s="544"/>
      <c r="G360" s="544"/>
      <c r="H360" s="544"/>
      <c r="I360" s="544"/>
      <c r="J360" s="544"/>
      <c r="K360" s="544"/>
      <c r="L360" s="544"/>
      <c r="M360" s="545"/>
    </row>
    <row r="361" spans="6:13" s="495" customFormat="1" x14ac:dyDescent="0.2">
      <c r="F361" s="544"/>
      <c r="G361" s="544"/>
      <c r="H361" s="544"/>
      <c r="I361" s="544"/>
      <c r="J361" s="544"/>
      <c r="K361" s="544"/>
      <c r="L361" s="544"/>
      <c r="M361" s="545"/>
    </row>
    <row r="362" spans="6:13" s="495" customFormat="1" x14ac:dyDescent="0.2">
      <c r="F362" s="544"/>
      <c r="G362" s="544"/>
      <c r="H362" s="544"/>
      <c r="I362" s="544"/>
      <c r="J362" s="544"/>
      <c r="K362" s="544"/>
      <c r="L362" s="544"/>
      <c r="M362" s="545"/>
    </row>
    <row r="363" spans="6:13" s="495" customFormat="1" x14ac:dyDescent="0.2">
      <c r="F363" s="544"/>
      <c r="G363" s="544"/>
      <c r="H363" s="544"/>
      <c r="I363" s="544"/>
      <c r="J363" s="544"/>
      <c r="K363" s="544"/>
      <c r="L363" s="544"/>
      <c r="M363" s="545"/>
    </row>
    <row r="364" spans="6:13" s="495" customFormat="1" x14ac:dyDescent="0.2">
      <c r="F364" s="544"/>
      <c r="G364" s="544"/>
      <c r="H364" s="544"/>
      <c r="I364" s="544"/>
      <c r="J364" s="544"/>
      <c r="K364" s="544"/>
      <c r="L364" s="544"/>
      <c r="M364" s="545"/>
    </row>
    <row r="365" spans="6:13" s="495" customFormat="1" x14ac:dyDescent="0.2">
      <c r="F365" s="544"/>
      <c r="G365" s="544"/>
      <c r="H365" s="544"/>
      <c r="I365" s="544"/>
      <c r="J365" s="544"/>
      <c r="K365" s="544"/>
      <c r="L365" s="544"/>
      <c r="M365" s="545"/>
    </row>
    <row r="366" spans="6:13" s="495" customFormat="1" x14ac:dyDescent="0.2">
      <c r="F366" s="544"/>
      <c r="G366" s="544"/>
      <c r="H366" s="544"/>
      <c r="I366" s="544"/>
      <c r="J366" s="544"/>
      <c r="K366" s="544"/>
      <c r="L366" s="544"/>
      <c r="M366" s="545"/>
    </row>
    <row r="367" spans="6:13" s="495" customFormat="1" x14ac:dyDescent="0.2">
      <c r="F367" s="544"/>
      <c r="G367" s="544"/>
      <c r="H367" s="544"/>
      <c r="I367" s="544"/>
      <c r="J367" s="544"/>
      <c r="K367" s="544"/>
      <c r="L367" s="544"/>
      <c r="M367" s="545"/>
    </row>
    <row r="368" spans="6:13" s="495" customFormat="1" x14ac:dyDescent="0.2">
      <c r="F368" s="544"/>
      <c r="G368" s="544"/>
      <c r="H368" s="544"/>
      <c r="I368" s="544"/>
      <c r="J368" s="544"/>
      <c r="K368" s="544"/>
      <c r="L368" s="544"/>
      <c r="M368" s="545"/>
    </row>
    <row r="369" spans="6:13" s="495" customFormat="1" x14ac:dyDescent="0.2">
      <c r="F369" s="544"/>
      <c r="G369" s="544"/>
      <c r="H369" s="544"/>
      <c r="I369" s="544"/>
      <c r="J369" s="544"/>
      <c r="K369" s="544"/>
      <c r="L369" s="544"/>
      <c r="M369" s="545"/>
    </row>
    <row r="370" spans="6:13" s="495" customFormat="1" x14ac:dyDescent="0.2">
      <c r="F370" s="544"/>
      <c r="G370" s="544"/>
      <c r="H370" s="544"/>
      <c r="I370" s="544"/>
      <c r="J370" s="544"/>
      <c r="K370" s="544"/>
      <c r="L370" s="544"/>
      <c r="M370" s="545"/>
    </row>
    <row r="371" spans="6:13" s="495" customFormat="1" x14ac:dyDescent="0.2">
      <c r="F371" s="544"/>
      <c r="G371" s="544"/>
      <c r="H371" s="544"/>
      <c r="I371" s="544"/>
      <c r="J371" s="544"/>
      <c r="K371" s="544"/>
      <c r="L371" s="544"/>
      <c r="M371" s="545"/>
    </row>
    <row r="372" spans="6:13" s="495" customFormat="1" x14ac:dyDescent="0.2">
      <c r="F372" s="544"/>
      <c r="G372" s="544"/>
      <c r="H372" s="544"/>
      <c r="I372" s="544"/>
      <c r="J372" s="544"/>
      <c r="K372" s="544"/>
      <c r="L372" s="544"/>
      <c r="M372" s="545"/>
    </row>
    <row r="373" spans="6:13" s="495" customFormat="1" x14ac:dyDescent="0.2">
      <c r="F373" s="544"/>
      <c r="G373" s="544"/>
      <c r="H373" s="544"/>
      <c r="I373" s="544"/>
      <c r="J373" s="544"/>
      <c r="K373" s="544"/>
      <c r="L373" s="544"/>
      <c r="M373" s="545"/>
    </row>
    <row r="374" spans="6:13" s="495" customFormat="1" x14ac:dyDescent="0.2">
      <c r="F374" s="544"/>
      <c r="G374" s="544"/>
      <c r="H374" s="544"/>
      <c r="I374" s="544"/>
      <c r="J374" s="544"/>
      <c r="K374" s="544"/>
      <c r="L374" s="544"/>
      <c r="M374" s="545"/>
    </row>
    <row r="375" spans="6:13" s="495" customFormat="1" x14ac:dyDescent="0.2">
      <c r="F375" s="544"/>
      <c r="G375" s="544"/>
      <c r="H375" s="544"/>
      <c r="I375" s="544"/>
      <c r="J375" s="544"/>
      <c r="K375" s="544"/>
      <c r="L375" s="544"/>
      <c r="M375" s="545"/>
    </row>
    <row r="376" spans="6:13" s="495" customFormat="1" x14ac:dyDescent="0.2">
      <c r="F376" s="544"/>
      <c r="G376" s="544"/>
      <c r="H376" s="544"/>
      <c r="I376" s="544"/>
      <c r="J376" s="544"/>
      <c r="K376" s="544"/>
      <c r="L376" s="544"/>
      <c r="M376" s="545"/>
    </row>
    <row r="377" spans="6:13" s="495" customFormat="1" x14ac:dyDescent="0.2">
      <c r="F377" s="544"/>
      <c r="G377" s="544"/>
      <c r="H377" s="544"/>
      <c r="I377" s="544"/>
      <c r="J377" s="544"/>
      <c r="K377" s="544"/>
      <c r="L377" s="544"/>
      <c r="M377" s="545"/>
    </row>
    <row r="378" spans="6:13" s="495" customFormat="1" x14ac:dyDescent="0.2">
      <c r="F378" s="544"/>
      <c r="G378" s="544"/>
      <c r="H378" s="544"/>
      <c r="I378" s="544"/>
      <c r="J378" s="544"/>
      <c r="K378" s="544"/>
      <c r="L378" s="544"/>
      <c r="M378" s="545"/>
    </row>
    <row r="379" spans="6:13" s="495" customFormat="1" x14ac:dyDescent="0.2">
      <c r="F379" s="544"/>
      <c r="G379" s="544"/>
      <c r="H379" s="544"/>
      <c r="I379" s="544"/>
      <c r="J379" s="544"/>
      <c r="K379" s="544"/>
      <c r="L379" s="544"/>
      <c r="M379" s="545"/>
    </row>
    <row r="380" spans="6:13" s="495" customFormat="1" x14ac:dyDescent="0.2">
      <c r="F380" s="544"/>
      <c r="G380" s="544"/>
      <c r="H380" s="544"/>
      <c r="I380" s="544"/>
      <c r="J380" s="544"/>
      <c r="K380" s="544"/>
      <c r="L380" s="544"/>
      <c r="M380" s="545"/>
    </row>
    <row r="381" spans="6:13" s="495" customFormat="1" x14ac:dyDescent="0.2">
      <c r="F381" s="544"/>
      <c r="G381" s="544"/>
      <c r="H381" s="544"/>
      <c r="I381" s="544"/>
      <c r="J381" s="544"/>
      <c r="K381" s="544"/>
      <c r="L381" s="544"/>
      <c r="M381" s="545"/>
    </row>
    <row r="382" spans="6:13" s="495" customFormat="1" x14ac:dyDescent="0.2">
      <c r="F382" s="544"/>
      <c r="G382" s="544"/>
      <c r="H382" s="544"/>
      <c r="I382" s="544"/>
      <c r="J382" s="544"/>
      <c r="K382" s="544"/>
      <c r="L382" s="544"/>
      <c r="M382" s="545"/>
    </row>
    <row r="383" spans="6:13" s="495" customFormat="1" x14ac:dyDescent="0.2">
      <c r="F383" s="544"/>
      <c r="G383" s="544"/>
      <c r="H383" s="544"/>
      <c r="I383" s="544"/>
      <c r="J383" s="544"/>
      <c r="K383" s="544"/>
      <c r="L383" s="544"/>
      <c r="M383" s="545"/>
    </row>
    <row r="384" spans="6:13" s="495" customFormat="1" x14ac:dyDescent="0.2">
      <c r="F384" s="544"/>
      <c r="G384" s="544"/>
      <c r="H384" s="544"/>
      <c r="I384" s="544"/>
      <c r="J384" s="544"/>
      <c r="K384" s="544"/>
      <c r="L384" s="544"/>
      <c r="M384" s="545"/>
    </row>
    <row r="385" spans="6:13" s="495" customFormat="1" x14ac:dyDescent="0.2">
      <c r="F385" s="544"/>
      <c r="G385" s="544"/>
      <c r="H385" s="544"/>
      <c r="I385" s="544"/>
      <c r="J385" s="544"/>
      <c r="K385" s="544"/>
      <c r="L385" s="544"/>
      <c r="M385" s="545"/>
    </row>
    <row r="386" spans="6:13" s="495" customFormat="1" x14ac:dyDescent="0.2">
      <c r="F386" s="544"/>
      <c r="G386" s="544"/>
      <c r="H386" s="544"/>
      <c r="I386" s="544"/>
      <c r="J386" s="544"/>
      <c r="K386" s="544"/>
      <c r="L386" s="544"/>
      <c r="M386" s="545"/>
    </row>
    <row r="387" spans="6:13" s="495" customFormat="1" x14ac:dyDescent="0.2">
      <c r="F387" s="544"/>
      <c r="G387" s="544"/>
      <c r="H387" s="544"/>
      <c r="I387" s="544"/>
      <c r="J387" s="544"/>
      <c r="K387" s="544"/>
      <c r="L387" s="544"/>
      <c r="M387" s="545"/>
    </row>
    <row r="388" spans="6:13" s="495" customFormat="1" x14ac:dyDescent="0.2">
      <c r="F388" s="544"/>
      <c r="G388" s="544"/>
      <c r="H388" s="544"/>
      <c r="I388" s="544"/>
      <c r="J388" s="544"/>
      <c r="K388" s="544"/>
      <c r="L388" s="544"/>
      <c r="M388" s="545"/>
    </row>
    <row r="389" spans="6:13" s="495" customFormat="1" x14ac:dyDescent="0.2">
      <c r="F389" s="544"/>
      <c r="G389" s="544"/>
      <c r="H389" s="544"/>
      <c r="I389" s="544"/>
      <c r="J389" s="544"/>
      <c r="K389" s="544"/>
      <c r="L389" s="544"/>
      <c r="M389" s="545"/>
    </row>
    <row r="390" spans="6:13" s="495" customFormat="1" x14ac:dyDescent="0.2">
      <c r="F390" s="544"/>
      <c r="G390" s="544"/>
      <c r="H390" s="544"/>
      <c r="I390" s="544"/>
      <c r="J390" s="544"/>
      <c r="K390" s="544"/>
      <c r="L390" s="544"/>
      <c r="M390" s="545"/>
    </row>
    <row r="391" spans="6:13" s="495" customFormat="1" x14ac:dyDescent="0.2">
      <c r="F391" s="544"/>
      <c r="G391" s="544"/>
      <c r="H391" s="544"/>
      <c r="I391" s="544"/>
      <c r="J391" s="544"/>
      <c r="K391" s="544"/>
      <c r="L391" s="544"/>
      <c r="M391" s="545"/>
    </row>
    <row r="392" spans="6:13" s="495" customFormat="1" x14ac:dyDescent="0.2">
      <c r="F392" s="544"/>
      <c r="G392" s="544"/>
      <c r="H392" s="544"/>
      <c r="I392" s="544"/>
      <c r="J392" s="544"/>
      <c r="K392" s="544"/>
      <c r="L392" s="544"/>
      <c r="M392" s="545"/>
    </row>
    <row r="393" spans="6:13" s="495" customFormat="1" x14ac:dyDescent="0.2">
      <c r="F393" s="544"/>
      <c r="G393" s="544"/>
      <c r="H393" s="544"/>
      <c r="I393" s="544"/>
      <c r="J393" s="544"/>
      <c r="K393" s="544"/>
      <c r="L393" s="544"/>
      <c r="M393" s="545"/>
    </row>
    <row r="394" spans="6:13" s="495" customFormat="1" x14ac:dyDescent="0.2">
      <c r="F394" s="544"/>
      <c r="G394" s="544"/>
      <c r="H394" s="544"/>
      <c r="I394" s="544"/>
      <c r="J394" s="544"/>
      <c r="K394" s="544"/>
      <c r="L394" s="544"/>
      <c r="M394" s="545"/>
    </row>
    <row r="395" spans="6:13" s="495" customFormat="1" x14ac:dyDescent="0.2">
      <c r="F395" s="544"/>
      <c r="G395" s="544"/>
      <c r="H395" s="544"/>
      <c r="I395" s="544"/>
      <c r="J395" s="544"/>
      <c r="K395" s="544"/>
      <c r="L395" s="544"/>
      <c r="M395" s="545"/>
    </row>
    <row r="396" spans="6:13" s="495" customFormat="1" x14ac:dyDescent="0.2">
      <c r="F396" s="544"/>
      <c r="G396" s="544"/>
      <c r="H396" s="544"/>
      <c r="I396" s="544"/>
      <c r="J396" s="544"/>
      <c r="K396" s="544"/>
      <c r="L396" s="544"/>
      <c r="M396" s="545"/>
    </row>
    <row r="397" spans="6:13" s="495" customFormat="1" x14ac:dyDescent="0.2">
      <c r="F397" s="544"/>
      <c r="G397" s="544"/>
      <c r="H397" s="544"/>
      <c r="I397" s="544"/>
      <c r="J397" s="544"/>
      <c r="K397" s="544"/>
      <c r="L397" s="544"/>
      <c r="M397" s="545"/>
    </row>
    <row r="398" spans="6:13" s="495" customFormat="1" x14ac:dyDescent="0.2">
      <c r="F398" s="544"/>
      <c r="G398" s="544"/>
      <c r="H398" s="544"/>
      <c r="I398" s="544"/>
      <c r="J398" s="544"/>
      <c r="K398" s="544"/>
      <c r="L398" s="544"/>
      <c r="M398" s="545"/>
    </row>
    <row r="399" spans="6:13" s="495" customFormat="1" x14ac:dyDescent="0.2">
      <c r="F399" s="544"/>
      <c r="G399" s="544"/>
      <c r="H399" s="544"/>
      <c r="I399" s="544"/>
      <c r="J399" s="544"/>
      <c r="K399" s="544"/>
      <c r="L399" s="544"/>
      <c r="M399" s="545"/>
    </row>
    <row r="400" spans="6:13" s="495" customFormat="1" x14ac:dyDescent="0.2">
      <c r="F400" s="544"/>
      <c r="G400" s="544"/>
      <c r="H400" s="544"/>
      <c r="I400" s="544"/>
      <c r="J400" s="544"/>
      <c r="K400" s="544"/>
      <c r="L400" s="544"/>
      <c r="M400" s="545"/>
    </row>
    <row r="401" spans="6:13" s="495" customFormat="1" x14ac:dyDescent="0.2">
      <c r="F401" s="544"/>
      <c r="G401" s="544"/>
      <c r="H401" s="544"/>
      <c r="I401" s="544"/>
      <c r="J401" s="544"/>
      <c r="K401" s="544"/>
      <c r="L401" s="544"/>
      <c r="M401" s="545"/>
    </row>
    <row r="402" spans="6:13" s="495" customFormat="1" x14ac:dyDescent="0.2">
      <c r="F402" s="544"/>
      <c r="G402" s="544"/>
      <c r="H402" s="544"/>
      <c r="I402" s="544"/>
      <c r="J402" s="544"/>
      <c r="K402" s="544"/>
      <c r="L402" s="544"/>
      <c r="M402" s="545"/>
    </row>
    <row r="403" spans="6:13" s="495" customFormat="1" x14ac:dyDescent="0.2">
      <c r="F403" s="544"/>
      <c r="G403" s="544"/>
      <c r="H403" s="544"/>
      <c r="I403" s="544"/>
      <c r="J403" s="544"/>
      <c r="K403" s="544"/>
      <c r="L403" s="544"/>
      <c r="M403" s="545"/>
    </row>
    <row r="404" spans="6:13" s="495" customFormat="1" x14ac:dyDescent="0.2">
      <c r="F404" s="544"/>
      <c r="G404" s="544"/>
      <c r="H404" s="544"/>
      <c r="I404" s="544"/>
      <c r="J404" s="544"/>
      <c r="K404" s="544"/>
      <c r="L404" s="544"/>
      <c r="M404" s="545"/>
    </row>
    <row r="405" spans="6:13" s="495" customFormat="1" x14ac:dyDescent="0.2">
      <c r="F405" s="544"/>
      <c r="G405" s="544"/>
      <c r="H405" s="544"/>
      <c r="I405" s="544"/>
      <c r="J405" s="544"/>
      <c r="K405" s="544"/>
      <c r="L405" s="544"/>
      <c r="M405" s="545"/>
    </row>
    <row r="406" spans="6:13" s="495" customFormat="1" x14ac:dyDescent="0.2">
      <c r="F406" s="544"/>
      <c r="G406" s="544"/>
      <c r="H406" s="544"/>
      <c r="I406" s="544"/>
      <c r="J406" s="544"/>
      <c r="K406" s="544"/>
      <c r="L406" s="544"/>
      <c r="M406" s="545"/>
    </row>
    <row r="407" spans="6:13" s="495" customFormat="1" x14ac:dyDescent="0.2">
      <c r="F407" s="544"/>
      <c r="G407" s="544"/>
      <c r="H407" s="544"/>
      <c r="I407" s="544"/>
      <c r="J407" s="544"/>
      <c r="K407" s="544"/>
      <c r="L407" s="544"/>
      <c r="M407" s="545"/>
    </row>
    <row r="408" spans="6:13" s="495" customFormat="1" x14ac:dyDescent="0.2">
      <c r="F408" s="544"/>
      <c r="G408" s="544"/>
      <c r="H408" s="544"/>
      <c r="I408" s="544"/>
      <c r="J408" s="544"/>
      <c r="K408" s="544"/>
      <c r="L408" s="544"/>
      <c r="M408" s="545"/>
    </row>
    <row r="409" spans="6:13" s="495" customFormat="1" x14ac:dyDescent="0.2">
      <c r="F409" s="544"/>
      <c r="G409" s="544"/>
      <c r="H409" s="544"/>
      <c r="I409" s="544"/>
      <c r="J409" s="544"/>
      <c r="K409" s="544"/>
      <c r="L409" s="544"/>
      <c r="M409" s="545"/>
    </row>
    <row r="410" spans="6:13" s="495" customFormat="1" x14ac:dyDescent="0.2">
      <c r="F410" s="544"/>
      <c r="G410" s="544"/>
      <c r="H410" s="544"/>
      <c r="I410" s="544"/>
      <c r="J410" s="544"/>
      <c r="K410" s="544"/>
      <c r="L410" s="544"/>
      <c r="M410" s="545"/>
    </row>
    <row r="411" spans="6:13" s="495" customFormat="1" x14ac:dyDescent="0.2">
      <c r="F411" s="544"/>
      <c r="G411" s="544"/>
      <c r="H411" s="544"/>
      <c r="I411" s="544"/>
      <c r="J411" s="544"/>
      <c r="K411" s="544"/>
      <c r="L411" s="544"/>
      <c r="M411" s="545"/>
    </row>
    <row r="412" spans="6:13" s="495" customFormat="1" x14ac:dyDescent="0.2">
      <c r="F412" s="544"/>
      <c r="G412" s="544"/>
      <c r="H412" s="544"/>
      <c r="I412" s="544"/>
      <c r="J412" s="544"/>
      <c r="K412" s="544"/>
      <c r="L412" s="544"/>
      <c r="M412" s="545"/>
    </row>
    <row r="413" spans="6:13" s="495" customFormat="1" x14ac:dyDescent="0.2">
      <c r="F413" s="544"/>
      <c r="G413" s="544"/>
      <c r="H413" s="544"/>
      <c r="I413" s="544"/>
      <c r="J413" s="544"/>
      <c r="K413" s="544"/>
      <c r="L413" s="544"/>
      <c r="M413" s="545"/>
    </row>
    <row r="414" spans="6:13" s="495" customFormat="1" x14ac:dyDescent="0.2">
      <c r="F414" s="544"/>
      <c r="G414" s="544"/>
      <c r="H414" s="544"/>
      <c r="I414" s="544"/>
      <c r="J414" s="544"/>
      <c r="K414" s="544"/>
      <c r="L414" s="544"/>
      <c r="M414" s="545"/>
    </row>
    <row r="415" spans="6:13" s="495" customFormat="1" x14ac:dyDescent="0.2">
      <c r="F415" s="544"/>
      <c r="G415" s="544"/>
      <c r="H415" s="544"/>
      <c r="I415" s="544"/>
      <c r="J415" s="544"/>
      <c r="K415" s="544"/>
      <c r="L415" s="544"/>
      <c r="M415" s="545"/>
    </row>
    <row r="416" spans="6:13" s="495" customFormat="1" x14ac:dyDescent="0.2">
      <c r="F416" s="544"/>
      <c r="G416" s="544"/>
      <c r="H416" s="544"/>
      <c r="I416" s="544"/>
      <c r="J416" s="544"/>
      <c r="K416" s="544"/>
      <c r="L416" s="544"/>
      <c r="M416" s="545"/>
    </row>
    <row r="417" spans="6:13" s="495" customFormat="1" x14ac:dyDescent="0.2">
      <c r="F417" s="544"/>
      <c r="G417" s="544"/>
      <c r="H417" s="544"/>
      <c r="I417" s="544"/>
      <c r="J417" s="544"/>
      <c r="K417" s="544"/>
      <c r="L417" s="544"/>
      <c r="M417" s="545"/>
    </row>
    <row r="418" spans="6:13" s="495" customFormat="1" x14ac:dyDescent="0.2">
      <c r="F418" s="544"/>
      <c r="G418" s="544"/>
      <c r="H418" s="544"/>
      <c r="I418" s="544"/>
      <c r="J418" s="544"/>
      <c r="K418" s="544"/>
      <c r="L418" s="544"/>
      <c r="M418" s="545"/>
    </row>
    <row r="419" spans="6:13" s="495" customFormat="1" x14ac:dyDescent="0.2">
      <c r="F419" s="544"/>
      <c r="G419" s="544"/>
      <c r="H419" s="544"/>
      <c r="I419" s="544"/>
      <c r="J419" s="544"/>
      <c r="K419" s="544"/>
      <c r="L419" s="544"/>
      <c r="M419" s="545"/>
    </row>
    <row r="420" spans="6:13" s="495" customFormat="1" x14ac:dyDescent="0.2">
      <c r="F420" s="544"/>
      <c r="G420" s="544"/>
      <c r="H420" s="544"/>
      <c r="I420" s="544"/>
      <c r="J420" s="544"/>
      <c r="K420" s="544"/>
      <c r="L420" s="544"/>
      <c r="M420" s="545"/>
    </row>
    <row r="421" spans="6:13" s="495" customFormat="1" x14ac:dyDescent="0.2">
      <c r="F421" s="544"/>
      <c r="G421" s="544"/>
      <c r="H421" s="544"/>
      <c r="I421" s="544"/>
      <c r="J421" s="544"/>
      <c r="K421" s="544"/>
      <c r="L421" s="544"/>
      <c r="M421" s="545"/>
    </row>
    <row r="422" spans="6:13" s="495" customFormat="1" x14ac:dyDescent="0.2">
      <c r="F422" s="544"/>
      <c r="G422" s="544"/>
      <c r="H422" s="544"/>
      <c r="I422" s="544"/>
      <c r="J422" s="544"/>
      <c r="K422" s="544"/>
      <c r="L422" s="544"/>
      <c r="M422" s="545"/>
    </row>
    <row r="423" spans="6:13" s="495" customFormat="1" x14ac:dyDescent="0.2">
      <c r="F423" s="544"/>
      <c r="G423" s="544"/>
      <c r="H423" s="544"/>
      <c r="I423" s="544"/>
      <c r="J423" s="544"/>
      <c r="K423" s="544"/>
      <c r="L423" s="544"/>
      <c r="M423" s="545"/>
    </row>
    <row r="424" spans="6:13" s="495" customFormat="1" x14ac:dyDescent="0.2">
      <c r="F424" s="544"/>
      <c r="G424" s="544"/>
      <c r="H424" s="544"/>
      <c r="I424" s="544"/>
      <c r="J424" s="544"/>
      <c r="K424" s="544"/>
      <c r="L424" s="544"/>
      <c r="M424" s="545"/>
    </row>
    <row r="425" spans="6:13" s="495" customFormat="1" x14ac:dyDescent="0.2">
      <c r="F425" s="544"/>
      <c r="G425" s="544"/>
      <c r="H425" s="544"/>
      <c r="I425" s="544"/>
      <c r="J425" s="544"/>
      <c r="K425" s="544"/>
      <c r="L425" s="544"/>
      <c r="M425" s="545"/>
    </row>
    <row r="426" spans="6:13" s="495" customFormat="1" x14ac:dyDescent="0.2">
      <c r="F426" s="544"/>
      <c r="G426" s="544"/>
      <c r="H426" s="544"/>
      <c r="I426" s="544"/>
      <c r="J426" s="544"/>
      <c r="K426" s="544"/>
      <c r="L426" s="544"/>
      <c r="M426" s="545"/>
    </row>
    <row r="427" spans="6:13" s="495" customFormat="1" x14ac:dyDescent="0.2">
      <c r="F427" s="544"/>
      <c r="G427" s="544"/>
      <c r="H427" s="544"/>
      <c r="I427" s="544"/>
      <c r="J427" s="544"/>
      <c r="K427" s="544"/>
      <c r="L427" s="544"/>
      <c r="M427" s="545"/>
    </row>
    <row r="428" spans="6:13" s="495" customFormat="1" x14ac:dyDescent="0.2">
      <c r="F428" s="544"/>
      <c r="G428" s="544"/>
      <c r="H428" s="544"/>
      <c r="I428" s="544"/>
      <c r="J428" s="544"/>
      <c r="K428" s="544"/>
      <c r="L428" s="544"/>
      <c r="M428" s="545"/>
    </row>
    <row r="429" spans="6:13" s="495" customFormat="1" x14ac:dyDescent="0.2">
      <c r="F429" s="544"/>
      <c r="G429" s="544"/>
      <c r="H429" s="544"/>
      <c r="I429" s="544"/>
      <c r="J429" s="544"/>
      <c r="K429" s="544"/>
      <c r="L429" s="544"/>
      <c r="M429" s="545"/>
    </row>
    <row r="430" spans="6:13" s="495" customFormat="1" x14ac:dyDescent="0.2">
      <c r="F430" s="544"/>
      <c r="G430" s="544"/>
      <c r="H430" s="544"/>
      <c r="I430" s="544"/>
      <c r="J430" s="544"/>
      <c r="K430" s="544"/>
      <c r="L430" s="544"/>
      <c r="M430" s="545"/>
    </row>
    <row r="431" spans="6:13" s="495" customFormat="1" x14ac:dyDescent="0.2">
      <c r="F431" s="544"/>
      <c r="G431" s="544"/>
      <c r="H431" s="544"/>
      <c r="I431" s="544"/>
      <c r="J431" s="544"/>
      <c r="K431" s="544"/>
      <c r="L431" s="544"/>
      <c r="M431" s="545"/>
    </row>
    <row r="432" spans="6:13" s="495" customFormat="1" x14ac:dyDescent="0.2">
      <c r="F432" s="544"/>
      <c r="G432" s="544"/>
      <c r="H432" s="544"/>
      <c r="I432" s="544"/>
      <c r="J432" s="544"/>
      <c r="K432" s="544"/>
      <c r="L432" s="544"/>
      <c r="M432" s="545"/>
    </row>
    <row r="433" spans="6:13" s="495" customFormat="1" x14ac:dyDescent="0.2">
      <c r="F433" s="544"/>
      <c r="G433" s="544"/>
      <c r="H433" s="544"/>
      <c r="I433" s="544"/>
      <c r="J433" s="544"/>
      <c r="K433" s="544"/>
      <c r="L433" s="544"/>
      <c r="M433" s="545"/>
    </row>
    <row r="434" spans="6:13" s="495" customFormat="1" x14ac:dyDescent="0.2">
      <c r="F434" s="544"/>
      <c r="G434" s="544"/>
      <c r="H434" s="544"/>
      <c r="I434" s="544"/>
      <c r="J434" s="544"/>
      <c r="K434" s="544"/>
      <c r="L434" s="544"/>
      <c r="M434" s="545"/>
    </row>
    <row r="435" spans="6:13" s="495" customFormat="1" x14ac:dyDescent="0.2">
      <c r="F435" s="544"/>
      <c r="G435" s="544"/>
      <c r="H435" s="544"/>
      <c r="I435" s="544"/>
      <c r="J435" s="544"/>
      <c r="K435" s="544"/>
      <c r="L435" s="544"/>
      <c r="M435" s="545"/>
    </row>
    <row r="436" spans="6:13" s="495" customFormat="1" x14ac:dyDescent="0.2">
      <c r="F436" s="544"/>
      <c r="G436" s="544"/>
      <c r="H436" s="544"/>
      <c r="I436" s="544"/>
      <c r="J436" s="544"/>
      <c r="K436" s="544"/>
      <c r="L436" s="544"/>
      <c r="M436" s="545"/>
    </row>
    <row r="437" spans="6:13" s="495" customFormat="1" x14ac:dyDescent="0.2">
      <c r="F437" s="544"/>
      <c r="G437" s="544"/>
      <c r="H437" s="544"/>
      <c r="I437" s="544"/>
      <c r="J437" s="544"/>
      <c r="K437" s="544"/>
      <c r="L437" s="544"/>
      <c r="M437" s="545"/>
    </row>
    <row r="438" spans="6:13" s="495" customFormat="1" x14ac:dyDescent="0.2">
      <c r="F438" s="544"/>
      <c r="G438" s="544"/>
      <c r="H438" s="544"/>
      <c r="I438" s="544"/>
      <c r="J438" s="544"/>
      <c r="K438" s="544"/>
      <c r="L438" s="544"/>
      <c r="M438" s="545"/>
    </row>
    <row r="439" spans="6:13" s="495" customFormat="1" x14ac:dyDescent="0.2">
      <c r="F439" s="544"/>
      <c r="G439" s="544"/>
      <c r="H439" s="544"/>
      <c r="I439" s="544"/>
      <c r="J439" s="544"/>
      <c r="K439" s="544"/>
      <c r="L439" s="544"/>
      <c r="M439" s="545"/>
    </row>
    <row r="440" spans="6:13" s="495" customFormat="1" x14ac:dyDescent="0.2">
      <c r="F440" s="544"/>
      <c r="G440" s="544"/>
      <c r="H440" s="544"/>
      <c r="I440" s="544"/>
      <c r="J440" s="544"/>
      <c r="K440" s="544"/>
      <c r="L440" s="544"/>
      <c r="M440" s="545"/>
    </row>
    <row r="441" spans="6:13" s="495" customFormat="1" x14ac:dyDescent="0.2">
      <c r="F441" s="544"/>
      <c r="G441" s="544"/>
      <c r="H441" s="544"/>
      <c r="I441" s="544"/>
      <c r="J441" s="544"/>
      <c r="K441" s="544"/>
      <c r="L441" s="544"/>
      <c r="M441" s="545"/>
    </row>
    <row r="442" spans="6:13" s="495" customFormat="1" x14ac:dyDescent="0.2">
      <c r="F442" s="544"/>
      <c r="G442" s="544"/>
      <c r="H442" s="544"/>
      <c r="I442" s="544"/>
      <c r="J442" s="544"/>
      <c r="K442" s="544"/>
      <c r="L442" s="544"/>
      <c r="M442" s="545"/>
    </row>
    <row r="443" spans="6:13" s="495" customFormat="1" x14ac:dyDescent="0.2">
      <c r="F443" s="544"/>
      <c r="G443" s="544"/>
      <c r="H443" s="544"/>
      <c r="I443" s="544"/>
      <c r="J443" s="544"/>
      <c r="K443" s="544"/>
      <c r="L443" s="544"/>
      <c r="M443" s="545"/>
    </row>
    <row r="444" spans="6:13" s="495" customFormat="1" x14ac:dyDescent="0.2">
      <c r="F444" s="544"/>
      <c r="G444" s="544"/>
      <c r="H444" s="544"/>
      <c r="I444" s="544"/>
      <c r="J444" s="544"/>
      <c r="K444" s="544"/>
      <c r="L444" s="544"/>
      <c r="M444" s="545"/>
    </row>
    <row r="445" spans="6:13" s="495" customFormat="1" x14ac:dyDescent="0.2">
      <c r="F445" s="544"/>
      <c r="G445" s="544"/>
      <c r="H445" s="544"/>
      <c r="I445" s="544"/>
      <c r="J445" s="544"/>
      <c r="K445" s="544"/>
      <c r="L445" s="544"/>
      <c r="M445" s="545"/>
    </row>
    <row r="446" spans="6:13" s="495" customFormat="1" x14ac:dyDescent="0.2">
      <c r="F446" s="544"/>
      <c r="G446" s="544"/>
      <c r="H446" s="544"/>
      <c r="I446" s="544"/>
      <c r="J446" s="544"/>
      <c r="K446" s="544"/>
      <c r="L446" s="544"/>
      <c r="M446" s="545"/>
    </row>
    <row r="447" spans="6:13" s="495" customFormat="1" x14ac:dyDescent="0.2">
      <c r="F447" s="544"/>
      <c r="G447" s="544"/>
      <c r="H447" s="544"/>
      <c r="I447" s="544"/>
      <c r="J447" s="544"/>
      <c r="K447" s="544"/>
      <c r="L447" s="544"/>
      <c r="M447" s="545"/>
    </row>
    <row r="448" spans="6:13" s="495" customFormat="1" x14ac:dyDescent="0.2">
      <c r="F448" s="544"/>
      <c r="G448" s="544"/>
      <c r="H448" s="544"/>
      <c r="I448" s="544"/>
      <c r="J448" s="544"/>
      <c r="K448" s="544"/>
      <c r="L448" s="544"/>
      <c r="M448" s="545"/>
    </row>
    <row r="449" spans="6:13" s="495" customFormat="1" x14ac:dyDescent="0.2">
      <c r="F449" s="544"/>
      <c r="G449" s="544"/>
      <c r="H449" s="544"/>
      <c r="I449" s="544"/>
      <c r="J449" s="544"/>
      <c r="K449" s="544"/>
      <c r="L449" s="544"/>
      <c r="M449" s="545"/>
    </row>
    <row r="450" spans="6:13" s="495" customFormat="1" x14ac:dyDescent="0.2">
      <c r="F450" s="544"/>
      <c r="G450" s="544"/>
      <c r="H450" s="544"/>
      <c r="I450" s="544"/>
      <c r="J450" s="544"/>
      <c r="K450" s="544"/>
      <c r="L450" s="544"/>
      <c r="M450" s="545"/>
    </row>
    <row r="451" spans="6:13" s="495" customFormat="1" x14ac:dyDescent="0.2">
      <c r="F451" s="544"/>
      <c r="G451" s="544"/>
      <c r="H451" s="544"/>
      <c r="I451" s="544"/>
      <c r="J451" s="544"/>
      <c r="K451" s="544"/>
      <c r="L451" s="544"/>
      <c r="M451" s="545"/>
    </row>
    <row r="452" spans="6:13" s="495" customFormat="1" x14ac:dyDescent="0.2">
      <c r="F452" s="544"/>
      <c r="G452" s="544"/>
      <c r="H452" s="544"/>
      <c r="I452" s="544"/>
      <c r="J452" s="544"/>
      <c r="K452" s="544"/>
      <c r="L452" s="544"/>
      <c r="M452" s="545"/>
    </row>
    <row r="453" spans="6:13" s="495" customFormat="1" x14ac:dyDescent="0.2">
      <c r="F453" s="544"/>
      <c r="G453" s="544"/>
      <c r="H453" s="544"/>
      <c r="I453" s="544"/>
      <c r="J453" s="544"/>
      <c r="K453" s="544"/>
      <c r="L453" s="544"/>
      <c r="M453" s="545"/>
    </row>
    <row r="454" spans="6:13" s="495" customFormat="1" x14ac:dyDescent="0.2">
      <c r="F454" s="544"/>
      <c r="G454" s="544"/>
      <c r="H454" s="544"/>
      <c r="I454" s="544"/>
      <c r="J454" s="544"/>
      <c r="K454" s="544"/>
      <c r="L454" s="544"/>
      <c r="M454" s="545"/>
    </row>
    <row r="455" spans="6:13" s="495" customFormat="1" x14ac:dyDescent="0.2">
      <c r="F455" s="544"/>
      <c r="G455" s="544"/>
      <c r="H455" s="544"/>
      <c r="I455" s="544"/>
      <c r="J455" s="544"/>
      <c r="K455" s="544"/>
      <c r="L455" s="544"/>
      <c r="M455" s="545"/>
    </row>
    <row r="456" spans="6:13" s="495" customFormat="1" x14ac:dyDescent="0.2">
      <c r="F456" s="544"/>
      <c r="G456" s="544"/>
      <c r="H456" s="544"/>
      <c r="I456" s="544"/>
      <c r="J456" s="544"/>
      <c r="K456" s="544"/>
      <c r="L456" s="544"/>
      <c r="M456" s="545"/>
    </row>
    <row r="457" spans="6:13" s="495" customFormat="1" x14ac:dyDescent="0.2">
      <c r="F457" s="544"/>
      <c r="G457" s="544"/>
      <c r="H457" s="544"/>
      <c r="I457" s="544"/>
      <c r="J457" s="544"/>
      <c r="K457" s="544"/>
      <c r="L457" s="544"/>
      <c r="M457" s="545"/>
    </row>
    <row r="458" spans="6:13" s="495" customFormat="1" x14ac:dyDescent="0.2">
      <c r="F458" s="544"/>
      <c r="G458" s="544"/>
      <c r="H458" s="544"/>
      <c r="I458" s="544"/>
      <c r="J458" s="544"/>
      <c r="K458" s="544"/>
      <c r="L458" s="544"/>
      <c r="M458" s="545"/>
    </row>
    <row r="459" spans="6:13" s="495" customFormat="1" x14ac:dyDescent="0.2">
      <c r="F459" s="544"/>
      <c r="G459" s="544"/>
      <c r="H459" s="544"/>
      <c r="I459" s="544"/>
      <c r="J459" s="544"/>
      <c r="K459" s="544"/>
      <c r="L459" s="544"/>
      <c r="M459" s="545"/>
    </row>
    <row r="460" spans="6:13" s="495" customFormat="1" x14ac:dyDescent="0.2">
      <c r="F460" s="544"/>
      <c r="G460" s="544"/>
      <c r="H460" s="544"/>
      <c r="I460" s="544"/>
      <c r="J460" s="544"/>
      <c r="K460" s="544"/>
      <c r="L460" s="544"/>
      <c r="M460" s="545"/>
    </row>
    <row r="461" spans="6:13" s="495" customFormat="1" x14ac:dyDescent="0.2">
      <c r="F461" s="544"/>
      <c r="G461" s="544"/>
      <c r="H461" s="544"/>
      <c r="I461" s="544"/>
      <c r="J461" s="544"/>
      <c r="K461" s="544"/>
      <c r="L461" s="544"/>
      <c r="M461" s="545"/>
    </row>
    <row r="462" spans="6:13" s="495" customFormat="1" x14ac:dyDescent="0.2">
      <c r="F462" s="544"/>
      <c r="G462" s="544"/>
      <c r="H462" s="544"/>
      <c r="I462" s="544"/>
      <c r="J462" s="544"/>
      <c r="K462" s="544"/>
      <c r="L462" s="544"/>
      <c r="M462" s="545"/>
    </row>
    <row r="463" spans="6:13" s="495" customFormat="1" x14ac:dyDescent="0.2">
      <c r="F463" s="544"/>
      <c r="G463" s="544"/>
      <c r="H463" s="544"/>
      <c r="I463" s="544"/>
      <c r="J463" s="544"/>
      <c r="K463" s="544"/>
      <c r="L463" s="544"/>
      <c r="M463" s="545"/>
    </row>
    <row r="464" spans="6:13" s="495" customFormat="1" x14ac:dyDescent="0.2">
      <c r="F464" s="544"/>
      <c r="G464" s="544"/>
      <c r="H464" s="544"/>
      <c r="I464" s="544"/>
      <c r="J464" s="544"/>
      <c r="K464" s="544"/>
      <c r="L464" s="544"/>
      <c r="M464" s="545"/>
    </row>
    <row r="465" spans="6:13" s="495" customFormat="1" x14ac:dyDescent="0.2">
      <c r="F465" s="544"/>
      <c r="G465" s="544"/>
      <c r="H465" s="544"/>
      <c r="I465" s="544"/>
      <c r="J465" s="544"/>
      <c r="K465" s="544"/>
      <c r="L465" s="544"/>
      <c r="M465" s="545"/>
    </row>
    <row r="466" spans="6:13" s="495" customFormat="1" x14ac:dyDescent="0.2">
      <c r="F466" s="544"/>
      <c r="G466" s="544"/>
      <c r="H466" s="544"/>
      <c r="I466" s="544"/>
      <c r="J466" s="544"/>
      <c r="K466" s="544"/>
      <c r="L466" s="544"/>
      <c r="M466" s="545"/>
    </row>
    <row r="467" spans="6:13" s="495" customFormat="1" x14ac:dyDescent="0.2">
      <c r="F467" s="544"/>
      <c r="G467" s="544"/>
      <c r="H467" s="544"/>
      <c r="I467" s="544"/>
      <c r="J467" s="544"/>
      <c r="K467" s="544"/>
      <c r="L467" s="544"/>
      <c r="M467" s="545"/>
    </row>
    <row r="468" spans="6:13" s="495" customFormat="1" x14ac:dyDescent="0.2">
      <c r="F468" s="544"/>
      <c r="G468" s="544"/>
      <c r="H468" s="544"/>
      <c r="I468" s="544"/>
      <c r="J468" s="544"/>
      <c r="K468" s="544"/>
      <c r="L468" s="544"/>
      <c r="M468" s="545"/>
    </row>
    <row r="469" spans="6:13" s="495" customFormat="1" x14ac:dyDescent="0.2">
      <c r="F469" s="544"/>
      <c r="G469" s="544"/>
      <c r="H469" s="544"/>
      <c r="I469" s="544"/>
      <c r="J469" s="544"/>
      <c r="K469" s="544"/>
      <c r="L469" s="544"/>
      <c r="M469" s="545"/>
    </row>
    <row r="470" spans="6:13" s="495" customFormat="1" x14ac:dyDescent="0.2">
      <c r="F470" s="544"/>
      <c r="G470" s="544"/>
      <c r="H470" s="544"/>
      <c r="I470" s="544"/>
      <c r="J470" s="544"/>
      <c r="K470" s="544"/>
      <c r="L470" s="544"/>
      <c r="M470" s="545"/>
    </row>
    <row r="471" spans="6:13" s="495" customFormat="1" x14ac:dyDescent="0.2">
      <c r="F471" s="544"/>
      <c r="G471" s="544"/>
      <c r="H471" s="544"/>
      <c r="I471" s="544"/>
      <c r="J471" s="544"/>
      <c r="K471" s="544"/>
      <c r="L471" s="544"/>
      <c r="M471" s="545"/>
    </row>
    <row r="472" spans="6:13" s="495" customFormat="1" x14ac:dyDescent="0.2">
      <c r="F472" s="544"/>
      <c r="G472" s="544"/>
      <c r="H472" s="544"/>
      <c r="I472" s="544"/>
      <c r="J472" s="544"/>
      <c r="K472" s="544"/>
      <c r="L472" s="544"/>
      <c r="M472" s="545"/>
    </row>
    <row r="473" spans="6:13" s="495" customFormat="1" x14ac:dyDescent="0.2">
      <c r="F473" s="544"/>
      <c r="G473" s="544"/>
      <c r="H473" s="544"/>
      <c r="I473" s="544"/>
      <c r="J473" s="544"/>
      <c r="K473" s="544"/>
      <c r="L473" s="544"/>
      <c r="M473" s="545"/>
    </row>
    <row r="474" spans="6:13" s="495" customFormat="1" x14ac:dyDescent="0.2">
      <c r="F474" s="544"/>
      <c r="G474" s="544"/>
      <c r="H474" s="544"/>
      <c r="I474" s="544"/>
      <c r="J474" s="544"/>
      <c r="K474" s="544"/>
      <c r="L474" s="544"/>
      <c r="M474" s="545"/>
    </row>
    <row r="475" spans="6:13" s="495" customFormat="1" x14ac:dyDescent="0.2">
      <c r="F475" s="544"/>
      <c r="G475" s="544"/>
      <c r="H475" s="544"/>
      <c r="I475" s="544"/>
      <c r="J475" s="544"/>
      <c r="K475" s="544"/>
      <c r="L475" s="544"/>
      <c r="M475" s="545"/>
    </row>
    <row r="476" spans="6:13" s="495" customFormat="1" x14ac:dyDescent="0.2">
      <c r="F476" s="544"/>
      <c r="G476" s="544"/>
      <c r="H476" s="544"/>
      <c r="I476" s="544"/>
      <c r="J476" s="544"/>
      <c r="K476" s="544"/>
      <c r="L476" s="544"/>
      <c r="M476" s="545"/>
    </row>
    <row r="477" spans="6:13" s="495" customFormat="1" x14ac:dyDescent="0.2">
      <c r="F477" s="544"/>
      <c r="G477" s="544"/>
      <c r="H477" s="544"/>
      <c r="I477" s="544"/>
      <c r="J477" s="544"/>
      <c r="K477" s="544"/>
      <c r="L477" s="544"/>
      <c r="M477" s="545"/>
    </row>
    <row r="478" spans="6:13" s="495" customFormat="1" x14ac:dyDescent="0.2">
      <c r="F478" s="544"/>
      <c r="G478" s="544"/>
      <c r="H478" s="544"/>
      <c r="I478" s="544"/>
      <c r="J478" s="544"/>
      <c r="K478" s="544"/>
      <c r="L478" s="544"/>
      <c r="M478" s="545"/>
    </row>
    <row r="479" spans="6:13" s="495" customFormat="1" x14ac:dyDescent="0.2">
      <c r="F479" s="544"/>
      <c r="G479" s="544"/>
      <c r="H479" s="544"/>
      <c r="I479" s="544"/>
      <c r="J479" s="544"/>
      <c r="K479" s="544"/>
      <c r="L479" s="544"/>
      <c r="M479" s="545"/>
    </row>
    <row r="480" spans="6:13" s="495" customFormat="1" x14ac:dyDescent="0.2">
      <c r="F480" s="544"/>
      <c r="G480" s="544"/>
      <c r="H480" s="544"/>
      <c r="I480" s="544"/>
      <c r="J480" s="544"/>
      <c r="K480" s="544"/>
      <c r="L480" s="544"/>
      <c r="M480" s="545"/>
    </row>
    <row r="481" spans="6:13" s="495" customFormat="1" x14ac:dyDescent="0.2">
      <c r="F481" s="544"/>
      <c r="G481" s="544"/>
      <c r="H481" s="544"/>
      <c r="I481" s="544"/>
      <c r="J481" s="544"/>
      <c r="K481" s="544"/>
      <c r="L481" s="544"/>
      <c r="M481" s="545"/>
    </row>
    <row r="482" spans="6:13" s="495" customFormat="1" x14ac:dyDescent="0.2">
      <c r="F482" s="544"/>
      <c r="G482" s="544"/>
      <c r="H482" s="544"/>
      <c r="I482" s="544"/>
      <c r="J482" s="544"/>
      <c r="K482" s="544"/>
      <c r="L482" s="544"/>
      <c r="M482" s="545"/>
    </row>
    <row r="483" spans="6:13" s="495" customFormat="1" x14ac:dyDescent="0.2">
      <c r="F483" s="544"/>
      <c r="G483" s="544"/>
      <c r="H483" s="544"/>
      <c r="I483" s="544"/>
      <c r="J483" s="544"/>
      <c r="K483" s="544"/>
      <c r="L483" s="544"/>
      <c r="M483" s="545"/>
    </row>
    <row r="484" spans="6:13" s="495" customFormat="1" x14ac:dyDescent="0.2">
      <c r="F484" s="544"/>
      <c r="G484" s="544"/>
      <c r="H484" s="544"/>
      <c r="I484" s="544"/>
      <c r="J484" s="544"/>
      <c r="K484" s="544"/>
      <c r="L484" s="544"/>
      <c r="M484" s="545"/>
    </row>
    <row r="485" spans="6:13" s="495" customFormat="1" x14ac:dyDescent="0.2">
      <c r="F485" s="544"/>
      <c r="G485" s="544"/>
      <c r="H485" s="544"/>
      <c r="I485" s="544"/>
      <c r="J485" s="544"/>
      <c r="K485" s="544"/>
      <c r="L485" s="544"/>
      <c r="M485" s="545"/>
    </row>
    <row r="486" spans="6:13" s="495" customFormat="1" x14ac:dyDescent="0.2">
      <c r="F486" s="544"/>
      <c r="G486" s="544"/>
      <c r="H486" s="544"/>
      <c r="I486" s="544"/>
      <c r="J486" s="544"/>
      <c r="K486" s="544"/>
      <c r="L486" s="544"/>
      <c r="M486" s="545"/>
    </row>
    <row r="487" spans="6:13" s="495" customFormat="1" x14ac:dyDescent="0.2">
      <c r="F487" s="544"/>
      <c r="G487" s="544"/>
      <c r="H487" s="544"/>
      <c r="I487" s="544"/>
      <c r="J487" s="544"/>
      <c r="K487" s="544"/>
      <c r="L487" s="544"/>
      <c r="M487" s="545"/>
    </row>
    <row r="488" spans="6:13" s="495" customFormat="1" x14ac:dyDescent="0.2">
      <c r="F488" s="544"/>
      <c r="G488" s="544"/>
      <c r="H488" s="544"/>
      <c r="I488" s="544"/>
      <c r="J488" s="544"/>
      <c r="K488" s="544"/>
      <c r="L488" s="544"/>
      <c r="M488" s="545"/>
    </row>
    <row r="489" spans="6:13" s="495" customFormat="1" x14ac:dyDescent="0.2">
      <c r="F489" s="544"/>
      <c r="G489" s="544"/>
      <c r="H489" s="544"/>
      <c r="I489" s="544"/>
      <c r="J489" s="544"/>
      <c r="K489" s="544"/>
      <c r="L489" s="544"/>
      <c r="M489" s="545"/>
    </row>
    <row r="490" spans="6:13" s="495" customFormat="1" x14ac:dyDescent="0.2">
      <c r="F490" s="544"/>
      <c r="G490" s="544"/>
      <c r="H490" s="544"/>
      <c r="I490" s="544"/>
      <c r="J490" s="544"/>
      <c r="K490" s="544"/>
      <c r="L490" s="544"/>
      <c r="M490" s="545"/>
    </row>
    <row r="491" spans="6:13" s="495" customFormat="1" x14ac:dyDescent="0.2">
      <c r="F491" s="544"/>
      <c r="G491" s="544"/>
      <c r="H491" s="544"/>
      <c r="I491" s="544"/>
      <c r="J491" s="544"/>
      <c r="K491" s="544"/>
      <c r="L491" s="544"/>
      <c r="M491" s="545"/>
    </row>
    <row r="492" spans="6:13" s="495" customFormat="1" x14ac:dyDescent="0.2">
      <c r="F492" s="544"/>
      <c r="G492" s="544"/>
      <c r="H492" s="544"/>
      <c r="I492" s="544"/>
      <c r="J492" s="544"/>
      <c r="K492" s="544"/>
      <c r="L492" s="544"/>
      <c r="M492" s="545"/>
    </row>
    <row r="493" spans="6:13" s="495" customFormat="1" x14ac:dyDescent="0.2">
      <c r="F493" s="544"/>
      <c r="G493" s="544"/>
      <c r="H493" s="544"/>
      <c r="I493" s="544"/>
      <c r="J493" s="544"/>
      <c r="K493" s="544"/>
      <c r="L493" s="544"/>
      <c r="M493" s="545"/>
    </row>
    <row r="494" spans="6:13" s="495" customFormat="1" x14ac:dyDescent="0.2">
      <c r="F494" s="544"/>
      <c r="G494" s="544"/>
      <c r="H494" s="544"/>
      <c r="I494" s="544"/>
      <c r="J494" s="544"/>
      <c r="K494" s="544"/>
      <c r="L494" s="544"/>
      <c r="M494" s="545"/>
    </row>
    <row r="495" spans="6:13" s="495" customFormat="1" x14ac:dyDescent="0.2">
      <c r="F495" s="544"/>
      <c r="G495" s="544"/>
      <c r="H495" s="544"/>
      <c r="I495" s="544"/>
      <c r="J495" s="544"/>
      <c r="K495" s="544"/>
      <c r="L495" s="544"/>
      <c r="M495" s="545"/>
    </row>
    <row r="496" spans="6:13" s="495" customFormat="1" x14ac:dyDescent="0.2">
      <c r="F496" s="544"/>
      <c r="G496" s="544"/>
      <c r="H496" s="544"/>
      <c r="I496" s="544"/>
      <c r="J496" s="544"/>
      <c r="K496" s="544"/>
      <c r="L496" s="544"/>
      <c r="M496" s="545"/>
    </row>
    <row r="497" spans="6:13" s="495" customFormat="1" x14ac:dyDescent="0.2">
      <c r="F497" s="544"/>
      <c r="G497" s="544"/>
      <c r="H497" s="544"/>
      <c r="I497" s="544"/>
      <c r="J497" s="544"/>
      <c r="K497" s="544"/>
      <c r="L497" s="544"/>
      <c r="M497" s="545"/>
    </row>
    <row r="498" spans="6:13" s="495" customFormat="1" x14ac:dyDescent="0.2">
      <c r="F498" s="544"/>
      <c r="G498" s="544"/>
      <c r="H498" s="544"/>
      <c r="I498" s="544"/>
      <c r="J498" s="544"/>
      <c r="K498" s="544"/>
      <c r="L498" s="544"/>
      <c r="M498" s="545"/>
    </row>
    <row r="499" spans="6:13" s="495" customFormat="1" x14ac:dyDescent="0.2">
      <c r="F499" s="544"/>
      <c r="G499" s="544"/>
      <c r="H499" s="544"/>
      <c r="I499" s="544"/>
      <c r="J499" s="544"/>
      <c r="K499" s="544"/>
      <c r="L499" s="544"/>
      <c r="M499" s="545"/>
    </row>
    <row r="500" spans="6:13" s="495" customFormat="1" x14ac:dyDescent="0.2">
      <c r="F500" s="544"/>
      <c r="G500" s="544"/>
      <c r="H500" s="544"/>
      <c r="I500" s="544"/>
      <c r="J500" s="544"/>
      <c r="K500" s="544"/>
      <c r="L500" s="544"/>
      <c r="M500" s="545"/>
    </row>
    <row r="501" spans="6:13" s="495" customFormat="1" x14ac:dyDescent="0.2">
      <c r="F501" s="544"/>
      <c r="G501" s="544"/>
      <c r="H501" s="544"/>
      <c r="I501" s="544"/>
      <c r="J501" s="544"/>
      <c r="K501" s="544"/>
      <c r="L501" s="544"/>
      <c r="M501" s="545"/>
    </row>
    <row r="502" spans="6:13" s="495" customFormat="1" x14ac:dyDescent="0.2">
      <c r="F502" s="544"/>
      <c r="G502" s="544"/>
      <c r="H502" s="544"/>
      <c r="I502" s="544"/>
      <c r="J502" s="544"/>
      <c r="K502" s="544"/>
      <c r="L502" s="544"/>
      <c r="M502" s="545"/>
    </row>
    <row r="503" spans="6:13" s="495" customFormat="1" x14ac:dyDescent="0.2">
      <c r="F503" s="544"/>
      <c r="G503" s="544"/>
      <c r="H503" s="544"/>
      <c r="I503" s="544"/>
      <c r="J503" s="544"/>
      <c r="K503" s="544"/>
      <c r="L503" s="544"/>
      <c r="M503" s="545"/>
    </row>
    <row r="504" spans="6:13" s="495" customFormat="1" x14ac:dyDescent="0.2">
      <c r="F504" s="544"/>
      <c r="G504" s="544"/>
      <c r="H504" s="544"/>
      <c r="I504" s="544"/>
      <c r="J504" s="544"/>
      <c r="K504" s="544"/>
      <c r="L504" s="544"/>
      <c r="M504" s="545"/>
    </row>
    <row r="505" spans="6:13" s="495" customFormat="1" x14ac:dyDescent="0.2">
      <c r="F505" s="544"/>
      <c r="G505" s="544"/>
      <c r="H505" s="544"/>
      <c r="I505" s="544"/>
      <c r="J505" s="544"/>
      <c r="K505" s="544"/>
      <c r="L505" s="544"/>
      <c r="M505" s="545"/>
    </row>
    <row r="506" spans="6:13" s="495" customFormat="1" x14ac:dyDescent="0.2">
      <c r="F506" s="544"/>
      <c r="G506" s="544"/>
      <c r="H506" s="544"/>
      <c r="I506" s="544"/>
      <c r="J506" s="544"/>
      <c r="K506" s="544"/>
      <c r="L506" s="544"/>
      <c r="M506" s="545"/>
    </row>
    <row r="507" spans="6:13" s="495" customFormat="1" x14ac:dyDescent="0.2">
      <c r="F507" s="544"/>
      <c r="G507" s="544"/>
      <c r="H507" s="544"/>
      <c r="I507" s="544"/>
      <c r="J507" s="544"/>
      <c r="K507" s="544"/>
      <c r="L507" s="544"/>
      <c r="M507" s="545"/>
    </row>
    <row r="508" spans="6:13" s="495" customFormat="1" x14ac:dyDescent="0.2">
      <c r="F508" s="544"/>
      <c r="G508" s="544"/>
      <c r="H508" s="544"/>
      <c r="I508" s="544"/>
      <c r="J508" s="544"/>
      <c r="K508" s="544"/>
      <c r="L508" s="544"/>
      <c r="M508" s="545"/>
    </row>
    <row r="509" spans="6:13" s="495" customFormat="1" x14ac:dyDescent="0.2">
      <c r="F509" s="544"/>
      <c r="G509" s="544"/>
      <c r="H509" s="544"/>
      <c r="I509" s="544"/>
      <c r="J509" s="544"/>
      <c r="K509" s="544"/>
      <c r="L509" s="544"/>
      <c r="M509" s="545"/>
    </row>
    <row r="510" spans="6:13" s="495" customFormat="1" x14ac:dyDescent="0.2">
      <c r="F510" s="544"/>
      <c r="G510" s="544"/>
      <c r="H510" s="544"/>
      <c r="I510" s="544"/>
      <c r="J510" s="544"/>
      <c r="K510" s="544"/>
      <c r="L510" s="544"/>
      <c r="M510" s="545"/>
    </row>
    <row r="511" spans="6:13" s="495" customFormat="1" x14ac:dyDescent="0.2">
      <c r="F511" s="544"/>
      <c r="G511" s="544"/>
      <c r="H511" s="544"/>
      <c r="I511" s="544"/>
      <c r="J511" s="544"/>
      <c r="K511" s="544"/>
      <c r="L511" s="544"/>
      <c r="M511" s="545"/>
    </row>
    <row r="512" spans="6:13" s="495" customFormat="1" x14ac:dyDescent="0.2">
      <c r="F512" s="544"/>
      <c r="G512" s="544"/>
      <c r="H512" s="544"/>
      <c r="I512" s="544"/>
      <c r="J512" s="544"/>
      <c r="K512" s="544"/>
      <c r="L512" s="544"/>
      <c r="M512" s="545"/>
    </row>
    <row r="513" spans="6:13" s="495" customFormat="1" x14ac:dyDescent="0.2">
      <c r="F513" s="544"/>
      <c r="G513" s="544"/>
      <c r="H513" s="544"/>
      <c r="I513" s="544"/>
      <c r="J513" s="544"/>
      <c r="K513" s="544"/>
      <c r="L513" s="544"/>
      <c r="M513" s="545"/>
    </row>
    <row r="514" spans="6:13" s="495" customFormat="1" x14ac:dyDescent="0.2">
      <c r="F514" s="544"/>
      <c r="G514" s="544"/>
      <c r="H514" s="544"/>
      <c r="I514" s="544"/>
      <c r="J514" s="544"/>
      <c r="K514" s="544"/>
      <c r="L514" s="544"/>
      <c r="M514" s="545"/>
    </row>
    <row r="515" spans="6:13" s="495" customFormat="1" x14ac:dyDescent="0.2">
      <c r="F515" s="544"/>
      <c r="G515" s="544"/>
      <c r="H515" s="544"/>
      <c r="I515" s="544"/>
      <c r="J515" s="544"/>
      <c r="K515" s="544"/>
      <c r="L515" s="544"/>
      <c r="M515" s="545"/>
    </row>
    <row r="516" spans="6:13" s="495" customFormat="1" x14ac:dyDescent="0.2">
      <c r="F516" s="544"/>
      <c r="G516" s="544"/>
      <c r="H516" s="544"/>
      <c r="I516" s="544"/>
      <c r="J516" s="544"/>
      <c r="K516" s="544"/>
      <c r="L516" s="544"/>
      <c r="M516" s="545"/>
    </row>
    <row r="517" spans="6:13" s="495" customFormat="1" x14ac:dyDescent="0.2">
      <c r="F517" s="544"/>
      <c r="G517" s="544"/>
      <c r="H517" s="544"/>
      <c r="I517" s="544"/>
      <c r="J517" s="544"/>
      <c r="K517" s="544"/>
      <c r="L517" s="544"/>
      <c r="M517" s="545"/>
    </row>
    <row r="518" spans="6:13" s="495" customFormat="1" x14ac:dyDescent="0.2">
      <c r="F518" s="544"/>
      <c r="G518" s="544"/>
      <c r="H518" s="544"/>
      <c r="I518" s="544"/>
      <c r="J518" s="544"/>
      <c r="K518" s="544"/>
      <c r="L518" s="544"/>
      <c r="M518" s="545"/>
    </row>
    <row r="519" spans="6:13" s="495" customFormat="1" x14ac:dyDescent="0.2">
      <c r="F519" s="544"/>
      <c r="G519" s="544"/>
      <c r="H519" s="544"/>
      <c r="I519" s="544"/>
      <c r="J519" s="544"/>
      <c r="K519" s="544"/>
      <c r="L519" s="544"/>
      <c r="M519" s="545"/>
    </row>
    <row r="520" spans="6:13" s="495" customFormat="1" x14ac:dyDescent="0.2">
      <c r="F520" s="544"/>
      <c r="G520" s="544"/>
      <c r="H520" s="544"/>
      <c r="I520" s="544"/>
      <c r="J520" s="544"/>
      <c r="K520" s="544"/>
      <c r="L520" s="544"/>
      <c r="M520" s="545"/>
    </row>
    <row r="521" spans="6:13" s="495" customFormat="1" x14ac:dyDescent="0.2">
      <c r="F521" s="544"/>
      <c r="G521" s="544"/>
      <c r="H521" s="544"/>
      <c r="I521" s="544"/>
      <c r="J521" s="544"/>
      <c r="K521" s="544"/>
      <c r="L521" s="544"/>
      <c r="M521" s="545"/>
    </row>
    <row r="522" spans="6:13" s="495" customFormat="1" x14ac:dyDescent="0.2">
      <c r="F522" s="544"/>
      <c r="G522" s="544"/>
      <c r="H522" s="544"/>
      <c r="I522" s="544"/>
      <c r="J522" s="544"/>
      <c r="K522" s="544"/>
      <c r="L522" s="544"/>
      <c r="M522" s="545"/>
    </row>
    <row r="523" spans="6:13" s="495" customFormat="1" x14ac:dyDescent="0.2">
      <c r="F523" s="544"/>
      <c r="G523" s="544"/>
      <c r="H523" s="544"/>
      <c r="I523" s="544"/>
      <c r="J523" s="544"/>
      <c r="K523" s="544"/>
      <c r="L523" s="544"/>
      <c r="M523" s="545"/>
    </row>
    <row r="524" spans="6:13" s="495" customFormat="1" x14ac:dyDescent="0.2">
      <c r="F524" s="544"/>
      <c r="G524" s="544"/>
      <c r="H524" s="544"/>
      <c r="I524" s="544"/>
      <c r="J524" s="544"/>
      <c r="K524" s="544"/>
      <c r="L524" s="544"/>
      <c r="M524" s="545"/>
    </row>
    <row r="525" spans="6:13" s="495" customFormat="1" x14ac:dyDescent="0.2">
      <c r="F525" s="544"/>
      <c r="G525" s="544"/>
      <c r="H525" s="544"/>
      <c r="I525" s="544"/>
      <c r="J525" s="544"/>
      <c r="K525" s="544"/>
      <c r="L525" s="544"/>
      <c r="M525" s="545"/>
    </row>
    <row r="526" spans="6:13" s="495" customFormat="1" x14ac:dyDescent="0.2">
      <c r="F526" s="544"/>
      <c r="G526" s="544"/>
      <c r="H526" s="544"/>
      <c r="I526" s="544"/>
      <c r="J526" s="544"/>
      <c r="K526" s="544"/>
      <c r="L526" s="544"/>
      <c r="M526" s="545"/>
    </row>
    <row r="527" spans="6:13" s="495" customFormat="1" x14ac:dyDescent="0.2">
      <c r="F527" s="544"/>
      <c r="G527" s="544"/>
      <c r="H527" s="544"/>
      <c r="I527" s="544"/>
      <c r="J527" s="544"/>
      <c r="K527" s="544"/>
      <c r="L527" s="544"/>
      <c r="M527" s="545"/>
    </row>
    <row r="528" spans="6:13" s="495" customFormat="1" x14ac:dyDescent="0.2">
      <c r="F528" s="544"/>
      <c r="G528" s="544"/>
      <c r="H528" s="544"/>
      <c r="I528" s="544"/>
      <c r="J528" s="544"/>
      <c r="K528" s="544"/>
      <c r="L528" s="544"/>
      <c r="M528" s="545"/>
    </row>
    <row r="529" spans="6:13" s="495" customFormat="1" x14ac:dyDescent="0.2">
      <c r="F529" s="544"/>
      <c r="G529" s="544"/>
      <c r="H529" s="544"/>
      <c r="I529" s="544"/>
      <c r="J529" s="544"/>
      <c r="K529" s="544"/>
      <c r="L529" s="544"/>
      <c r="M529" s="545"/>
    </row>
    <row r="530" spans="6:13" s="495" customFormat="1" x14ac:dyDescent="0.2">
      <c r="F530" s="544"/>
      <c r="G530" s="544"/>
      <c r="H530" s="544"/>
      <c r="I530" s="544"/>
      <c r="J530" s="544"/>
      <c r="K530" s="544"/>
      <c r="L530" s="544"/>
      <c r="M530" s="545"/>
    </row>
    <row r="531" spans="6:13" s="495" customFormat="1" x14ac:dyDescent="0.2">
      <c r="F531" s="544"/>
      <c r="G531" s="544"/>
      <c r="H531" s="544"/>
      <c r="I531" s="544"/>
      <c r="J531" s="544"/>
      <c r="K531" s="544"/>
      <c r="L531" s="544"/>
      <c r="M531" s="545"/>
    </row>
    <row r="532" spans="6:13" s="495" customFormat="1" x14ac:dyDescent="0.2">
      <c r="F532" s="544"/>
      <c r="G532" s="544"/>
      <c r="H532" s="544"/>
      <c r="I532" s="544"/>
      <c r="J532" s="544"/>
      <c r="K532" s="544"/>
      <c r="L532" s="544"/>
      <c r="M532" s="545"/>
    </row>
    <row r="533" spans="6:13" s="495" customFormat="1" x14ac:dyDescent="0.2">
      <c r="F533" s="544"/>
      <c r="G533" s="544"/>
      <c r="H533" s="544"/>
      <c r="I533" s="544"/>
      <c r="J533" s="544"/>
      <c r="K533" s="544"/>
      <c r="L533" s="544"/>
      <c r="M533" s="545"/>
    </row>
    <row r="534" spans="6:13" s="495" customFormat="1" x14ac:dyDescent="0.2">
      <c r="F534" s="544"/>
      <c r="G534" s="544"/>
      <c r="H534" s="544"/>
      <c r="I534" s="544"/>
      <c r="J534" s="544"/>
      <c r="K534" s="544"/>
      <c r="L534" s="544"/>
      <c r="M534" s="545"/>
    </row>
    <row r="535" spans="6:13" s="495" customFormat="1" x14ac:dyDescent="0.2">
      <c r="F535" s="544"/>
      <c r="G535" s="544"/>
      <c r="H535" s="544"/>
      <c r="I535" s="544"/>
      <c r="J535" s="544"/>
      <c r="K535" s="544"/>
      <c r="L535" s="544"/>
      <c r="M535" s="545"/>
    </row>
    <row r="536" spans="6:13" s="495" customFormat="1" x14ac:dyDescent="0.2">
      <c r="F536" s="544"/>
      <c r="G536" s="544"/>
      <c r="H536" s="544"/>
      <c r="I536" s="544"/>
      <c r="J536" s="544"/>
      <c r="K536" s="544"/>
      <c r="L536" s="544"/>
      <c r="M536" s="545"/>
    </row>
    <row r="537" spans="6:13" s="495" customFormat="1" x14ac:dyDescent="0.2">
      <c r="F537" s="544"/>
      <c r="G537" s="544"/>
      <c r="H537" s="544"/>
      <c r="I537" s="544"/>
      <c r="J537" s="544"/>
      <c r="K537" s="544"/>
      <c r="L537" s="544"/>
      <c r="M537" s="545"/>
    </row>
    <row r="538" spans="6:13" s="495" customFormat="1" x14ac:dyDescent="0.2">
      <c r="F538" s="544"/>
      <c r="G538" s="544"/>
      <c r="H538" s="544"/>
      <c r="I538" s="544"/>
      <c r="J538" s="544"/>
      <c r="K538" s="544"/>
      <c r="L538" s="544"/>
      <c r="M538" s="545"/>
    </row>
    <row r="539" spans="6:13" s="495" customFormat="1" x14ac:dyDescent="0.2">
      <c r="F539" s="544"/>
      <c r="G539" s="544"/>
      <c r="H539" s="544"/>
      <c r="I539" s="544"/>
      <c r="J539" s="544"/>
      <c r="K539" s="544"/>
      <c r="L539" s="544"/>
      <c r="M539" s="545"/>
    </row>
    <row r="540" spans="6:13" s="495" customFormat="1" x14ac:dyDescent="0.2">
      <c r="F540" s="544"/>
      <c r="G540" s="544"/>
      <c r="H540" s="544"/>
      <c r="I540" s="544"/>
      <c r="J540" s="544"/>
      <c r="K540" s="544"/>
      <c r="L540" s="544"/>
      <c r="M540" s="545"/>
    </row>
    <row r="541" spans="6:13" s="495" customFormat="1" x14ac:dyDescent="0.2">
      <c r="F541" s="544"/>
      <c r="G541" s="544"/>
      <c r="H541" s="544"/>
      <c r="I541" s="544"/>
      <c r="J541" s="544"/>
      <c r="K541" s="544"/>
      <c r="L541" s="544"/>
      <c r="M541" s="545"/>
    </row>
    <row r="542" spans="6:13" s="495" customFormat="1" x14ac:dyDescent="0.2">
      <c r="F542" s="544"/>
      <c r="G542" s="544"/>
      <c r="H542" s="544"/>
      <c r="I542" s="544"/>
      <c r="J542" s="544"/>
      <c r="K542" s="544"/>
      <c r="L542" s="544"/>
      <c r="M542" s="545"/>
    </row>
    <row r="543" spans="6:13" s="495" customFormat="1" x14ac:dyDescent="0.2">
      <c r="F543" s="544"/>
      <c r="G543" s="544"/>
      <c r="H543" s="544"/>
      <c r="I543" s="544"/>
      <c r="J543" s="544"/>
      <c r="K543" s="544"/>
      <c r="L543" s="544"/>
      <c r="M543" s="545"/>
    </row>
    <row r="544" spans="6:13" s="495" customFormat="1" x14ac:dyDescent="0.2">
      <c r="F544" s="544"/>
      <c r="G544" s="544"/>
      <c r="H544" s="544"/>
      <c r="I544" s="544"/>
      <c r="J544" s="544"/>
      <c r="K544" s="544"/>
      <c r="L544" s="544"/>
      <c r="M544" s="545"/>
    </row>
    <row r="545" spans="6:13" s="495" customFormat="1" x14ac:dyDescent="0.2">
      <c r="F545" s="544"/>
      <c r="G545" s="544"/>
      <c r="H545" s="544"/>
      <c r="I545" s="544"/>
      <c r="J545" s="544"/>
      <c r="K545" s="544"/>
      <c r="L545" s="544"/>
      <c r="M545" s="545"/>
    </row>
    <row r="546" spans="6:13" s="495" customFormat="1" x14ac:dyDescent="0.2">
      <c r="F546" s="544"/>
      <c r="G546" s="544"/>
      <c r="H546" s="544"/>
      <c r="I546" s="544"/>
      <c r="J546" s="544"/>
      <c r="K546" s="544"/>
      <c r="L546" s="544"/>
      <c r="M546" s="545"/>
    </row>
    <row r="547" spans="6:13" s="495" customFormat="1" x14ac:dyDescent="0.2">
      <c r="F547" s="544"/>
      <c r="G547" s="544"/>
      <c r="H547" s="544"/>
      <c r="I547" s="544"/>
      <c r="J547" s="544"/>
      <c r="K547" s="544"/>
      <c r="L547" s="544"/>
      <c r="M547" s="545"/>
    </row>
    <row r="548" spans="6:13" s="495" customFormat="1" x14ac:dyDescent="0.2">
      <c r="F548" s="544"/>
      <c r="G548" s="544"/>
      <c r="H548" s="544"/>
      <c r="I548" s="544"/>
      <c r="J548" s="544"/>
      <c r="K548" s="544"/>
      <c r="L548" s="544"/>
      <c r="M548" s="545"/>
    </row>
    <row r="549" spans="6:13" s="495" customFormat="1" x14ac:dyDescent="0.2">
      <c r="F549" s="544"/>
      <c r="G549" s="544"/>
      <c r="H549" s="544"/>
      <c r="I549" s="544"/>
      <c r="J549" s="544"/>
      <c r="K549" s="544"/>
      <c r="L549" s="544"/>
      <c r="M549" s="545"/>
    </row>
    <row r="550" spans="6:13" s="495" customFormat="1" x14ac:dyDescent="0.2">
      <c r="F550" s="544"/>
      <c r="G550" s="544"/>
      <c r="H550" s="544"/>
      <c r="I550" s="544"/>
      <c r="J550" s="544"/>
      <c r="K550" s="544"/>
      <c r="L550" s="544"/>
      <c r="M550" s="545"/>
    </row>
    <row r="551" spans="6:13" s="495" customFormat="1" x14ac:dyDescent="0.2">
      <c r="F551" s="544"/>
      <c r="G551" s="544"/>
      <c r="H551" s="544"/>
      <c r="I551" s="544"/>
      <c r="J551" s="544"/>
      <c r="K551" s="544"/>
      <c r="L551" s="544"/>
      <c r="M551" s="545"/>
    </row>
    <row r="552" spans="6:13" s="495" customFormat="1" x14ac:dyDescent="0.2">
      <c r="F552" s="544"/>
      <c r="G552" s="544"/>
      <c r="H552" s="544"/>
      <c r="I552" s="544"/>
      <c r="J552" s="544"/>
      <c r="K552" s="544"/>
      <c r="L552" s="544"/>
      <c r="M552" s="545"/>
    </row>
    <row r="553" spans="6:13" s="495" customFormat="1" x14ac:dyDescent="0.2">
      <c r="F553" s="544"/>
      <c r="G553" s="544"/>
      <c r="H553" s="544"/>
      <c r="I553" s="544"/>
      <c r="J553" s="544"/>
      <c r="K553" s="544"/>
      <c r="L553" s="544"/>
      <c r="M553" s="545"/>
    </row>
    <row r="554" spans="6:13" s="495" customFormat="1" x14ac:dyDescent="0.2">
      <c r="F554" s="544"/>
      <c r="G554" s="544"/>
      <c r="H554" s="544"/>
      <c r="I554" s="544"/>
      <c r="J554" s="544"/>
      <c r="K554" s="544"/>
      <c r="L554" s="544"/>
      <c r="M554" s="545"/>
    </row>
    <row r="555" spans="6:13" s="495" customFormat="1" x14ac:dyDescent="0.2">
      <c r="F555" s="544"/>
      <c r="G555" s="544"/>
      <c r="H555" s="544"/>
      <c r="I555" s="544"/>
      <c r="J555" s="544"/>
      <c r="K555" s="544"/>
      <c r="L555" s="544"/>
      <c r="M555" s="545"/>
    </row>
    <row r="556" spans="6:13" s="495" customFormat="1" x14ac:dyDescent="0.2">
      <c r="F556" s="544"/>
      <c r="G556" s="544"/>
      <c r="H556" s="544"/>
      <c r="I556" s="544"/>
      <c r="J556" s="544"/>
      <c r="K556" s="544"/>
      <c r="L556" s="544"/>
      <c r="M556" s="545"/>
    </row>
    <row r="557" spans="6:13" s="495" customFormat="1" x14ac:dyDescent="0.2">
      <c r="F557" s="544"/>
      <c r="G557" s="544"/>
      <c r="H557" s="544"/>
      <c r="I557" s="544"/>
      <c r="J557" s="544"/>
      <c r="K557" s="544"/>
      <c r="L557" s="544"/>
      <c r="M557" s="545"/>
    </row>
    <row r="558" spans="6:13" s="495" customFormat="1" x14ac:dyDescent="0.2">
      <c r="F558" s="544"/>
      <c r="G558" s="544"/>
      <c r="H558" s="544"/>
      <c r="I558" s="544"/>
      <c r="J558" s="544"/>
      <c r="K558" s="544"/>
      <c r="L558" s="544"/>
      <c r="M558" s="545"/>
    </row>
    <row r="559" spans="6:13" s="495" customFormat="1" x14ac:dyDescent="0.2">
      <c r="F559" s="544"/>
      <c r="G559" s="544"/>
      <c r="H559" s="544"/>
      <c r="I559" s="544"/>
      <c r="J559" s="544"/>
      <c r="K559" s="544"/>
      <c r="L559" s="544"/>
      <c r="M559" s="545"/>
    </row>
    <row r="560" spans="6:13" s="495" customFormat="1" x14ac:dyDescent="0.2">
      <c r="F560" s="544"/>
      <c r="G560" s="544"/>
      <c r="H560" s="544"/>
      <c r="I560" s="544"/>
      <c r="J560" s="544"/>
      <c r="K560" s="544"/>
      <c r="L560" s="544"/>
      <c r="M560" s="545"/>
    </row>
    <row r="561" spans="6:13" s="495" customFormat="1" x14ac:dyDescent="0.2">
      <c r="F561" s="544"/>
      <c r="G561" s="544"/>
      <c r="H561" s="544"/>
      <c r="I561" s="544"/>
      <c r="J561" s="544"/>
      <c r="K561" s="544"/>
      <c r="L561" s="544"/>
      <c r="M561" s="545"/>
    </row>
    <row r="562" spans="6:13" s="495" customFormat="1" x14ac:dyDescent="0.2">
      <c r="F562" s="544"/>
      <c r="G562" s="544"/>
      <c r="H562" s="544"/>
      <c r="I562" s="544"/>
      <c r="J562" s="544"/>
      <c r="K562" s="544"/>
      <c r="L562" s="544"/>
      <c r="M562" s="545"/>
    </row>
    <row r="563" spans="6:13" s="495" customFormat="1" x14ac:dyDescent="0.2">
      <c r="F563" s="544"/>
      <c r="G563" s="544"/>
      <c r="H563" s="544"/>
      <c r="I563" s="544"/>
      <c r="J563" s="544"/>
      <c r="K563" s="544"/>
      <c r="L563" s="544"/>
      <c r="M563" s="545"/>
    </row>
    <row r="564" spans="6:13" s="495" customFormat="1" x14ac:dyDescent="0.2">
      <c r="F564" s="544"/>
      <c r="G564" s="544"/>
      <c r="H564" s="544"/>
      <c r="I564" s="544"/>
      <c r="J564" s="544"/>
      <c r="K564" s="544"/>
      <c r="L564" s="544"/>
      <c r="M564" s="545"/>
    </row>
    <row r="565" spans="6:13" s="495" customFormat="1" x14ac:dyDescent="0.2">
      <c r="F565" s="544"/>
      <c r="G565" s="544"/>
      <c r="H565" s="544"/>
      <c r="I565" s="544"/>
      <c r="J565" s="544"/>
      <c r="K565" s="544"/>
      <c r="L565" s="544"/>
      <c r="M565" s="545"/>
    </row>
    <row r="566" spans="6:13" s="495" customFormat="1" x14ac:dyDescent="0.2">
      <c r="F566" s="544"/>
      <c r="G566" s="544"/>
      <c r="H566" s="544"/>
      <c r="I566" s="544"/>
      <c r="J566" s="544"/>
      <c r="K566" s="544"/>
      <c r="L566" s="544"/>
      <c r="M566" s="545"/>
    </row>
    <row r="567" spans="6:13" s="495" customFormat="1" x14ac:dyDescent="0.2">
      <c r="F567" s="544"/>
      <c r="G567" s="544"/>
      <c r="H567" s="544"/>
      <c r="I567" s="544"/>
      <c r="J567" s="544"/>
      <c r="K567" s="544"/>
      <c r="L567" s="544"/>
      <c r="M567" s="545"/>
    </row>
    <row r="568" spans="6:13" s="495" customFormat="1" x14ac:dyDescent="0.2">
      <c r="F568" s="544"/>
      <c r="G568" s="544"/>
      <c r="H568" s="544"/>
      <c r="I568" s="544"/>
      <c r="J568" s="544"/>
      <c r="K568" s="544"/>
      <c r="L568" s="544"/>
      <c r="M568" s="545"/>
    </row>
    <row r="569" spans="6:13" s="495" customFormat="1" x14ac:dyDescent="0.2">
      <c r="F569" s="544"/>
      <c r="G569" s="544"/>
      <c r="H569" s="544"/>
      <c r="I569" s="544"/>
      <c r="J569" s="544"/>
      <c r="K569" s="544"/>
      <c r="L569" s="544"/>
      <c r="M569" s="545"/>
    </row>
    <row r="570" spans="6:13" s="495" customFormat="1" x14ac:dyDescent="0.2">
      <c r="F570" s="544"/>
      <c r="G570" s="544"/>
      <c r="H570" s="544"/>
      <c r="I570" s="544"/>
      <c r="J570" s="544"/>
      <c r="K570" s="544"/>
      <c r="L570" s="544"/>
      <c r="M570" s="545"/>
    </row>
    <row r="571" spans="6:13" s="495" customFormat="1" x14ac:dyDescent="0.2">
      <c r="F571" s="544"/>
      <c r="G571" s="544"/>
      <c r="H571" s="544"/>
      <c r="I571" s="544"/>
      <c r="J571" s="544"/>
      <c r="K571" s="544"/>
      <c r="L571" s="544"/>
      <c r="M571" s="545"/>
    </row>
    <row r="572" spans="6:13" s="495" customFormat="1" x14ac:dyDescent="0.2">
      <c r="F572" s="544"/>
      <c r="G572" s="544"/>
      <c r="H572" s="544"/>
      <c r="I572" s="544"/>
      <c r="J572" s="544"/>
      <c r="K572" s="544"/>
      <c r="L572" s="544"/>
      <c r="M572" s="545"/>
    </row>
    <row r="573" spans="6:13" s="495" customFormat="1" x14ac:dyDescent="0.2">
      <c r="F573" s="544"/>
      <c r="G573" s="544"/>
      <c r="H573" s="544"/>
      <c r="I573" s="544"/>
      <c r="J573" s="544"/>
      <c r="K573" s="544"/>
      <c r="L573" s="544"/>
      <c r="M573" s="545"/>
    </row>
    <row r="574" spans="6:13" s="495" customFormat="1" x14ac:dyDescent="0.2">
      <c r="F574" s="544"/>
      <c r="G574" s="544"/>
      <c r="H574" s="544"/>
      <c r="I574" s="544"/>
      <c r="J574" s="544"/>
      <c r="K574" s="544"/>
      <c r="L574" s="544"/>
      <c r="M574" s="545"/>
    </row>
    <row r="575" spans="6:13" s="495" customFormat="1" x14ac:dyDescent="0.2">
      <c r="F575" s="544"/>
      <c r="G575" s="544"/>
      <c r="H575" s="544"/>
      <c r="I575" s="544"/>
      <c r="J575" s="544"/>
      <c r="K575" s="544"/>
      <c r="L575" s="544"/>
      <c r="M575" s="545"/>
    </row>
    <row r="576" spans="6:13" s="495" customFormat="1" x14ac:dyDescent="0.2">
      <c r="F576" s="544"/>
      <c r="G576" s="544"/>
      <c r="H576" s="544"/>
      <c r="I576" s="544"/>
      <c r="J576" s="544"/>
      <c r="K576" s="544"/>
      <c r="L576" s="544"/>
      <c r="M576" s="545"/>
    </row>
    <row r="577" spans="6:13" s="495" customFormat="1" x14ac:dyDescent="0.2">
      <c r="F577" s="544"/>
      <c r="G577" s="544"/>
      <c r="H577" s="544"/>
      <c r="I577" s="544"/>
      <c r="J577" s="544"/>
      <c r="K577" s="544"/>
      <c r="L577" s="544"/>
      <c r="M577" s="545"/>
    </row>
    <row r="578" spans="6:13" s="495" customFormat="1" x14ac:dyDescent="0.2">
      <c r="F578" s="544"/>
      <c r="G578" s="544"/>
      <c r="H578" s="544"/>
      <c r="I578" s="544"/>
      <c r="J578" s="544"/>
      <c r="K578" s="544"/>
      <c r="L578" s="544"/>
      <c r="M578" s="545"/>
    </row>
    <row r="579" spans="6:13" s="495" customFormat="1" x14ac:dyDescent="0.2">
      <c r="F579" s="544"/>
      <c r="G579" s="544"/>
      <c r="H579" s="544"/>
      <c r="I579" s="544"/>
      <c r="J579" s="544"/>
      <c r="K579" s="544"/>
      <c r="L579" s="544"/>
      <c r="M579" s="545"/>
    </row>
    <row r="580" spans="6:13" s="495" customFormat="1" x14ac:dyDescent="0.2">
      <c r="F580" s="544"/>
      <c r="G580" s="544"/>
      <c r="H580" s="544"/>
      <c r="I580" s="544"/>
      <c r="J580" s="544"/>
      <c r="K580" s="544"/>
      <c r="L580" s="544"/>
      <c r="M580" s="545"/>
    </row>
    <row r="581" spans="6:13" s="495" customFormat="1" x14ac:dyDescent="0.2">
      <c r="F581" s="544"/>
      <c r="G581" s="544"/>
      <c r="H581" s="544"/>
      <c r="I581" s="544"/>
      <c r="J581" s="544"/>
      <c r="K581" s="544"/>
      <c r="L581" s="544"/>
      <c r="M581" s="545"/>
    </row>
    <row r="582" spans="6:13" s="495" customFormat="1" x14ac:dyDescent="0.2">
      <c r="F582" s="544"/>
      <c r="G582" s="544"/>
      <c r="H582" s="544"/>
      <c r="I582" s="544"/>
      <c r="J582" s="544"/>
      <c r="K582" s="544"/>
      <c r="L582" s="544"/>
      <c r="M582" s="545"/>
    </row>
    <row r="583" spans="6:13" s="495" customFormat="1" x14ac:dyDescent="0.2">
      <c r="F583" s="544"/>
      <c r="G583" s="544"/>
      <c r="H583" s="544"/>
      <c r="I583" s="544"/>
      <c r="J583" s="544"/>
      <c r="K583" s="544"/>
      <c r="L583" s="544"/>
      <c r="M583" s="545"/>
    </row>
    <row r="584" spans="6:13" s="495" customFormat="1" x14ac:dyDescent="0.2">
      <c r="F584" s="544"/>
      <c r="G584" s="544"/>
      <c r="H584" s="544"/>
      <c r="I584" s="544"/>
      <c r="J584" s="544"/>
      <c r="K584" s="544"/>
      <c r="L584" s="544"/>
      <c r="M584" s="545"/>
    </row>
    <row r="585" spans="6:13" s="495" customFormat="1" x14ac:dyDescent="0.2">
      <c r="F585" s="544"/>
      <c r="G585" s="544"/>
      <c r="H585" s="544"/>
      <c r="I585" s="544"/>
      <c r="J585" s="544"/>
      <c r="K585" s="544"/>
      <c r="L585" s="544"/>
      <c r="M585" s="545"/>
    </row>
    <row r="586" spans="6:13" s="495" customFormat="1" x14ac:dyDescent="0.2">
      <c r="F586" s="544"/>
      <c r="G586" s="544"/>
      <c r="H586" s="544"/>
      <c r="I586" s="544"/>
      <c r="J586" s="544"/>
      <c r="K586" s="544"/>
      <c r="L586" s="544"/>
      <c r="M586" s="545"/>
    </row>
    <row r="587" spans="6:13" s="495" customFormat="1" x14ac:dyDescent="0.2">
      <c r="F587" s="544"/>
      <c r="G587" s="544"/>
      <c r="H587" s="544"/>
      <c r="I587" s="544"/>
      <c r="J587" s="544"/>
      <c r="K587" s="544"/>
      <c r="L587" s="544"/>
      <c r="M587" s="545"/>
    </row>
    <row r="588" spans="6:13" s="495" customFormat="1" x14ac:dyDescent="0.2">
      <c r="F588" s="544"/>
      <c r="G588" s="544"/>
      <c r="H588" s="544"/>
      <c r="I588" s="544"/>
      <c r="J588" s="544"/>
      <c r="K588" s="544"/>
      <c r="L588" s="544"/>
      <c r="M588" s="545"/>
    </row>
    <row r="589" spans="6:13" s="495" customFormat="1" x14ac:dyDescent="0.2">
      <c r="F589" s="544"/>
      <c r="G589" s="544"/>
      <c r="H589" s="544"/>
      <c r="I589" s="544"/>
      <c r="J589" s="544"/>
      <c r="K589" s="544"/>
      <c r="L589" s="544"/>
      <c r="M589" s="545"/>
    </row>
    <row r="590" spans="6:13" s="495" customFormat="1" x14ac:dyDescent="0.2">
      <c r="F590" s="544"/>
      <c r="G590" s="544"/>
      <c r="H590" s="544"/>
      <c r="I590" s="544"/>
      <c r="J590" s="544"/>
      <c r="K590" s="544"/>
      <c r="L590" s="544"/>
      <c r="M590" s="545"/>
    </row>
    <row r="591" spans="6:13" s="495" customFormat="1" x14ac:dyDescent="0.2">
      <c r="F591" s="544"/>
      <c r="G591" s="544"/>
      <c r="H591" s="544"/>
      <c r="I591" s="544"/>
      <c r="J591" s="544"/>
      <c r="K591" s="544"/>
      <c r="L591" s="544"/>
      <c r="M591" s="545"/>
    </row>
    <row r="592" spans="6:13" s="495" customFormat="1" x14ac:dyDescent="0.2">
      <c r="F592" s="544"/>
      <c r="G592" s="544"/>
      <c r="H592" s="544"/>
      <c r="I592" s="544"/>
      <c r="J592" s="544"/>
      <c r="K592" s="544"/>
      <c r="L592" s="544"/>
      <c r="M592" s="545"/>
    </row>
    <row r="593" spans="6:13" s="495" customFormat="1" x14ac:dyDescent="0.2">
      <c r="F593" s="544"/>
      <c r="G593" s="544"/>
      <c r="H593" s="544"/>
      <c r="I593" s="544"/>
      <c r="J593" s="544"/>
      <c r="K593" s="544"/>
      <c r="L593" s="544"/>
      <c r="M593" s="545"/>
    </row>
    <row r="594" spans="6:13" s="495" customFormat="1" x14ac:dyDescent="0.2">
      <c r="F594" s="544"/>
      <c r="G594" s="544"/>
      <c r="H594" s="544"/>
      <c r="I594" s="544"/>
      <c r="J594" s="544"/>
      <c r="K594" s="544"/>
      <c r="L594" s="544"/>
      <c r="M594" s="545"/>
    </row>
    <row r="595" spans="6:13" s="495" customFormat="1" x14ac:dyDescent="0.2">
      <c r="F595" s="544"/>
      <c r="G595" s="544"/>
      <c r="H595" s="544"/>
      <c r="I595" s="544"/>
      <c r="J595" s="544"/>
      <c r="K595" s="544"/>
      <c r="L595" s="544"/>
      <c r="M595" s="545"/>
    </row>
    <row r="596" spans="6:13" s="495" customFormat="1" x14ac:dyDescent="0.2">
      <c r="F596" s="544"/>
      <c r="G596" s="544"/>
      <c r="H596" s="544"/>
      <c r="I596" s="544"/>
      <c r="J596" s="544"/>
      <c r="K596" s="544"/>
      <c r="L596" s="544"/>
      <c r="M596" s="545"/>
    </row>
    <row r="597" spans="6:13" s="495" customFormat="1" x14ac:dyDescent="0.2">
      <c r="F597" s="544"/>
      <c r="G597" s="544"/>
      <c r="H597" s="544"/>
      <c r="I597" s="544"/>
      <c r="J597" s="544"/>
      <c r="K597" s="544"/>
      <c r="L597" s="544"/>
      <c r="M597" s="545"/>
    </row>
    <row r="598" spans="6:13" s="495" customFormat="1" x14ac:dyDescent="0.2">
      <c r="F598" s="544"/>
      <c r="G598" s="544"/>
      <c r="H598" s="544"/>
      <c r="I598" s="544"/>
      <c r="J598" s="544"/>
      <c r="K598" s="544"/>
      <c r="L598" s="544"/>
      <c r="M598" s="545"/>
    </row>
    <row r="599" spans="6:13" s="495" customFormat="1" x14ac:dyDescent="0.2">
      <c r="F599" s="544"/>
      <c r="G599" s="544"/>
      <c r="H599" s="544"/>
      <c r="I599" s="544"/>
      <c r="J599" s="544"/>
      <c r="K599" s="544"/>
      <c r="L599" s="544"/>
      <c r="M599" s="545"/>
    </row>
    <row r="600" spans="6:13" s="495" customFormat="1" x14ac:dyDescent="0.2">
      <c r="F600" s="544"/>
      <c r="G600" s="544"/>
      <c r="H600" s="544"/>
      <c r="I600" s="544"/>
      <c r="J600" s="544"/>
      <c r="K600" s="544"/>
      <c r="L600" s="544"/>
      <c r="M600" s="545"/>
    </row>
    <row r="601" spans="6:13" s="495" customFormat="1" x14ac:dyDescent="0.2">
      <c r="F601" s="544"/>
      <c r="G601" s="544"/>
      <c r="H601" s="544"/>
      <c r="I601" s="544"/>
      <c r="J601" s="544"/>
      <c r="K601" s="544"/>
      <c r="L601" s="544"/>
      <c r="M601" s="545"/>
    </row>
    <row r="602" spans="6:13" s="495" customFormat="1" x14ac:dyDescent="0.2">
      <c r="F602" s="544"/>
      <c r="G602" s="544"/>
      <c r="H602" s="544"/>
      <c r="I602" s="544"/>
      <c r="J602" s="544"/>
      <c r="K602" s="544"/>
      <c r="L602" s="544"/>
      <c r="M602" s="545"/>
    </row>
    <row r="603" spans="6:13" s="495" customFormat="1" x14ac:dyDescent="0.2">
      <c r="F603" s="544"/>
      <c r="G603" s="544"/>
      <c r="H603" s="544"/>
      <c r="I603" s="544"/>
      <c r="J603" s="544"/>
      <c r="K603" s="544"/>
      <c r="L603" s="544"/>
      <c r="M603" s="545"/>
    </row>
    <row r="604" spans="6:13" s="495" customFormat="1" x14ac:dyDescent="0.2">
      <c r="F604" s="544"/>
      <c r="G604" s="544"/>
      <c r="H604" s="544"/>
      <c r="I604" s="544"/>
      <c r="J604" s="544"/>
      <c r="K604" s="544"/>
      <c r="L604" s="544"/>
      <c r="M604" s="545"/>
    </row>
    <row r="605" spans="6:13" s="495" customFormat="1" x14ac:dyDescent="0.2">
      <c r="F605" s="544"/>
      <c r="G605" s="544"/>
      <c r="H605" s="544"/>
      <c r="I605" s="544"/>
      <c r="J605" s="544"/>
      <c r="K605" s="544"/>
      <c r="L605" s="544"/>
      <c r="M605" s="545"/>
    </row>
    <row r="606" spans="6:13" s="495" customFormat="1" x14ac:dyDescent="0.2">
      <c r="F606" s="544"/>
      <c r="G606" s="544"/>
      <c r="H606" s="544"/>
      <c r="I606" s="544"/>
      <c r="J606" s="544"/>
      <c r="K606" s="544"/>
      <c r="L606" s="544"/>
      <c r="M606" s="545"/>
    </row>
    <row r="607" spans="6:13" s="495" customFormat="1" x14ac:dyDescent="0.2">
      <c r="F607" s="544"/>
      <c r="G607" s="544"/>
      <c r="H607" s="544"/>
      <c r="I607" s="544"/>
      <c r="J607" s="544"/>
      <c r="K607" s="544"/>
      <c r="L607" s="544"/>
      <c r="M607" s="545"/>
    </row>
    <row r="608" spans="6:13" s="495" customFormat="1" x14ac:dyDescent="0.2">
      <c r="F608" s="544"/>
      <c r="G608" s="544"/>
      <c r="H608" s="544"/>
      <c r="I608" s="544"/>
      <c r="J608" s="544"/>
      <c r="K608" s="544"/>
      <c r="L608" s="544"/>
      <c r="M608" s="545"/>
    </row>
    <row r="609" spans="6:13" s="495" customFormat="1" x14ac:dyDescent="0.2">
      <c r="F609" s="544"/>
      <c r="G609" s="544"/>
      <c r="H609" s="544"/>
      <c r="I609" s="544"/>
      <c r="J609" s="544"/>
      <c r="K609" s="544"/>
      <c r="L609" s="544"/>
      <c r="M609" s="545"/>
    </row>
    <row r="610" spans="6:13" s="495" customFormat="1" x14ac:dyDescent="0.2">
      <c r="F610" s="544"/>
      <c r="G610" s="544"/>
      <c r="H610" s="544"/>
      <c r="I610" s="544"/>
      <c r="J610" s="544"/>
      <c r="K610" s="544"/>
      <c r="L610" s="544"/>
      <c r="M610" s="545"/>
    </row>
    <row r="611" spans="6:13" s="495" customFormat="1" x14ac:dyDescent="0.2">
      <c r="F611" s="544"/>
      <c r="G611" s="544"/>
      <c r="H611" s="544"/>
      <c r="I611" s="544"/>
      <c r="J611" s="544"/>
      <c r="K611" s="544"/>
      <c r="L611" s="544"/>
      <c r="M611" s="545"/>
    </row>
    <row r="612" spans="6:13" s="495" customFormat="1" x14ac:dyDescent="0.2">
      <c r="F612" s="544"/>
      <c r="G612" s="544"/>
      <c r="H612" s="544"/>
      <c r="I612" s="544"/>
      <c r="J612" s="544"/>
      <c r="K612" s="544"/>
      <c r="L612" s="544"/>
      <c r="M612" s="545"/>
    </row>
    <row r="613" spans="6:13" s="495" customFormat="1" x14ac:dyDescent="0.2">
      <c r="F613" s="544"/>
      <c r="G613" s="544"/>
      <c r="H613" s="544"/>
      <c r="I613" s="544"/>
      <c r="J613" s="544"/>
      <c r="K613" s="544"/>
      <c r="L613" s="544"/>
      <c r="M613" s="545"/>
    </row>
    <row r="614" spans="6:13" s="495" customFormat="1" x14ac:dyDescent="0.2">
      <c r="F614" s="544"/>
      <c r="G614" s="544"/>
      <c r="H614" s="544"/>
      <c r="I614" s="544"/>
      <c r="J614" s="544"/>
      <c r="K614" s="544"/>
      <c r="L614" s="544"/>
      <c r="M614" s="545"/>
    </row>
    <row r="615" spans="6:13" s="495" customFormat="1" x14ac:dyDescent="0.2">
      <c r="F615" s="544"/>
      <c r="G615" s="544"/>
      <c r="H615" s="544"/>
      <c r="I615" s="544"/>
      <c r="J615" s="544"/>
      <c r="K615" s="544"/>
      <c r="L615" s="544"/>
      <c r="M615" s="545"/>
    </row>
    <row r="616" spans="6:13" s="495" customFormat="1" x14ac:dyDescent="0.2">
      <c r="F616" s="544"/>
      <c r="G616" s="544"/>
      <c r="H616" s="544"/>
      <c r="I616" s="544"/>
      <c r="J616" s="544"/>
      <c r="K616" s="544"/>
      <c r="L616" s="544"/>
      <c r="M616" s="545"/>
    </row>
    <row r="617" spans="6:13" s="495" customFormat="1" x14ac:dyDescent="0.2">
      <c r="F617" s="544"/>
      <c r="G617" s="544"/>
      <c r="H617" s="544"/>
      <c r="I617" s="544"/>
      <c r="J617" s="544"/>
      <c r="K617" s="544"/>
      <c r="L617" s="544"/>
      <c r="M617" s="545"/>
    </row>
    <row r="618" spans="6:13" s="495" customFormat="1" x14ac:dyDescent="0.2">
      <c r="F618" s="544"/>
      <c r="G618" s="544"/>
      <c r="H618" s="544"/>
      <c r="I618" s="544"/>
      <c r="J618" s="544"/>
      <c r="K618" s="544"/>
      <c r="L618" s="544"/>
      <c r="M618" s="545"/>
    </row>
    <row r="619" spans="6:13" s="495" customFormat="1" x14ac:dyDescent="0.2">
      <c r="F619" s="544"/>
      <c r="G619" s="544"/>
      <c r="H619" s="544"/>
      <c r="I619" s="544"/>
      <c r="J619" s="544"/>
      <c r="K619" s="544"/>
      <c r="L619" s="544"/>
      <c r="M619" s="545"/>
    </row>
    <row r="620" spans="6:13" s="495" customFormat="1" x14ac:dyDescent="0.2">
      <c r="F620" s="544"/>
      <c r="G620" s="544"/>
      <c r="H620" s="544"/>
      <c r="I620" s="544"/>
      <c r="J620" s="544"/>
      <c r="K620" s="544"/>
      <c r="L620" s="544"/>
      <c r="M620" s="545"/>
    </row>
    <row r="621" spans="6:13" s="495" customFormat="1" x14ac:dyDescent="0.2">
      <c r="F621" s="544"/>
      <c r="G621" s="544"/>
      <c r="H621" s="544"/>
      <c r="I621" s="544"/>
      <c r="J621" s="544"/>
      <c r="K621" s="544"/>
      <c r="L621" s="544"/>
      <c r="M621" s="545"/>
    </row>
    <row r="622" spans="6:13" s="495" customFormat="1" x14ac:dyDescent="0.2">
      <c r="F622" s="544"/>
      <c r="G622" s="544"/>
      <c r="H622" s="544"/>
      <c r="I622" s="544"/>
      <c r="J622" s="544"/>
      <c r="K622" s="544"/>
      <c r="L622" s="544"/>
      <c r="M622" s="545"/>
    </row>
    <row r="623" spans="6:13" s="495" customFormat="1" x14ac:dyDescent="0.2">
      <c r="F623" s="544"/>
      <c r="G623" s="544"/>
      <c r="H623" s="544"/>
      <c r="I623" s="544"/>
      <c r="J623" s="544"/>
      <c r="K623" s="544"/>
      <c r="L623" s="544"/>
      <c r="M623" s="545"/>
    </row>
    <row r="624" spans="6:13" s="495" customFormat="1" x14ac:dyDescent="0.2">
      <c r="F624" s="544"/>
      <c r="G624" s="544"/>
      <c r="H624" s="544"/>
      <c r="I624" s="544"/>
      <c r="J624" s="544"/>
      <c r="K624" s="544"/>
      <c r="L624" s="544"/>
      <c r="M624" s="545"/>
    </row>
    <row r="625" spans="6:13" s="495" customFormat="1" x14ac:dyDescent="0.2">
      <c r="F625" s="544"/>
      <c r="G625" s="544"/>
      <c r="H625" s="544"/>
      <c r="I625" s="544"/>
      <c r="J625" s="544"/>
      <c r="K625" s="544"/>
      <c r="L625" s="544"/>
      <c r="M625" s="545"/>
    </row>
    <row r="626" spans="6:13" s="495" customFormat="1" x14ac:dyDescent="0.2">
      <c r="F626" s="544"/>
      <c r="G626" s="544"/>
      <c r="H626" s="544"/>
      <c r="I626" s="544"/>
      <c r="J626" s="544"/>
      <c r="K626" s="544"/>
      <c r="L626" s="544"/>
      <c r="M626" s="545"/>
    </row>
    <row r="627" spans="6:13" s="495" customFormat="1" x14ac:dyDescent="0.2">
      <c r="F627" s="544"/>
      <c r="G627" s="544"/>
      <c r="H627" s="544"/>
      <c r="I627" s="544"/>
      <c r="J627" s="544"/>
      <c r="K627" s="544"/>
      <c r="L627" s="544"/>
      <c r="M627" s="545"/>
    </row>
    <row r="628" spans="6:13" s="495" customFormat="1" x14ac:dyDescent="0.2">
      <c r="F628" s="544"/>
      <c r="G628" s="544"/>
      <c r="H628" s="544"/>
      <c r="I628" s="544"/>
      <c r="J628" s="544"/>
      <c r="K628" s="544"/>
      <c r="L628" s="544"/>
      <c r="M628" s="545"/>
    </row>
    <row r="629" spans="6:13" s="495" customFormat="1" x14ac:dyDescent="0.2">
      <c r="F629" s="544"/>
      <c r="G629" s="544"/>
      <c r="H629" s="544"/>
      <c r="I629" s="544"/>
      <c r="J629" s="544"/>
      <c r="K629" s="544"/>
      <c r="L629" s="544"/>
      <c r="M629" s="545"/>
    </row>
    <row r="630" spans="6:13" s="495" customFormat="1" x14ac:dyDescent="0.2">
      <c r="F630" s="544"/>
      <c r="G630" s="544"/>
      <c r="H630" s="544"/>
      <c r="I630" s="544"/>
      <c r="J630" s="544"/>
      <c r="K630" s="544"/>
      <c r="L630" s="544"/>
      <c r="M630" s="545"/>
    </row>
    <row r="631" spans="6:13" s="495" customFormat="1" x14ac:dyDescent="0.2">
      <c r="F631" s="544"/>
      <c r="G631" s="544"/>
      <c r="H631" s="544"/>
      <c r="I631" s="544"/>
      <c r="J631" s="544"/>
      <c r="K631" s="544"/>
      <c r="L631" s="544"/>
      <c r="M631" s="545"/>
    </row>
    <row r="632" spans="6:13" s="495" customFormat="1" x14ac:dyDescent="0.2">
      <c r="F632" s="544"/>
      <c r="G632" s="544"/>
      <c r="H632" s="544"/>
      <c r="I632" s="544"/>
      <c r="J632" s="544"/>
      <c r="K632" s="544"/>
      <c r="L632" s="544"/>
      <c r="M632" s="545"/>
    </row>
    <row r="633" spans="6:13" s="495" customFormat="1" x14ac:dyDescent="0.2">
      <c r="F633" s="544"/>
      <c r="G633" s="544"/>
      <c r="H633" s="544"/>
      <c r="I633" s="544"/>
      <c r="J633" s="544"/>
      <c r="K633" s="544"/>
      <c r="L633" s="544"/>
      <c r="M633" s="545"/>
    </row>
    <row r="634" spans="6:13" s="495" customFormat="1" x14ac:dyDescent="0.2">
      <c r="F634" s="544"/>
      <c r="G634" s="544"/>
      <c r="H634" s="544"/>
      <c r="I634" s="544"/>
      <c r="J634" s="544"/>
      <c r="K634" s="544"/>
      <c r="L634" s="544"/>
      <c r="M634" s="545"/>
    </row>
    <row r="635" spans="6:13" s="495" customFormat="1" x14ac:dyDescent="0.2">
      <c r="F635" s="544"/>
      <c r="G635" s="544"/>
      <c r="H635" s="544"/>
      <c r="I635" s="544"/>
      <c r="J635" s="544"/>
      <c r="K635" s="544"/>
      <c r="L635" s="544"/>
      <c r="M635" s="545"/>
    </row>
    <row r="636" spans="6:13" s="495" customFormat="1" x14ac:dyDescent="0.2">
      <c r="F636" s="544"/>
      <c r="G636" s="544"/>
      <c r="H636" s="544"/>
      <c r="I636" s="544"/>
      <c r="J636" s="544"/>
      <c r="K636" s="544"/>
      <c r="L636" s="544"/>
      <c r="M636" s="545"/>
    </row>
    <row r="637" spans="6:13" s="495" customFormat="1" x14ac:dyDescent="0.2">
      <c r="F637" s="544"/>
      <c r="G637" s="544"/>
      <c r="H637" s="544"/>
      <c r="I637" s="544"/>
      <c r="J637" s="544"/>
      <c r="K637" s="544"/>
      <c r="L637" s="544"/>
      <c r="M637" s="545"/>
    </row>
    <row r="638" spans="6:13" s="495" customFormat="1" x14ac:dyDescent="0.2">
      <c r="F638" s="544"/>
      <c r="G638" s="544"/>
      <c r="H638" s="544"/>
      <c r="I638" s="544"/>
      <c r="J638" s="544"/>
      <c r="K638" s="544"/>
      <c r="L638" s="544"/>
      <c r="M638" s="545"/>
    </row>
    <row r="639" spans="6:13" s="495" customFormat="1" x14ac:dyDescent="0.2">
      <c r="F639" s="544"/>
      <c r="G639" s="544"/>
      <c r="H639" s="544"/>
      <c r="I639" s="544"/>
      <c r="J639" s="544"/>
      <c r="K639" s="544"/>
      <c r="L639" s="544"/>
      <c r="M639" s="545"/>
    </row>
    <row r="640" spans="6:13" s="495" customFormat="1" x14ac:dyDescent="0.2">
      <c r="F640" s="544"/>
      <c r="G640" s="544"/>
      <c r="H640" s="544"/>
      <c r="I640" s="544"/>
      <c r="J640" s="544"/>
      <c r="K640" s="544"/>
      <c r="L640" s="544"/>
      <c r="M640" s="545"/>
    </row>
    <row r="641" spans="6:13" s="495" customFormat="1" x14ac:dyDescent="0.2">
      <c r="F641" s="544"/>
      <c r="G641" s="544"/>
      <c r="H641" s="544"/>
      <c r="I641" s="544"/>
      <c r="J641" s="544"/>
      <c r="K641" s="544"/>
      <c r="L641" s="544"/>
      <c r="M641" s="545"/>
    </row>
    <row r="642" spans="6:13" s="495" customFormat="1" x14ac:dyDescent="0.2">
      <c r="F642" s="544"/>
      <c r="G642" s="544"/>
      <c r="H642" s="544"/>
      <c r="I642" s="544"/>
      <c r="J642" s="544"/>
      <c r="K642" s="544"/>
      <c r="L642" s="544"/>
      <c r="M642" s="545"/>
    </row>
    <row r="643" spans="6:13" s="495" customFormat="1" x14ac:dyDescent="0.2">
      <c r="F643" s="544"/>
      <c r="G643" s="544"/>
      <c r="H643" s="544"/>
      <c r="I643" s="544"/>
      <c r="J643" s="544"/>
      <c r="K643" s="544"/>
      <c r="L643" s="544"/>
      <c r="M643" s="545"/>
    </row>
    <row r="644" spans="6:13" s="495" customFormat="1" x14ac:dyDescent="0.2">
      <c r="F644" s="544"/>
      <c r="G644" s="544"/>
      <c r="H644" s="544"/>
      <c r="I644" s="544"/>
      <c r="J644" s="544"/>
      <c r="K644" s="544"/>
      <c r="L644" s="544"/>
      <c r="M644" s="545"/>
    </row>
    <row r="645" spans="6:13" s="495" customFormat="1" x14ac:dyDescent="0.2">
      <c r="F645" s="544"/>
      <c r="G645" s="544"/>
      <c r="H645" s="544"/>
      <c r="I645" s="544"/>
      <c r="J645" s="544"/>
      <c r="K645" s="544"/>
      <c r="L645" s="544"/>
      <c r="M645" s="545"/>
    </row>
    <row r="646" spans="6:13" s="495" customFormat="1" x14ac:dyDescent="0.2">
      <c r="F646" s="544"/>
      <c r="G646" s="544"/>
      <c r="H646" s="544"/>
      <c r="I646" s="544"/>
      <c r="J646" s="544"/>
      <c r="K646" s="544"/>
      <c r="L646" s="544"/>
      <c r="M646" s="545"/>
    </row>
    <row r="647" spans="6:13" s="495" customFormat="1" x14ac:dyDescent="0.2">
      <c r="F647" s="544"/>
      <c r="G647" s="544"/>
      <c r="H647" s="544"/>
      <c r="I647" s="544"/>
      <c r="J647" s="544"/>
      <c r="K647" s="544"/>
      <c r="L647" s="544"/>
      <c r="M647" s="545"/>
    </row>
    <row r="648" spans="6:13" s="495" customFormat="1" x14ac:dyDescent="0.2">
      <c r="F648" s="544"/>
      <c r="G648" s="544"/>
      <c r="H648" s="544"/>
      <c r="I648" s="544"/>
      <c r="J648" s="544"/>
      <c r="K648" s="544"/>
      <c r="L648" s="544"/>
      <c r="M648" s="545"/>
    </row>
    <row r="649" spans="6:13" s="495" customFormat="1" x14ac:dyDescent="0.2">
      <c r="F649" s="544"/>
      <c r="G649" s="544"/>
      <c r="H649" s="544"/>
      <c r="I649" s="544"/>
      <c r="J649" s="544"/>
      <c r="K649" s="544"/>
      <c r="L649" s="544"/>
      <c r="M649" s="545"/>
    </row>
    <row r="650" spans="6:13" s="495" customFormat="1" x14ac:dyDescent="0.2">
      <c r="F650" s="544"/>
      <c r="G650" s="544"/>
      <c r="H650" s="544"/>
      <c r="I650" s="544"/>
      <c r="J650" s="544"/>
      <c r="K650" s="544"/>
      <c r="L650" s="544"/>
      <c r="M650" s="545"/>
    </row>
    <row r="651" spans="6:13" s="495" customFormat="1" x14ac:dyDescent="0.2">
      <c r="F651" s="544"/>
      <c r="G651" s="544"/>
      <c r="H651" s="544"/>
      <c r="I651" s="544"/>
      <c r="J651" s="544"/>
      <c r="K651" s="544"/>
      <c r="L651" s="544"/>
      <c r="M651" s="545"/>
    </row>
    <row r="652" spans="6:13" s="495" customFormat="1" x14ac:dyDescent="0.2">
      <c r="F652" s="544"/>
      <c r="G652" s="544"/>
      <c r="H652" s="544"/>
      <c r="I652" s="544"/>
      <c r="J652" s="544"/>
      <c r="K652" s="544"/>
      <c r="L652" s="544"/>
      <c r="M652" s="545"/>
    </row>
    <row r="653" spans="6:13" s="495" customFormat="1" x14ac:dyDescent="0.2">
      <c r="F653" s="544"/>
      <c r="G653" s="544"/>
      <c r="H653" s="544"/>
      <c r="I653" s="544"/>
      <c r="J653" s="544"/>
      <c r="K653" s="544"/>
      <c r="L653" s="544"/>
      <c r="M653" s="545"/>
    </row>
    <row r="654" spans="6:13" s="495" customFormat="1" x14ac:dyDescent="0.2">
      <c r="F654" s="544"/>
      <c r="G654" s="544"/>
      <c r="H654" s="544"/>
      <c r="I654" s="544"/>
      <c r="J654" s="544"/>
      <c r="K654" s="544"/>
      <c r="L654" s="544"/>
      <c r="M654" s="545"/>
    </row>
    <row r="655" spans="6:13" s="495" customFormat="1" x14ac:dyDescent="0.2">
      <c r="F655" s="544"/>
      <c r="G655" s="544"/>
      <c r="H655" s="544"/>
      <c r="I655" s="544"/>
      <c r="J655" s="544"/>
      <c r="K655" s="544"/>
      <c r="L655" s="544"/>
      <c r="M655" s="545"/>
    </row>
    <row r="656" spans="6:13" s="495" customFormat="1" x14ac:dyDescent="0.2">
      <c r="F656" s="544"/>
      <c r="G656" s="544"/>
      <c r="H656" s="544"/>
      <c r="I656" s="544"/>
      <c r="J656" s="544"/>
      <c r="K656" s="544"/>
      <c r="L656" s="544"/>
      <c r="M656" s="545"/>
    </row>
    <row r="657" spans="6:13" s="495" customFormat="1" x14ac:dyDescent="0.2">
      <c r="F657" s="544"/>
      <c r="G657" s="544"/>
      <c r="H657" s="544"/>
      <c r="I657" s="544"/>
      <c r="J657" s="544"/>
      <c r="K657" s="544"/>
      <c r="L657" s="544"/>
      <c r="M657" s="545"/>
    </row>
    <row r="658" spans="6:13" s="495" customFormat="1" x14ac:dyDescent="0.2">
      <c r="F658" s="544"/>
      <c r="G658" s="544"/>
      <c r="H658" s="544"/>
      <c r="I658" s="544"/>
      <c r="J658" s="544"/>
      <c r="K658" s="544"/>
      <c r="L658" s="544"/>
      <c r="M658" s="545"/>
    </row>
    <row r="659" spans="6:13" s="495" customFormat="1" x14ac:dyDescent="0.2">
      <c r="F659" s="544"/>
      <c r="G659" s="544"/>
      <c r="H659" s="544"/>
      <c r="I659" s="544"/>
      <c r="J659" s="544"/>
      <c r="K659" s="544"/>
      <c r="L659" s="544"/>
      <c r="M659" s="545"/>
    </row>
    <row r="660" spans="6:13" s="495" customFormat="1" x14ac:dyDescent="0.2">
      <c r="F660" s="544"/>
      <c r="G660" s="544"/>
      <c r="H660" s="544"/>
      <c r="I660" s="544"/>
      <c r="J660" s="544"/>
      <c r="K660" s="544"/>
      <c r="L660" s="544"/>
      <c r="M660" s="545"/>
    </row>
    <row r="661" spans="6:13" s="495" customFormat="1" x14ac:dyDescent="0.2">
      <c r="F661" s="544"/>
      <c r="G661" s="544"/>
      <c r="H661" s="544"/>
      <c r="I661" s="544"/>
      <c r="J661" s="544"/>
      <c r="K661" s="544"/>
      <c r="L661" s="544"/>
      <c r="M661" s="545"/>
    </row>
    <row r="662" spans="6:13" s="495" customFormat="1" x14ac:dyDescent="0.2">
      <c r="F662" s="544"/>
      <c r="G662" s="544"/>
      <c r="H662" s="544"/>
      <c r="I662" s="544"/>
      <c r="J662" s="544"/>
      <c r="K662" s="544"/>
      <c r="L662" s="544"/>
      <c r="M662" s="545"/>
    </row>
    <row r="663" spans="6:13" s="495" customFormat="1" x14ac:dyDescent="0.2">
      <c r="F663" s="544"/>
      <c r="G663" s="544"/>
      <c r="H663" s="544"/>
      <c r="I663" s="544"/>
      <c r="J663" s="544"/>
      <c r="K663" s="544"/>
      <c r="L663" s="544"/>
      <c r="M663" s="545"/>
    </row>
    <row r="664" spans="6:13" s="495" customFormat="1" x14ac:dyDescent="0.2">
      <c r="F664" s="544"/>
      <c r="G664" s="544"/>
      <c r="H664" s="544"/>
      <c r="I664" s="544"/>
      <c r="J664" s="544"/>
      <c r="K664" s="544"/>
      <c r="L664" s="544"/>
      <c r="M664" s="545"/>
    </row>
    <row r="665" spans="6:13" s="495" customFormat="1" x14ac:dyDescent="0.2">
      <c r="F665" s="544"/>
      <c r="G665" s="544"/>
      <c r="H665" s="544"/>
      <c r="I665" s="544"/>
      <c r="J665" s="544"/>
      <c r="K665" s="544"/>
      <c r="L665" s="544"/>
      <c r="M665" s="545"/>
    </row>
    <row r="666" spans="6:13" s="495" customFormat="1" x14ac:dyDescent="0.2">
      <c r="F666" s="544"/>
      <c r="G666" s="544"/>
      <c r="H666" s="544"/>
      <c r="I666" s="544"/>
      <c r="J666" s="544"/>
      <c r="K666" s="544"/>
      <c r="L666" s="544"/>
      <c r="M666" s="545"/>
    </row>
    <row r="667" spans="6:13" s="495" customFormat="1" x14ac:dyDescent="0.2">
      <c r="F667" s="544"/>
      <c r="G667" s="544"/>
      <c r="H667" s="544"/>
      <c r="I667" s="544"/>
      <c r="J667" s="544"/>
      <c r="K667" s="544"/>
      <c r="L667" s="544"/>
      <c r="M667" s="545"/>
    </row>
    <row r="668" spans="6:13" s="495" customFormat="1" x14ac:dyDescent="0.2">
      <c r="F668" s="544"/>
      <c r="G668" s="544"/>
      <c r="H668" s="544"/>
      <c r="I668" s="544"/>
      <c r="J668" s="544"/>
      <c r="K668" s="544"/>
      <c r="L668" s="544"/>
      <c r="M668" s="545"/>
    </row>
    <row r="669" spans="6:13" s="495" customFormat="1" x14ac:dyDescent="0.2">
      <c r="F669" s="544"/>
      <c r="G669" s="544"/>
      <c r="H669" s="544"/>
      <c r="I669" s="544"/>
      <c r="J669" s="544"/>
      <c r="K669" s="544"/>
      <c r="L669" s="544"/>
      <c r="M669" s="545"/>
    </row>
    <row r="670" spans="6:13" s="495" customFormat="1" x14ac:dyDescent="0.2">
      <c r="F670" s="544"/>
      <c r="G670" s="544"/>
      <c r="H670" s="544"/>
      <c r="I670" s="544"/>
      <c r="J670" s="544"/>
      <c r="K670" s="544"/>
      <c r="L670" s="544"/>
      <c r="M670" s="545"/>
    </row>
    <row r="671" spans="6:13" s="495" customFormat="1" x14ac:dyDescent="0.2">
      <c r="F671" s="544"/>
      <c r="G671" s="544"/>
      <c r="H671" s="544"/>
      <c r="I671" s="544"/>
      <c r="J671" s="544"/>
      <c r="K671" s="544"/>
      <c r="L671" s="544"/>
      <c r="M671" s="545"/>
    </row>
    <row r="672" spans="6:13" s="495" customFormat="1" x14ac:dyDescent="0.2">
      <c r="F672" s="544"/>
      <c r="G672" s="544"/>
      <c r="H672" s="544"/>
      <c r="I672" s="544"/>
      <c r="J672" s="544"/>
      <c r="K672" s="544"/>
      <c r="L672" s="544"/>
      <c r="M672" s="545"/>
    </row>
    <row r="673" spans="6:13" s="495" customFormat="1" x14ac:dyDescent="0.2">
      <c r="F673" s="544"/>
      <c r="G673" s="544"/>
      <c r="H673" s="544"/>
      <c r="I673" s="544"/>
      <c r="J673" s="544"/>
      <c r="K673" s="544"/>
      <c r="L673" s="544"/>
      <c r="M673" s="545"/>
    </row>
    <row r="674" spans="6:13" s="495" customFormat="1" x14ac:dyDescent="0.2">
      <c r="F674" s="544"/>
      <c r="G674" s="544"/>
      <c r="H674" s="544"/>
      <c r="I674" s="544"/>
      <c r="J674" s="544"/>
      <c r="K674" s="544"/>
      <c r="L674" s="544"/>
      <c r="M674" s="545"/>
    </row>
    <row r="675" spans="6:13" s="495" customFormat="1" x14ac:dyDescent="0.2">
      <c r="F675" s="544"/>
      <c r="G675" s="544"/>
      <c r="H675" s="544"/>
      <c r="I675" s="544"/>
      <c r="J675" s="544"/>
      <c r="K675" s="544"/>
      <c r="L675" s="544"/>
      <c r="M675" s="545"/>
    </row>
    <row r="676" spans="6:13" s="495" customFormat="1" x14ac:dyDescent="0.2">
      <c r="F676" s="544"/>
      <c r="G676" s="544"/>
      <c r="H676" s="544"/>
      <c r="I676" s="544"/>
      <c r="J676" s="544"/>
      <c r="K676" s="544"/>
      <c r="L676" s="544"/>
      <c r="M676" s="545"/>
    </row>
    <row r="677" spans="6:13" s="495" customFormat="1" x14ac:dyDescent="0.2">
      <c r="F677" s="544"/>
      <c r="G677" s="544"/>
      <c r="H677" s="544"/>
      <c r="I677" s="544"/>
      <c r="J677" s="544"/>
      <c r="K677" s="544"/>
      <c r="L677" s="544"/>
      <c r="M677" s="545"/>
    </row>
    <row r="678" spans="6:13" s="495" customFormat="1" x14ac:dyDescent="0.2">
      <c r="F678" s="544"/>
      <c r="G678" s="544"/>
      <c r="H678" s="544"/>
      <c r="I678" s="544"/>
      <c r="J678" s="544"/>
      <c r="K678" s="544"/>
      <c r="L678" s="544"/>
      <c r="M678" s="545"/>
    </row>
    <row r="679" spans="6:13" s="495" customFormat="1" x14ac:dyDescent="0.2">
      <c r="F679" s="544"/>
      <c r="G679" s="544"/>
      <c r="H679" s="544"/>
      <c r="I679" s="544"/>
      <c r="J679" s="544"/>
      <c r="K679" s="544"/>
      <c r="L679" s="544"/>
      <c r="M679" s="545"/>
    </row>
    <row r="680" spans="6:13" s="495" customFormat="1" x14ac:dyDescent="0.2">
      <c r="F680" s="544"/>
      <c r="G680" s="544"/>
      <c r="H680" s="544"/>
      <c r="I680" s="544"/>
      <c r="J680" s="544"/>
      <c r="K680" s="544"/>
      <c r="L680" s="544"/>
      <c r="M680" s="545"/>
    </row>
    <row r="681" spans="6:13" s="495" customFormat="1" x14ac:dyDescent="0.2">
      <c r="F681" s="544"/>
      <c r="G681" s="544"/>
      <c r="H681" s="544"/>
      <c r="I681" s="544"/>
      <c r="J681" s="544"/>
      <c r="K681" s="544"/>
      <c r="L681" s="544"/>
      <c r="M681" s="545"/>
    </row>
    <row r="682" spans="6:13" s="495" customFormat="1" x14ac:dyDescent="0.2">
      <c r="F682" s="544"/>
      <c r="G682" s="544"/>
      <c r="H682" s="544"/>
      <c r="I682" s="544"/>
      <c r="J682" s="544"/>
      <c r="K682" s="544"/>
      <c r="L682" s="544"/>
      <c r="M682" s="545"/>
    </row>
    <row r="683" spans="6:13" s="495" customFormat="1" x14ac:dyDescent="0.2">
      <c r="F683" s="544"/>
      <c r="G683" s="544"/>
      <c r="H683" s="544"/>
      <c r="I683" s="544"/>
      <c r="J683" s="544"/>
      <c r="K683" s="544"/>
      <c r="L683" s="544"/>
      <c r="M683" s="545"/>
    </row>
    <row r="684" spans="6:13" s="495" customFormat="1" x14ac:dyDescent="0.2">
      <c r="F684" s="544"/>
      <c r="G684" s="544"/>
      <c r="H684" s="544"/>
      <c r="I684" s="544"/>
      <c r="J684" s="544"/>
      <c r="K684" s="544"/>
      <c r="L684" s="544"/>
      <c r="M684" s="545"/>
    </row>
    <row r="685" spans="6:13" s="495" customFormat="1" x14ac:dyDescent="0.2">
      <c r="F685" s="544"/>
      <c r="G685" s="544"/>
      <c r="H685" s="544"/>
      <c r="I685" s="544"/>
      <c r="J685" s="544"/>
      <c r="K685" s="544"/>
      <c r="L685" s="544"/>
      <c r="M685" s="545"/>
    </row>
    <row r="686" spans="6:13" s="495" customFormat="1" x14ac:dyDescent="0.2">
      <c r="F686" s="544"/>
      <c r="G686" s="544"/>
      <c r="H686" s="544"/>
      <c r="I686" s="544"/>
      <c r="J686" s="544"/>
      <c r="K686" s="544"/>
      <c r="L686" s="544"/>
      <c r="M686" s="545"/>
    </row>
    <row r="687" spans="6:13" s="495" customFormat="1" x14ac:dyDescent="0.2">
      <c r="F687" s="544"/>
      <c r="G687" s="544"/>
      <c r="H687" s="544"/>
      <c r="I687" s="544"/>
      <c r="J687" s="544"/>
      <c r="K687" s="544"/>
      <c r="L687" s="544"/>
      <c r="M687" s="545"/>
    </row>
    <row r="688" spans="6:13" s="495" customFormat="1" x14ac:dyDescent="0.2">
      <c r="F688" s="544"/>
      <c r="G688" s="544"/>
      <c r="H688" s="544"/>
      <c r="I688" s="544"/>
      <c r="J688" s="544"/>
      <c r="K688" s="544"/>
      <c r="L688" s="544"/>
      <c r="M688" s="545"/>
    </row>
    <row r="689" spans="6:13" s="495" customFormat="1" x14ac:dyDescent="0.2">
      <c r="F689" s="544"/>
      <c r="G689" s="544"/>
      <c r="H689" s="544"/>
      <c r="I689" s="544"/>
      <c r="J689" s="544"/>
      <c r="K689" s="544"/>
      <c r="L689" s="544"/>
      <c r="M689" s="545"/>
    </row>
    <row r="690" spans="6:13" s="495" customFormat="1" x14ac:dyDescent="0.2">
      <c r="F690" s="544"/>
      <c r="G690" s="544"/>
      <c r="H690" s="544"/>
      <c r="I690" s="544"/>
      <c r="J690" s="544"/>
      <c r="K690" s="544"/>
      <c r="L690" s="544"/>
      <c r="M690" s="545"/>
    </row>
    <row r="691" spans="6:13" s="495" customFormat="1" x14ac:dyDescent="0.2">
      <c r="F691" s="544"/>
      <c r="G691" s="544"/>
      <c r="H691" s="544"/>
      <c r="I691" s="544"/>
      <c r="J691" s="544"/>
      <c r="K691" s="544"/>
      <c r="L691" s="544"/>
      <c r="M691" s="545"/>
    </row>
    <row r="692" spans="6:13" s="495" customFormat="1" x14ac:dyDescent="0.2">
      <c r="F692" s="544"/>
      <c r="G692" s="544"/>
      <c r="H692" s="544"/>
      <c r="I692" s="544"/>
      <c r="J692" s="544"/>
      <c r="K692" s="544"/>
      <c r="L692" s="544"/>
      <c r="M692" s="545"/>
    </row>
    <row r="693" spans="6:13" s="495" customFormat="1" x14ac:dyDescent="0.2">
      <c r="F693" s="544"/>
      <c r="G693" s="544"/>
      <c r="H693" s="544"/>
      <c r="I693" s="544"/>
      <c r="J693" s="544"/>
      <c r="K693" s="544"/>
      <c r="L693" s="544"/>
      <c r="M693" s="545"/>
    </row>
    <row r="694" spans="6:13" s="495" customFormat="1" x14ac:dyDescent="0.2">
      <c r="F694" s="544"/>
      <c r="G694" s="544"/>
      <c r="H694" s="544"/>
      <c r="I694" s="544"/>
      <c r="J694" s="544"/>
      <c r="K694" s="544"/>
      <c r="L694" s="544"/>
      <c r="M694" s="545"/>
    </row>
    <row r="695" spans="6:13" s="495" customFormat="1" x14ac:dyDescent="0.2">
      <c r="F695" s="544"/>
      <c r="G695" s="544"/>
      <c r="H695" s="544"/>
      <c r="I695" s="544"/>
      <c r="J695" s="544"/>
      <c r="K695" s="544"/>
      <c r="L695" s="544"/>
      <c r="M695" s="545"/>
    </row>
    <row r="696" spans="6:13" s="495" customFormat="1" x14ac:dyDescent="0.2">
      <c r="F696" s="544"/>
      <c r="G696" s="544"/>
      <c r="H696" s="544"/>
      <c r="I696" s="544"/>
      <c r="J696" s="544"/>
      <c r="K696" s="544"/>
      <c r="L696" s="544"/>
      <c r="M696" s="545"/>
    </row>
    <row r="697" spans="6:13" s="495" customFormat="1" x14ac:dyDescent="0.2">
      <c r="F697" s="544"/>
      <c r="G697" s="544"/>
      <c r="H697" s="544"/>
      <c r="I697" s="544"/>
      <c r="J697" s="544"/>
      <c r="K697" s="544"/>
      <c r="L697" s="544"/>
      <c r="M697" s="545"/>
    </row>
    <row r="698" spans="6:13" s="495" customFormat="1" x14ac:dyDescent="0.2">
      <c r="F698" s="544"/>
      <c r="G698" s="544"/>
      <c r="H698" s="544"/>
      <c r="I698" s="544"/>
      <c r="J698" s="544"/>
      <c r="K698" s="544"/>
      <c r="L698" s="544"/>
      <c r="M698" s="545"/>
    </row>
    <row r="699" spans="6:13" s="495" customFormat="1" x14ac:dyDescent="0.2">
      <c r="F699" s="544"/>
      <c r="G699" s="544"/>
      <c r="H699" s="544"/>
      <c r="I699" s="544"/>
      <c r="J699" s="544"/>
      <c r="K699" s="544"/>
      <c r="L699" s="544"/>
      <c r="M699" s="545"/>
    </row>
    <row r="700" spans="6:13" s="495" customFormat="1" x14ac:dyDescent="0.2">
      <c r="F700" s="544"/>
      <c r="G700" s="544"/>
      <c r="H700" s="544"/>
      <c r="I700" s="544"/>
      <c r="J700" s="544"/>
      <c r="K700" s="544"/>
      <c r="L700" s="544"/>
      <c r="M700" s="545"/>
    </row>
    <row r="701" spans="6:13" s="495" customFormat="1" x14ac:dyDescent="0.2">
      <c r="F701" s="544"/>
      <c r="G701" s="544"/>
      <c r="H701" s="544"/>
      <c r="I701" s="544"/>
      <c r="J701" s="544"/>
      <c r="K701" s="544"/>
      <c r="L701" s="544"/>
      <c r="M701" s="545"/>
    </row>
    <row r="702" spans="6:13" s="495" customFormat="1" x14ac:dyDescent="0.2">
      <c r="F702" s="544"/>
      <c r="G702" s="544"/>
      <c r="H702" s="544"/>
      <c r="I702" s="544"/>
      <c r="J702" s="544"/>
      <c r="K702" s="544"/>
      <c r="L702" s="544"/>
      <c r="M702" s="545"/>
    </row>
    <row r="703" spans="6:13" s="495" customFormat="1" x14ac:dyDescent="0.2">
      <c r="F703" s="544"/>
      <c r="G703" s="544"/>
      <c r="H703" s="544"/>
      <c r="I703" s="544"/>
      <c r="J703" s="544"/>
      <c r="K703" s="544"/>
      <c r="L703" s="544"/>
      <c r="M703" s="545"/>
    </row>
    <row r="704" spans="6:13" s="495" customFormat="1" x14ac:dyDescent="0.2">
      <c r="F704" s="544"/>
      <c r="G704" s="544"/>
      <c r="H704" s="544"/>
      <c r="I704" s="544"/>
      <c r="J704" s="544"/>
      <c r="K704" s="544"/>
      <c r="L704" s="544"/>
      <c r="M704" s="545"/>
    </row>
    <row r="705" spans="6:13" s="495" customFormat="1" x14ac:dyDescent="0.2">
      <c r="F705" s="544"/>
      <c r="G705" s="544"/>
      <c r="H705" s="544"/>
      <c r="I705" s="544"/>
      <c r="J705" s="544"/>
      <c r="K705" s="544"/>
      <c r="L705" s="544"/>
      <c r="M705" s="545"/>
    </row>
    <row r="706" spans="6:13" s="495" customFormat="1" x14ac:dyDescent="0.2">
      <c r="F706" s="544"/>
      <c r="G706" s="544"/>
      <c r="H706" s="544"/>
      <c r="I706" s="544"/>
      <c r="J706" s="544"/>
      <c r="K706" s="544"/>
      <c r="L706" s="544"/>
      <c r="M706" s="545"/>
    </row>
    <row r="707" spans="6:13" s="495" customFormat="1" x14ac:dyDescent="0.2">
      <c r="F707" s="544"/>
      <c r="G707" s="544"/>
      <c r="H707" s="544"/>
      <c r="I707" s="544"/>
      <c r="J707" s="544"/>
      <c r="K707" s="544"/>
      <c r="L707" s="544"/>
      <c r="M707" s="545"/>
    </row>
    <row r="708" spans="6:13" s="495" customFormat="1" x14ac:dyDescent="0.2">
      <c r="F708" s="544"/>
      <c r="G708" s="544"/>
      <c r="H708" s="544"/>
      <c r="I708" s="544"/>
      <c r="J708" s="544"/>
      <c r="K708" s="544"/>
      <c r="L708" s="544"/>
      <c r="M708" s="545"/>
    </row>
    <row r="709" spans="6:13" s="495" customFormat="1" x14ac:dyDescent="0.2">
      <c r="F709" s="544"/>
      <c r="G709" s="544"/>
      <c r="H709" s="544"/>
      <c r="I709" s="544"/>
      <c r="J709" s="544"/>
      <c r="K709" s="544"/>
      <c r="L709" s="544"/>
      <c r="M709" s="545"/>
    </row>
    <row r="710" spans="6:13" s="495" customFormat="1" x14ac:dyDescent="0.2">
      <c r="F710" s="544"/>
      <c r="G710" s="544"/>
      <c r="H710" s="544"/>
      <c r="I710" s="544"/>
      <c r="J710" s="544"/>
      <c r="K710" s="544"/>
      <c r="L710" s="544"/>
      <c r="M710" s="545"/>
    </row>
    <row r="711" spans="6:13" s="495" customFormat="1" x14ac:dyDescent="0.2">
      <c r="F711" s="544"/>
      <c r="G711" s="544"/>
      <c r="H711" s="544"/>
      <c r="I711" s="544"/>
      <c r="J711" s="544"/>
      <c r="K711" s="544"/>
      <c r="L711" s="544"/>
      <c r="M711" s="545"/>
    </row>
    <row r="712" spans="6:13" s="495" customFormat="1" x14ac:dyDescent="0.2">
      <c r="F712" s="544"/>
      <c r="G712" s="544"/>
      <c r="H712" s="544"/>
      <c r="I712" s="544"/>
      <c r="J712" s="544"/>
      <c r="K712" s="544"/>
      <c r="L712" s="544"/>
      <c r="M712" s="545"/>
    </row>
    <row r="713" spans="6:13" s="495" customFormat="1" x14ac:dyDescent="0.2">
      <c r="F713" s="544"/>
      <c r="G713" s="544"/>
      <c r="H713" s="544"/>
      <c r="I713" s="544"/>
      <c r="J713" s="544"/>
      <c r="K713" s="544"/>
      <c r="L713" s="544"/>
      <c r="M713" s="545"/>
    </row>
    <row r="714" spans="6:13" s="495" customFormat="1" x14ac:dyDescent="0.2">
      <c r="F714" s="544"/>
      <c r="G714" s="544"/>
      <c r="H714" s="544"/>
      <c r="I714" s="544"/>
      <c r="J714" s="544"/>
      <c r="K714" s="544"/>
      <c r="L714" s="544"/>
      <c r="M714" s="545"/>
    </row>
    <row r="715" spans="6:13" s="495" customFormat="1" x14ac:dyDescent="0.2">
      <c r="F715" s="544"/>
      <c r="G715" s="544"/>
      <c r="H715" s="544"/>
      <c r="I715" s="544"/>
      <c r="J715" s="544"/>
      <c r="K715" s="544"/>
      <c r="L715" s="544"/>
      <c r="M715" s="545"/>
    </row>
    <row r="716" spans="6:13" s="495" customFormat="1" x14ac:dyDescent="0.2">
      <c r="F716" s="544"/>
      <c r="G716" s="544"/>
      <c r="H716" s="544"/>
      <c r="I716" s="544"/>
      <c r="J716" s="544"/>
      <c r="K716" s="544"/>
      <c r="L716" s="544"/>
      <c r="M716" s="545"/>
    </row>
    <row r="717" spans="6:13" s="495" customFormat="1" x14ac:dyDescent="0.2">
      <c r="F717" s="544"/>
      <c r="G717" s="544"/>
      <c r="H717" s="544"/>
      <c r="I717" s="544"/>
      <c r="J717" s="544"/>
      <c r="K717" s="544"/>
      <c r="L717" s="544"/>
      <c r="M717" s="545"/>
    </row>
    <row r="718" spans="6:13" s="495" customFormat="1" x14ac:dyDescent="0.2">
      <c r="F718" s="544"/>
      <c r="G718" s="544"/>
      <c r="H718" s="544"/>
      <c r="I718" s="544"/>
      <c r="J718" s="544"/>
      <c r="K718" s="544"/>
      <c r="L718" s="544"/>
      <c r="M718" s="545"/>
    </row>
    <row r="719" spans="6:13" s="495" customFormat="1" x14ac:dyDescent="0.2">
      <c r="F719" s="544"/>
      <c r="G719" s="544"/>
      <c r="H719" s="544"/>
      <c r="I719" s="544"/>
      <c r="J719" s="544"/>
      <c r="K719" s="544"/>
      <c r="L719" s="544"/>
      <c r="M719" s="545"/>
    </row>
    <row r="720" spans="6:13" s="495" customFormat="1" x14ac:dyDescent="0.2">
      <c r="F720" s="544"/>
      <c r="G720" s="544"/>
      <c r="H720" s="544"/>
      <c r="I720" s="544"/>
      <c r="J720" s="544"/>
      <c r="K720" s="544"/>
      <c r="L720" s="544"/>
      <c r="M720" s="545"/>
    </row>
    <row r="721" spans="6:13" s="495" customFormat="1" x14ac:dyDescent="0.2">
      <c r="F721" s="544"/>
      <c r="G721" s="544"/>
      <c r="H721" s="544"/>
      <c r="I721" s="544"/>
      <c r="J721" s="544"/>
      <c r="K721" s="544"/>
      <c r="L721" s="544"/>
      <c r="M721" s="545"/>
    </row>
    <row r="722" spans="6:13" s="495" customFormat="1" x14ac:dyDescent="0.2">
      <c r="F722" s="544"/>
      <c r="G722" s="544"/>
      <c r="H722" s="544"/>
      <c r="I722" s="544"/>
      <c r="J722" s="544"/>
      <c r="K722" s="544"/>
      <c r="L722" s="544"/>
      <c r="M722" s="545"/>
    </row>
    <row r="723" spans="6:13" s="495" customFormat="1" x14ac:dyDescent="0.2">
      <c r="F723" s="544"/>
      <c r="G723" s="544"/>
      <c r="H723" s="544"/>
      <c r="I723" s="544"/>
      <c r="J723" s="544"/>
      <c r="K723" s="544"/>
      <c r="L723" s="544"/>
      <c r="M723" s="545"/>
    </row>
    <row r="724" spans="6:13" s="495" customFormat="1" x14ac:dyDescent="0.2">
      <c r="F724" s="544"/>
      <c r="G724" s="544"/>
      <c r="H724" s="544"/>
      <c r="I724" s="544"/>
      <c r="J724" s="544"/>
      <c r="K724" s="544"/>
      <c r="L724" s="544"/>
      <c r="M724" s="545"/>
    </row>
    <row r="725" spans="6:13" s="495" customFormat="1" x14ac:dyDescent="0.2">
      <c r="F725" s="544"/>
      <c r="G725" s="544"/>
      <c r="H725" s="544"/>
      <c r="I725" s="544"/>
      <c r="J725" s="544"/>
      <c r="K725" s="544"/>
      <c r="L725" s="544"/>
      <c r="M725" s="545"/>
    </row>
    <row r="726" spans="6:13" s="495" customFormat="1" x14ac:dyDescent="0.2">
      <c r="F726" s="544"/>
      <c r="G726" s="544"/>
      <c r="H726" s="544"/>
      <c r="I726" s="544"/>
      <c r="J726" s="544"/>
      <c r="K726" s="544"/>
      <c r="L726" s="544"/>
      <c r="M726" s="545"/>
    </row>
    <row r="727" spans="6:13" s="495" customFormat="1" x14ac:dyDescent="0.2">
      <c r="F727" s="544"/>
      <c r="G727" s="544"/>
      <c r="H727" s="544"/>
      <c r="I727" s="544"/>
      <c r="J727" s="544"/>
      <c r="K727" s="544"/>
      <c r="L727" s="544"/>
      <c r="M727" s="545"/>
    </row>
    <row r="728" spans="6:13" s="495" customFormat="1" x14ac:dyDescent="0.2">
      <c r="F728" s="544"/>
      <c r="G728" s="544"/>
      <c r="H728" s="544"/>
      <c r="I728" s="544"/>
      <c r="J728" s="544"/>
      <c r="K728" s="544"/>
      <c r="L728" s="544"/>
      <c r="M728" s="545"/>
    </row>
    <row r="729" spans="6:13" s="495" customFormat="1" x14ac:dyDescent="0.2">
      <c r="F729" s="544"/>
      <c r="G729" s="544"/>
      <c r="H729" s="544"/>
      <c r="I729" s="544"/>
      <c r="J729" s="544"/>
      <c r="K729" s="544"/>
      <c r="L729" s="544"/>
      <c r="M729" s="545"/>
    </row>
    <row r="730" spans="6:13" s="495" customFormat="1" x14ac:dyDescent="0.2">
      <c r="F730" s="544"/>
      <c r="G730" s="544"/>
      <c r="H730" s="544"/>
      <c r="I730" s="544"/>
      <c r="J730" s="544"/>
      <c r="K730" s="544"/>
      <c r="L730" s="544"/>
      <c r="M730" s="545"/>
    </row>
    <row r="731" spans="6:13" s="495" customFormat="1" x14ac:dyDescent="0.2">
      <c r="F731" s="544"/>
      <c r="G731" s="544"/>
      <c r="H731" s="544"/>
      <c r="I731" s="544"/>
      <c r="J731" s="544"/>
      <c r="K731" s="544"/>
      <c r="L731" s="544"/>
      <c r="M731" s="545"/>
    </row>
    <row r="732" spans="6:13" s="495" customFormat="1" x14ac:dyDescent="0.2">
      <c r="F732" s="544"/>
      <c r="G732" s="544"/>
      <c r="H732" s="544"/>
      <c r="I732" s="544"/>
      <c r="J732" s="544"/>
      <c r="K732" s="544"/>
      <c r="L732" s="544"/>
      <c r="M732" s="545"/>
    </row>
    <row r="733" spans="6:13" s="495" customFormat="1" x14ac:dyDescent="0.2">
      <c r="F733" s="544"/>
      <c r="G733" s="544"/>
      <c r="H733" s="544"/>
      <c r="I733" s="544"/>
      <c r="J733" s="544"/>
      <c r="K733" s="544"/>
      <c r="L733" s="544"/>
      <c r="M733" s="545"/>
    </row>
    <row r="734" spans="6:13" s="495" customFormat="1" x14ac:dyDescent="0.2">
      <c r="F734" s="544"/>
      <c r="G734" s="544"/>
      <c r="H734" s="544"/>
      <c r="I734" s="544"/>
      <c r="J734" s="544"/>
      <c r="K734" s="544"/>
      <c r="L734" s="544"/>
      <c r="M734" s="545"/>
    </row>
    <row r="735" spans="6:13" s="495" customFormat="1" x14ac:dyDescent="0.2">
      <c r="F735" s="544"/>
      <c r="G735" s="544"/>
      <c r="H735" s="544"/>
      <c r="I735" s="544"/>
      <c r="J735" s="544"/>
      <c r="K735" s="544"/>
      <c r="L735" s="544"/>
      <c r="M735" s="545"/>
    </row>
    <row r="736" spans="6:13" s="495" customFormat="1" x14ac:dyDescent="0.2">
      <c r="F736" s="544"/>
      <c r="G736" s="544"/>
      <c r="H736" s="544"/>
      <c r="I736" s="544"/>
      <c r="J736" s="544"/>
      <c r="K736" s="544"/>
      <c r="L736" s="544"/>
      <c r="M736" s="545"/>
    </row>
    <row r="737" spans="6:13" s="495" customFormat="1" x14ac:dyDescent="0.2">
      <c r="F737" s="544"/>
      <c r="G737" s="544"/>
      <c r="H737" s="544"/>
      <c r="I737" s="544"/>
      <c r="J737" s="544"/>
      <c r="K737" s="544"/>
      <c r="L737" s="544"/>
      <c r="M737" s="545"/>
    </row>
    <row r="738" spans="6:13" s="495" customFormat="1" x14ac:dyDescent="0.2">
      <c r="F738" s="544"/>
      <c r="G738" s="544"/>
      <c r="H738" s="544"/>
      <c r="I738" s="544"/>
      <c r="J738" s="544"/>
      <c r="K738" s="544"/>
      <c r="L738" s="544"/>
      <c r="M738" s="545"/>
    </row>
    <row r="739" spans="6:13" s="495" customFormat="1" x14ac:dyDescent="0.2">
      <c r="F739" s="544"/>
      <c r="G739" s="544"/>
      <c r="H739" s="544"/>
      <c r="I739" s="544"/>
      <c r="J739" s="544"/>
      <c r="K739" s="544"/>
      <c r="L739" s="544"/>
      <c r="M739" s="545"/>
    </row>
    <row r="740" spans="6:13" s="495" customFormat="1" x14ac:dyDescent="0.2">
      <c r="F740" s="544"/>
      <c r="G740" s="544"/>
      <c r="H740" s="544"/>
      <c r="I740" s="544"/>
      <c r="J740" s="544"/>
      <c r="K740" s="544"/>
      <c r="L740" s="544"/>
      <c r="M740" s="545"/>
    </row>
    <row r="741" spans="6:13" s="495" customFormat="1" x14ac:dyDescent="0.2">
      <c r="F741" s="544"/>
      <c r="G741" s="544"/>
      <c r="H741" s="544"/>
      <c r="I741" s="544"/>
      <c r="J741" s="544"/>
      <c r="K741" s="544"/>
      <c r="L741" s="544"/>
      <c r="M741" s="545"/>
    </row>
    <row r="742" spans="6:13" s="495" customFormat="1" x14ac:dyDescent="0.2">
      <c r="F742" s="544"/>
      <c r="G742" s="544"/>
      <c r="H742" s="544"/>
      <c r="I742" s="544"/>
      <c r="J742" s="544"/>
      <c r="K742" s="544"/>
      <c r="L742" s="544"/>
      <c r="M742" s="545"/>
    </row>
    <row r="743" spans="6:13" s="495" customFormat="1" x14ac:dyDescent="0.2">
      <c r="F743" s="544"/>
      <c r="G743" s="544"/>
      <c r="H743" s="544"/>
      <c r="I743" s="544"/>
      <c r="J743" s="544"/>
      <c r="K743" s="544"/>
      <c r="L743" s="544"/>
      <c r="M743" s="545"/>
    </row>
    <row r="744" spans="6:13" s="495" customFormat="1" x14ac:dyDescent="0.2">
      <c r="F744" s="544"/>
      <c r="G744" s="544"/>
      <c r="H744" s="544"/>
      <c r="I744" s="544"/>
      <c r="J744" s="544"/>
      <c r="K744" s="544"/>
      <c r="L744" s="544"/>
      <c r="M744" s="545"/>
    </row>
    <row r="745" spans="6:13" s="495" customFormat="1" x14ac:dyDescent="0.2">
      <c r="F745" s="544"/>
      <c r="G745" s="544"/>
      <c r="H745" s="544"/>
      <c r="I745" s="544"/>
      <c r="J745" s="544"/>
      <c r="K745" s="544"/>
      <c r="L745" s="544"/>
      <c r="M745" s="545"/>
    </row>
    <row r="746" spans="6:13" s="495" customFormat="1" x14ac:dyDescent="0.2">
      <c r="F746" s="544"/>
      <c r="G746" s="544"/>
      <c r="H746" s="544"/>
      <c r="I746" s="544"/>
      <c r="J746" s="544"/>
      <c r="K746" s="544"/>
      <c r="L746" s="544"/>
      <c r="M746" s="545"/>
    </row>
    <row r="747" spans="6:13" s="495" customFormat="1" x14ac:dyDescent="0.2">
      <c r="F747" s="544"/>
      <c r="G747" s="544"/>
      <c r="H747" s="544"/>
      <c r="I747" s="544"/>
      <c r="J747" s="544"/>
      <c r="K747" s="544"/>
      <c r="L747" s="544"/>
      <c r="M747" s="545"/>
    </row>
    <row r="748" spans="6:13" s="495" customFormat="1" x14ac:dyDescent="0.2">
      <c r="F748" s="544"/>
      <c r="G748" s="544"/>
      <c r="H748" s="544"/>
      <c r="I748" s="544"/>
      <c r="J748" s="544"/>
      <c r="K748" s="544"/>
      <c r="L748" s="544"/>
      <c r="M748" s="545"/>
    </row>
    <row r="749" spans="6:13" s="495" customFormat="1" x14ac:dyDescent="0.2">
      <c r="F749" s="544"/>
      <c r="G749" s="544"/>
      <c r="H749" s="544"/>
      <c r="I749" s="544"/>
      <c r="J749" s="544"/>
      <c r="K749" s="544"/>
      <c r="L749" s="544"/>
      <c r="M749" s="545"/>
    </row>
    <row r="750" spans="6:13" s="495" customFormat="1" x14ac:dyDescent="0.2">
      <c r="F750" s="544"/>
      <c r="G750" s="544"/>
      <c r="H750" s="544"/>
      <c r="I750" s="544"/>
      <c r="J750" s="544"/>
      <c r="K750" s="544"/>
      <c r="L750" s="544"/>
      <c r="M750" s="545"/>
    </row>
    <row r="751" spans="6:13" s="495" customFormat="1" x14ac:dyDescent="0.2">
      <c r="F751" s="544"/>
      <c r="G751" s="544"/>
      <c r="H751" s="544"/>
      <c r="I751" s="544"/>
      <c r="J751" s="544"/>
      <c r="K751" s="544"/>
      <c r="L751" s="544"/>
      <c r="M751" s="545"/>
    </row>
    <row r="752" spans="6:13" s="495" customFormat="1" x14ac:dyDescent="0.2">
      <c r="F752" s="544"/>
      <c r="G752" s="544"/>
      <c r="H752" s="544"/>
      <c r="I752" s="544"/>
      <c r="J752" s="544"/>
      <c r="K752" s="544"/>
      <c r="L752" s="544"/>
      <c r="M752" s="545"/>
    </row>
    <row r="753" spans="6:13" s="495" customFormat="1" x14ac:dyDescent="0.2">
      <c r="F753" s="544"/>
      <c r="G753" s="544"/>
      <c r="H753" s="544"/>
      <c r="I753" s="544"/>
      <c r="J753" s="544"/>
      <c r="K753" s="544"/>
      <c r="L753" s="544"/>
      <c r="M753" s="545"/>
    </row>
    <row r="754" spans="6:13" s="495" customFormat="1" x14ac:dyDescent="0.2">
      <c r="F754" s="544"/>
      <c r="G754" s="544"/>
      <c r="H754" s="544"/>
      <c r="I754" s="544"/>
      <c r="J754" s="544"/>
      <c r="K754" s="544"/>
      <c r="L754" s="544"/>
      <c r="M754" s="545"/>
    </row>
    <row r="755" spans="6:13" s="495" customFormat="1" x14ac:dyDescent="0.2">
      <c r="F755" s="544"/>
      <c r="G755" s="544"/>
      <c r="H755" s="544"/>
      <c r="I755" s="544"/>
      <c r="J755" s="544"/>
      <c r="K755" s="544"/>
      <c r="L755" s="544"/>
      <c r="M755" s="545"/>
    </row>
    <row r="756" spans="6:13" s="495" customFormat="1" x14ac:dyDescent="0.2">
      <c r="F756" s="544"/>
      <c r="G756" s="544"/>
      <c r="H756" s="544"/>
      <c r="I756" s="544"/>
      <c r="J756" s="544"/>
      <c r="K756" s="544"/>
      <c r="L756" s="544"/>
      <c r="M756" s="545"/>
    </row>
    <row r="757" spans="6:13" s="495" customFormat="1" x14ac:dyDescent="0.2">
      <c r="F757" s="544"/>
      <c r="G757" s="544"/>
      <c r="H757" s="544"/>
      <c r="I757" s="544"/>
      <c r="J757" s="544"/>
      <c r="K757" s="544"/>
      <c r="L757" s="544"/>
      <c r="M757" s="545"/>
    </row>
    <row r="758" spans="6:13" s="495" customFormat="1" x14ac:dyDescent="0.2">
      <c r="F758" s="544"/>
      <c r="G758" s="544"/>
      <c r="H758" s="544"/>
      <c r="I758" s="544"/>
      <c r="J758" s="544"/>
      <c r="K758" s="544"/>
      <c r="L758" s="544"/>
      <c r="M758" s="545"/>
    </row>
    <row r="759" spans="6:13" s="495" customFormat="1" x14ac:dyDescent="0.2">
      <c r="F759" s="544"/>
      <c r="G759" s="544"/>
      <c r="H759" s="544"/>
      <c r="I759" s="544"/>
      <c r="J759" s="544"/>
      <c r="K759" s="544"/>
      <c r="L759" s="544"/>
      <c r="M759" s="545"/>
    </row>
    <row r="760" spans="6:13" s="495" customFormat="1" x14ac:dyDescent="0.2">
      <c r="F760" s="544"/>
      <c r="G760" s="544"/>
      <c r="H760" s="544"/>
      <c r="I760" s="544"/>
      <c r="J760" s="544"/>
      <c r="K760" s="544"/>
      <c r="L760" s="544"/>
      <c r="M760" s="545"/>
    </row>
    <row r="761" spans="6:13" s="495" customFormat="1" x14ac:dyDescent="0.2">
      <c r="F761" s="544"/>
      <c r="G761" s="544"/>
      <c r="H761" s="544"/>
      <c r="I761" s="544"/>
      <c r="J761" s="544"/>
      <c r="K761" s="544"/>
      <c r="L761" s="544"/>
      <c r="M761" s="545"/>
    </row>
    <row r="762" spans="6:13" s="495" customFormat="1" x14ac:dyDescent="0.2">
      <c r="F762" s="544"/>
      <c r="G762" s="544"/>
      <c r="H762" s="544"/>
      <c r="I762" s="544"/>
      <c r="J762" s="544"/>
      <c r="K762" s="544"/>
      <c r="L762" s="544"/>
      <c r="M762" s="545"/>
    </row>
    <row r="763" spans="6:13" s="495" customFormat="1" x14ac:dyDescent="0.2">
      <c r="F763" s="544"/>
      <c r="G763" s="544"/>
      <c r="H763" s="544"/>
      <c r="I763" s="544"/>
      <c r="J763" s="544"/>
      <c r="K763" s="544"/>
      <c r="L763" s="544"/>
      <c r="M763" s="545"/>
    </row>
    <row r="764" spans="6:13" s="495" customFormat="1" x14ac:dyDescent="0.2">
      <c r="F764" s="544"/>
      <c r="G764" s="544"/>
      <c r="H764" s="544"/>
      <c r="I764" s="544"/>
      <c r="J764" s="544"/>
      <c r="K764" s="544"/>
      <c r="L764" s="544"/>
      <c r="M764" s="545"/>
    </row>
    <row r="765" spans="6:13" s="495" customFormat="1" x14ac:dyDescent="0.2">
      <c r="F765" s="544"/>
      <c r="G765" s="544"/>
      <c r="H765" s="544"/>
      <c r="I765" s="544"/>
      <c r="J765" s="544"/>
      <c r="K765" s="544"/>
      <c r="L765" s="544"/>
      <c r="M765" s="545"/>
    </row>
    <row r="766" spans="6:13" s="495" customFormat="1" x14ac:dyDescent="0.2">
      <c r="F766" s="544"/>
      <c r="G766" s="544"/>
      <c r="H766" s="544"/>
      <c r="I766" s="544"/>
      <c r="J766" s="544"/>
      <c r="K766" s="544"/>
      <c r="L766" s="544"/>
      <c r="M766" s="545"/>
    </row>
    <row r="767" spans="6:13" s="495" customFormat="1" x14ac:dyDescent="0.2">
      <c r="F767" s="544"/>
      <c r="G767" s="544"/>
      <c r="H767" s="544"/>
      <c r="I767" s="544"/>
      <c r="J767" s="544"/>
      <c r="K767" s="544"/>
      <c r="L767" s="544"/>
      <c r="M767" s="545"/>
    </row>
    <row r="768" spans="6:13" s="495" customFormat="1" x14ac:dyDescent="0.2">
      <c r="F768" s="544"/>
      <c r="G768" s="544"/>
      <c r="H768" s="544"/>
      <c r="I768" s="544"/>
      <c r="J768" s="544"/>
      <c r="K768" s="544"/>
      <c r="L768" s="544"/>
      <c r="M768" s="545"/>
    </row>
    <row r="769" spans="6:13" s="495" customFormat="1" x14ac:dyDescent="0.2">
      <c r="F769" s="544"/>
      <c r="G769" s="544"/>
      <c r="H769" s="544"/>
      <c r="I769" s="544"/>
      <c r="J769" s="544"/>
      <c r="K769" s="544"/>
      <c r="L769" s="544"/>
      <c r="M769" s="545"/>
    </row>
    <row r="770" spans="6:13" s="495" customFormat="1" x14ac:dyDescent="0.2">
      <c r="F770" s="544"/>
      <c r="G770" s="544"/>
      <c r="H770" s="544"/>
      <c r="I770" s="544"/>
      <c r="J770" s="544"/>
      <c r="K770" s="544"/>
      <c r="L770" s="544"/>
      <c r="M770" s="545"/>
    </row>
    <row r="771" spans="6:13" s="495" customFormat="1" x14ac:dyDescent="0.2">
      <c r="F771" s="544"/>
      <c r="G771" s="544"/>
      <c r="H771" s="544"/>
      <c r="I771" s="544"/>
      <c r="J771" s="544"/>
      <c r="K771" s="544"/>
      <c r="L771" s="544"/>
      <c r="M771" s="545"/>
    </row>
    <row r="772" spans="6:13" s="495" customFormat="1" x14ac:dyDescent="0.2">
      <c r="F772" s="544"/>
      <c r="G772" s="544"/>
      <c r="H772" s="544"/>
      <c r="I772" s="544"/>
      <c r="J772" s="544"/>
      <c r="K772" s="544"/>
      <c r="L772" s="544"/>
      <c r="M772" s="545"/>
    </row>
    <row r="773" spans="6:13" s="495" customFormat="1" x14ac:dyDescent="0.2">
      <c r="F773" s="544"/>
      <c r="G773" s="544"/>
      <c r="H773" s="544"/>
      <c r="I773" s="544"/>
      <c r="J773" s="544"/>
      <c r="K773" s="544"/>
      <c r="L773" s="544"/>
      <c r="M773" s="545"/>
    </row>
    <row r="774" spans="6:13" s="495" customFormat="1" x14ac:dyDescent="0.2">
      <c r="F774" s="544"/>
      <c r="G774" s="544"/>
      <c r="H774" s="544"/>
      <c r="I774" s="544"/>
      <c r="J774" s="544"/>
      <c r="K774" s="544"/>
      <c r="L774" s="544"/>
      <c r="M774" s="545"/>
    </row>
    <row r="775" spans="6:13" s="495" customFormat="1" x14ac:dyDescent="0.2">
      <c r="F775" s="544"/>
      <c r="G775" s="544"/>
      <c r="H775" s="544"/>
      <c r="I775" s="544"/>
      <c r="J775" s="544"/>
      <c r="K775" s="544"/>
      <c r="L775" s="544"/>
      <c r="M775" s="545"/>
    </row>
    <row r="776" spans="6:13" s="495" customFormat="1" x14ac:dyDescent="0.2">
      <c r="F776" s="544"/>
      <c r="G776" s="544"/>
      <c r="H776" s="544"/>
      <c r="I776" s="544"/>
      <c r="J776" s="544"/>
      <c r="K776" s="544"/>
      <c r="L776" s="544"/>
      <c r="M776" s="545"/>
    </row>
    <row r="777" spans="6:13" s="495" customFormat="1" x14ac:dyDescent="0.2">
      <c r="F777" s="544"/>
      <c r="G777" s="544"/>
      <c r="H777" s="544"/>
      <c r="I777" s="544"/>
      <c r="J777" s="544"/>
      <c r="K777" s="544"/>
      <c r="L777" s="544"/>
      <c r="M777" s="545"/>
    </row>
    <row r="778" spans="6:13" s="495" customFormat="1" x14ac:dyDescent="0.2">
      <c r="F778" s="544"/>
      <c r="G778" s="544"/>
      <c r="H778" s="544"/>
      <c r="I778" s="544"/>
      <c r="J778" s="544"/>
      <c r="K778" s="544"/>
      <c r="L778" s="544"/>
      <c r="M778" s="545"/>
    </row>
    <row r="779" spans="6:13" s="495" customFormat="1" x14ac:dyDescent="0.2">
      <c r="F779" s="544"/>
      <c r="G779" s="544"/>
      <c r="H779" s="544"/>
      <c r="I779" s="544"/>
      <c r="J779" s="544"/>
      <c r="K779" s="544"/>
      <c r="L779" s="544"/>
      <c r="M779" s="545"/>
    </row>
    <row r="780" spans="6:13" s="495" customFormat="1" x14ac:dyDescent="0.2">
      <c r="F780" s="544"/>
      <c r="G780" s="544"/>
      <c r="H780" s="544"/>
      <c r="I780" s="544"/>
      <c r="J780" s="544"/>
      <c r="K780" s="544"/>
      <c r="L780" s="544"/>
      <c r="M780" s="545"/>
    </row>
    <row r="781" spans="6:13" s="495" customFormat="1" x14ac:dyDescent="0.2">
      <c r="F781" s="544"/>
      <c r="G781" s="544"/>
      <c r="H781" s="544"/>
      <c r="I781" s="544"/>
      <c r="J781" s="544"/>
      <c r="K781" s="544"/>
      <c r="L781" s="544"/>
      <c r="M781" s="545"/>
    </row>
    <row r="782" spans="6:13" s="495" customFormat="1" x14ac:dyDescent="0.2">
      <c r="F782" s="544"/>
      <c r="G782" s="544"/>
      <c r="H782" s="544"/>
      <c r="I782" s="544"/>
      <c r="J782" s="544"/>
      <c r="K782" s="544"/>
      <c r="L782" s="544"/>
      <c r="M782" s="545"/>
    </row>
    <row r="783" spans="6:13" s="495" customFormat="1" x14ac:dyDescent="0.2">
      <c r="F783" s="544"/>
      <c r="G783" s="544"/>
      <c r="H783" s="544"/>
      <c r="I783" s="544"/>
      <c r="J783" s="544"/>
      <c r="K783" s="544"/>
      <c r="L783" s="544"/>
      <c r="M783" s="545"/>
    </row>
    <row r="784" spans="6:13" s="495" customFormat="1" x14ac:dyDescent="0.2">
      <c r="F784" s="544"/>
      <c r="G784" s="544"/>
      <c r="H784" s="544"/>
      <c r="I784" s="544"/>
      <c r="J784" s="544"/>
      <c r="K784" s="544"/>
      <c r="L784" s="544"/>
      <c r="M784" s="545"/>
    </row>
    <row r="785" spans="6:13" s="495" customFormat="1" x14ac:dyDescent="0.2">
      <c r="F785" s="544"/>
      <c r="G785" s="544"/>
      <c r="H785" s="544"/>
      <c r="I785" s="544"/>
      <c r="J785" s="544"/>
      <c r="K785" s="544"/>
      <c r="L785" s="544"/>
      <c r="M785" s="545"/>
    </row>
    <row r="786" spans="6:13" s="495" customFormat="1" x14ac:dyDescent="0.2">
      <c r="F786" s="544"/>
      <c r="G786" s="544"/>
      <c r="H786" s="544"/>
      <c r="I786" s="544"/>
      <c r="J786" s="544"/>
      <c r="K786" s="544"/>
      <c r="L786" s="544"/>
      <c r="M786" s="545"/>
    </row>
    <row r="787" spans="6:13" s="495" customFormat="1" x14ac:dyDescent="0.2">
      <c r="F787" s="544"/>
      <c r="G787" s="544"/>
      <c r="H787" s="544"/>
      <c r="I787" s="544"/>
      <c r="J787" s="544"/>
      <c r="K787" s="544"/>
      <c r="L787" s="544"/>
      <c r="M787" s="545"/>
    </row>
    <row r="788" spans="6:13" s="495" customFormat="1" x14ac:dyDescent="0.2">
      <c r="F788" s="544"/>
      <c r="G788" s="544"/>
      <c r="H788" s="544"/>
      <c r="I788" s="544"/>
      <c r="J788" s="544"/>
      <c r="K788" s="544"/>
      <c r="L788" s="544"/>
      <c r="M788" s="545"/>
    </row>
    <row r="789" spans="6:13" s="495" customFormat="1" x14ac:dyDescent="0.2">
      <c r="F789" s="544"/>
      <c r="G789" s="544"/>
      <c r="H789" s="544"/>
      <c r="I789" s="544"/>
      <c r="J789" s="544"/>
      <c r="K789" s="544"/>
      <c r="L789" s="544"/>
      <c r="M789" s="545"/>
    </row>
    <row r="790" spans="6:13" s="495" customFormat="1" x14ac:dyDescent="0.2">
      <c r="F790" s="544"/>
      <c r="G790" s="544"/>
      <c r="H790" s="544"/>
      <c r="I790" s="544"/>
      <c r="J790" s="544"/>
      <c r="K790" s="544"/>
      <c r="L790" s="544"/>
      <c r="M790" s="545"/>
    </row>
    <row r="791" spans="6:13" s="495" customFormat="1" x14ac:dyDescent="0.2">
      <c r="F791" s="544"/>
      <c r="G791" s="544"/>
      <c r="H791" s="544"/>
      <c r="I791" s="544"/>
      <c r="J791" s="544"/>
      <c r="K791" s="544"/>
      <c r="L791" s="544"/>
      <c r="M791" s="545"/>
    </row>
    <row r="792" spans="6:13" s="495" customFormat="1" x14ac:dyDescent="0.2">
      <c r="F792" s="544"/>
      <c r="G792" s="544"/>
      <c r="H792" s="544"/>
      <c r="I792" s="544"/>
      <c r="J792" s="544"/>
      <c r="K792" s="544"/>
      <c r="L792" s="544"/>
      <c r="M792" s="545"/>
    </row>
    <row r="793" spans="6:13" s="495" customFormat="1" x14ac:dyDescent="0.2">
      <c r="F793" s="544"/>
      <c r="G793" s="544"/>
      <c r="H793" s="544"/>
      <c r="I793" s="544"/>
      <c r="J793" s="544"/>
      <c r="K793" s="544"/>
      <c r="L793" s="544"/>
      <c r="M793" s="545"/>
    </row>
    <row r="794" spans="6:13" s="495" customFormat="1" x14ac:dyDescent="0.2">
      <c r="F794" s="544"/>
      <c r="G794" s="544"/>
      <c r="H794" s="544"/>
      <c r="I794" s="544"/>
      <c r="J794" s="544"/>
      <c r="K794" s="544"/>
      <c r="L794" s="544"/>
      <c r="M794" s="545"/>
    </row>
    <row r="795" spans="6:13" s="495" customFormat="1" x14ac:dyDescent="0.2">
      <c r="F795" s="544"/>
      <c r="G795" s="544"/>
      <c r="H795" s="544"/>
      <c r="I795" s="544"/>
      <c r="J795" s="544"/>
      <c r="K795" s="544"/>
      <c r="L795" s="544"/>
      <c r="M795" s="545"/>
    </row>
    <row r="796" spans="6:13" s="495" customFormat="1" x14ac:dyDescent="0.2">
      <c r="F796" s="544"/>
      <c r="G796" s="544"/>
      <c r="H796" s="544"/>
      <c r="I796" s="544"/>
      <c r="J796" s="544"/>
      <c r="K796" s="544"/>
      <c r="L796" s="544"/>
      <c r="M796" s="545"/>
    </row>
    <row r="797" spans="6:13" s="495" customFormat="1" x14ac:dyDescent="0.2">
      <c r="F797" s="544"/>
      <c r="G797" s="544"/>
      <c r="H797" s="544"/>
      <c r="I797" s="544"/>
      <c r="J797" s="544"/>
      <c r="K797" s="544"/>
      <c r="L797" s="544"/>
      <c r="M797" s="545"/>
    </row>
    <row r="798" spans="6:13" s="495" customFormat="1" x14ac:dyDescent="0.2">
      <c r="F798" s="544"/>
      <c r="G798" s="544"/>
      <c r="H798" s="544"/>
      <c r="I798" s="544"/>
      <c r="J798" s="544"/>
      <c r="K798" s="544"/>
      <c r="L798" s="544"/>
      <c r="M798" s="545"/>
    </row>
    <row r="799" spans="6:13" s="495" customFormat="1" x14ac:dyDescent="0.2">
      <c r="F799" s="544"/>
      <c r="G799" s="544"/>
      <c r="H799" s="544"/>
      <c r="I799" s="544"/>
      <c r="J799" s="544"/>
      <c r="K799" s="544"/>
      <c r="L799" s="544"/>
      <c r="M799" s="545"/>
    </row>
    <row r="800" spans="6:13" s="495" customFormat="1" x14ac:dyDescent="0.2">
      <c r="F800" s="544"/>
      <c r="G800" s="544"/>
      <c r="H800" s="544"/>
      <c r="I800" s="544"/>
      <c r="J800" s="544"/>
      <c r="K800" s="544"/>
      <c r="L800" s="544"/>
      <c r="M800" s="545"/>
    </row>
    <row r="801" spans="6:13" s="495" customFormat="1" x14ac:dyDescent="0.2">
      <c r="F801" s="544"/>
      <c r="G801" s="544"/>
      <c r="H801" s="544"/>
      <c r="I801" s="544"/>
      <c r="J801" s="544"/>
      <c r="K801" s="544"/>
      <c r="L801" s="544"/>
      <c r="M801" s="545"/>
    </row>
    <row r="802" spans="6:13" s="495" customFormat="1" x14ac:dyDescent="0.2">
      <c r="F802" s="544"/>
      <c r="G802" s="544"/>
      <c r="H802" s="544"/>
      <c r="I802" s="544"/>
      <c r="J802" s="544"/>
      <c r="K802" s="544"/>
      <c r="L802" s="544"/>
      <c r="M802" s="545"/>
    </row>
    <row r="803" spans="6:13" s="495" customFormat="1" x14ac:dyDescent="0.2">
      <c r="F803" s="544"/>
      <c r="G803" s="544"/>
      <c r="H803" s="544"/>
      <c r="I803" s="544"/>
      <c r="J803" s="544"/>
      <c r="K803" s="544"/>
      <c r="L803" s="544"/>
      <c r="M803" s="545"/>
    </row>
    <row r="804" spans="6:13" s="495" customFormat="1" x14ac:dyDescent="0.2">
      <c r="F804" s="544"/>
      <c r="G804" s="544"/>
      <c r="H804" s="544"/>
      <c r="I804" s="544"/>
      <c r="J804" s="544"/>
      <c r="K804" s="544"/>
      <c r="L804" s="544"/>
      <c r="M804" s="545"/>
    </row>
    <row r="805" spans="6:13" s="495" customFormat="1" x14ac:dyDescent="0.2">
      <c r="F805" s="544"/>
      <c r="G805" s="544"/>
      <c r="H805" s="544"/>
      <c r="I805" s="544"/>
      <c r="J805" s="544"/>
      <c r="K805" s="544"/>
      <c r="L805" s="544"/>
      <c r="M805" s="545"/>
    </row>
    <row r="806" spans="6:13" s="495" customFormat="1" x14ac:dyDescent="0.2">
      <c r="F806" s="544"/>
      <c r="G806" s="544"/>
      <c r="H806" s="544"/>
      <c r="I806" s="544"/>
      <c r="J806" s="544"/>
      <c r="K806" s="544"/>
      <c r="L806" s="544"/>
      <c r="M806" s="545"/>
    </row>
    <row r="807" spans="6:13" s="495" customFormat="1" x14ac:dyDescent="0.2">
      <c r="F807" s="544"/>
      <c r="G807" s="544"/>
      <c r="H807" s="544"/>
      <c r="I807" s="544"/>
      <c r="J807" s="544"/>
      <c r="K807" s="544"/>
      <c r="L807" s="544"/>
      <c r="M807" s="545"/>
    </row>
    <row r="808" spans="6:13" s="495" customFormat="1" x14ac:dyDescent="0.2">
      <c r="F808" s="544"/>
      <c r="G808" s="544"/>
      <c r="H808" s="544"/>
      <c r="I808" s="544"/>
      <c r="J808" s="544"/>
      <c r="K808" s="544"/>
      <c r="L808" s="544"/>
      <c r="M808" s="545"/>
    </row>
    <row r="809" spans="6:13" s="495" customFormat="1" x14ac:dyDescent="0.2">
      <c r="F809" s="544"/>
      <c r="G809" s="544"/>
      <c r="H809" s="544"/>
      <c r="I809" s="544"/>
      <c r="J809" s="544"/>
      <c r="K809" s="544"/>
      <c r="L809" s="544"/>
      <c r="M809" s="545"/>
    </row>
    <row r="810" spans="6:13" s="495" customFormat="1" x14ac:dyDescent="0.2">
      <c r="F810" s="544"/>
      <c r="G810" s="544"/>
      <c r="H810" s="544"/>
      <c r="I810" s="544"/>
      <c r="J810" s="544"/>
      <c r="K810" s="544"/>
      <c r="L810" s="544"/>
      <c r="M810" s="545"/>
    </row>
    <row r="811" spans="6:13" s="495" customFormat="1" x14ac:dyDescent="0.2">
      <c r="F811" s="544"/>
      <c r="G811" s="544"/>
      <c r="H811" s="544"/>
      <c r="I811" s="544"/>
      <c r="J811" s="544"/>
      <c r="K811" s="544"/>
      <c r="L811" s="544"/>
      <c r="M811" s="545"/>
    </row>
    <row r="812" spans="6:13" s="495" customFormat="1" x14ac:dyDescent="0.2">
      <c r="F812" s="544"/>
      <c r="G812" s="544"/>
      <c r="H812" s="544"/>
      <c r="I812" s="544"/>
      <c r="J812" s="544"/>
      <c r="K812" s="544"/>
      <c r="L812" s="544"/>
      <c r="M812" s="545"/>
    </row>
    <row r="813" spans="6:13" s="495" customFormat="1" x14ac:dyDescent="0.2">
      <c r="F813" s="544"/>
      <c r="G813" s="544"/>
      <c r="H813" s="544"/>
      <c r="I813" s="544"/>
      <c r="J813" s="544"/>
      <c r="K813" s="544"/>
      <c r="L813" s="544"/>
      <c r="M813" s="545"/>
    </row>
    <row r="814" spans="6:13" s="495" customFormat="1" x14ac:dyDescent="0.2">
      <c r="F814" s="544"/>
      <c r="G814" s="544"/>
      <c r="H814" s="544"/>
      <c r="I814" s="544"/>
      <c r="J814" s="544"/>
      <c r="K814" s="544"/>
      <c r="L814" s="544"/>
      <c r="M814" s="545"/>
    </row>
    <row r="815" spans="6:13" s="495" customFormat="1" x14ac:dyDescent="0.2">
      <c r="F815" s="544"/>
      <c r="G815" s="544"/>
      <c r="H815" s="544"/>
      <c r="I815" s="544"/>
      <c r="J815" s="544"/>
      <c r="K815" s="544"/>
      <c r="L815" s="544"/>
      <c r="M815" s="545"/>
    </row>
    <row r="816" spans="6:13" s="495" customFormat="1" x14ac:dyDescent="0.2">
      <c r="F816" s="544"/>
      <c r="G816" s="544"/>
      <c r="H816" s="544"/>
      <c r="I816" s="544"/>
      <c r="J816" s="544"/>
      <c r="K816" s="544"/>
      <c r="L816" s="544"/>
      <c r="M816" s="545"/>
    </row>
    <row r="817" spans="6:13" s="495" customFormat="1" x14ac:dyDescent="0.2">
      <c r="F817" s="544"/>
      <c r="G817" s="544"/>
      <c r="H817" s="544"/>
      <c r="I817" s="544"/>
      <c r="J817" s="544"/>
      <c r="K817" s="544"/>
      <c r="L817" s="544"/>
      <c r="M817" s="545"/>
    </row>
    <row r="818" spans="6:13" s="495" customFormat="1" x14ac:dyDescent="0.2">
      <c r="F818" s="544"/>
      <c r="G818" s="544"/>
      <c r="H818" s="544"/>
      <c r="I818" s="544"/>
      <c r="J818" s="544"/>
      <c r="K818" s="544"/>
      <c r="L818" s="544"/>
      <c r="M818" s="545"/>
    </row>
    <row r="819" spans="6:13" s="495" customFormat="1" x14ac:dyDescent="0.2">
      <c r="F819" s="544"/>
      <c r="G819" s="544"/>
      <c r="H819" s="544"/>
      <c r="I819" s="544"/>
      <c r="J819" s="544"/>
      <c r="K819" s="544"/>
      <c r="L819" s="544"/>
      <c r="M819" s="545"/>
    </row>
    <row r="820" spans="6:13" s="495" customFormat="1" x14ac:dyDescent="0.2">
      <c r="F820" s="544"/>
      <c r="G820" s="544"/>
      <c r="H820" s="544"/>
      <c r="I820" s="544"/>
      <c r="J820" s="544"/>
      <c r="K820" s="544"/>
      <c r="L820" s="544"/>
      <c r="M820" s="545"/>
    </row>
    <row r="821" spans="6:13" s="495" customFormat="1" x14ac:dyDescent="0.2">
      <c r="F821" s="544"/>
      <c r="G821" s="544"/>
      <c r="H821" s="544"/>
      <c r="I821" s="544"/>
      <c r="J821" s="544"/>
      <c r="K821" s="544"/>
      <c r="L821" s="544"/>
      <c r="M821" s="545"/>
    </row>
    <row r="822" spans="6:13" s="495" customFormat="1" x14ac:dyDescent="0.2">
      <c r="F822" s="544"/>
      <c r="G822" s="544"/>
      <c r="H822" s="544"/>
      <c r="I822" s="544"/>
      <c r="J822" s="544"/>
      <c r="K822" s="544"/>
      <c r="L822" s="544"/>
      <c r="M822" s="545"/>
    </row>
    <row r="823" spans="6:13" s="495" customFormat="1" x14ac:dyDescent="0.2">
      <c r="F823" s="544"/>
      <c r="G823" s="544"/>
      <c r="H823" s="544"/>
      <c r="I823" s="544"/>
      <c r="J823" s="544"/>
      <c r="K823" s="544"/>
      <c r="L823" s="544"/>
      <c r="M823" s="545"/>
    </row>
    <row r="824" spans="6:13" s="495" customFormat="1" x14ac:dyDescent="0.2">
      <c r="F824" s="544"/>
      <c r="G824" s="544"/>
      <c r="H824" s="544"/>
      <c r="I824" s="544"/>
      <c r="J824" s="544"/>
      <c r="K824" s="544"/>
      <c r="L824" s="544"/>
      <c r="M824" s="545"/>
    </row>
    <row r="825" spans="6:13" s="495" customFormat="1" x14ac:dyDescent="0.2">
      <c r="F825" s="544"/>
      <c r="G825" s="544"/>
      <c r="H825" s="544"/>
      <c r="I825" s="544"/>
      <c r="J825" s="544"/>
      <c r="K825" s="544"/>
      <c r="L825" s="544"/>
      <c r="M825" s="545"/>
    </row>
    <row r="826" spans="6:13" s="495" customFormat="1" x14ac:dyDescent="0.2">
      <c r="F826" s="544"/>
      <c r="G826" s="544"/>
      <c r="H826" s="544"/>
      <c r="I826" s="544"/>
      <c r="J826" s="544"/>
      <c r="K826" s="544"/>
      <c r="L826" s="544"/>
      <c r="M826" s="545"/>
    </row>
    <row r="827" spans="6:13" s="495" customFormat="1" x14ac:dyDescent="0.2">
      <c r="F827" s="544"/>
      <c r="G827" s="544"/>
      <c r="H827" s="544"/>
      <c r="I827" s="544"/>
      <c r="J827" s="544"/>
      <c r="K827" s="544"/>
      <c r="L827" s="544"/>
      <c r="M827" s="545"/>
    </row>
    <row r="828" spans="6:13" s="495" customFormat="1" x14ac:dyDescent="0.2">
      <c r="F828" s="544"/>
      <c r="G828" s="544"/>
      <c r="H828" s="544"/>
      <c r="I828" s="544"/>
      <c r="J828" s="544"/>
      <c r="K828" s="544"/>
      <c r="L828" s="544"/>
      <c r="M828" s="545"/>
    </row>
    <row r="829" spans="6:13" s="495" customFormat="1" x14ac:dyDescent="0.2">
      <c r="F829" s="544"/>
      <c r="G829" s="544"/>
      <c r="H829" s="544"/>
      <c r="I829" s="544"/>
      <c r="J829" s="544"/>
      <c r="K829" s="544"/>
      <c r="L829" s="544"/>
      <c r="M829" s="545"/>
    </row>
    <row r="830" spans="6:13" s="495" customFormat="1" x14ac:dyDescent="0.2">
      <c r="F830" s="544"/>
      <c r="G830" s="544"/>
      <c r="H830" s="544"/>
      <c r="I830" s="544"/>
      <c r="J830" s="544"/>
      <c r="K830" s="544"/>
      <c r="L830" s="544"/>
      <c r="M830" s="545"/>
    </row>
    <row r="831" spans="6:13" s="495" customFormat="1" x14ac:dyDescent="0.2">
      <c r="F831" s="544"/>
      <c r="G831" s="544"/>
      <c r="H831" s="544"/>
      <c r="I831" s="544"/>
      <c r="J831" s="544"/>
      <c r="K831" s="544"/>
      <c r="L831" s="544"/>
      <c r="M831" s="545"/>
    </row>
    <row r="832" spans="6:13" s="495" customFormat="1" x14ac:dyDescent="0.2">
      <c r="F832" s="544"/>
      <c r="G832" s="544"/>
      <c r="H832" s="544"/>
      <c r="I832" s="544"/>
      <c r="J832" s="544"/>
      <c r="K832" s="544"/>
      <c r="L832" s="544"/>
      <c r="M832" s="545"/>
    </row>
    <row r="833" spans="6:13" s="495" customFormat="1" x14ac:dyDescent="0.2">
      <c r="F833" s="544"/>
      <c r="G833" s="544"/>
      <c r="H833" s="544"/>
      <c r="I833" s="544"/>
      <c r="J833" s="544"/>
      <c r="K833" s="544"/>
      <c r="L833" s="544"/>
      <c r="M833" s="545"/>
    </row>
    <row r="834" spans="6:13" s="495" customFormat="1" x14ac:dyDescent="0.2">
      <c r="F834" s="544"/>
      <c r="G834" s="544"/>
      <c r="H834" s="544"/>
      <c r="I834" s="544"/>
      <c r="J834" s="544"/>
      <c r="K834" s="544"/>
      <c r="L834" s="544"/>
      <c r="M834" s="545"/>
    </row>
    <row r="835" spans="6:13" s="495" customFormat="1" x14ac:dyDescent="0.2">
      <c r="F835" s="544"/>
      <c r="G835" s="544"/>
      <c r="H835" s="544"/>
      <c r="I835" s="544"/>
      <c r="J835" s="544"/>
      <c r="K835" s="544"/>
      <c r="L835" s="544"/>
      <c r="M835" s="545"/>
    </row>
    <row r="836" spans="6:13" s="495" customFormat="1" x14ac:dyDescent="0.2">
      <c r="F836" s="544"/>
      <c r="G836" s="544"/>
      <c r="H836" s="544"/>
      <c r="I836" s="544"/>
      <c r="J836" s="544"/>
      <c r="K836" s="544"/>
      <c r="L836" s="544"/>
      <c r="M836" s="545"/>
    </row>
    <row r="837" spans="6:13" s="495" customFormat="1" x14ac:dyDescent="0.2">
      <c r="F837" s="544"/>
      <c r="G837" s="544"/>
      <c r="H837" s="544"/>
      <c r="I837" s="544"/>
      <c r="J837" s="544"/>
      <c r="K837" s="544"/>
      <c r="L837" s="544"/>
      <c r="M837" s="545"/>
    </row>
    <row r="838" spans="6:13" s="495" customFormat="1" x14ac:dyDescent="0.2">
      <c r="F838" s="544"/>
      <c r="G838" s="544"/>
      <c r="H838" s="544"/>
      <c r="I838" s="544"/>
      <c r="J838" s="544"/>
      <c r="K838" s="544"/>
      <c r="L838" s="544"/>
      <c r="M838" s="545"/>
    </row>
    <row r="839" spans="6:13" s="495" customFormat="1" x14ac:dyDescent="0.2">
      <c r="F839" s="544"/>
      <c r="G839" s="544"/>
      <c r="H839" s="544"/>
      <c r="I839" s="544"/>
      <c r="J839" s="544"/>
      <c r="K839" s="544"/>
      <c r="L839" s="544"/>
      <c r="M839" s="545"/>
    </row>
    <row r="840" spans="6:13" s="495" customFormat="1" x14ac:dyDescent="0.2">
      <c r="F840" s="544"/>
      <c r="G840" s="544"/>
      <c r="H840" s="544"/>
      <c r="I840" s="544"/>
      <c r="J840" s="544"/>
      <c r="K840" s="544"/>
      <c r="L840" s="544"/>
      <c r="M840" s="545"/>
    </row>
    <row r="841" spans="6:13" s="495" customFormat="1" x14ac:dyDescent="0.2">
      <c r="F841" s="544"/>
      <c r="G841" s="544"/>
      <c r="H841" s="544"/>
      <c r="I841" s="544"/>
      <c r="J841" s="544"/>
      <c r="K841" s="544"/>
      <c r="L841" s="544"/>
      <c r="M841" s="545"/>
    </row>
    <row r="842" spans="6:13" s="495" customFormat="1" x14ac:dyDescent="0.2">
      <c r="F842" s="544"/>
      <c r="G842" s="544"/>
      <c r="H842" s="544"/>
      <c r="I842" s="544"/>
      <c r="J842" s="544"/>
      <c r="K842" s="544"/>
      <c r="L842" s="544"/>
      <c r="M842" s="545"/>
    </row>
    <row r="843" spans="6:13" s="495" customFormat="1" x14ac:dyDescent="0.2">
      <c r="F843" s="544"/>
      <c r="G843" s="544"/>
      <c r="H843" s="544"/>
      <c r="I843" s="544"/>
      <c r="J843" s="544"/>
      <c r="K843" s="544"/>
      <c r="L843" s="544"/>
      <c r="M843" s="545"/>
    </row>
    <row r="844" spans="6:13" s="495" customFormat="1" x14ac:dyDescent="0.2">
      <c r="F844" s="544"/>
      <c r="G844" s="544"/>
      <c r="H844" s="544"/>
      <c r="I844" s="544"/>
      <c r="J844" s="544"/>
      <c r="K844" s="544"/>
      <c r="L844" s="544"/>
      <c r="M844" s="545"/>
    </row>
    <row r="845" spans="6:13" s="495" customFormat="1" x14ac:dyDescent="0.2">
      <c r="F845" s="544"/>
      <c r="G845" s="544"/>
      <c r="H845" s="544"/>
      <c r="I845" s="544"/>
      <c r="J845" s="544"/>
      <c r="K845" s="544"/>
      <c r="L845" s="544"/>
      <c r="M845" s="545"/>
    </row>
    <row r="846" spans="6:13" s="495" customFormat="1" x14ac:dyDescent="0.2">
      <c r="F846" s="544"/>
      <c r="G846" s="544"/>
      <c r="H846" s="544"/>
      <c r="I846" s="544"/>
      <c r="J846" s="544"/>
      <c r="K846" s="544"/>
      <c r="L846" s="544"/>
      <c r="M846" s="545"/>
    </row>
    <row r="847" spans="6:13" s="495" customFormat="1" x14ac:dyDescent="0.2">
      <c r="F847" s="544"/>
      <c r="G847" s="544"/>
      <c r="H847" s="544"/>
      <c r="I847" s="544"/>
      <c r="J847" s="544"/>
      <c r="K847" s="544"/>
      <c r="L847" s="544"/>
      <c r="M847" s="545"/>
    </row>
    <row r="848" spans="6:13" s="495" customFormat="1" x14ac:dyDescent="0.2">
      <c r="F848" s="544"/>
      <c r="G848" s="544"/>
      <c r="H848" s="544"/>
      <c r="I848" s="544"/>
      <c r="J848" s="544"/>
      <c r="K848" s="544"/>
      <c r="L848" s="544"/>
      <c r="M848" s="545"/>
    </row>
    <row r="849" spans="6:13" s="495" customFormat="1" x14ac:dyDescent="0.2">
      <c r="F849" s="544"/>
      <c r="G849" s="544"/>
      <c r="H849" s="544"/>
      <c r="I849" s="544"/>
      <c r="J849" s="544"/>
      <c r="K849" s="544"/>
      <c r="L849" s="544"/>
      <c r="M849" s="545"/>
    </row>
    <row r="850" spans="6:13" s="495" customFormat="1" x14ac:dyDescent="0.2">
      <c r="F850" s="544"/>
      <c r="G850" s="544"/>
      <c r="H850" s="544"/>
      <c r="I850" s="544"/>
      <c r="J850" s="544"/>
      <c r="K850" s="544"/>
      <c r="L850" s="544"/>
      <c r="M850" s="545"/>
    </row>
    <row r="851" spans="6:13" s="495" customFormat="1" x14ac:dyDescent="0.2">
      <c r="F851" s="544"/>
      <c r="G851" s="544"/>
      <c r="H851" s="544"/>
      <c r="I851" s="544"/>
      <c r="J851" s="544"/>
      <c r="K851" s="544"/>
      <c r="L851" s="544"/>
      <c r="M851" s="545"/>
    </row>
    <row r="852" spans="6:13" s="495" customFormat="1" x14ac:dyDescent="0.2">
      <c r="F852" s="544"/>
      <c r="G852" s="544"/>
      <c r="H852" s="544"/>
      <c r="I852" s="544"/>
      <c r="J852" s="544"/>
      <c r="K852" s="544"/>
      <c r="L852" s="544"/>
      <c r="M852" s="545"/>
    </row>
    <row r="853" spans="6:13" s="495" customFormat="1" x14ac:dyDescent="0.2">
      <c r="F853" s="544"/>
      <c r="G853" s="544"/>
      <c r="H853" s="544"/>
      <c r="I853" s="544"/>
      <c r="J853" s="544"/>
      <c r="K853" s="544"/>
      <c r="L853" s="544"/>
      <c r="M853" s="545"/>
    </row>
    <row r="854" spans="6:13" s="495" customFormat="1" x14ac:dyDescent="0.2">
      <c r="F854" s="544"/>
      <c r="G854" s="544"/>
      <c r="H854" s="544"/>
      <c r="I854" s="544"/>
      <c r="J854" s="544"/>
      <c r="K854" s="544"/>
      <c r="L854" s="544"/>
      <c r="M854" s="545"/>
    </row>
    <row r="855" spans="6:13" s="495" customFormat="1" x14ac:dyDescent="0.2">
      <c r="F855" s="544"/>
      <c r="G855" s="544"/>
      <c r="H855" s="544"/>
      <c r="I855" s="544"/>
      <c r="J855" s="544"/>
      <c r="K855" s="544"/>
      <c r="L855" s="544"/>
      <c r="M855" s="545"/>
    </row>
    <row r="856" spans="6:13" s="495" customFormat="1" x14ac:dyDescent="0.2">
      <c r="F856" s="544"/>
      <c r="G856" s="544"/>
      <c r="H856" s="544"/>
      <c r="I856" s="544"/>
      <c r="J856" s="544"/>
      <c r="K856" s="544"/>
      <c r="L856" s="544"/>
      <c r="M856" s="545"/>
    </row>
    <row r="857" spans="6:13" s="495" customFormat="1" x14ac:dyDescent="0.2">
      <c r="F857" s="544"/>
      <c r="G857" s="544"/>
      <c r="H857" s="544"/>
      <c r="I857" s="544"/>
      <c r="J857" s="544"/>
      <c r="K857" s="544"/>
      <c r="L857" s="544"/>
      <c r="M857" s="545"/>
    </row>
    <row r="858" spans="6:13" s="495" customFormat="1" x14ac:dyDescent="0.2">
      <c r="F858" s="544"/>
      <c r="G858" s="544"/>
      <c r="H858" s="544"/>
      <c r="I858" s="544"/>
      <c r="J858" s="544"/>
      <c r="K858" s="544"/>
      <c r="L858" s="544"/>
      <c r="M858" s="545"/>
    </row>
    <row r="859" spans="6:13" s="495" customFormat="1" x14ac:dyDescent="0.2">
      <c r="F859" s="544"/>
      <c r="G859" s="544"/>
      <c r="H859" s="544"/>
      <c r="I859" s="544"/>
      <c r="J859" s="544"/>
      <c r="K859" s="544"/>
      <c r="L859" s="544"/>
      <c r="M859" s="545"/>
    </row>
    <row r="860" spans="6:13" s="495" customFormat="1" x14ac:dyDescent="0.2">
      <c r="F860" s="544"/>
      <c r="G860" s="544"/>
      <c r="H860" s="544"/>
      <c r="I860" s="544"/>
      <c r="J860" s="544"/>
      <c r="K860" s="544"/>
      <c r="L860" s="544"/>
      <c r="M860" s="545"/>
    </row>
    <row r="861" spans="6:13" s="495" customFormat="1" x14ac:dyDescent="0.2">
      <c r="F861" s="544"/>
      <c r="G861" s="544"/>
      <c r="H861" s="544"/>
      <c r="I861" s="544"/>
      <c r="J861" s="544"/>
      <c r="K861" s="544"/>
      <c r="L861" s="544"/>
      <c r="M861" s="545"/>
    </row>
    <row r="862" spans="6:13" s="495" customFormat="1" x14ac:dyDescent="0.2">
      <c r="F862" s="544"/>
      <c r="G862" s="544"/>
      <c r="H862" s="544"/>
      <c r="I862" s="544"/>
      <c r="J862" s="544"/>
      <c r="K862" s="544"/>
      <c r="L862" s="544"/>
      <c r="M862" s="545"/>
    </row>
    <row r="863" spans="6:13" s="495" customFormat="1" x14ac:dyDescent="0.2">
      <c r="F863" s="544"/>
      <c r="G863" s="544"/>
      <c r="H863" s="544"/>
      <c r="I863" s="544"/>
      <c r="J863" s="544"/>
      <c r="K863" s="544"/>
      <c r="L863" s="544"/>
      <c r="M863" s="545"/>
    </row>
    <row r="864" spans="6:13" s="495" customFormat="1" x14ac:dyDescent="0.2">
      <c r="F864" s="544"/>
      <c r="G864" s="544"/>
      <c r="H864" s="544"/>
      <c r="I864" s="544"/>
      <c r="J864" s="544"/>
      <c r="K864" s="544"/>
      <c r="L864" s="544"/>
      <c r="M864" s="545"/>
    </row>
    <row r="865" spans="6:13" s="495" customFormat="1" x14ac:dyDescent="0.2">
      <c r="F865" s="544"/>
      <c r="G865" s="544"/>
      <c r="H865" s="544"/>
      <c r="I865" s="544"/>
      <c r="J865" s="544"/>
      <c r="K865" s="544"/>
      <c r="L865" s="544"/>
      <c r="M865" s="545"/>
    </row>
    <row r="866" spans="6:13" s="495" customFormat="1" x14ac:dyDescent="0.2">
      <c r="F866" s="544"/>
      <c r="G866" s="544"/>
      <c r="H866" s="544"/>
      <c r="I866" s="544"/>
      <c r="J866" s="544"/>
      <c r="K866" s="544"/>
      <c r="L866" s="544"/>
      <c r="M866" s="545"/>
    </row>
    <row r="867" spans="6:13" s="495" customFormat="1" x14ac:dyDescent="0.2">
      <c r="F867" s="544"/>
      <c r="G867" s="544"/>
      <c r="H867" s="544"/>
      <c r="I867" s="544"/>
      <c r="J867" s="544"/>
      <c r="K867" s="544"/>
      <c r="L867" s="544"/>
      <c r="M867" s="545"/>
    </row>
    <row r="868" spans="6:13" s="495" customFormat="1" x14ac:dyDescent="0.2">
      <c r="F868" s="544"/>
      <c r="G868" s="544"/>
      <c r="H868" s="544"/>
      <c r="I868" s="544"/>
      <c r="J868" s="544"/>
      <c r="K868" s="544"/>
      <c r="L868" s="544"/>
      <c r="M868" s="545"/>
    </row>
    <row r="869" spans="6:13" s="495" customFormat="1" x14ac:dyDescent="0.2">
      <c r="F869" s="544"/>
      <c r="G869" s="544"/>
      <c r="H869" s="544"/>
      <c r="I869" s="544"/>
      <c r="J869" s="544"/>
      <c r="K869" s="544"/>
      <c r="L869" s="544"/>
      <c r="M869" s="545"/>
    </row>
    <row r="870" spans="6:13" s="495" customFormat="1" x14ac:dyDescent="0.2">
      <c r="F870" s="544"/>
      <c r="G870" s="544"/>
      <c r="H870" s="544"/>
      <c r="I870" s="544"/>
      <c r="J870" s="544"/>
      <c r="K870" s="544"/>
      <c r="L870" s="544"/>
      <c r="M870" s="545"/>
    </row>
    <row r="871" spans="6:13" s="495" customFormat="1" x14ac:dyDescent="0.2">
      <c r="F871" s="544"/>
      <c r="G871" s="544"/>
      <c r="H871" s="544"/>
      <c r="I871" s="544"/>
      <c r="J871" s="544"/>
      <c r="K871" s="544"/>
      <c r="L871" s="544"/>
      <c r="M871" s="545"/>
    </row>
    <row r="872" spans="6:13" s="495" customFormat="1" x14ac:dyDescent="0.2">
      <c r="F872" s="544"/>
      <c r="G872" s="544"/>
      <c r="H872" s="544"/>
      <c r="I872" s="544"/>
      <c r="J872" s="544"/>
      <c r="K872" s="544"/>
      <c r="L872" s="544"/>
      <c r="M872" s="545"/>
    </row>
    <row r="873" spans="6:13" s="495" customFormat="1" x14ac:dyDescent="0.2">
      <c r="F873" s="544"/>
      <c r="G873" s="544"/>
      <c r="H873" s="544"/>
      <c r="I873" s="544"/>
      <c r="J873" s="544"/>
      <c r="K873" s="544"/>
      <c r="L873" s="544"/>
      <c r="M873" s="545"/>
    </row>
    <row r="874" spans="6:13" s="495" customFormat="1" x14ac:dyDescent="0.2">
      <c r="F874" s="544"/>
      <c r="G874" s="544"/>
      <c r="H874" s="544"/>
      <c r="I874" s="544"/>
      <c r="J874" s="544"/>
      <c r="K874" s="544"/>
      <c r="L874" s="544"/>
      <c r="M874" s="545"/>
    </row>
    <row r="875" spans="6:13" s="495" customFormat="1" x14ac:dyDescent="0.2">
      <c r="F875" s="544"/>
      <c r="G875" s="544"/>
      <c r="H875" s="544"/>
      <c r="I875" s="544"/>
      <c r="J875" s="544"/>
      <c r="K875" s="544"/>
      <c r="L875" s="544"/>
      <c r="M875" s="545"/>
    </row>
    <row r="876" spans="6:13" s="495" customFormat="1" x14ac:dyDescent="0.2">
      <c r="F876" s="544"/>
      <c r="G876" s="544"/>
      <c r="H876" s="544"/>
      <c r="I876" s="544"/>
      <c r="J876" s="544"/>
      <c r="K876" s="544"/>
      <c r="L876" s="544"/>
      <c r="M876" s="545"/>
    </row>
    <row r="877" spans="6:13" s="495" customFormat="1" x14ac:dyDescent="0.2">
      <c r="F877" s="544"/>
      <c r="G877" s="544"/>
      <c r="H877" s="544"/>
      <c r="I877" s="544"/>
      <c r="J877" s="544"/>
      <c r="K877" s="544"/>
      <c r="L877" s="544"/>
      <c r="M877" s="545"/>
    </row>
    <row r="878" spans="6:13" s="495" customFormat="1" x14ac:dyDescent="0.2">
      <c r="F878" s="544"/>
      <c r="G878" s="544"/>
      <c r="H878" s="544"/>
      <c r="I878" s="544"/>
      <c r="J878" s="544"/>
      <c r="K878" s="544"/>
      <c r="L878" s="544"/>
      <c r="M878" s="545"/>
    </row>
    <row r="879" spans="6:13" s="495" customFormat="1" x14ac:dyDescent="0.2">
      <c r="F879" s="544"/>
      <c r="G879" s="544"/>
      <c r="H879" s="544"/>
      <c r="I879" s="544"/>
      <c r="J879" s="544"/>
      <c r="K879" s="544"/>
      <c r="L879" s="544"/>
      <c r="M879" s="545"/>
    </row>
    <row r="880" spans="6:13" s="495" customFormat="1" x14ac:dyDescent="0.2">
      <c r="F880" s="544"/>
      <c r="G880" s="544"/>
      <c r="H880" s="544"/>
      <c r="I880" s="544"/>
      <c r="J880" s="544"/>
      <c r="K880" s="544"/>
      <c r="L880" s="544"/>
      <c r="M880" s="545"/>
    </row>
    <row r="881" spans="6:13" s="495" customFormat="1" x14ac:dyDescent="0.2">
      <c r="F881" s="544"/>
      <c r="G881" s="544"/>
      <c r="H881" s="544"/>
      <c r="I881" s="544"/>
      <c r="J881" s="544"/>
      <c r="K881" s="544"/>
      <c r="L881" s="544"/>
      <c r="M881" s="545"/>
    </row>
    <row r="882" spans="6:13" s="495" customFormat="1" x14ac:dyDescent="0.2">
      <c r="F882" s="544"/>
      <c r="G882" s="544"/>
      <c r="H882" s="544"/>
      <c r="I882" s="544"/>
      <c r="J882" s="544"/>
      <c r="K882" s="544"/>
      <c r="L882" s="544"/>
      <c r="M882" s="545"/>
    </row>
    <row r="883" spans="6:13" s="495" customFormat="1" x14ac:dyDescent="0.2">
      <c r="F883" s="544"/>
      <c r="G883" s="544"/>
      <c r="H883" s="544"/>
      <c r="I883" s="544"/>
      <c r="J883" s="544"/>
      <c r="K883" s="544"/>
      <c r="L883" s="544"/>
      <c r="M883" s="545"/>
    </row>
    <row r="884" spans="6:13" s="495" customFormat="1" x14ac:dyDescent="0.2">
      <c r="F884" s="544"/>
      <c r="G884" s="544"/>
      <c r="H884" s="544"/>
      <c r="I884" s="544"/>
      <c r="J884" s="544"/>
      <c r="K884" s="544"/>
      <c r="L884" s="544"/>
      <c r="M884" s="545"/>
    </row>
    <row r="885" spans="6:13" s="495" customFormat="1" x14ac:dyDescent="0.2">
      <c r="F885" s="544"/>
      <c r="G885" s="544"/>
      <c r="H885" s="544"/>
      <c r="I885" s="544"/>
      <c r="J885" s="544"/>
      <c r="K885" s="544"/>
      <c r="L885" s="544"/>
      <c r="M885" s="545"/>
    </row>
    <row r="886" spans="6:13" s="495" customFormat="1" x14ac:dyDescent="0.2">
      <c r="F886" s="544"/>
      <c r="G886" s="544"/>
      <c r="H886" s="544"/>
      <c r="I886" s="544"/>
      <c r="J886" s="544"/>
      <c r="K886" s="544"/>
      <c r="L886" s="544"/>
      <c r="M886" s="545"/>
    </row>
    <row r="887" spans="6:13" s="495" customFormat="1" x14ac:dyDescent="0.2">
      <c r="F887" s="544"/>
      <c r="G887" s="544"/>
      <c r="H887" s="544"/>
      <c r="I887" s="544"/>
      <c r="J887" s="544"/>
      <c r="K887" s="544"/>
      <c r="L887" s="544"/>
      <c r="M887" s="545"/>
    </row>
    <row r="888" spans="6:13" s="495" customFormat="1" x14ac:dyDescent="0.2">
      <c r="F888" s="544"/>
      <c r="G888" s="544"/>
      <c r="H888" s="544"/>
      <c r="I888" s="544"/>
      <c r="J888" s="544"/>
      <c r="K888" s="544"/>
      <c r="L888" s="544"/>
      <c r="M888" s="545"/>
    </row>
    <row r="889" spans="6:13" s="495" customFormat="1" x14ac:dyDescent="0.2">
      <c r="F889" s="544"/>
      <c r="G889" s="544"/>
      <c r="H889" s="544"/>
      <c r="I889" s="544"/>
      <c r="J889" s="544"/>
      <c r="K889" s="544"/>
      <c r="L889" s="544"/>
      <c r="M889" s="545"/>
    </row>
    <row r="890" spans="6:13" s="495" customFormat="1" x14ac:dyDescent="0.2">
      <c r="F890" s="544"/>
      <c r="G890" s="544"/>
      <c r="H890" s="544"/>
      <c r="I890" s="544"/>
      <c r="J890" s="544"/>
      <c r="K890" s="544"/>
      <c r="L890" s="544"/>
      <c r="M890" s="545"/>
    </row>
    <row r="891" spans="6:13" s="495" customFormat="1" x14ac:dyDescent="0.2">
      <c r="F891" s="544"/>
      <c r="G891" s="544"/>
      <c r="H891" s="544"/>
      <c r="I891" s="544"/>
      <c r="J891" s="544"/>
      <c r="K891" s="544"/>
      <c r="L891" s="544"/>
      <c r="M891" s="545"/>
    </row>
    <row r="892" spans="6:13" s="495" customFormat="1" x14ac:dyDescent="0.2">
      <c r="F892" s="544"/>
      <c r="G892" s="544"/>
      <c r="H892" s="544"/>
      <c r="I892" s="544"/>
      <c r="J892" s="544"/>
      <c r="K892" s="544"/>
      <c r="L892" s="544"/>
      <c r="M892" s="545"/>
    </row>
    <row r="893" spans="6:13" s="495" customFormat="1" x14ac:dyDescent="0.2">
      <c r="F893" s="544"/>
      <c r="G893" s="544"/>
      <c r="H893" s="544"/>
      <c r="I893" s="544"/>
      <c r="J893" s="544"/>
      <c r="K893" s="544"/>
      <c r="L893" s="544"/>
      <c r="M893" s="545"/>
    </row>
    <row r="894" spans="6:13" s="495" customFormat="1" x14ac:dyDescent="0.2">
      <c r="F894" s="544"/>
      <c r="G894" s="544"/>
      <c r="H894" s="544"/>
      <c r="I894" s="544"/>
      <c r="J894" s="544"/>
      <c r="K894" s="544"/>
      <c r="L894" s="544"/>
      <c r="M894" s="545"/>
    </row>
    <row r="895" spans="6:13" s="495" customFormat="1" x14ac:dyDescent="0.2">
      <c r="F895" s="544"/>
      <c r="G895" s="544"/>
      <c r="H895" s="544"/>
      <c r="I895" s="544"/>
      <c r="J895" s="544"/>
      <c r="K895" s="544"/>
      <c r="L895" s="544"/>
      <c r="M895" s="545"/>
    </row>
    <row r="896" spans="6:13" s="495" customFormat="1" x14ac:dyDescent="0.2">
      <c r="F896" s="544"/>
      <c r="G896" s="544"/>
      <c r="H896" s="544"/>
      <c r="I896" s="544"/>
      <c r="J896" s="544"/>
      <c r="K896" s="544"/>
      <c r="L896" s="544"/>
      <c r="M896" s="545"/>
    </row>
    <row r="897" spans="6:13" s="495" customFormat="1" x14ac:dyDescent="0.2">
      <c r="F897" s="544"/>
      <c r="G897" s="544"/>
      <c r="H897" s="544"/>
      <c r="I897" s="544"/>
      <c r="J897" s="544"/>
      <c r="K897" s="544"/>
      <c r="L897" s="544"/>
      <c r="M897" s="545"/>
    </row>
    <row r="898" spans="6:13" s="495" customFormat="1" x14ac:dyDescent="0.2">
      <c r="F898" s="544"/>
      <c r="G898" s="544"/>
      <c r="H898" s="544"/>
      <c r="I898" s="544"/>
      <c r="J898" s="544"/>
      <c r="K898" s="544"/>
      <c r="L898" s="544"/>
      <c r="M898" s="545"/>
    </row>
    <row r="899" spans="6:13" s="495" customFormat="1" x14ac:dyDescent="0.2">
      <c r="F899" s="544"/>
      <c r="G899" s="544"/>
      <c r="H899" s="544"/>
      <c r="I899" s="544"/>
      <c r="J899" s="544"/>
      <c r="K899" s="544"/>
      <c r="L899" s="544"/>
      <c r="M899" s="545"/>
    </row>
    <row r="900" spans="6:13" s="495" customFormat="1" x14ac:dyDescent="0.2">
      <c r="F900" s="544"/>
      <c r="G900" s="544"/>
      <c r="H900" s="544"/>
      <c r="I900" s="544"/>
      <c r="J900" s="544"/>
      <c r="K900" s="544"/>
      <c r="L900" s="544"/>
      <c r="M900" s="545"/>
    </row>
    <row r="901" spans="6:13" s="495" customFormat="1" x14ac:dyDescent="0.2">
      <c r="F901" s="544"/>
      <c r="G901" s="544"/>
      <c r="H901" s="544"/>
      <c r="I901" s="544"/>
      <c r="J901" s="544"/>
      <c r="K901" s="544"/>
      <c r="L901" s="544"/>
      <c r="M901" s="545"/>
    </row>
    <row r="902" spans="6:13" s="495" customFormat="1" x14ac:dyDescent="0.2">
      <c r="F902" s="544"/>
      <c r="G902" s="544"/>
      <c r="H902" s="544"/>
      <c r="I902" s="544"/>
      <c r="J902" s="544"/>
      <c r="K902" s="544"/>
      <c r="L902" s="544"/>
      <c r="M902" s="545"/>
    </row>
    <row r="903" spans="6:13" s="495" customFormat="1" x14ac:dyDescent="0.2">
      <c r="F903" s="544"/>
      <c r="G903" s="544"/>
      <c r="H903" s="544"/>
      <c r="I903" s="544"/>
      <c r="J903" s="544"/>
      <c r="K903" s="544"/>
      <c r="L903" s="544"/>
      <c r="M903" s="545"/>
    </row>
    <row r="904" spans="6:13" s="495" customFormat="1" x14ac:dyDescent="0.2">
      <c r="F904" s="544"/>
      <c r="G904" s="544"/>
      <c r="H904" s="544"/>
      <c r="I904" s="544"/>
      <c r="J904" s="544"/>
      <c r="K904" s="544"/>
      <c r="L904" s="544"/>
      <c r="M904" s="545"/>
    </row>
    <row r="905" spans="6:13" s="495" customFormat="1" x14ac:dyDescent="0.2">
      <c r="F905" s="544"/>
      <c r="G905" s="544"/>
      <c r="H905" s="544"/>
      <c r="I905" s="544"/>
      <c r="J905" s="544"/>
      <c r="K905" s="544"/>
      <c r="L905" s="544"/>
      <c r="M905" s="545"/>
    </row>
    <row r="906" spans="6:13" s="495" customFormat="1" x14ac:dyDescent="0.2">
      <c r="F906" s="544"/>
      <c r="G906" s="544"/>
      <c r="H906" s="544"/>
      <c r="I906" s="544"/>
      <c r="J906" s="544"/>
      <c r="K906" s="544"/>
      <c r="L906" s="544"/>
      <c r="M906" s="545"/>
    </row>
    <row r="907" spans="6:13" s="495" customFormat="1" x14ac:dyDescent="0.2">
      <c r="F907" s="544"/>
      <c r="G907" s="544"/>
      <c r="H907" s="544"/>
      <c r="I907" s="544"/>
      <c r="J907" s="544"/>
      <c r="K907" s="544"/>
      <c r="L907" s="544"/>
      <c r="M907" s="545"/>
    </row>
    <row r="908" spans="6:13" s="495" customFormat="1" x14ac:dyDescent="0.2">
      <c r="F908" s="544"/>
      <c r="G908" s="544"/>
      <c r="H908" s="544"/>
      <c r="I908" s="544"/>
      <c r="J908" s="544"/>
      <c r="K908" s="544"/>
      <c r="L908" s="544"/>
      <c r="M908" s="545"/>
    </row>
    <row r="909" spans="6:13" s="495" customFormat="1" x14ac:dyDescent="0.2">
      <c r="F909" s="544"/>
      <c r="G909" s="544"/>
      <c r="H909" s="544"/>
      <c r="I909" s="544"/>
      <c r="J909" s="544"/>
      <c r="K909" s="544"/>
      <c r="L909" s="544"/>
      <c r="M909" s="545"/>
    </row>
    <row r="910" spans="6:13" s="495" customFormat="1" x14ac:dyDescent="0.2">
      <c r="F910" s="544"/>
      <c r="G910" s="544"/>
      <c r="H910" s="544"/>
      <c r="I910" s="544"/>
      <c r="J910" s="544"/>
      <c r="K910" s="544"/>
      <c r="L910" s="544"/>
      <c r="M910" s="545"/>
    </row>
    <row r="911" spans="6:13" s="495" customFormat="1" x14ac:dyDescent="0.2">
      <c r="F911" s="544"/>
      <c r="G911" s="544"/>
      <c r="H911" s="544"/>
      <c r="I911" s="544"/>
      <c r="J911" s="544"/>
      <c r="K911" s="544"/>
      <c r="L911" s="544"/>
      <c r="M911" s="545"/>
    </row>
    <row r="912" spans="6:13" s="495" customFormat="1" x14ac:dyDescent="0.2">
      <c r="F912" s="544"/>
      <c r="G912" s="544"/>
      <c r="H912" s="544"/>
      <c r="I912" s="544"/>
      <c r="J912" s="544"/>
      <c r="K912" s="544"/>
      <c r="L912" s="544"/>
      <c r="M912" s="545"/>
    </row>
    <row r="913" spans="6:13" s="495" customFormat="1" x14ac:dyDescent="0.2">
      <c r="F913" s="544"/>
      <c r="G913" s="544"/>
      <c r="H913" s="544"/>
      <c r="I913" s="544"/>
      <c r="J913" s="544"/>
      <c r="K913" s="544"/>
      <c r="L913" s="544"/>
      <c r="M913" s="545"/>
    </row>
    <row r="914" spans="6:13" s="495" customFormat="1" x14ac:dyDescent="0.2">
      <c r="F914" s="544"/>
      <c r="G914" s="544"/>
      <c r="H914" s="544"/>
      <c r="I914" s="544"/>
      <c r="J914" s="544"/>
      <c r="K914" s="544"/>
      <c r="L914" s="544"/>
      <c r="M914" s="545"/>
    </row>
    <row r="915" spans="6:13" s="495" customFormat="1" x14ac:dyDescent="0.2">
      <c r="F915" s="544"/>
      <c r="G915" s="544"/>
      <c r="H915" s="544"/>
      <c r="I915" s="544"/>
      <c r="J915" s="544"/>
      <c r="K915" s="544"/>
      <c r="L915" s="544"/>
      <c r="M915" s="545"/>
    </row>
    <row r="916" spans="6:13" s="495" customFormat="1" x14ac:dyDescent="0.2">
      <c r="F916" s="544"/>
      <c r="G916" s="544"/>
      <c r="H916" s="544"/>
      <c r="I916" s="544"/>
      <c r="J916" s="544"/>
      <c r="K916" s="544"/>
      <c r="L916" s="544"/>
      <c r="M916" s="545"/>
    </row>
    <row r="917" spans="6:13" s="495" customFormat="1" x14ac:dyDescent="0.2">
      <c r="F917" s="544"/>
      <c r="G917" s="544"/>
      <c r="H917" s="544"/>
      <c r="I917" s="544"/>
      <c r="J917" s="544"/>
      <c r="K917" s="544"/>
      <c r="L917" s="544"/>
      <c r="M917" s="545"/>
    </row>
    <row r="918" spans="6:13" s="495" customFormat="1" x14ac:dyDescent="0.2">
      <c r="F918" s="544"/>
      <c r="G918" s="544"/>
      <c r="H918" s="544"/>
      <c r="I918" s="544"/>
      <c r="J918" s="544"/>
      <c r="K918" s="544"/>
      <c r="L918" s="544"/>
      <c r="M918" s="545"/>
    </row>
    <row r="919" spans="6:13" s="495" customFormat="1" x14ac:dyDescent="0.2">
      <c r="F919" s="544"/>
      <c r="G919" s="544"/>
      <c r="H919" s="544"/>
      <c r="I919" s="544"/>
      <c r="J919" s="544"/>
      <c r="K919" s="544"/>
      <c r="L919" s="544"/>
      <c r="M919" s="545"/>
    </row>
    <row r="920" spans="6:13" s="495" customFormat="1" x14ac:dyDescent="0.2">
      <c r="F920" s="544"/>
      <c r="G920" s="544"/>
      <c r="H920" s="544"/>
      <c r="I920" s="544"/>
      <c r="J920" s="544"/>
      <c r="K920" s="544"/>
      <c r="L920" s="544"/>
      <c r="M920" s="545"/>
    </row>
    <row r="921" spans="6:13" s="495" customFormat="1" x14ac:dyDescent="0.2">
      <c r="F921" s="544"/>
      <c r="G921" s="544"/>
      <c r="H921" s="544"/>
      <c r="I921" s="544"/>
      <c r="J921" s="544"/>
      <c r="K921" s="544"/>
      <c r="L921" s="544"/>
      <c r="M921" s="545"/>
    </row>
    <row r="922" spans="6:13" s="495" customFormat="1" x14ac:dyDescent="0.2">
      <c r="F922" s="544"/>
      <c r="G922" s="544"/>
      <c r="H922" s="544"/>
      <c r="I922" s="544"/>
      <c r="J922" s="544"/>
      <c r="K922" s="544"/>
      <c r="L922" s="544"/>
      <c r="M922" s="545"/>
    </row>
    <row r="923" spans="6:13" s="495" customFormat="1" x14ac:dyDescent="0.2">
      <c r="F923" s="544"/>
      <c r="G923" s="544"/>
      <c r="H923" s="544"/>
      <c r="I923" s="544"/>
      <c r="J923" s="544"/>
      <c r="K923" s="544"/>
      <c r="L923" s="544"/>
      <c r="M923" s="545"/>
    </row>
    <row r="924" spans="6:13" s="495" customFormat="1" x14ac:dyDescent="0.2">
      <c r="F924" s="544"/>
      <c r="G924" s="544"/>
      <c r="H924" s="544"/>
      <c r="I924" s="544"/>
      <c r="J924" s="544"/>
      <c r="K924" s="544"/>
      <c r="L924" s="544"/>
      <c r="M924" s="545"/>
    </row>
    <row r="925" spans="6:13" s="495" customFormat="1" x14ac:dyDescent="0.2">
      <c r="F925" s="544"/>
      <c r="G925" s="544"/>
      <c r="H925" s="544"/>
      <c r="I925" s="544"/>
      <c r="J925" s="544"/>
      <c r="K925" s="544"/>
      <c r="L925" s="544"/>
      <c r="M925" s="545"/>
    </row>
    <row r="926" spans="6:13" s="495" customFormat="1" x14ac:dyDescent="0.2">
      <c r="F926" s="544"/>
      <c r="G926" s="544"/>
      <c r="H926" s="544"/>
      <c r="I926" s="544"/>
      <c r="J926" s="544"/>
      <c r="K926" s="544"/>
      <c r="L926" s="544"/>
      <c r="M926" s="545"/>
    </row>
    <row r="927" spans="6:13" s="495" customFormat="1" x14ac:dyDescent="0.2">
      <c r="F927" s="544"/>
      <c r="G927" s="544"/>
      <c r="H927" s="544"/>
      <c r="I927" s="544"/>
      <c r="J927" s="544"/>
      <c r="K927" s="544"/>
      <c r="L927" s="544"/>
      <c r="M927" s="545"/>
    </row>
    <row r="928" spans="6:13" s="495" customFormat="1" x14ac:dyDescent="0.2">
      <c r="F928" s="544"/>
      <c r="G928" s="544"/>
      <c r="H928" s="544"/>
      <c r="I928" s="544"/>
      <c r="J928" s="544"/>
      <c r="K928" s="544"/>
      <c r="L928" s="544"/>
      <c r="M928" s="545"/>
    </row>
    <row r="929" spans="6:13" s="495" customFormat="1" x14ac:dyDescent="0.2">
      <c r="F929" s="544"/>
      <c r="G929" s="544"/>
      <c r="H929" s="544"/>
      <c r="I929" s="544"/>
      <c r="J929" s="544"/>
      <c r="K929" s="544"/>
      <c r="L929" s="544"/>
      <c r="M929" s="545"/>
    </row>
    <row r="930" spans="6:13" s="495" customFormat="1" x14ac:dyDescent="0.2">
      <c r="F930" s="544"/>
      <c r="G930" s="544"/>
      <c r="H930" s="544"/>
      <c r="I930" s="544"/>
      <c r="J930" s="544"/>
      <c r="K930" s="544"/>
      <c r="L930" s="544"/>
      <c r="M930" s="545"/>
    </row>
    <row r="931" spans="6:13" s="495" customFormat="1" x14ac:dyDescent="0.2">
      <c r="F931" s="544"/>
      <c r="G931" s="544"/>
      <c r="H931" s="544"/>
      <c r="I931" s="544"/>
      <c r="J931" s="544"/>
      <c r="K931" s="544"/>
      <c r="L931" s="544"/>
      <c r="M931" s="545"/>
    </row>
    <row r="932" spans="6:13" s="495" customFormat="1" x14ac:dyDescent="0.2">
      <c r="F932" s="544"/>
      <c r="G932" s="544"/>
      <c r="H932" s="544"/>
      <c r="I932" s="544"/>
      <c r="J932" s="544"/>
      <c r="K932" s="544"/>
      <c r="L932" s="544"/>
      <c r="M932" s="545"/>
    </row>
    <row r="933" spans="6:13" s="495" customFormat="1" x14ac:dyDescent="0.2">
      <c r="F933" s="544"/>
      <c r="G933" s="544"/>
      <c r="H933" s="544"/>
      <c r="I933" s="544"/>
      <c r="J933" s="544"/>
      <c r="K933" s="544"/>
      <c r="L933" s="544"/>
      <c r="M933" s="545"/>
    </row>
    <row r="934" spans="6:13" s="495" customFormat="1" x14ac:dyDescent="0.2">
      <c r="F934" s="544"/>
      <c r="G934" s="544"/>
      <c r="H934" s="544"/>
      <c r="I934" s="544"/>
      <c r="J934" s="544"/>
      <c r="K934" s="544"/>
      <c r="L934" s="544"/>
      <c r="M934" s="545"/>
    </row>
    <row r="935" spans="6:13" s="495" customFormat="1" x14ac:dyDescent="0.2">
      <c r="F935" s="544"/>
      <c r="G935" s="544"/>
      <c r="H935" s="544"/>
      <c r="I935" s="544"/>
      <c r="J935" s="544"/>
      <c r="K935" s="544"/>
      <c r="L935" s="544"/>
      <c r="M935" s="545"/>
    </row>
    <row r="936" spans="6:13" s="495" customFormat="1" x14ac:dyDescent="0.2">
      <c r="F936" s="544"/>
      <c r="G936" s="544"/>
      <c r="H936" s="544"/>
      <c r="I936" s="544"/>
      <c r="J936" s="544"/>
      <c r="K936" s="544"/>
      <c r="L936" s="544"/>
      <c r="M936" s="545"/>
    </row>
    <row r="937" spans="6:13" s="495" customFormat="1" x14ac:dyDescent="0.2">
      <c r="F937" s="544"/>
      <c r="G937" s="544"/>
      <c r="H937" s="544"/>
      <c r="I937" s="544"/>
      <c r="J937" s="544"/>
      <c r="K937" s="544"/>
      <c r="L937" s="544"/>
      <c r="M937" s="545"/>
    </row>
    <row r="938" spans="6:13" s="495" customFormat="1" x14ac:dyDescent="0.2">
      <c r="F938" s="544"/>
      <c r="G938" s="544"/>
      <c r="H938" s="544"/>
      <c r="I938" s="544"/>
      <c r="J938" s="544"/>
      <c r="K938" s="544"/>
      <c r="L938" s="544"/>
      <c r="M938" s="545"/>
    </row>
    <row r="939" spans="6:13" s="495" customFormat="1" x14ac:dyDescent="0.2">
      <c r="F939" s="544"/>
      <c r="G939" s="544"/>
      <c r="H939" s="544"/>
      <c r="I939" s="544"/>
      <c r="J939" s="544"/>
      <c r="K939" s="544"/>
      <c r="L939" s="544"/>
      <c r="M939" s="545"/>
    </row>
    <row r="940" spans="6:13" s="495" customFormat="1" x14ac:dyDescent="0.2">
      <c r="F940" s="544"/>
      <c r="G940" s="544"/>
      <c r="H940" s="544"/>
      <c r="I940" s="544"/>
      <c r="J940" s="544"/>
      <c r="K940" s="544"/>
      <c r="L940" s="544"/>
      <c r="M940" s="545"/>
    </row>
    <row r="941" spans="6:13" s="495" customFormat="1" x14ac:dyDescent="0.2">
      <c r="F941" s="544"/>
      <c r="G941" s="544"/>
      <c r="H941" s="544"/>
      <c r="I941" s="544"/>
      <c r="J941" s="544"/>
      <c r="K941" s="544"/>
      <c r="L941" s="544"/>
      <c r="M941" s="545"/>
    </row>
    <row r="942" spans="6:13" s="495" customFormat="1" x14ac:dyDescent="0.2">
      <c r="F942" s="544"/>
      <c r="G942" s="544"/>
      <c r="H942" s="544"/>
      <c r="I942" s="544"/>
      <c r="J942" s="544"/>
      <c r="K942" s="544"/>
      <c r="L942" s="544"/>
      <c r="M942" s="545"/>
    </row>
    <row r="943" spans="6:13" s="495" customFormat="1" x14ac:dyDescent="0.2">
      <c r="F943" s="544"/>
      <c r="G943" s="544"/>
      <c r="H943" s="544"/>
      <c r="I943" s="544"/>
      <c r="J943" s="544"/>
      <c r="K943" s="544"/>
      <c r="L943" s="544"/>
      <c r="M943" s="545"/>
    </row>
    <row r="944" spans="6:13" s="495" customFormat="1" x14ac:dyDescent="0.2">
      <c r="F944" s="544"/>
      <c r="G944" s="544"/>
      <c r="H944" s="544"/>
      <c r="I944" s="544"/>
      <c r="J944" s="544"/>
      <c r="K944" s="544"/>
      <c r="L944" s="544"/>
      <c r="M944" s="545"/>
    </row>
    <row r="945" spans="6:13" s="495" customFormat="1" x14ac:dyDescent="0.2">
      <c r="F945" s="544"/>
      <c r="G945" s="544"/>
      <c r="H945" s="544"/>
      <c r="I945" s="544"/>
      <c r="J945" s="544"/>
      <c r="K945" s="544"/>
      <c r="L945" s="544"/>
      <c r="M945" s="545"/>
    </row>
    <row r="946" spans="6:13" s="495" customFormat="1" x14ac:dyDescent="0.2">
      <c r="F946" s="544"/>
      <c r="G946" s="544"/>
      <c r="H946" s="544"/>
      <c r="I946" s="544"/>
      <c r="J946" s="544"/>
      <c r="K946" s="544"/>
      <c r="L946" s="544"/>
      <c r="M946" s="545"/>
    </row>
    <row r="947" spans="6:13" s="495" customFormat="1" x14ac:dyDescent="0.2">
      <c r="F947" s="544"/>
      <c r="G947" s="544"/>
      <c r="H947" s="544"/>
      <c r="I947" s="544"/>
      <c r="J947" s="544"/>
      <c r="K947" s="544"/>
      <c r="L947" s="544"/>
      <c r="M947" s="545"/>
    </row>
    <row r="948" spans="6:13" s="495" customFormat="1" x14ac:dyDescent="0.2">
      <c r="F948" s="544"/>
      <c r="G948" s="544"/>
      <c r="H948" s="544"/>
      <c r="I948" s="544"/>
      <c r="J948" s="544"/>
      <c r="K948" s="544"/>
      <c r="L948" s="544"/>
      <c r="M948" s="545"/>
    </row>
    <row r="949" spans="6:13" s="495" customFormat="1" x14ac:dyDescent="0.2">
      <c r="F949" s="544"/>
      <c r="G949" s="544"/>
      <c r="H949" s="544"/>
      <c r="I949" s="544"/>
      <c r="J949" s="544"/>
      <c r="K949" s="544"/>
      <c r="L949" s="544"/>
      <c r="M949" s="545"/>
    </row>
    <row r="950" spans="6:13" s="495" customFormat="1" x14ac:dyDescent="0.2">
      <c r="F950" s="544"/>
      <c r="G950" s="544"/>
      <c r="H950" s="544"/>
      <c r="I950" s="544"/>
      <c r="J950" s="544"/>
      <c r="K950" s="544"/>
      <c r="L950" s="544"/>
      <c r="M950" s="545"/>
    </row>
    <row r="951" spans="6:13" s="495" customFormat="1" x14ac:dyDescent="0.2">
      <c r="F951" s="544"/>
      <c r="G951" s="544"/>
      <c r="H951" s="544"/>
      <c r="I951" s="544"/>
      <c r="J951" s="544"/>
      <c r="K951" s="544"/>
      <c r="L951" s="544"/>
      <c r="M951" s="545"/>
    </row>
    <row r="952" spans="6:13" s="495" customFormat="1" x14ac:dyDescent="0.2">
      <c r="F952" s="544"/>
      <c r="G952" s="544"/>
      <c r="H952" s="544"/>
      <c r="I952" s="544"/>
      <c r="J952" s="544"/>
      <c r="K952" s="544"/>
      <c r="L952" s="544"/>
      <c r="M952" s="545"/>
    </row>
    <row r="953" spans="6:13" s="495" customFormat="1" x14ac:dyDescent="0.2">
      <c r="F953" s="544"/>
      <c r="G953" s="544"/>
      <c r="H953" s="544"/>
      <c r="I953" s="544"/>
      <c r="J953" s="544"/>
      <c r="K953" s="544"/>
      <c r="L953" s="544"/>
      <c r="M953" s="545"/>
    </row>
    <row r="954" spans="6:13" s="495" customFormat="1" x14ac:dyDescent="0.2">
      <c r="F954" s="544"/>
      <c r="G954" s="544"/>
      <c r="H954" s="544"/>
      <c r="I954" s="544"/>
      <c r="J954" s="544"/>
      <c r="K954" s="544"/>
      <c r="L954" s="544"/>
      <c r="M954" s="545"/>
    </row>
    <row r="955" spans="6:13" s="495" customFormat="1" x14ac:dyDescent="0.2">
      <c r="F955" s="544"/>
      <c r="G955" s="544"/>
      <c r="H955" s="544"/>
      <c r="I955" s="544"/>
      <c r="J955" s="544"/>
      <c r="K955" s="544"/>
      <c r="L955" s="544"/>
      <c r="M955" s="545"/>
    </row>
    <row r="956" spans="6:13" s="495" customFormat="1" x14ac:dyDescent="0.2">
      <c r="F956" s="544"/>
      <c r="G956" s="544"/>
      <c r="H956" s="544"/>
      <c r="I956" s="544"/>
      <c r="J956" s="544"/>
      <c r="K956" s="544"/>
      <c r="L956" s="544"/>
      <c r="M956" s="545"/>
    </row>
    <row r="957" spans="6:13" s="495" customFormat="1" x14ac:dyDescent="0.2">
      <c r="F957" s="544"/>
      <c r="G957" s="544"/>
      <c r="H957" s="544"/>
      <c r="I957" s="544"/>
      <c r="J957" s="544"/>
      <c r="K957" s="544"/>
      <c r="L957" s="544"/>
      <c r="M957" s="545"/>
    </row>
    <row r="958" spans="6:13" s="495" customFormat="1" x14ac:dyDescent="0.2">
      <c r="F958" s="544"/>
      <c r="G958" s="544"/>
      <c r="H958" s="544"/>
      <c r="I958" s="544"/>
      <c r="J958" s="544"/>
      <c r="K958" s="544"/>
      <c r="L958" s="544"/>
      <c r="M958" s="545"/>
    </row>
    <row r="959" spans="6:13" s="495" customFormat="1" x14ac:dyDescent="0.2">
      <c r="F959" s="544"/>
      <c r="G959" s="544"/>
      <c r="H959" s="544"/>
      <c r="I959" s="544"/>
      <c r="J959" s="544"/>
      <c r="K959" s="544"/>
      <c r="L959" s="544"/>
      <c r="M959" s="545"/>
    </row>
    <row r="960" spans="6:13" s="495" customFormat="1" x14ac:dyDescent="0.2">
      <c r="F960" s="544"/>
      <c r="G960" s="544"/>
      <c r="H960" s="544"/>
      <c r="I960" s="544"/>
      <c r="J960" s="544"/>
      <c r="K960" s="544"/>
      <c r="L960" s="544"/>
      <c r="M960" s="545"/>
    </row>
    <row r="961" spans="6:13" s="495" customFormat="1" x14ac:dyDescent="0.2">
      <c r="F961" s="544"/>
      <c r="G961" s="544"/>
      <c r="H961" s="544"/>
      <c r="I961" s="544"/>
      <c r="J961" s="544"/>
      <c r="K961" s="544"/>
      <c r="L961" s="544"/>
      <c r="M961" s="545"/>
    </row>
    <row r="962" spans="6:13" s="495" customFormat="1" x14ac:dyDescent="0.2">
      <c r="F962" s="544"/>
      <c r="G962" s="544"/>
      <c r="H962" s="544"/>
      <c r="I962" s="544"/>
      <c r="J962" s="544"/>
      <c r="K962" s="544"/>
      <c r="L962" s="544"/>
      <c r="M962" s="545"/>
    </row>
    <row r="963" spans="6:13" s="495" customFormat="1" x14ac:dyDescent="0.2">
      <c r="F963" s="544"/>
      <c r="G963" s="544"/>
      <c r="H963" s="544"/>
      <c r="I963" s="544"/>
      <c r="J963" s="544"/>
      <c r="K963" s="544"/>
      <c r="L963" s="544"/>
      <c r="M963" s="545"/>
    </row>
    <row r="964" spans="6:13" s="495" customFormat="1" x14ac:dyDescent="0.2">
      <c r="F964" s="544"/>
      <c r="G964" s="544"/>
      <c r="H964" s="544"/>
      <c r="I964" s="544"/>
      <c r="J964" s="544"/>
      <c r="K964" s="544"/>
      <c r="L964" s="544"/>
      <c r="M964" s="545"/>
    </row>
    <row r="965" spans="6:13" s="495" customFormat="1" x14ac:dyDescent="0.2">
      <c r="F965" s="544"/>
      <c r="G965" s="544"/>
      <c r="H965" s="544"/>
      <c r="I965" s="544"/>
      <c r="J965" s="544"/>
      <c r="K965" s="544"/>
      <c r="L965" s="544"/>
      <c r="M965" s="545"/>
    </row>
    <row r="966" spans="6:13" s="495" customFormat="1" x14ac:dyDescent="0.2">
      <c r="F966" s="544"/>
      <c r="G966" s="544"/>
      <c r="H966" s="544"/>
      <c r="I966" s="544"/>
      <c r="J966" s="544"/>
      <c r="K966" s="544"/>
      <c r="L966" s="544"/>
      <c r="M966" s="545"/>
    </row>
    <row r="967" spans="6:13" s="495" customFormat="1" x14ac:dyDescent="0.2">
      <c r="F967" s="544"/>
      <c r="G967" s="544"/>
      <c r="H967" s="544"/>
      <c r="I967" s="544"/>
      <c r="J967" s="544"/>
      <c r="K967" s="544"/>
      <c r="L967" s="544"/>
      <c r="M967" s="545"/>
    </row>
    <row r="968" spans="6:13" s="495" customFormat="1" x14ac:dyDescent="0.2">
      <c r="F968" s="544"/>
      <c r="G968" s="544"/>
      <c r="H968" s="544"/>
      <c r="I968" s="544"/>
      <c r="J968" s="544"/>
      <c r="K968" s="544"/>
      <c r="L968" s="544"/>
      <c r="M968" s="545"/>
    </row>
    <row r="969" spans="6:13" s="495" customFormat="1" x14ac:dyDescent="0.2">
      <c r="F969" s="544"/>
      <c r="G969" s="544"/>
      <c r="H969" s="544"/>
      <c r="I969" s="544"/>
      <c r="J969" s="544"/>
      <c r="K969" s="544"/>
      <c r="L969" s="544"/>
      <c r="M969" s="545"/>
    </row>
    <row r="970" spans="6:13" s="495" customFormat="1" x14ac:dyDescent="0.2">
      <c r="F970" s="544"/>
      <c r="G970" s="544"/>
      <c r="H970" s="544"/>
      <c r="I970" s="544"/>
      <c r="J970" s="544"/>
      <c r="K970" s="544"/>
      <c r="L970" s="544"/>
      <c r="M970" s="545"/>
    </row>
    <row r="971" spans="6:13" s="495" customFormat="1" x14ac:dyDescent="0.2">
      <c r="F971" s="544"/>
      <c r="G971" s="544"/>
      <c r="H971" s="544"/>
      <c r="I971" s="544"/>
      <c r="J971" s="544"/>
      <c r="K971" s="544"/>
      <c r="L971" s="544"/>
      <c r="M971" s="545"/>
    </row>
    <row r="972" spans="6:13" s="495" customFormat="1" x14ac:dyDescent="0.2">
      <c r="F972" s="544"/>
      <c r="G972" s="544"/>
      <c r="H972" s="544"/>
      <c r="I972" s="544"/>
      <c r="J972" s="544"/>
      <c r="K972" s="544"/>
      <c r="L972" s="544"/>
      <c r="M972" s="545"/>
    </row>
    <row r="973" spans="6:13" s="495" customFormat="1" x14ac:dyDescent="0.2">
      <c r="F973" s="544"/>
      <c r="G973" s="544"/>
      <c r="H973" s="544"/>
      <c r="I973" s="544"/>
      <c r="J973" s="544"/>
      <c r="K973" s="544"/>
      <c r="L973" s="544"/>
      <c r="M973" s="545"/>
    </row>
    <row r="974" spans="6:13" s="495" customFormat="1" x14ac:dyDescent="0.2">
      <c r="F974" s="544"/>
      <c r="G974" s="544"/>
      <c r="H974" s="544"/>
      <c r="I974" s="544"/>
      <c r="J974" s="544"/>
      <c r="K974" s="544"/>
      <c r="L974" s="544"/>
      <c r="M974" s="545"/>
    </row>
    <row r="975" spans="6:13" s="495" customFormat="1" x14ac:dyDescent="0.2">
      <c r="F975" s="544"/>
      <c r="G975" s="544"/>
      <c r="H975" s="544"/>
      <c r="I975" s="544"/>
      <c r="J975" s="544"/>
      <c r="K975" s="544"/>
      <c r="L975" s="544"/>
      <c r="M975" s="545"/>
    </row>
    <row r="976" spans="6:13" s="495" customFormat="1" x14ac:dyDescent="0.2">
      <c r="F976" s="544"/>
      <c r="G976" s="544"/>
      <c r="H976" s="544"/>
      <c r="I976" s="544"/>
      <c r="J976" s="544"/>
      <c r="K976" s="544"/>
      <c r="L976" s="544"/>
      <c r="M976" s="545"/>
    </row>
    <row r="977" spans="6:13" s="495" customFormat="1" x14ac:dyDescent="0.2">
      <c r="F977" s="544"/>
      <c r="G977" s="544"/>
      <c r="H977" s="544"/>
      <c r="I977" s="544"/>
      <c r="J977" s="544"/>
      <c r="K977" s="544"/>
      <c r="L977" s="544"/>
      <c r="M977" s="545"/>
    </row>
    <row r="978" spans="6:13" s="495" customFormat="1" x14ac:dyDescent="0.2">
      <c r="F978" s="544"/>
      <c r="G978" s="544"/>
      <c r="H978" s="544"/>
      <c r="I978" s="544"/>
      <c r="J978" s="544"/>
      <c r="K978" s="544"/>
      <c r="L978" s="544"/>
      <c r="M978" s="545"/>
    </row>
    <row r="979" spans="6:13" s="495" customFormat="1" x14ac:dyDescent="0.2">
      <c r="F979" s="544"/>
      <c r="G979" s="544"/>
      <c r="H979" s="544"/>
      <c r="I979" s="544"/>
      <c r="J979" s="544"/>
      <c r="K979" s="544"/>
      <c r="L979" s="544"/>
      <c r="M979" s="545"/>
    </row>
    <row r="980" spans="6:13" s="495" customFormat="1" x14ac:dyDescent="0.2">
      <c r="F980" s="544"/>
      <c r="G980" s="544"/>
      <c r="H980" s="544"/>
      <c r="I980" s="544"/>
      <c r="J980" s="544"/>
      <c r="K980" s="544"/>
      <c r="L980" s="544"/>
      <c r="M980" s="545"/>
    </row>
    <row r="981" spans="6:13" s="495" customFormat="1" x14ac:dyDescent="0.2">
      <c r="F981" s="544"/>
      <c r="G981" s="544"/>
      <c r="H981" s="544"/>
      <c r="I981" s="544"/>
      <c r="J981" s="544"/>
      <c r="K981" s="544"/>
      <c r="L981" s="544"/>
      <c r="M981" s="545"/>
    </row>
    <row r="982" spans="6:13" s="495" customFormat="1" x14ac:dyDescent="0.2">
      <c r="F982" s="544"/>
      <c r="G982" s="544"/>
      <c r="H982" s="544"/>
      <c r="I982" s="544"/>
      <c r="J982" s="544"/>
      <c r="K982" s="544"/>
      <c r="L982" s="544"/>
      <c r="M982" s="545"/>
    </row>
    <row r="983" spans="6:13" s="495" customFormat="1" x14ac:dyDescent="0.2">
      <c r="F983" s="544"/>
      <c r="G983" s="544"/>
      <c r="H983" s="544"/>
      <c r="I983" s="544"/>
      <c r="J983" s="544"/>
      <c r="K983" s="544"/>
      <c r="L983" s="544"/>
      <c r="M983" s="545"/>
    </row>
    <row r="984" spans="6:13" s="495" customFormat="1" x14ac:dyDescent="0.2">
      <c r="F984" s="544"/>
      <c r="G984" s="544"/>
      <c r="H984" s="544"/>
      <c r="I984" s="544"/>
      <c r="J984" s="544"/>
      <c r="K984" s="544"/>
      <c r="L984" s="544"/>
      <c r="M984" s="545"/>
    </row>
    <row r="985" spans="6:13" s="495" customFormat="1" x14ac:dyDescent="0.2">
      <c r="F985" s="544"/>
      <c r="G985" s="544"/>
      <c r="H985" s="544"/>
      <c r="I985" s="544"/>
      <c r="J985" s="544"/>
      <c r="K985" s="544"/>
      <c r="L985" s="544"/>
      <c r="M985" s="545"/>
    </row>
    <row r="986" spans="6:13" s="495" customFormat="1" x14ac:dyDescent="0.2">
      <c r="F986" s="544"/>
      <c r="G986" s="544"/>
      <c r="H986" s="544"/>
      <c r="I986" s="544"/>
      <c r="J986" s="544"/>
      <c r="K986" s="544"/>
      <c r="L986" s="544"/>
      <c r="M986" s="545"/>
    </row>
    <row r="987" spans="6:13" s="495" customFormat="1" x14ac:dyDescent="0.2">
      <c r="F987" s="544"/>
      <c r="G987" s="544"/>
      <c r="H987" s="544"/>
      <c r="I987" s="544"/>
      <c r="J987" s="544"/>
      <c r="K987" s="544"/>
      <c r="L987" s="544"/>
      <c r="M987" s="545"/>
    </row>
    <row r="988" spans="6:13" s="495" customFormat="1" x14ac:dyDescent="0.2">
      <c r="F988" s="544"/>
      <c r="G988" s="544"/>
      <c r="H988" s="544"/>
      <c r="I988" s="544"/>
      <c r="J988" s="544"/>
      <c r="K988" s="544"/>
      <c r="L988" s="544"/>
      <c r="M988" s="545"/>
    </row>
    <row r="989" spans="6:13" s="495" customFormat="1" x14ac:dyDescent="0.2">
      <c r="F989" s="544"/>
      <c r="G989" s="544"/>
      <c r="H989" s="544"/>
      <c r="I989" s="544"/>
      <c r="J989" s="544"/>
      <c r="K989" s="544"/>
      <c r="L989" s="544"/>
      <c r="M989" s="545"/>
    </row>
    <row r="990" spans="6:13" s="495" customFormat="1" x14ac:dyDescent="0.2">
      <c r="F990" s="544"/>
      <c r="G990" s="544"/>
      <c r="H990" s="544"/>
      <c r="I990" s="544"/>
      <c r="J990" s="544"/>
      <c r="K990" s="544"/>
      <c r="L990" s="544"/>
      <c r="M990" s="545"/>
    </row>
    <row r="991" spans="6:13" s="495" customFormat="1" x14ac:dyDescent="0.2">
      <c r="F991" s="544"/>
      <c r="G991" s="544"/>
      <c r="H991" s="544"/>
      <c r="I991" s="544"/>
      <c r="J991" s="544"/>
      <c r="K991" s="544"/>
      <c r="L991" s="544"/>
      <c r="M991" s="545"/>
    </row>
    <row r="992" spans="6:13" s="495" customFormat="1" x14ac:dyDescent="0.2">
      <c r="F992" s="544"/>
      <c r="G992" s="544"/>
      <c r="H992" s="544"/>
      <c r="I992" s="544"/>
      <c r="J992" s="544"/>
      <c r="K992" s="544"/>
      <c r="L992" s="544"/>
      <c r="M992" s="545"/>
    </row>
    <row r="993" spans="6:13" s="495" customFormat="1" x14ac:dyDescent="0.2">
      <c r="F993" s="544"/>
      <c r="G993" s="544"/>
      <c r="H993" s="544"/>
      <c r="I993" s="544"/>
      <c r="J993" s="544"/>
      <c r="K993" s="544"/>
      <c r="L993" s="544"/>
      <c r="M993" s="545"/>
    </row>
    <row r="994" spans="6:13" s="495" customFormat="1" x14ac:dyDescent="0.2">
      <c r="F994" s="544"/>
      <c r="G994" s="544"/>
      <c r="H994" s="544"/>
      <c r="I994" s="544"/>
      <c r="J994" s="544"/>
      <c r="K994" s="544"/>
      <c r="L994" s="544"/>
      <c r="M994" s="545"/>
    </row>
    <row r="995" spans="6:13" s="495" customFormat="1" x14ac:dyDescent="0.2">
      <c r="F995" s="544"/>
      <c r="G995" s="544"/>
      <c r="H995" s="544"/>
      <c r="I995" s="544"/>
      <c r="J995" s="544"/>
      <c r="K995" s="544"/>
      <c r="L995" s="544"/>
      <c r="M995" s="545"/>
    </row>
    <row r="996" spans="6:13" s="495" customFormat="1" x14ac:dyDescent="0.2">
      <c r="F996" s="544"/>
      <c r="G996" s="544"/>
      <c r="H996" s="544"/>
      <c r="I996" s="544"/>
      <c r="J996" s="544"/>
      <c r="K996" s="544"/>
      <c r="L996" s="544"/>
      <c r="M996" s="545"/>
    </row>
    <row r="997" spans="6:13" s="495" customFormat="1" x14ac:dyDescent="0.2">
      <c r="F997" s="544"/>
      <c r="G997" s="544"/>
      <c r="H997" s="544"/>
      <c r="I997" s="544"/>
      <c r="J997" s="544"/>
      <c r="K997" s="544"/>
      <c r="L997" s="544"/>
      <c r="M997" s="545"/>
    </row>
    <row r="998" spans="6:13" s="495" customFormat="1" x14ac:dyDescent="0.2">
      <c r="F998" s="544"/>
      <c r="G998" s="544"/>
      <c r="H998" s="544"/>
      <c r="I998" s="544"/>
      <c r="J998" s="544"/>
      <c r="K998" s="544"/>
      <c r="L998" s="544"/>
      <c r="M998" s="545"/>
    </row>
    <row r="999" spans="6:13" s="495" customFormat="1" x14ac:dyDescent="0.2">
      <c r="F999" s="544"/>
      <c r="G999" s="544"/>
      <c r="H999" s="544"/>
      <c r="I999" s="544"/>
      <c r="J999" s="544"/>
      <c r="K999" s="544"/>
      <c r="L999" s="544"/>
      <c r="M999" s="545"/>
    </row>
    <row r="1000" spans="6:13" s="495" customFormat="1" x14ac:dyDescent="0.2">
      <c r="F1000" s="544"/>
      <c r="G1000" s="544"/>
      <c r="H1000" s="544"/>
      <c r="I1000" s="544"/>
      <c r="J1000" s="544"/>
      <c r="K1000" s="544"/>
      <c r="L1000" s="544"/>
      <c r="M1000" s="545"/>
    </row>
    <row r="1001" spans="6:13" s="495" customFormat="1" x14ac:dyDescent="0.2">
      <c r="F1001" s="544"/>
      <c r="G1001" s="544"/>
      <c r="H1001" s="544"/>
      <c r="I1001" s="544"/>
      <c r="J1001" s="544"/>
      <c r="K1001" s="544"/>
      <c r="L1001" s="544"/>
      <c r="M1001" s="545"/>
    </row>
    <row r="1002" spans="6:13" s="495" customFormat="1" x14ac:dyDescent="0.2">
      <c r="F1002" s="544"/>
      <c r="G1002" s="544"/>
      <c r="H1002" s="544"/>
      <c r="I1002" s="544"/>
      <c r="J1002" s="544"/>
      <c r="K1002" s="544"/>
      <c r="L1002" s="544"/>
      <c r="M1002" s="545"/>
    </row>
    <row r="1003" spans="6:13" s="495" customFormat="1" x14ac:dyDescent="0.2">
      <c r="F1003" s="544"/>
      <c r="G1003" s="544"/>
      <c r="H1003" s="544"/>
      <c r="I1003" s="544"/>
      <c r="J1003" s="544"/>
      <c r="K1003" s="544"/>
      <c r="L1003" s="544"/>
      <c r="M1003" s="545"/>
    </row>
    <row r="1004" spans="6:13" s="495" customFormat="1" x14ac:dyDescent="0.2">
      <c r="F1004" s="544"/>
      <c r="G1004" s="544"/>
      <c r="H1004" s="544"/>
      <c r="I1004" s="544"/>
      <c r="J1004" s="544"/>
      <c r="K1004" s="544"/>
      <c r="L1004" s="544"/>
      <c r="M1004" s="545"/>
    </row>
    <row r="1005" spans="6:13" s="495" customFormat="1" x14ac:dyDescent="0.2">
      <c r="F1005" s="544"/>
      <c r="G1005" s="544"/>
      <c r="H1005" s="544"/>
      <c r="I1005" s="544"/>
      <c r="J1005" s="544"/>
      <c r="K1005" s="544"/>
      <c r="L1005" s="544"/>
      <c r="M1005" s="545"/>
    </row>
    <row r="1006" spans="6:13" s="495" customFormat="1" x14ac:dyDescent="0.2">
      <c r="F1006" s="544"/>
      <c r="G1006" s="544"/>
      <c r="H1006" s="544"/>
      <c r="I1006" s="544"/>
      <c r="J1006" s="544"/>
      <c r="K1006" s="544"/>
      <c r="L1006" s="544"/>
      <c r="M1006" s="545"/>
    </row>
    <row r="1007" spans="6:13" s="495" customFormat="1" x14ac:dyDescent="0.2">
      <c r="F1007" s="544"/>
      <c r="G1007" s="544"/>
      <c r="H1007" s="544"/>
      <c r="I1007" s="544"/>
      <c r="J1007" s="544"/>
      <c r="K1007" s="544"/>
      <c r="L1007" s="544"/>
      <c r="M1007" s="545"/>
    </row>
    <row r="1008" spans="6:13" s="495" customFormat="1" x14ac:dyDescent="0.2">
      <c r="F1008" s="544"/>
      <c r="G1008" s="544"/>
      <c r="H1008" s="544"/>
      <c r="I1008" s="544"/>
      <c r="J1008" s="544"/>
      <c r="K1008" s="544"/>
      <c r="L1008" s="544"/>
      <c r="M1008" s="545"/>
    </row>
    <row r="1009" spans="6:13" s="495" customFormat="1" x14ac:dyDescent="0.2">
      <c r="F1009" s="544"/>
      <c r="G1009" s="544"/>
      <c r="H1009" s="544"/>
      <c r="I1009" s="544"/>
      <c r="J1009" s="544"/>
      <c r="K1009" s="544"/>
      <c r="L1009" s="544"/>
      <c r="M1009" s="545"/>
    </row>
    <row r="1010" spans="6:13" s="495" customFormat="1" x14ac:dyDescent="0.2">
      <c r="F1010" s="544"/>
      <c r="G1010" s="544"/>
      <c r="H1010" s="544"/>
      <c r="I1010" s="544"/>
      <c r="J1010" s="544"/>
      <c r="K1010" s="544"/>
      <c r="L1010" s="544"/>
      <c r="M1010" s="545"/>
    </row>
    <row r="1011" spans="6:13" s="495" customFormat="1" x14ac:dyDescent="0.2">
      <c r="F1011" s="544"/>
      <c r="G1011" s="544"/>
      <c r="H1011" s="544"/>
      <c r="I1011" s="544"/>
      <c r="J1011" s="544"/>
      <c r="K1011" s="544"/>
      <c r="L1011" s="544"/>
      <c r="M1011" s="545"/>
    </row>
    <row r="1012" spans="6:13" s="495" customFormat="1" x14ac:dyDescent="0.2">
      <c r="F1012" s="544"/>
      <c r="G1012" s="544"/>
      <c r="H1012" s="544"/>
      <c r="I1012" s="544"/>
      <c r="J1012" s="544"/>
      <c r="K1012" s="544"/>
      <c r="L1012" s="544"/>
      <c r="M1012" s="545"/>
    </row>
    <row r="1013" spans="6:13" s="495" customFormat="1" x14ac:dyDescent="0.2">
      <c r="F1013" s="544"/>
      <c r="G1013" s="544"/>
      <c r="H1013" s="544"/>
      <c r="I1013" s="544"/>
      <c r="J1013" s="544"/>
      <c r="K1013" s="544"/>
      <c r="L1013" s="544"/>
      <c r="M1013" s="545"/>
    </row>
    <row r="1014" spans="6:13" s="495" customFormat="1" x14ac:dyDescent="0.2">
      <c r="F1014" s="544"/>
      <c r="G1014" s="544"/>
      <c r="H1014" s="544"/>
      <c r="I1014" s="544"/>
      <c r="J1014" s="544"/>
      <c r="K1014" s="544"/>
      <c r="L1014" s="544"/>
      <c r="M1014" s="545"/>
    </row>
    <row r="1015" spans="6:13" s="495" customFormat="1" x14ac:dyDescent="0.2">
      <c r="F1015" s="544"/>
      <c r="G1015" s="544"/>
      <c r="H1015" s="544"/>
      <c r="I1015" s="544"/>
      <c r="J1015" s="544"/>
      <c r="K1015" s="544"/>
      <c r="L1015" s="544"/>
      <c r="M1015" s="545"/>
    </row>
    <row r="1016" spans="6:13" s="495" customFormat="1" x14ac:dyDescent="0.2">
      <c r="F1016" s="544"/>
      <c r="G1016" s="544"/>
      <c r="H1016" s="544"/>
      <c r="I1016" s="544"/>
      <c r="J1016" s="544"/>
      <c r="K1016" s="544"/>
      <c r="L1016" s="544"/>
      <c r="M1016" s="545"/>
    </row>
    <row r="1017" spans="6:13" s="495" customFormat="1" x14ac:dyDescent="0.2">
      <c r="F1017" s="544"/>
      <c r="G1017" s="544"/>
      <c r="H1017" s="544"/>
      <c r="I1017" s="544"/>
      <c r="J1017" s="544"/>
      <c r="K1017" s="544"/>
      <c r="L1017" s="544"/>
      <c r="M1017" s="545"/>
    </row>
    <row r="1018" spans="6:13" s="495" customFormat="1" x14ac:dyDescent="0.2">
      <c r="F1018" s="544"/>
      <c r="G1018" s="544"/>
      <c r="H1018" s="544"/>
      <c r="I1018" s="544"/>
      <c r="J1018" s="544"/>
      <c r="K1018" s="544"/>
      <c r="L1018" s="544"/>
      <c r="M1018" s="545"/>
    </row>
    <row r="1019" spans="6:13" s="495" customFormat="1" x14ac:dyDescent="0.2">
      <c r="F1019" s="544"/>
      <c r="G1019" s="544"/>
      <c r="H1019" s="544"/>
      <c r="I1019" s="544"/>
      <c r="J1019" s="544"/>
      <c r="K1019" s="544"/>
      <c r="L1019" s="544"/>
      <c r="M1019" s="545"/>
    </row>
    <row r="1020" spans="6:13" s="495" customFormat="1" x14ac:dyDescent="0.2">
      <c r="F1020" s="544"/>
      <c r="G1020" s="544"/>
      <c r="H1020" s="544"/>
      <c r="I1020" s="544"/>
      <c r="J1020" s="544"/>
      <c r="K1020" s="544"/>
      <c r="L1020" s="544"/>
      <c r="M1020" s="545"/>
    </row>
    <row r="1021" spans="6:13" s="495" customFormat="1" x14ac:dyDescent="0.2">
      <c r="F1021" s="544"/>
      <c r="G1021" s="544"/>
      <c r="H1021" s="544"/>
      <c r="I1021" s="544"/>
      <c r="J1021" s="544"/>
      <c r="K1021" s="544"/>
      <c r="L1021" s="544"/>
      <c r="M1021" s="545"/>
    </row>
    <row r="1022" spans="6:13" s="495" customFormat="1" x14ac:dyDescent="0.2">
      <c r="F1022" s="544"/>
      <c r="G1022" s="544"/>
      <c r="H1022" s="544"/>
      <c r="I1022" s="544"/>
      <c r="J1022" s="544"/>
      <c r="K1022" s="544"/>
      <c r="L1022" s="544"/>
      <c r="M1022" s="545"/>
    </row>
    <row r="1023" spans="6:13" s="495" customFormat="1" x14ac:dyDescent="0.2">
      <c r="F1023" s="544"/>
      <c r="G1023" s="544"/>
      <c r="H1023" s="544"/>
      <c r="I1023" s="544"/>
      <c r="J1023" s="544"/>
      <c r="K1023" s="544"/>
      <c r="L1023" s="544"/>
      <c r="M1023" s="545"/>
    </row>
    <row r="1024" spans="6:13" s="495" customFormat="1" x14ac:dyDescent="0.2">
      <c r="F1024" s="544"/>
      <c r="G1024" s="544"/>
      <c r="H1024" s="544"/>
      <c r="I1024" s="544"/>
      <c r="J1024" s="544"/>
      <c r="K1024" s="544"/>
      <c r="L1024" s="544"/>
      <c r="M1024" s="545"/>
    </row>
    <row r="1025" spans="6:13" s="495" customFormat="1" x14ac:dyDescent="0.2">
      <c r="F1025" s="544"/>
      <c r="G1025" s="544"/>
      <c r="H1025" s="544"/>
      <c r="I1025" s="544"/>
      <c r="J1025" s="544"/>
      <c r="K1025" s="544"/>
      <c r="L1025" s="544"/>
      <c r="M1025" s="545"/>
    </row>
    <row r="1026" spans="6:13" s="495" customFormat="1" x14ac:dyDescent="0.2">
      <c r="F1026" s="544"/>
      <c r="G1026" s="544"/>
      <c r="H1026" s="544"/>
      <c r="I1026" s="544"/>
      <c r="J1026" s="544"/>
      <c r="K1026" s="544"/>
      <c r="L1026" s="544"/>
      <c r="M1026" s="545"/>
    </row>
    <row r="1027" spans="6:13" s="495" customFormat="1" x14ac:dyDescent="0.2">
      <c r="F1027" s="544"/>
      <c r="G1027" s="544"/>
      <c r="H1027" s="544"/>
      <c r="I1027" s="544"/>
      <c r="J1027" s="544"/>
      <c r="K1027" s="544"/>
      <c r="L1027" s="544"/>
      <c r="M1027" s="545"/>
    </row>
    <row r="1028" spans="6:13" s="495" customFormat="1" x14ac:dyDescent="0.2">
      <c r="F1028" s="544"/>
      <c r="G1028" s="544"/>
      <c r="H1028" s="544"/>
      <c r="I1028" s="544"/>
      <c r="J1028" s="544"/>
      <c r="K1028" s="544"/>
      <c r="L1028" s="544"/>
      <c r="M1028" s="545"/>
    </row>
    <row r="1029" spans="6:13" s="495" customFormat="1" x14ac:dyDescent="0.2">
      <c r="F1029" s="544"/>
      <c r="G1029" s="544"/>
      <c r="H1029" s="544"/>
      <c r="I1029" s="544"/>
      <c r="J1029" s="544"/>
      <c r="K1029" s="544"/>
      <c r="L1029" s="544"/>
      <c r="M1029" s="545"/>
    </row>
    <row r="1030" spans="6:13" s="495" customFormat="1" x14ac:dyDescent="0.2">
      <c r="F1030" s="544"/>
      <c r="G1030" s="544"/>
      <c r="H1030" s="544"/>
      <c r="I1030" s="544"/>
      <c r="J1030" s="544"/>
      <c r="K1030" s="544"/>
      <c r="L1030" s="544"/>
      <c r="M1030" s="545"/>
    </row>
    <row r="1031" spans="6:13" s="495" customFormat="1" x14ac:dyDescent="0.2">
      <c r="F1031" s="544"/>
      <c r="G1031" s="544"/>
      <c r="H1031" s="544"/>
      <c r="I1031" s="544"/>
      <c r="J1031" s="544"/>
      <c r="K1031" s="544"/>
      <c r="L1031" s="544"/>
      <c r="M1031" s="545"/>
    </row>
    <row r="1032" spans="6:13" s="495" customFormat="1" x14ac:dyDescent="0.2">
      <c r="F1032" s="544"/>
      <c r="G1032" s="544"/>
      <c r="H1032" s="544"/>
      <c r="I1032" s="544"/>
      <c r="J1032" s="544"/>
      <c r="K1032" s="544"/>
      <c r="L1032" s="544"/>
      <c r="M1032" s="545"/>
    </row>
    <row r="1033" spans="6:13" s="495" customFormat="1" x14ac:dyDescent="0.2">
      <c r="F1033" s="544"/>
      <c r="G1033" s="544"/>
      <c r="H1033" s="544"/>
      <c r="I1033" s="544"/>
      <c r="J1033" s="544"/>
      <c r="K1033" s="544"/>
      <c r="L1033" s="544"/>
      <c r="M1033" s="545"/>
    </row>
    <row r="1034" spans="6:13" s="495" customFormat="1" x14ac:dyDescent="0.2">
      <c r="F1034" s="544"/>
      <c r="G1034" s="544"/>
      <c r="H1034" s="544"/>
      <c r="I1034" s="544"/>
      <c r="J1034" s="544"/>
      <c r="K1034" s="544"/>
      <c r="L1034" s="544"/>
      <c r="M1034" s="545"/>
    </row>
    <row r="1035" spans="6:13" s="495" customFormat="1" x14ac:dyDescent="0.2">
      <c r="F1035" s="544"/>
      <c r="G1035" s="544"/>
      <c r="H1035" s="544"/>
      <c r="I1035" s="544"/>
      <c r="J1035" s="544"/>
      <c r="K1035" s="544"/>
      <c r="L1035" s="544"/>
      <c r="M1035" s="545"/>
    </row>
    <row r="1036" spans="6:13" s="495" customFormat="1" x14ac:dyDescent="0.2">
      <c r="F1036" s="544"/>
      <c r="G1036" s="544"/>
      <c r="H1036" s="544"/>
      <c r="I1036" s="544"/>
      <c r="J1036" s="544"/>
      <c r="K1036" s="544"/>
      <c r="L1036" s="544"/>
      <c r="M1036" s="545"/>
    </row>
    <row r="1037" spans="6:13" s="495" customFormat="1" x14ac:dyDescent="0.2">
      <c r="F1037" s="544"/>
      <c r="G1037" s="544"/>
      <c r="H1037" s="544"/>
      <c r="I1037" s="544"/>
      <c r="J1037" s="544"/>
      <c r="K1037" s="544"/>
      <c r="L1037" s="544"/>
      <c r="M1037" s="545"/>
    </row>
    <row r="1038" spans="6:13" s="495" customFormat="1" x14ac:dyDescent="0.2">
      <c r="F1038" s="544"/>
      <c r="G1038" s="544"/>
      <c r="H1038" s="544"/>
      <c r="I1038" s="544"/>
      <c r="J1038" s="544"/>
      <c r="K1038" s="544"/>
      <c r="L1038" s="544"/>
      <c r="M1038" s="545"/>
    </row>
    <row r="1039" spans="6:13" s="495" customFormat="1" x14ac:dyDescent="0.2">
      <c r="F1039" s="544"/>
      <c r="G1039" s="544"/>
      <c r="H1039" s="544"/>
      <c r="I1039" s="544"/>
      <c r="J1039" s="544"/>
      <c r="K1039" s="544"/>
      <c r="L1039" s="544"/>
      <c r="M1039" s="545"/>
    </row>
    <row r="1040" spans="6:13" s="495" customFormat="1" x14ac:dyDescent="0.2">
      <c r="F1040" s="544"/>
      <c r="G1040" s="544"/>
      <c r="H1040" s="544"/>
      <c r="I1040" s="544"/>
      <c r="J1040" s="544"/>
      <c r="K1040" s="544"/>
      <c r="L1040" s="544"/>
      <c r="M1040" s="545"/>
    </row>
    <row r="1041" spans="6:13" s="495" customFormat="1" x14ac:dyDescent="0.2">
      <c r="F1041" s="544"/>
      <c r="G1041" s="544"/>
      <c r="H1041" s="544"/>
      <c r="I1041" s="544"/>
      <c r="J1041" s="544"/>
      <c r="K1041" s="544"/>
      <c r="L1041" s="544"/>
      <c r="M1041" s="545"/>
    </row>
    <row r="1042" spans="6:13" s="495" customFormat="1" x14ac:dyDescent="0.2">
      <c r="F1042" s="544"/>
      <c r="G1042" s="544"/>
      <c r="H1042" s="544"/>
      <c r="I1042" s="544"/>
      <c r="J1042" s="544"/>
      <c r="K1042" s="544"/>
      <c r="L1042" s="544"/>
      <c r="M1042" s="545"/>
    </row>
    <row r="1043" spans="6:13" s="495" customFormat="1" x14ac:dyDescent="0.2">
      <c r="F1043" s="544"/>
      <c r="G1043" s="544"/>
      <c r="H1043" s="544"/>
      <c r="I1043" s="544"/>
      <c r="J1043" s="544"/>
      <c r="K1043" s="544"/>
      <c r="L1043" s="544"/>
      <c r="M1043" s="545"/>
    </row>
    <row r="1044" spans="6:13" s="495" customFormat="1" x14ac:dyDescent="0.2">
      <c r="F1044" s="544"/>
      <c r="G1044" s="544"/>
      <c r="H1044" s="544"/>
      <c r="I1044" s="544"/>
      <c r="J1044" s="544"/>
      <c r="K1044" s="544"/>
      <c r="L1044" s="544"/>
      <c r="M1044" s="545"/>
    </row>
    <row r="1045" spans="6:13" s="495" customFormat="1" x14ac:dyDescent="0.2">
      <c r="F1045" s="544"/>
      <c r="G1045" s="544"/>
      <c r="H1045" s="544"/>
      <c r="I1045" s="544"/>
      <c r="J1045" s="544"/>
      <c r="K1045" s="544"/>
      <c r="L1045" s="544"/>
      <c r="M1045" s="545"/>
    </row>
    <row r="1046" spans="6:13" s="495" customFormat="1" x14ac:dyDescent="0.2">
      <c r="F1046" s="544"/>
      <c r="G1046" s="544"/>
      <c r="H1046" s="544"/>
      <c r="I1046" s="544"/>
      <c r="J1046" s="544"/>
      <c r="K1046" s="544"/>
      <c r="L1046" s="544"/>
      <c r="M1046" s="545"/>
    </row>
    <row r="1047" spans="6:13" s="495" customFormat="1" x14ac:dyDescent="0.2">
      <c r="F1047" s="544"/>
      <c r="G1047" s="544"/>
      <c r="H1047" s="544"/>
      <c r="I1047" s="544"/>
      <c r="J1047" s="544"/>
      <c r="K1047" s="544"/>
      <c r="L1047" s="544"/>
      <c r="M1047" s="545"/>
    </row>
    <row r="1048" spans="6:13" s="495" customFormat="1" x14ac:dyDescent="0.2">
      <c r="F1048" s="544"/>
      <c r="G1048" s="544"/>
      <c r="H1048" s="544"/>
      <c r="I1048" s="544"/>
      <c r="J1048" s="544"/>
      <c r="K1048" s="544"/>
      <c r="L1048" s="544"/>
      <c r="M1048" s="545"/>
    </row>
    <row r="1049" spans="6:13" s="495" customFormat="1" x14ac:dyDescent="0.2">
      <c r="F1049" s="544"/>
      <c r="G1049" s="544"/>
      <c r="H1049" s="544"/>
      <c r="I1049" s="544"/>
      <c r="J1049" s="544"/>
      <c r="K1049" s="544"/>
      <c r="L1049" s="544"/>
      <c r="M1049" s="545"/>
    </row>
    <row r="1050" spans="6:13" s="495" customFormat="1" x14ac:dyDescent="0.2">
      <c r="F1050" s="544"/>
      <c r="G1050" s="544"/>
      <c r="H1050" s="544"/>
      <c r="I1050" s="544"/>
      <c r="J1050" s="544"/>
      <c r="K1050" s="544"/>
      <c r="L1050" s="544"/>
      <c r="M1050" s="545"/>
    </row>
    <row r="1051" spans="6:13" s="495" customFormat="1" x14ac:dyDescent="0.2">
      <c r="F1051" s="544"/>
      <c r="G1051" s="544"/>
      <c r="H1051" s="544"/>
      <c r="I1051" s="544"/>
      <c r="J1051" s="544"/>
      <c r="K1051" s="544"/>
      <c r="L1051" s="544"/>
      <c r="M1051" s="545"/>
    </row>
    <row r="1052" spans="6:13" s="495" customFormat="1" x14ac:dyDescent="0.2">
      <c r="F1052" s="544"/>
      <c r="G1052" s="544"/>
      <c r="H1052" s="544"/>
      <c r="I1052" s="544"/>
      <c r="J1052" s="544"/>
      <c r="K1052" s="544"/>
      <c r="L1052" s="544"/>
      <c r="M1052" s="545"/>
    </row>
    <row r="1053" spans="6:13" s="495" customFormat="1" x14ac:dyDescent="0.2">
      <c r="F1053" s="544"/>
      <c r="G1053" s="544"/>
      <c r="H1053" s="544"/>
      <c r="I1053" s="544"/>
      <c r="J1053" s="544"/>
      <c r="K1053" s="544"/>
      <c r="L1053" s="544"/>
      <c r="M1053" s="545"/>
    </row>
    <row r="1054" spans="6:13" s="495" customFormat="1" x14ac:dyDescent="0.2">
      <c r="F1054" s="544"/>
      <c r="G1054" s="544"/>
      <c r="H1054" s="544"/>
      <c r="I1054" s="544"/>
      <c r="J1054" s="544"/>
      <c r="K1054" s="544"/>
      <c r="L1054" s="544"/>
      <c r="M1054" s="545"/>
    </row>
    <row r="1055" spans="6:13" s="495" customFormat="1" x14ac:dyDescent="0.2">
      <c r="F1055" s="544"/>
      <c r="G1055" s="544"/>
      <c r="H1055" s="544"/>
      <c r="I1055" s="544"/>
      <c r="J1055" s="544"/>
      <c r="K1055" s="544"/>
      <c r="L1055" s="544"/>
      <c r="M1055" s="545"/>
    </row>
    <row r="1056" spans="6:13" s="495" customFormat="1" x14ac:dyDescent="0.2">
      <c r="F1056" s="544"/>
      <c r="G1056" s="544"/>
      <c r="H1056" s="544"/>
      <c r="I1056" s="544"/>
      <c r="J1056" s="544"/>
      <c r="K1056" s="544"/>
      <c r="L1056" s="544"/>
      <c r="M1056" s="545"/>
    </row>
    <row r="1057" spans="6:13" s="495" customFormat="1" x14ac:dyDescent="0.2">
      <c r="F1057" s="544"/>
      <c r="G1057" s="544"/>
      <c r="H1057" s="544"/>
      <c r="I1057" s="544"/>
      <c r="J1057" s="544"/>
      <c r="K1057" s="544"/>
      <c r="L1057" s="544"/>
      <c r="M1057" s="545"/>
    </row>
    <row r="1058" spans="6:13" s="495" customFormat="1" x14ac:dyDescent="0.2">
      <c r="F1058" s="544"/>
      <c r="G1058" s="544"/>
      <c r="H1058" s="544"/>
      <c r="I1058" s="544"/>
      <c r="J1058" s="544"/>
      <c r="K1058" s="544"/>
      <c r="L1058" s="544"/>
      <c r="M1058" s="545"/>
    </row>
    <row r="1059" spans="6:13" s="495" customFormat="1" x14ac:dyDescent="0.2">
      <c r="F1059" s="544"/>
      <c r="G1059" s="544"/>
      <c r="H1059" s="544"/>
      <c r="I1059" s="544"/>
      <c r="J1059" s="544"/>
      <c r="K1059" s="544"/>
      <c r="L1059" s="544"/>
      <c r="M1059" s="545"/>
    </row>
    <row r="1060" spans="6:13" s="495" customFormat="1" x14ac:dyDescent="0.2">
      <c r="F1060" s="544"/>
      <c r="G1060" s="544"/>
      <c r="H1060" s="544"/>
      <c r="I1060" s="544"/>
      <c r="J1060" s="544"/>
      <c r="K1060" s="544"/>
      <c r="L1060" s="544"/>
      <c r="M1060" s="545"/>
    </row>
    <row r="1061" spans="6:13" s="495" customFormat="1" x14ac:dyDescent="0.2">
      <c r="F1061" s="544"/>
      <c r="G1061" s="544"/>
      <c r="H1061" s="544"/>
      <c r="I1061" s="544"/>
      <c r="J1061" s="544"/>
      <c r="K1061" s="544"/>
      <c r="L1061" s="544"/>
      <c r="M1061" s="545"/>
    </row>
    <row r="1062" spans="6:13" s="495" customFormat="1" x14ac:dyDescent="0.2">
      <c r="F1062" s="544"/>
      <c r="G1062" s="544"/>
      <c r="H1062" s="544"/>
      <c r="I1062" s="544"/>
      <c r="J1062" s="544"/>
      <c r="K1062" s="544"/>
      <c r="L1062" s="544"/>
      <c r="M1062" s="545"/>
    </row>
    <row r="1063" spans="6:13" s="495" customFormat="1" x14ac:dyDescent="0.2">
      <c r="F1063" s="544"/>
      <c r="G1063" s="544"/>
      <c r="H1063" s="544"/>
      <c r="I1063" s="544"/>
      <c r="J1063" s="544"/>
      <c r="K1063" s="544"/>
      <c r="L1063" s="544"/>
      <c r="M1063" s="545"/>
    </row>
    <row r="1064" spans="6:13" s="495" customFormat="1" x14ac:dyDescent="0.2">
      <c r="F1064" s="544"/>
      <c r="G1064" s="544"/>
      <c r="H1064" s="544"/>
      <c r="I1064" s="544"/>
      <c r="J1064" s="544"/>
      <c r="K1064" s="544"/>
      <c r="L1064" s="544"/>
      <c r="M1064" s="545"/>
    </row>
    <row r="1065" spans="6:13" s="495" customFormat="1" x14ac:dyDescent="0.2">
      <c r="F1065" s="544"/>
      <c r="G1065" s="544"/>
      <c r="H1065" s="544"/>
      <c r="I1065" s="544"/>
      <c r="J1065" s="544"/>
      <c r="K1065" s="544"/>
      <c r="L1065" s="544"/>
      <c r="M1065" s="545"/>
    </row>
    <row r="1066" spans="6:13" s="495" customFormat="1" x14ac:dyDescent="0.2">
      <c r="F1066" s="544"/>
      <c r="G1066" s="544"/>
      <c r="H1066" s="544"/>
      <c r="I1066" s="544"/>
      <c r="J1066" s="544"/>
      <c r="K1066" s="544"/>
      <c r="L1066" s="544"/>
      <c r="M1066" s="545"/>
    </row>
    <row r="1067" spans="6:13" s="495" customFormat="1" x14ac:dyDescent="0.2">
      <c r="F1067" s="544"/>
      <c r="G1067" s="544"/>
      <c r="H1067" s="544"/>
      <c r="I1067" s="544"/>
      <c r="J1067" s="544"/>
      <c r="K1067" s="544"/>
      <c r="L1067" s="544"/>
      <c r="M1067" s="545"/>
    </row>
    <row r="1068" spans="6:13" s="495" customFormat="1" x14ac:dyDescent="0.2">
      <c r="F1068" s="544"/>
      <c r="G1068" s="544"/>
      <c r="H1068" s="544"/>
      <c r="I1068" s="544"/>
      <c r="J1068" s="544"/>
      <c r="K1068" s="544"/>
      <c r="L1068" s="544"/>
      <c r="M1068" s="545"/>
    </row>
    <row r="1069" spans="6:13" s="495" customFormat="1" x14ac:dyDescent="0.2">
      <c r="F1069" s="544"/>
      <c r="G1069" s="544"/>
      <c r="H1069" s="544"/>
      <c r="I1069" s="544"/>
      <c r="J1069" s="544"/>
      <c r="K1069" s="544"/>
      <c r="L1069" s="544"/>
      <c r="M1069" s="545"/>
    </row>
    <row r="1070" spans="6:13" s="495" customFormat="1" x14ac:dyDescent="0.2">
      <c r="F1070" s="544"/>
      <c r="G1070" s="544"/>
      <c r="H1070" s="544"/>
      <c r="I1070" s="544"/>
      <c r="J1070" s="544"/>
      <c r="K1070" s="544"/>
      <c r="L1070" s="544"/>
      <c r="M1070" s="545"/>
    </row>
    <row r="1071" spans="6:13" s="495" customFormat="1" x14ac:dyDescent="0.2">
      <c r="F1071" s="544"/>
      <c r="G1071" s="544"/>
      <c r="H1071" s="544"/>
      <c r="I1071" s="544"/>
      <c r="J1071" s="544"/>
      <c r="K1071" s="544"/>
      <c r="L1071" s="544"/>
      <c r="M1071" s="545"/>
    </row>
    <row r="1072" spans="6:13" s="495" customFormat="1" x14ac:dyDescent="0.2">
      <c r="F1072" s="544"/>
      <c r="G1072" s="544"/>
      <c r="H1072" s="544"/>
      <c r="I1072" s="544"/>
      <c r="J1072" s="544"/>
      <c r="K1072" s="544"/>
      <c r="L1072" s="544"/>
      <c r="M1072" s="545"/>
    </row>
    <row r="1073" spans="6:13" s="495" customFormat="1" x14ac:dyDescent="0.2">
      <c r="F1073" s="544"/>
      <c r="G1073" s="544"/>
      <c r="H1073" s="544"/>
      <c r="I1073" s="544"/>
      <c r="J1073" s="544"/>
      <c r="K1073" s="544"/>
      <c r="L1073" s="544"/>
      <c r="M1073" s="545"/>
    </row>
    <row r="1074" spans="6:13" s="495" customFormat="1" x14ac:dyDescent="0.2">
      <c r="F1074" s="544"/>
      <c r="G1074" s="544"/>
      <c r="H1074" s="544"/>
      <c r="I1074" s="544"/>
      <c r="J1074" s="544"/>
      <c r="K1074" s="544"/>
      <c r="L1074" s="544"/>
      <c r="M1074" s="545"/>
    </row>
    <row r="1075" spans="6:13" s="495" customFormat="1" x14ac:dyDescent="0.2">
      <c r="F1075" s="544"/>
      <c r="G1075" s="544"/>
      <c r="H1075" s="544"/>
      <c r="I1075" s="544"/>
      <c r="J1075" s="544"/>
      <c r="K1075" s="544"/>
      <c r="L1075" s="544"/>
      <c r="M1075" s="545"/>
    </row>
    <row r="1076" spans="6:13" s="495" customFormat="1" x14ac:dyDescent="0.2">
      <c r="F1076" s="544"/>
      <c r="G1076" s="544"/>
      <c r="H1076" s="544"/>
      <c r="I1076" s="544"/>
      <c r="J1076" s="544"/>
      <c r="K1076" s="544"/>
      <c r="L1076" s="544"/>
      <c r="M1076" s="545"/>
    </row>
    <row r="1077" spans="6:13" s="495" customFormat="1" x14ac:dyDescent="0.2">
      <c r="F1077" s="544"/>
      <c r="G1077" s="544"/>
      <c r="H1077" s="544"/>
      <c r="I1077" s="544"/>
      <c r="J1077" s="544"/>
      <c r="K1077" s="544"/>
      <c r="L1077" s="544"/>
      <c r="M1077" s="545"/>
    </row>
    <row r="1078" spans="6:13" s="495" customFormat="1" x14ac:dyDescent="0.2">
      <c r="F1078" s="544"/>
      <c r="G1078" s="544"/>
      <c r="H1078" s="544"/>
      <c r="I1078" s="544"/>
      <c r="J1078" s="544"/>
      <c r="K1078" s="544"/>
      <c r="L1078" s="544"/>
      <c r="M1078" s="545"/>
    </row>
    <row r="1079" spans="6:13" s="495" customFormat="1" x14ac:dyDescent="0.2">
      <c r="F1079" s="544"/>
      <c r="G1079" s="544"/>
      <c r="H1079" s="544"/>
      <c r="I1079" s="544"/>
      <c r="J1079" s="544"/>
      <c r="K1079" s="544"/>
      <c r="L1079" s="544"/>
      <c r="M1079" s="545"/>
    </row>
    <row r="1080" spans="6:13" s="495" customFormat="1" x14ac:dyDescent="0.2">
      <c r="F1080" s="544"/>
      <c r="G1080" s="544"/>
      <c r="H1080" s="544"/>
      <c r="I1080" s="544"/>
      <c r="J1080" s="544"/>
      <c r="K1080" s="544"/>
      <c r="L1080" s="544"/>
      <c r="M1080" s="545"/>
    </row>
    <row r="1081" spans="6:13" s="495" customFormat="1" x14ac:dyDescent="0.2">
      <c r="F1081" s="544"/>
      <c r="G1081" s="544"/>
      <c r="H1081" s="544"/>
      <c r="I1081" s="544"/>
      <c r="J1081" s="544"/>
      <c r="K1081" s="544"/>
      <c r="L1081" s="544"/>
      <c r="M1081" s="545"/>
    </row>
    <row r="1082" spans="6:13" s="495" customFormat="1" x14ac:dyDescent="0.2">
      <c r="F1082" s="544"/>
      <c r="G1082" s="544"/>
      <c r="H1082" s="544"/>
      <c r="I1082" s="544"/>
      <c r="J1082" s="544"/>
      <c r="K1082" s="544"/>
      <c r="L1082" s="544"/>
      <c r="M1082" s="545"/>
    </row>
    <row r="1083" spans="6:13" s="495" customFormat="1" x14ac:dyDescent="0.2">
      <c r="F1083" s="544"/>
      <c r="G1083" s="544"/>
      <c r="H1083" s="544"/>
      <c r="I1083" s="544"/>
      <c r="J1083" s="544"/>
      <c r="K1083" s="544"/>
      <c r="L1083" s="544"/>
      <c r="M1083" s="545"/>
    </row>
    <row r="1084" spans="6:13" s="495" customFormat="1" x14ac:dyDescent="0.2">
      <c r="F1084" s="544"/>
      <c r="G1084" s="544"/>
      <c r="H1084" s="544"/>
      <c r="I1084" s="544"/>
      <c r="J1084" s="544"/>
      <c r="K1084" s="544"/>
      <c r="L1084" s="544"/>
      <c r="M1084" s="545"/>
    </row>
    <row r="1085" spans="6:13" s="495" customFormat="1" x14ac:dyDescent="0.2">
      <c r="F1085" s="544"/>
      <c r="G1085" s="544"/>
      <c r="H1085" s="544"/>
      <c r="I1085" s="544"/>
      <c r="J1085" s="544"/>
      <c r="K1085" s="544"/>
      <c r="L1085" s="544"/>
      <c r="M1085" s="545"/>
    </row>
    <row r="1086" spans="6:13" s="495" customFormat="1" x14ac:dyDescent="0.2">
      <c r="F1086" s="544"/>
      <c r="G1086" s="544"/>
      <c r="H1086" s="544"/>
      <c r="I1086" s="544"/>
      <c r="J1086" s="544"/>
      <c r="K1086" s="544"/>
      <c r="L1086" s="544"/>
      <c r="M1086" s="545"/>
    </row>
    <row r="1087" spans="6:13" s="495" customFormat="1" x14ac:dyDescent="0.2">
      <c r="F1087" s="544"/>
      <c r="G1087" s="544"/>
      <c r="H1087" s="544"/>
      <c r="I1087" s="544"/>
      <c r="J1087" s="544"/>
      <c r="K1087" s="544"/>
      <c r="L1087" s="544"/>
      <c r="M1087" s="545"/>
    </row>
    <row r="1088" spans="6:13" s="495" customFormat="1" x14ac:dyDescent="0.2">
      <c r="F1088" s="544"/>
      <c r="G1088" s="544"/>
      <c r="H1088" s="544"/>
      <c r="I1088" s="544"/>
      <c r="J1088" s="544"/>
      <c r="K1088" s="544"/>
      <c r="L1088" s="544"/>
      <c r="M1088" s="545"/>
    </row>
    <row r="1089" spans="6:13" s="495" customFormat="1" x14ac:dyDescent="0.2">
      <c r="F1089" s="544"/>
      <c r="G1089" s="544"/>
      <c r="H1089" s="544"/>
      <c r="I1089" s="544"/>
      <c r="J1089" s="544"/>
      <c r="K1089" s="544"/>
      <c r="L1089" s="544"/>
      <c r="M1089" s="545"/>
    </row>
    <row r="1090" spans="6:13" s="495" customFormat="1" x14ac:dyDescent="0.2">
      <c r="F1090" s="544"/>
      <c r="G1090" s="544"/>
      <c r="H1090" s="544"/>
      <c r="I1090" s="544"/>
      <c r="J1090" s="544"/>
      <c r="K1090" s="544"/>
      <c r="L1090" s="544"/>
      <c r="M1090" s="545"/>
    </row>
    <row r="1091" spans="6:13" s="495" customFormat="1" x14ac:dyDescent="0.2">
      <c r="F1091" s="544"/>
      <c r="G1091" s="544"/>
      <c r="H1091" s="544"/>
      <c r="I1091" s="544"/>
      <c r="J1091" s="544"/>
      <c r="K1091" s="544"/>
      <c r="L1091" s="544"/>
      <c r="M1091" s="545"/>
    </row>
    <row r="1092" spans="6:13" s="495" customFormat="1" x14ac:dyDescent="0.2">
      <c r="F1092" s="544"/>
      <c r="G1092" s="544"/>
      <c r="H1092" s="544"/>
      <c r="I1092" s="544"/>
      <c r="J1092" s="544"/>
      <c r="K1092" s="544"/>
      <c r="L1092" s="544"/>
      <c r="M1092" s="545"/>
    </row>
    <row r="1093" spans="6:13" s="495" customFormat="1" x14ac:dyDescent="0.2">
      <c r="F1093" s="544"/>
      <c r="G1093" s="544"/>
      <c r="H1093" s="544"/>
      <c r="I1093" s="544"/>
      <c r="J1093" s="544"/>
      <c r="K1093" s="544"/>
      <c r="L1093" s="544"/>
      <c r="M1093" s="545"/>
    </row>
    <row r="1094" spans="6:13" s="495" customFormat="1" x14ac:dyDescent="0.2">
      <c r="F1094" s="544"/>
      <c r="G1094" s="544"/>
      <c r="H1094" s="544"/>
      <c r="I1094" s="544"/>
      <c r="J1094" s="544"/>
      <c r="K1094" s="544"/>
      <c r="L1094" s="544"/>
      <c r="M1094" s="545"/>
    </row>
    <row r="1095" spans="6:13" s="495" customFormat="1" x14ac:dyDescent="0.2">
      <c r="F1095" s="544"/>
      <c r="G1095" s="544"/>
      <c r="H1095" s="544"/>
      <c r="I1095" s="544"/>
      <c r="J1095" s="544"/>
      <c r="K1095" s="544"/>
      <c r="L1095" s="544"/>
      <c r="M1095" s="545"/>
    </row>
    <row r="1096" spans="6:13" s="495" customFormat="1" x14ac:dyDescent="0.2">
      <c r="F1096" s="544"/>
      <c r="G1096" s="544"/>
      <c r="H1096" s="544"/>
      <c r="I1096" s="544"/>
      <c r="J1096" s="544"/>
      <c r="K1096" s="544"/>
      <c r="L1096" s="544"/>
      <c r="M1096" s="545"/>
    </row>
    <row r="1097" spans="6:13" s="495" customFormat="1" x14ac:dyDescent="0.2">
      <c r="F1097" s="544"/>
      <c r="G1097" s="544"/>
      <c r="H1097" s="544"/>
      <c r="I1097" s="544"/>
      <c r="J1097" s="544"/>
      <c r="K1097" s="544"/>
      <c r="L1097" s="544"/>
      <c r="M1097" s="545"/>
    </row>
    <row r="1098" spans="6:13" s="495" customFormat="1" x14ac:dyDescent="0.2">
      <c r="F1098" s="544"/>
      <c r="G1098" s="544"/>
      <c r="H1098" s="544"/>
      <c r="I1098" s="544"/>
      <c r="J1098" s="544"/>
      <c r="K1098" s="544"/>
      <c r="L1098" s="544"/>
      <c r="M1098" s="545"/>
    </row>
    <row r="1099" spans="6:13" s="495" customFormat="1" x14ac:dyDescent="0.2">
      <c r="F1099" s="544"/>
      <c r="G1099" s="544"/>
      <c r="H1099" s="544"/>
      <c r="I1099" s="544"/>
      <c r="J1099" s="544"/>
      <c r="K1099" s="544"/>
      <c r="L1099" s="544"/>
      <c r="M1099" s="545"/>
    </row>
    <row r="1100" spans="6:13" s="495" customFormat="1" x14ac:dyDescent="0.2">
      <c r="F1100" s="544"/>
      <c r="G1100" s="544"/>
      <c r="H1100" s="544"/>
      <c r="I1100" s="544"/>
      <c r="J1100" s="544"/>
      <c r="K1100" s="544"/>
      <c r="L1100" s="544"/>
      <c r="M1100" s="545"/>
    </row>
    <row r="1101" spans="6:13" s="495" customFormat="1" x14ac:dyDescent="0.2">
      <c r="F1101" s="544"/>
      <c r="G1101" s="544"/>
      <c r="H1101" s="544"/>
      <c r="I1101" s="544"/>
      <c r="J1101" s="544"/>
      <c r="K1101" s="544"/>
      <c r="L1101" s="544"/>
      <c r="M1101" s="545"/>
    </row>
    <row r="1102" spans="6:13" s="495" customFormat="1" x14ac:dyDescent="0.2">
      <c r="F1102" s="544"/>
      <c r="G1102" s="544"/>
      <c r="H1102" s="544"/>
      <c r="I1102" s="544"/>
      <c r="J1102" s="544"/>
      <c r="K1102" s="544"/>
      <c r="L1102" s="544"/>
      <c r="M1102" s="545"/>
    </row>
    <row r="1103" spans="6:13" s="495" customFormat="1" x14ac:dyDescent="0.2">
      <c r="F1103" s="544"/>
      <c r="G1103" s="544"/>
      <c r="H1103" s="544"/>
      <c r="I1103" s="544"/>
      <c r="J1103" s="544"/>
      <c r="K1103" s="544"/>
      <c r="L1103" s="544"/>
      <c r="M1103" s="545"/>
    </row>
    <row r="1104" spans="6:13" s="495" customFormat="1" x14ac:dyDescent="0.2">
      <c r="F1104" s="544"/>
      <c r="G1104" s="544"/>
      <c r="H1104" s="544"/>
      <c r="I1104" s="544"/>
      <c r="J1104" s="544"/>
      <c r="K1104" s="544"/>
      <c r="L1104" s="544"/>
      <c r="M1104" s="545"/>
    </row>
    <row r="1105" spans="6:13" s="495" customFormat="1" x14ac:dyDescent="0.2">
      <c r="F1105" s="544"/>
      <c r="G1105" s="544"/>
      <c r="H1105" s="544"/>
      <c r="I1105" s="544"/>
      <c r="J1105" s="544"/>
      <c r="K1105" s="544"/>
      <c r="L1105" s="544"/>
      <c r="M1105" s="545"/>
    </row>
    <row r="1106" spans="6:13" s="495" customFormat="1" x14ac:dyDescent="0.2">
      <c r="F1106" s="544"/>
      <c r="G1106" s="544"/>
      <c r="H1106" s="544"/>
      <c r="I1106" s="544"/>
      <c r="J1106" s="544"/>
      <c r="K1106" s="544"/>
      <c r="L1106" s="544"/>
      <c r="M1106" s="545"/>
    </row>
    <row r="1107" spans="6:13" s="495" customFormat="1" x14ac:dyDescent="0.2">
      <c r="F1107" s="544"/>
      <c r="G1107" s="544"/>
      <c r="H1107" s="544"/>
      <c r="I1107" s="544"/>
      <c r="J1107" s="544"/>
      <c r="K1107" s="544"/>
      <c r="L1107" s="544"/>
      <c r="M1107" s="545"/>
    </row>
    <row r="1108" spans="6:13" s="495" customFormat="1" x14ac:dyDescent="0.2">
      <c r="F1108" s="544"/>
      <c r="G1108" s="544"/>
      <c r="H1108" s="544"/>
      <c r="I1108" s="544"/>
      <c r="J1108" s="544"/>
      <c r="K1108" s="544"/>
      <c r="L1108" s="544"/>
      <c r="M1108" s="545"/>
    </row>
    <row r="1109" spans="6:13" s="495" customFormat="1" x14ac:dyDescent="0.2">
      <c r="F1109" s="544"/>
      <c r="G1109" s="544"/>
      <c r="H1109" s="544"/>
      <c r="I1109" s="544"/>
      <c r="J1109" s="544"/>
      <c r="K1109" s="544"/>
      <c r="L1109" s="544"/>
      <c r="M1109" s="545"/>
    </row>
    <row r="1110" spans="6:13" s="495" customFormat="1" x14ac:dyDescent="0.2">
      <c r="F1110" s="544"/>
      <c r="G1110" s="544"/>
      <c r="H1110" s="544"/>
      <c r="I1110" s="544"/>
      <c r="J1110" s="544"/>
      <c r="K1110" s="544"/>
      <c r="L1110" s="544"/>
      <c r="M1110" s="545"/>
    </row>
    <row r="1111" spans="6:13" s="495" customFormat="1" x14ac:dyDescent="0.2">
      <c r="F1111" s="544"/>
      <c r="G1111" s="544"/>
      <c r="H1111" s="544"/>
      <c r="I1111" s="544"/>
      <c r="J1111" s="544"/>
      <c r="K1111" s="544"/>
      <c r="L1111" s="544"/>
      <c r="M1111" s="545"/>
    </row>
    <row r="1112" spans="6:13" s="495" customFormat="1" x14ac:dyDescent="0.2">
      <c r="F1112" s="544"/>
      <c r="G1112" s="544"/>
      <c r="H1112" s="544"/>
      <c r="I1112" s="544"/>
      <c r="J1112" s="544"/>
      <c r="K1112" s="544"/>
      <c r="L1112" s="544"/>
      <c r="M1112" s="545"/>
    </row>
    <row r="1113" spans="6:13" s="495" customFormat="1" x14ac:dyDescent="0.2">
      <c r="F1113" s="544"/>
      <c r="G1113" s="544"/>
      <c r="H1113" s="544"/>
      <c r="I1113" s="544"/>
      <c r="J1113" s="544"/>
      <c r="K1113" s="544"/>
      <c r="L1113" s="544"/>
      <c r="M1113" s="545"/>
    </row>
    <row r="1114" spans="6:13" s="495" customFormat="1" x14ac:dyDescent="0.2">
      <c r="F1114" s="544"/>
      <c r="G1114" s="544"/>
      <c r="H1114" s="544"/>
      <c r="I1114" s="544"/>
      <c r="J1114" s="544"/>
      <c r="K1114" s="544"/>
      <c r="L1114" s="544"/>
      <c r="M1114" s="545"/>
    </row>
    <row r="1115" spans="6:13" s="495" customFormat="1" x14ac:dyDescent="0.2">
      <c r="F1115" s="544"/>
      <c r="G1115" s="544"/>
      <c r="H1115" s="544"/>
      <c r="I1115" s="544"/>
      <c r="J1115" s="544"/>
      <c r="K1115" s="544"/>
      <c r="L1115" s="544"/>
      <c r="M1115" s="545"/>
    </row>
    <row r="1116" spans="6:13" s="495" customFormat="1" x14ac:dyDescent="0.2">
      <c r="F1116" s="544"/>
      <c r="G1116" s="544"/>
      <c r="H1116" s="544"/>
      <c r="I1116" s="544"/>
      <c r="J1116" s="544"/>
      <c r="K1116" s="544"/>
      <c r="L1116" s="544"/>
      <c r="M1116" s="545"/>
    </row>
    <row r="1117" spans="6:13" s="495" customFormat="1" x14ac:dyDescent="0.2">
      <c r="F1117" s="544"/>
      <c r="G1117" s="544"/>
      <c r="H1117" s="544"/>
      <c r="I1117" s="544"/>
      <c r="J1117" s="544"/>
      <c r="K1117" s="544"/>
      <c r="L1117" s="544"/>
      <c r="M1117" s="545"/>
    </row>
    <row r="1118" spans="6:13" s="495" customFormat="1" x14ac:dyDescent="0.2">
      <c r="F1118" s="544"/>
      <c r="G1118" s="544"/>
      <c r="H1118" s="544"/>
      <c r="I1118" s="544"/>
      <c r="J1118" s="544"/>
      <c r="K1118" s="544"/>
      <c r="L1118" s="544"/>
      <c r="M1118" s="545"/>
    </row>
    <row r="1119" spans="6:13" s="495" customFormat="1" x14ac:dyDescent="0.2">
      <c r="F1119" s="544"/>
      <c r="G1119" s="544"/>
      <c r="H1119" s="544"/>
      <c r="I1119" s="544"/>
      <c r="J1119" s="544"/>
      <c r="K1119" s="544"/>
      <c r="L1119" s="544"/>
      <c r="M1119" s="545"/>
    </row>
    <row r="1120" spans="6:13" s="495" customFormat="1" x14ac:dyDescent="0.2">
      <c r="F1120" s="544"/>
      <c r="G1120" s="544"/>
      <c r="H1120" s="544"/>
      <c r="I1120" s="544"/>
      <c r="J1120" s="544"/>
      <c r="K1120" s="544"/>
      <c r="L1120" s="544"/>
      <c r="M1120" s="545"/>
    </row>
    <row r="1121" spans="6:13" s="495" customFormat="1" x14ac:dyDescent="0.2">
      <c r="F1121" s="544"/>
      <c r="G1121" s="544"/>
      <c r="H1121" s="544"/>
      <c r="I1121" s="544"/>
      <c r="J1121" s="544"/>
      <c r="K1121" s="544"/>
      <c r="L1121" s="544"/>
      <c r="M1121" s="545"/>
    </row>
    <row r="1122" spans="6:13" s="495" customFormat="1" x14ac:dyDescent="0.2">
      <c r="F1122" s="544"/>
      <c r="G1122" s="544"/>
      <c r="H1122" s="544"/>
      <c r="I1122" s="544"/>
      <c r="J1122" s="544"/>
      <c r="K1122" s="544"/>
      <c r="L1122" s="544"/>
      <c r="M1122" s="545"/>
    </row>
    <row r="1123" spans="6:13" s="495" customFormat="1" x14ac:dyDescent="0.2">
      <c r="F1123" s="544"/>
      <c r="G1123" s="544"/>
      <c r="H1123" s="544"/>
      <c r="I1123" s="544"/>
      <c r="J1123" s="544"/>
      <c r="K1123" s="544"/>
      <c r="L1123" s="544"/>
      <c r="M1123" s="545"/>
    </row>
    <row r="1124" spans="6:13" s="495" customFormat="1" x14ac:dyDescent="0.2">
      <c r="F1124" s="544"/>
      <c r="G1124" s="544"/>
      <c r="H1124" s="544"/>
      <c r="I1124" s="544"/>
      <c r="J1124" s="544"/>
      <c r="K1124" s="544"/>
      <c r="L1124" s="544"/>
      <c r="M1124" s="545"/>
    </row>
    <row r="1125" spans="6:13" s="495" customFormat="1" x14ac:dyDescent="0.2">
      <c r="F1125" s="544"/>
      <c r="G1125" s="544"/>
      <c r="H1125" s="544"/>
      <c r="I1125" s="544"/>
      <c r="J1125" s="544"/>
      <c r="K1125" s="544"/>
      <c r="L1125" s="544"/>
      <c r="M1125" s="545"/>
    </row>
    <row r="1126" spans="6:13" s="495" customFormat="1" x14ac:dyDescent="0.2">
      <c r="F1126" s="544"/>
      <c r="G1126" s="544"/>
      <c r="H1126" s="544"/>
      <c r="I1126" s="544"/>
      <c r="J1126" s="544"/>
      <c r="K1126" s="544"/>
      <c r="L1126" s="544"/>
      <c r="M1126" s="545"/>
    </row>
    <row r="1127" spans="6:13" s="495" customFormat="1" x14ac:dyDescent="0.2">
      <c r="F1127" s="544"/>
      <c r="G1127" s="544"/>
      <c r="H1127" s="544"/>
      <c r="I1127" s="544"/>
      <c r="J1127" s="544"/>
      <c r="K1127" s="544"/>
      <c r="L1127" s="544"/>
      <c r="M1127" s="545"/>
    </row>
    <row r="1128" spans="6:13" s="495" customFormat="1" x14ac:dyDescent="0.2">
      <c r="F1128" s="544"/>
      <c r="G1128" s="544"/>
      <c r="H1128" s="544"/>
      <c r="I1128" s="544"/>
      <c r="J1128" s="544"/>
      <c r="K1128" s="544"/>
      <c r="L1128" s="544"/>
      <c r="M1128" s="545"/>
    </row>
    <row r="1129" spans="6:13" s="495" customFormat="1" x14ac:dyDescent="0.2">
      <c r="F1129" s="544"/>
      <c r="G1129" s="544"/>
      <c r="H1129" s="544"/>
      <c r="I1129" s="544"/>
      <c r="J1129" s="544"/>
      <c r="K1129" s="544"/>
      <c r="L1129" s="544"/>
      <c r="M1129" s="545"/>
    </row>
    <row r="1130" spans="6:13" s="495" customFormat="1" x14ac:dyDescent="0.2">
      <c r="F1130" s="544"/>
      <c r="G1130" s="544"/>
      <c r="H1130" s="544"/>
      <c r="I1130" s="544"/>
      <c r="J1130" s="544"/>
      <c r="K1130" s="544"/>
      <c r="L1130" s="544"/>
      <c r="M1130" s="545"/>
    </row>
    <row r="1131" spans="6:13" s="495" customFormat="1" x14ac:dyDescent="0.2">
      <c r="F1131" s="544"/>
      <c r="G1131" s="544"/>
      <c r="H1131" s="544"/>
      <c r="I1131" s="544"/>
      <c r="J1131" s="544"/>
      <c r="K1131" s="544"/>
      <c r="L1131" s="544"/>
      <c r="M1131" s="545"/>
    </row>
    <row r="1132" spans="6:13" s="495" customFormat="1" x14ac:dyDescent="0.2">
      <c r="F1132" s="544"/>
      <c r="G1132" s="544"/>
      <c r="H1132" s="544"/>
      <c r="I1132" s="544"/>
      <c r="J1132" s="544"/>
      <c r="K1132" s="544"/>
      <c r="L1132" s="544"/>
      <c r="M1132" s="545"/>
    </row>
    <row r="1133" spans="6:13" s="495" customFormat="1" x14ac:dyDescent="0.2">
      <c r="F1133" s="544"/>
      <c r="G1133" s="544"/>
      <c r="H1133" s="544"/>
      <c r="I1133" s="544"/>
      <c r="J1133" s="544"/>
      <c r="K1133" s="544"/>
      <c r="L1133" s="544"/>
      <c r="M1133" s="545"/>
    </row>
    <row r="1134" spans="6:13" s="495" customFormat="1" x14ac:dyDescent="0.2">
      <c r="F1134" s="544"/>
      <c r="G1134" s="544"/>
      <c r="H1134" s="544"/>
      <c r="I1134" s="544"/>
      <c r="J1134" s="544"/>
      <c r="K1134" s="544"/>
      <c r="L1134" s="544"/>
      <c r="M1134" s="545"/>
    </row>
    <row r="1135" spans="6:13" s="495" customFormat="1" x14ac:dyDescent="0.2">
      <c r="F1135" s="544"/>
      <c r="G1135" s="544"/>
      <c r="H1135" s="544"/>
      <c r="I1135" s="544"/>
      <c r="J1135" s="544"/>
      <c r="K1135" s="544"/>
      <c r="L1135" s="544"/>
      <c r="M1135" s="545"/>
    </row>
    <row r="1136" spans="6:13" s="495" customFormat="1" x14ac:dyDescent="0.2">
      <c r="F1136" s="544"/>
      <c r="G1136" s="544"/>
      <c r="H1136" s="544"/>
      <c r="I1136" s="544"/>
      <c r="J1136" s="544"/>
      <c r="K1136" s="544"/>
      <c r="L1136" s="544"/>
      <c r="M1136" s="545"/>
    </row>
    <row r="1137" spans="6:13" s="495" customFormat="1" x14ac:dyDescent="0.2">
      <c r="F1137" s="544"/>
      <c r="G1137" s="544"/>
      <c r="H1137" s="544"/>
      <c r="I1137" s="544"/>
      <c r="J1137" s="544"/>
      <c r="K1137" s="544"/>
      <c r="L1137" s="544"/>
      <c r="M1137" s="545"/>
    </row>
    <row r="1138" spans="6:13" s="495" customFormat="1" x14ac:dyDescent="0.2">
      <c r="F1138" s="544"/>
      <c r="G1138" s="544"/>
      <c r="H1138" s="544"/>
      <c r="I1138" s="544"/>
      <c r="J1138" s="544"/>
      <c r="K1138" s="544"/>
      <c r="L1138" s="544"/>
      <c r="M1138" s="545"/>
    </row>
    <row r="1139" spans="6:13" s="495" customFormat="1" x14ac:dyDescent="0.2">
      <c r="F1139" s="544"/>
      <c r="G1139" s="544"/>
      <c r="H1139" s="544"/>
      <c r="I1139" s="544"/>
      <c r="J1139" s="544"/>
      <c r="K1139" s="544"/>
      <c r="L1139" s="544"/>
      <c r="M1139" s="545"/>
    </row>
    <row r="1140" spans="6:13" s="495" customFormat="1" x14ac:dyDescent="0.2">
      <c r="F1140" s="544"/>
      <c r="G1140" s="544"/>
      <c r="H1140" s="544"/>
      <c r="I1140" s="544"/>
      <c r="J1140" s="544"/>
      <c r="K1140" s="544"/>
      <c r="L1140" s="544"/>
      <c r="M1140" s="545"/>
    </row>
    <row r="1141" spans="6:13" s="495" customFormat="1" x14ac:dyDescent="0.2">
      <c r="F1141" s="544"/>
      <c r="G1141" s="544"/>
      <c r="H1141" s="544"/>
      <c r="I1141" s="544"/>
      <c r="J1141" s="544"/>
      <c r="K1141" s="544"/>
      <c r="L1141" s="544"/>
      <c r="M1141" s="545"/>
    </row>
    <row r="1142" spans="6:13" s="495" customFormat="1" x14ac:dyDescent="0.2">
      <c r="F1142" s="544"/>
      <c r="G1142" s="544"/>
      <c r="H1142" s="544"/>
      <c r="I1142" s="544"/>
      <c r="J1142" s="544"/>
      <c r="K1142" s="544"/>
      <c r="L1142" s="544"/>
      <c r="M1142" s="545"/>
    </row>
    <row r="1143" spans="6:13" s="495" customFormat="1" x14ac:dyDescent="0.2">
      <c r="F1143" s="544"/>
      <c r="G1143" s="544"/>
      <c r="H1143" s="544"/>
      <c r="I1143" s="544"/>
      <c r="J1143" s="544"/>
      <c r="K1143" s="544"/>
      <c r="L1143" s="544"/>
      <c r="M1143" s="545"/>
    </row>
    <row r="1144" spans="6:13" s="495" customFormat="1" x14ac:dyDescent="0.2">
      <c r="F1144" s="544"/>
      <c r="G1144" s="544"/>
      <c r="H1144" s="544"/>
      <c r="I1144" s="544"/>
      <c r="J1144" s="544"/>
      <c r="K1144" s="544"/>
      <c r="L1144" s="544"/>
      <c r="M1144" s="545"/>
    </row>
    <row r="1145" spans="6:13" s="495" customFormat="1" x14ac:dyDescent="0.2">
      <c r="F1145" s="544"/>
      <c r="G1145" s="544"/>
      <c r="H1145" s="544"/>
      <c r="I1145" s="544"/>
      <c r="J1145" s="544"/>
      <c r="K1145" s="544"/>
      <c r="L1145" s="544"/>
      <c r="M1145" s="545"/>
    </row>
    <row r="1146" spans="6:13" s="495" customFormat="1" x14ac:dyDescent="0.2">
      <c r="F1146" s="544"/>
      <c r="G1146" s="544"/>
      <c r="H1146" s="544"/>
      <c r="I1146" s="544"/>
      <c r="J1146" s="544"/>
      <c r="K1146" s="544"/>
      <c r="L1146" s="544"/>
      <c r="M1146" s="545"/>
    </row>
    <row r="1147" spans="6:13" s="495" customFormat="1" x14ac:dyDescent="0.2">
      <c r="F1147" s="544"/>
      <c r="G1147" s="544"/>
      <c r="H1147" s="544"/>
      <c r="I1147" s="544"/>
      <c r="J1147" s="544"/>
      <c r="K1147" s="544"/>
      <c r="L1147" s="544"/>
      <c r="M1147" s="545"/>
    </row>
    <row r="1148" spans="6:13" s="495" customFormat="1" x14ac:dyDescent="0.2">
      <c r="F1148" s="544"/>
      <c r="G1148" s="544"/>
      <c r="H1148" s="544"/>
      <c r="I1148" s="544"/>
      <c r="J1148" s="544"/>
      <c r="K1148" s="544"/>
      <c r="L1148" s="544"/>
      <c r="M1148" s="545"/>
    </row>
    <row r="1149" spans="6:13" s="495" customFormat="1" x14ac:dyDescent="0.2">
      <c r="F1149" s="544"/>
      <c r="G1149" s="544"/>
      <c r="H1149" s="544"/>
      <c r="I1149" s="544"/>
      <c r="J1149" s="544"/>
      <c r="K1149" s="544"/>
      <c r="L1149" s="544"/>
      <c r="M1149" s="545"/>
    </row>
    <row r="1150" spans="6:13" s="495" customFormat="1" x14ac:dyDescent="0.2">
      <c r="F1150" s="544"/>
      <c r="G1150" s="544"/>
      <c r="H1150" s="544"/>
      <c r="I1150" s="544"/>
      <c r="J1150" s="544"/>
      <c r="K1150" s="544"/>
      <c r="L1150" s="544"/>
      <c r="M1150" s="545"/>
    </row>
    <row r="1151" spans="6:13" s="495" customFormat="1" x14ac:dyDescent="0.2">
      <c r="F1151" s="544"/>
      <c r="G1151" s="544"/>
      <c r="H1151" s="544"/>
      <c r="I1151" s="544"/>
      <c r="J1151" s="544"/>
      <c r="K1151" s="544"/>
      <c r="L1151" s="544"/>
      <c r="M1151" s="545"/>
    </row>
    <row r="1152" spans="6:13" s="495" customFormat="1" x14ac:dyDescent="0.2">
      <c r="F1152" s="544"/>
      <c r="G1152" s="544"/>
      <c r="H1152" s="544"/>
      <c r="I1152" s="544"/>
      <c r="J1152" s="544"/>
      <c r="K1152" s="544"/>
      <c r="L1152" s="544"/>
      <c r="M1152" s="545"/>
    </row>
    <row r="1153" spans="6:13" s="495" customFormat="1" x14ac:dyDescent="0.2">
      <c r="F1153" s="544"/>
      <c r="G1153" s="544"/>
      <c r="H1153" s="544"/>
      <c r="I1153" s="544"/>
      <c r="J1153" s="544"/>
      <c r="K1153" s="544"/>
      <c r="L1153" s="544"/>
      <c r="M1153" s="545"/>
    </row>
    <row r="1154" spans="6:13" s="495" customFormat="1" x14ac:dyDescent="0.2">
      <c r="F1154" s="544"/>
      <c r="G1154" s="544"/>
      <c r="H1154" s="544"/>
      <c r="I1154" s="544"/>
      <c r="J1154" s="544"/>
      <c r="K1154" s="544"/>
      <c r="L1154" s="544"/>
      <c r="M1154" s="545"/>
    </row>
    <row r="1155" spans="6:13" s="495" customFormat="1" x14ac:dyDescent="0.2">
      <c r="F1155" s="544"/>
      <c r="G1155" s="544"/>
      <c r="H1155" s="544"/>
      <c r="I1155" s="544"/>
      <c r="J1155" s="544"/>
      <c r="K1155" s="544"/>
      <c r="L1155" s="544"/>
      <c r="M1155" s="545"/>
    </row>
    <row r="1156" spans="6:13" s="495" customFormat="1" x14ac:dyDescent="0.2">
      <c r="F1156" s="544"/>
      <c r="G1156" s="544"/>
      <c r="H1156" s="544"/>
      <c r="I1156" s="544"/>
      <c r="J1156" s="544"/>
      <c r="K1156" s="544"/>
      <c r="L1156" s="544"/>
      <c r="M1156" s="545"/>
    </row>
    <row r="1157" spans="6:13" s="495" customFormat="1" x14ac:dyDescent="0.2">
      <c r="F1157" s="544"/>
      <c r="G1157" s="544"/>
      <c r="H1157" s="544"/>
      <c r="I1157" s="544"/>
      <c r="J1157" s="544"/>
      <c r="K1157" s="544"/>
      <c r="L1157" s="544"/>
      <c r="M1157" s="545"/>
    </row>
    <row r="1158" spans="6:13" s="495" customFormat="1" x14ac:dyDescent="0.2">
      <c r="F1158" s="544"/>
      <c r="G1158" s="544"/>
      <c r="H1158" s="544"/>
      <c r="I1158" s="544"/>
      <c r="J1158" s="544"/>
      <c r="K1158" s="544"/>
      <c r="L1158" s="544"/>
      <c r="M1158" s="545"/>
    </row>
    <row r="1159" spans="6:13" s="495" customFormat="1" x14ac:dyDescent="0.2">
      <c r="F1159" s="544"/>
      <c r="G1159" s="544"/>
      <c r="H1159" s="544"/>
      <c r="I1159" s="544"/>
      <c r="J1159" s="544"/>
      <c r="K1159" s="544"/>
      <c r="L1159" s="544"/>
      <c r="M1159" s="545"/>
    </row>
    <row r="1160" spans="6:13" s="495" customFormat="1" x14ac:dyDescent="0.2">
      <c r="F1160" s="544"/>
      <c r="G1160" s="544"/>
      <c r="H1160" s="544"/>
      <c r="I1160" s="544"/>
      <c r="J1160" s="544"/>
      <c r="K1160" s="544"/>
      <c r="L1160" s="544"/>
      <c r="M1160" s="545"/>
    </row>
    <row r="1161" spans="6:13" s="495" customFormat="1" x14ac:dyDescent="0.2">
      <c r="F1161" s="544"/>
      <c r="G1161" s="544"/>
      <c r="H1161" s="544"/>
      <c r="I1161" s="544"/>
      <c r="J1161" s="544"/>
      <c r="K1161" s="544"/>
      <c r="L1161" s="544"/>
      <c r="M1161" s="545"/>
    </row>
    <row r="1162" spans="6:13" s="495" customFormat="1" x14ac:dyDescent="0.2">
      <c r="F1162" s="544"/>
      <c r="G1162" s="544"/>
      <c r="H1162" s="544"/>
      <c r="I1162" s="544"/>
      <c r="J1162" s="544"/>
      <c r="K1162" s="544"/>
      <c r="L1162" s="544"/>
      <c r="M1162" s="545"/>
    </row>
    <row r="1163" spans="6:13" s="495" customFormat="1" x14ac:dyDescent="0.2">
      <c r="F1163" s="544"/>
      <c r="G1163" s="544"/>
      <c r="H1163" s="544"/>
      <c r="I1163" s="544"/>
      <c r="J1163" s="544"/>
      <c r="K1163" s="544"/>
      <c r="L1163" s="544"/>
      <c r="M1163" s="545"/>
    </row>
    <row r="1164" spans="6:13" s="495" customFormat="1" x14ac:dyDescent="0.2">
      <c r="F1164" s="544"/>
      <c r="G1164" s="544"/>
      <c r="H1164" s="544"/>
      <c r="I1164" s="544"/>
      <c r="J1164" s="544"/>
      <c r="K1164" s="544"/>
      <c r="L1164" s="544"/>
      <c r="M1164" s="545"/>
    </row>
    <row r="1165" spans="6:13" s="495" customFormat="1" x14ac:dyDescent="0.2">
      <c r="F1165" s="544"/>
      <c r="G1165" s="544"/>
      <c r="H1165" s="544"/>
      <c r="I1165" s="544"/>
      <c r="J1165" s="544"/>
      <c r="K1165" s="544"/>
      <c r="L1165" s="544"/>
      <c r="M1165" s="545"/>
    </row>
    <row r="1166" spans="6:13" s="495" customFormat="1" x14ac:dyDescent="0.2">
      <c r="F1166" s="544"/>
      <c r="G1166" s="544"/>
      <c r="H1166" s="544"/>
      <c r="I1166" s="544"/>
      <c r="J1166" s="544"/>
      <c r="K1166" s="544"/>
      <c r="L1166" s="544"/>
      <c r="M1166" s="545"/>
    </row>
    <row r="1167" spans="6:13" s="495" customFormat="1" x14ac:dyDescent="0.2">
      <c r="F1167" s="544"/>
      <c r="G1167" s="544"/>
      <c r="H1167" s="544"/>
      <c r="I1167" s="544"/>
      <c r="J1167" s="544"/>
      <c r="K1167" s="544"/>
      <c r="L1167" s="544"/>
      <c r="M1167" s="545"/>
    </row>
    <row r="1168" spans="6:13" s="495" customFormat="1" x14ac:dyDescent="0.2">
      <c r="F1168" s="544"/>
      <c r="G1168" s="544"/>
      <c r="H1168" s="544"/>
      <c r="I1168" s="544"/>
      <c r="J1168" s="544"/>
      <c r="K1168" s="544"/>
      <c r="L1168" s="544"/>
      <c r="M1168" s="545"/>
    </row>
    <row r="1169" spans="6:13" s="495" customFormat="1" x14ac:dyDescent="0.2">
      <c r="F1169" s="544"/>
      <c r="G1169" s="544"/>
      <c r="H1169" s="544"/>
      <c r="I1169" s="544"/>
      <c r="J1169" s="544"/>
      <c r="K1169" s="544"/>
      <c r="L1169" s="544"/>
      <c r="M1169" s="545"/>
    </row>
    <row r="1170" spans="6:13" s="495" customFormat="1" x14ac:dyDescent="0.2">
      <c r="F1170" s="544"/>
      <c r="G1170" s="544"/>
      <c r="H1170" s="544"/>
      <c r="I1170" s="544"/>
      <c r="J1170" s="544"/>
      <c r="K1170" s="544"/>
      <c r="L1170" s="544"/>
      <c r="M1170" s="545"/>
    </row>
    <row r="1171" spans="6:13" s="495" customFormat="1" x14ac:dyDescent="0.2">
      <c r="F1171" s="544"/>
      <c r="G1171" s="544"/>
      <c r="H1171" s="544"/>
      <c r="I1171" s="544"/>
      <c r="J1171" s="544"/>
      <c r="K1171" s="544"/>
      <c r="L1171" s="544"/>
      <c r="M1171" s="545"/>
    </row>
    <row r="1172" spans="6:13" s="495" customFormat="1" x14ac:dyDescent="0.2">
      <c r="F1172" s="544"/>
      <c r="G1172" s="544"/>
      <c r="H1172" s="544"/>
      <c r="I1172" s="544"/>
      <c r="J1172" s="544"/>
      <c r="K1172" s="544"/>
      <c r="L1172" s="544"/>
      <c r="M1172" s="545"/>
    </row>
    <row r="1173" spans="6:13" s="495" customFormat="1" x14ac:dyDescent="0.2">
      <c r="F1173" s="544"/>
      <c r="G1173" s="544"/>
      <c r="H1173" s="544"/>
      <c r="I1173" s="544"/>
      <c r="J1173" s="544"/>
      <c r="K1173" s="544"/>
      <c r="L1173" s="544"/>
      <c r="M1173" s="545"/>
    </row>
    <row r="1174" spans="6:13" s="495" customFormat="1" x14ac:dyDescent="0.2">
      <c r="F1174" s="544"/>
      <c r="G1174" s="544"/>
      <c r="H1174" s="544"/>
      <c r="I1174" s="544"/>
      <c r="J1174" s="544"/>
      <c r="K1174" s="544"/>
      <c r="L1174" s="544"/>
      <c r="M1174" s="545"/>
    </row>
    <row r="1175" spans="6:13" s="495" customFormat="1" x14ac:dyDescent="0.2">
      <c r="F1175" s="544"/>
      <c r="G1175" s="544"/>
      <c r="H1175" s="544"/>
      <c r="I1175" s="544"/>
      <c r="J1175" s="544"/>
      <c r="K1175" s="544"/>
      <c r="L1175" s="544"/>
      <c r="M1175" s="545"/>
    </row>
    <row r="1176" spans="6:13" s="495" customFormat="1" x14ac:dyDescent="0.2">
      <c r="F1176" s="544"/>
      <c r="G1176" s="544"/>
      <c r="H1176" s="544"/>
      <c r="I1176" s="544"/>
      <c r="J1176" s="544"/>
      <c r="K1176" s="544"/>
      <c r="L1176" s="544"/>
      <c r="M1176" s="545"/>
    </row>
    <row r="1177" spans="6:13" s="495" customFormat="1" x14ac:dyDescent="0.2">
      <c r="F1177" s="544"/>
      <c r="G1177" s="544"/>
      <c r="H1177" s="544"/>
      <c r="I1177" s="544"/>
      <c r="J1177" s="544"/>
      <c r="K1177" s="544"/>
      <c r="L1177" s="544"/>
      <c r="M1177" s="545"/>
    </row>
    <row r="1178" spans="6:13" s="495" customFormat="1" x14ac:dyDescent="0.2">
      <c r="F1178" s="544"/>
      <c r="G1178" s="544"/>
      <c r="H1178" s="544"/>
      <c r="I1178" s="544"/>
      <c r="J1178" s="544"/>
      <c r="K1178" s="544"/>
      <c r="L1178" s="544"/>
      <c r="M1178" s="545"/>
    </row>
    <row r="1179" spans="6:13" s="495" customFormat="1" x14ac:dyDescent="0.2">
      <c r="F1179" s="544"/>
      <c r="G1179" s="544"/>
      <c r="H1179" s="544"/>
      <c r="I1179" s="544"/>
      <c r="J1179" s="544"/>
      <c r="K1179" s="544"/>
      <c r="L1179" s="544"/>
      <c r="M1179" s="545"/>
    </row>
    <row r="1180" spans="6:13" s="495" customFormat="1" x14ac:dyDescent="0.2">
      <c r="F1180" s="544"/>
      <c r="G1180" s="544"/>
      <c r="H1180" s="544"/>
      <c r="I1180" s="544"/>
      <c r="J1180" s="544"/>
      <c r="K1180" s="544"/>
      <c r="L1180" s="544"/>
      <c r="M1180" s="545"/>
    </row>
    <row r="1181" spans="6:13" s="495" customFormat="1" x14ac:dyDescent="0.2">
      <c r="F1181" s="544"/>
      <c r="G1181" s="544"/>
      <c r="H1181" s="544"/>
      <c r="I1181" s="544"/>
      <c r="J1181" s="544"/>
      <c r="K1181" s="544"/>
      <c r="L1181" s="544"/>
      <c r="M1181" s="545"/>
    </row>
    <row r="1182" spans="6:13" s="495" customFormat="1" x14ac:dyDescent="0.2">
      <c r="F1182" s="544"/>
      <c r="G1182" s="544"/>
      <c r="H1182" s="544"/>
      <c r="I1182" s="544"/>
      <c r="J1182" s="544"/>
      <c r="K1182" s="544"/>
      <c r="L1182" s="544"/>
      <c r="M1182" s="545"/>
    </row>
    <row r="1183" spans="6:13" s="495" customFormat="1" x14ac:dyDescent="0.2">
      <c r="F1183" s="544"/>
      <c r="G1183" s="544"/>
      <c r="H1183" s="544"/>
      <c r="I1183" s="544"/>
      <c r="J1183" s="544"/>
      <c r="K1183" s="544"/>
      <c r="L1183" s="544"/>
      <c r="M1183" s="545"/>
    </row>
    <row r="1184" spans="6:13" s="495" customFormat="1" x14ac:dyDescent="0.2">
      <c r="F1184" s="544"/>
      <c r="G1184" s="544"/>
      <c r="H1184" s="544"/>
      <c r="I1184" s="544"/>
      <c r="J1184" s="544"/>
      <c r="K1184" s="544"/>
      <c r="L1184" s="544"/>
      <c r="M1184" s="545"/>
    </row>
    <row r="1185" spans="6:13" s="495" customFormat="1" x14ac:dyDescent="0.2">
      <c r="F1185" s="544"/>
      <c r="G1185" s="544"/>
      <c r="H1185" s="544"/>
      <c r="I1185" s="544"/>
      <c r="J1185" s="544"/>
      <c r="K1185" s="544"/>
      <c r="L1185" s="544"/>
      <c r="M1185" s="545"/>
    </row>
    <row r="1186" spans="6:13" s="495" customFormat="1" x14ac:dyDescent="0.2">
      <c r="F1186" s="544"/>
      <c r="G1186" s="544"/>
      <c r="H1186" s="544"/>
      <c r="I1186" s="544"/>
      <c r="J1186" s="544"/>
      <c r="K1186" s="544"/>
      <c r="L1186" s="544"/>
      <c r="M1186" s="545"/>
    </row>
    <row r="1187" spans="6:13" s="495" customFormat="1" x14ac:dyDescent="0.2">
      <c r="F1187" s="544"/>
      <c r="G1187" s="544"/>
      <c r="H1187" s="544"/>
      <c r="I1187" s="544"/>
      <c r="J1187" s="544"/>
      <c r="K1187" s="544"/>
      <c r="L1187" s="544"/>
      <c r="M1187" s="545"/>
    </row>
    <row r="1188" spans="6:13" s="495" customFormat="1" x14ac:dyDescent="0.2">
      <c r="F1188" s="544"/>
      <c r="G1188" s="544"/>
      <c r="H1188" s="544"/>
      <c r="I1188" s="544"/>
      <c r="J1188" s="544"/>
      <c r="K1188" s="544"/>
      <c r="L1188" s="544"/>
      <c r="M1188" s="545"/>
    </row>
    <row r="1189" spans="6:13" s="495" customFormat="1" x14ac:dyDescent="0.2">
      <c r="F1189" s="544"/>
      <c r="G1189" s="544"/>
      <c r="H1189" s="544"/>
      <c r="I1189" s="544"/>
      <c r="J1189" s="544"/>
      <c r="K1189" s="544"/>
      <c r="L1189" s="544"/>
      <c r="M1189" s="545"/>
    </row>
    <row r="1190" spans="6:13" s="495" customFormat="1" x14ac:dyDescent="0.2">
      <c r="F1190" s="544"/>
      <c r="G1190" s="544"/>
      <c r="H1190" s="544"/>
      <c r="I1190" s="544"/>
      <c r="J1190" s="544"/>
      <c r="K1190" s="544"/>
      <c r="L1190" s="544"/>
      <c r="M1190" s="545"/>
    </row>
    <row r="1191" spans="6:13" s="495" customFormat="1" x14ac:dyDescent="0.2">
      <c r="F1191" s="544"/>
      <c r="G1191" s="544"/>
      <c r="H1191" s="544"/>
      <c r="I1191" s="544"/>
      <c r="J1191" s="544"/>
      <c r="K1191" s="544"/>
      <c r="L1191" s="544"/>
      <c r="M1191" s="545"/>
    </row>
    <row r="1192" spans="6:13" s="495" customFormat="1" x14ac:dyDescent="0.2">
      <c r="F1192" s="544"/>
      <c r="G1192" s="544"/>
      <c r="H1192" s="544"/>
      <c r="I1192" s="544"/>
      <c r="J1192" s="544"/>
      <c r="K1192" s="544"/>
      <c r="L1192" s="544"/>
      <c r="M1192" s="545"/>
    </row>
    <row r="1193" spans="6:13" s="495" customFormat="1" x14ac:dyDescent="0.2">
      <c r="F1193" s="544"/>
      <c r="G1193" s="544"/>
      <c r="H1193" s="544"/>
      <c r="I1193" s="544"/>
      <c r="J1193" s="544"/>
      <c r="K1193" s="544"/>
      <c r="L1193" s="544"/>
      <c r="M1193" s="545"/>
    </row>
    <row r="1194" spans="6:13" s="495" customFormat="1" x14ac:dyDescent="0.2">
      <c r="F1194" s="544"/>
      <c r="G1194" s="544"/>
      <c r="H1194" s="544"/>
      <c r="I1194" s="544"/>
      <c r="J1194" s="544"/>
      <c r="K1194" s="544"/>
      <c r="L1194" s="544"/>
      <c r="M1194" s="545"/>
    </row>
    <row r="1195" spans="6:13" s="495" customFormat="1" x14ac:dyDescent="0.2">
      <c r="F1195" s="544"/>
      <c r="G1195" s="544"/>
      <c r="H1195" s="544"/>
      <c r="I1195" s="544"/>
      <c r="J1195" s="544"/>
      <c r="K1195" s="544"/>
      <c r="L1195" s="544"/>
      <c r="M1195" s="545"/>
    </row>
    <row r="1196" spans="6:13" s="495" customFormat="1" x14ac:dyDescent="0.2">
      <c r="F1196" s="544"/>
      <c r="G1196" s="544"/>
      <c r="H1196" s="544"/>
      <c r="I1196" s="544"/>
      <c r="J1196" s="544"/>
      <c r="K1196" s="544"/>
      <c r="L1196" s="544"/>
      <c r="M1196" s="545"/>
    </row>
    <row r="1197" spans="6:13" s="495" customFormat="1" x14ac:dyDescent="0.2">
      <c r="F1197" s="544"/>
      <c r="G1197" s="544"/>
      <c r="H1197" s="544"/>
      <c r="I1197" s="544"/>
      <c r="J1197" s="544"/>
      <c r="K1197" s="544"/>
      <c r="L1197" s="544"/>
      <c r="M1197" s="545"/>
    </row>
    <row r="1198" spans="6:13" s="495" customFormat="1" x14ac:dyDescent="0.2">
      <c r="F1198" s="544"/>
      <c r="G1198" s="544"/>
      <c r="H1198" s="544"/>
      <c r="I1198" s="544"/>
      <c r="J1198" s="544"/>
      <c r="K1198" s="544"/>
      <c r="L1198" s="544"/>
      <c r="M1198" s="545"/>
    </row>
    <row r="1199" spans="6:13" s="495" customFormat="1" x14ac:dyDescent="0.2">
      <c r="F1199" s="544"/>
      <c r="G1199" s="544"/>
      <c r="H1199" s="544"/>
      <c r="I1199" s="544"/>
      <c r="J1199" s="544"/>
      <c r="K1199" s="544"/>
      <c r="L1199" s="544"/>
      <c r="M1199" s="545"/>
    </row>
    <row r="1200" spans="6:13" s="495" customFormat="1" x14ac:dyDescent="0.2">
      <c r="F1200" s="544"/>
      <c r="G1200" s="544"/>
      <c r="H1200" s="544"/>
      <c r="I1200" s="544"/>
      <c r="J1200" s="544"/>
      <c r="K1200" s="544"/>
      <c r="L1200" s="544"/>
      <c r="M1200" s="545"/>
    </row>
    <row r="1201" spans="6:13" s="495" customFormat="1" x14ac:dyDescent="0.2">
      <c r="F1201" s="544"/>
      <c r="G1201" s="544"/>
      <c r="H1201" s="544"/>
      <c r="I1201" s="544"/>
      <c r="J1201" s="544"/>
      <c r="K1201" s="544"/>
      <c r="L1201" s="544"/>
      <c r="M1201" s="545"/>
    </row>
    <row r="1202" spans="6:13" s="495" customFormat="1" x14ac:dyDescent="0.2">
      <c r="F1202" s="544"/>
      <c r="G1202" s="544"/>
      <c r="H1202" s="544"/>
      <c r="I1202" s="544"/>
      <c r="J1202" s="544"/>
      <c r="K1202" s="544"/>
      <c r="L1202" s="544"/>
      <c r="M1202" s="545"/>
    </row>
    <row r="1203" spans="6:13" s="495" customFormat="1" x14ac:dyDescent="0.2">
      <c r="F1203" s="544"/>
      <c r="G1203" s="544"/>
      <c r="H1203" s="544"/>
      <c r="I1203" s="544"/>
      <c r="J1203" s="544"/>
      <c r="K1203" s="544"/>
      <c r="L1203" s="544"/>
      <c r="M1203" s="545"/>
    </row>
    <row r="1204" spans="6:13" s="495" customFormat="1" x14ac:dyDescent="0.2">
      <c r="F1204" s="544"/>
      <c r="G1204" s="544"/>
      <c r="H1204" s="544"/>
      <c r="I1204" s="544"/>
      <c r="J1204" s="544"/>
      <c r="K1204" s="544"/>
      <c r="L1204" s="544"/>
      <c r="M1204" s="545"/>
    </row>
    <row r="1205" spans="6:13" s="495" customFormat="1" x14ac:dyDescent="0.2">
      <c r="F1205" s="544"/>
      <c r="G1205" s="544"/>
      <c r="H1205" s="544"/>
      <c r="I1205" s="544"/>
      <c r="J1205" s="544"/>
      <c r="K1205" s="544"/>
      <c r="L1205" s="544"/>
      <c r="M1205" s="545"/>
    </row>
    <row r="1206" spans="6:13" s="495" customFormat="1" x14ac:dyDescent="0.2">
      <c r="F1206" s="544"/>
      <c r="G1206" s="544"/>
      <c r="H1206" s="544"/>
      <c r="I1206" s="544"/>
      <c r="J1206" s="544"/>
      <c r="K1206" s="544"/>
      <c r="L1206" s="544"/>
      <c r="M1206" s="545"/>
    </row>
    <row r="1207" spans="6:13" s="495" customFormat="1" x14ac:dyDescent="0.2">
      <c r="F1207" s="544"/>
      <c r="G1207" s="544"/>
      <c r="H1207" s="544"/>
      <c r="I1207" s="544"/>
      <c r="J1207" s="544"/>
      <c r="K1207" s="544"/>
      <c r="L1207" s="544"/>
      <c r="M1207" s="545"/>
    </row>
    <row r="1208" spans="6:13" s="495" customFormat="1" x14ac:dyDescent="0.2">
      <c r="F1208" s="544"/>
      <c r="G1208" s="544"/>
      <c r="H1208" s="544"/>
      <c r="I1208" s="544"/>
      <c r="J1208" s="544"/>
      <c r="K1208" s="544"/>
      <c r="L1208" s="544"/>
      <c r="M1208" s="545"/>
    </row>
    <row r="1209" spans="6:13" s="495" customFormat="1" x14ac:dyDescent="0.2">
      <c r="F1209" s="544"/>
      <c r="G1209" s="544"/>
      <c r="H1209" s="544"/>
      <c r="I1209" s="544"/>
      <c r="J1209" s="544"/>
      <c r="K1209" s="544"/>
      <c r="L1209" s="544"/>
      <c r="M1209" s="545"/>
    </row>
    <row r="1210" spans="6:13" s="495" customFormat="1" x14ac:dyDescent="0.2">
      <c r="F1210" s="544"/>
      <c r="G1210" s="544"/>
      <c r="H1210" s="544"/>
      <c r="I1210" s="544"/>
      <c r="J1210" s="544"/>
      <c r="K1210" s="544"/>
      <c r="L1210" s="544"/>
      <c r="M1210" s="545"/>
    </row>
    <row r="1211" spans="6:13" s="495" customFormat="1" x14ac:dyDescent="0.2">
      <c r="F1211" s="544"/>
      <c r="G1211" s="544"/>
      <c r="H1211" s="544"/>
      <c r="I1211" s="544"/>
      <c r="J1211" s="544"/>
      <c r="K1211" s="544"/>
      <c r="L1211" s="544"/>
      <c r="M1211" s="545"/>
    </row>
    <row r="1212" spans="6:13" s="495" customFormat="1" x14ac:dyDescent="0.2">
      <c r="F1212" s="544"/>
      <c r="G1212" s="544"/>
      <c r="H1212" s="544"/>
      <c r="I1212" s="544"/>
      <c r="J1212" s="544"/>
      <c r="K1212" s="544"/>
      <c r="L1212" s="544"/>
      <c r="M1212" s="545"/>
    </row>
    <row r="1213" spans="6:13" s="495" customFormat="1" x14ac:dyDescent="0.2">
      <c r="F1213" s="544"/>
      <c r="G1213" s="544"/>
      <c r="H1213" s="544"/>
      <c r="I1213" s="544"/>
      <c r="J1213" s="544"/>
      <c r="K1213" s="544"/>
      <c r="L1213" s="544"/>
      <c r="M1213" s="545"/>
    </row>
    <row r="1214" spans="6:13" s="495" customFormat="1" x14ac:dyDescent="0.2">
      <c r="F1214" s="544"/>
      <c r="G1214" s="544"/>
      <c r="H1214" s="544"/>
      <c r="I1214" s="544"/>
      <c r="J1214" s="544"/>
      <c r="K1214" s="544"/>
      <c r="L1214" s="544"/>
      <c r="M1214" s="545"/>
    </row>
    <row r="1215" spans="6:13" s="495" customFormat="1" x14ac:dyDescent="0.2">
      <c r="F1215" s="544"/>
      <c r="G1215" s="544"/>
      <c r="H1215" s="544"/>
      <c r="I1215" s="544"/>
      <c r="J1215" s="544"/>
      <c r="K1215" s="544"/>
      <c r="L1215" s="544"/>
      <c r="M1215" s="545"/>
    </row>
    <row r="1216" spans="6:13" s="495" customFormat="1" x14ac:dyDescent="0.2">
      <c r="F1216" s="544"/>
      <c r="G1216" s="544"/>
      <c r="H1216" s="544"/>
      <c r="I1216" s="544"/>
      <c r="J1216" s="544"/>
      <c r="K1216" s="544"/>
      <c r="L1216" s="544"/>
      <c r="M1216" s="545"/>
    </row>
    <row r="1217" spans="6:13" s="495" customFormat="1" x14ac:dyDescent="0.2">
      <c r="F1217" s="544"/>
      <c r="G1217" s="544"/>
      <c r="H1217" s="544"/>
      <c r="I1217" s="544"/>
      <c r="J1217" s="544"/>
      <c r="K1217" s="544"/>
      <c r="L1217" s="544"/>
      <c r="M1217" s="545"/>
    </row>
    <row r="1218" spans="6:13" s="495" customFormat="1" x14ac:dyDescent="0.2">
      <c r="F1218" s="544"/>
      <c r="G1218" s="544"/>
      <c r="H1218" s="544"/>
      <c r="I1218" s="544"/>
      <c r="J1218" s="544"/>
      <c r="K1218" s="544"/>
      <c r="L1218" s="544"/>
      <c r="M1218" s="545"/>
    </row>
    <row r="1219" spans="6:13" s="495" customFormat="1" x14ac:dyDescent="0.2">
      <c r="F1219" s="544"/>
      <c r="G1219" s="544"/>
      <c r="H1219" s="544"/>
      <c r="I1219" s="544"/>
      <c r="J1219" s="544"/>
      <c r="K1219" s="544"/>
      <c r="L1219" s="544"/>
      <c r="M1219" s="545"/>
    </row>
    <row r="1220" spans="6:13" s="495" customFormat="1" x14ac:dyDescent="0.2">
      <c r="F1220" s="544"/>
      <c r="G1220" s="544"/>
      <c r="H1220" s="544"/>
      <c r="I1220" s="544"/>
      <c r="J1220" s="544"/>
      <c r="K1220" s="544"/>
      <c r="L1220" s="544"/>
      <c r="M1220" s="545"/>
    </row>
    <row r="1221" spans="6:13" s="495" customFormat="1" x14ac:dyDescent="0.2">
      <c r="F1221" s="544"/>
      <c r="G1221" s="544"/>
      <c r="H1221" s="544"/>
      <c r="I1221" s="544"/>
      <c r="J1221" s="544"/>
      <c r="K1221" s="544"/>
      <c r="L1221" s="544"/>
      <c r="M1221" s="545"/>
    </row>
    <row r="1222" spans="6:13" s="495" customFormat="1" x14ac:dyDescent="0.2">
      <c r="F1222" s="544"/>
      <c r="G1222" s="544"/>
      <c r="H1222" s="544"/>
      <c r="I1222" s="544"/>
      <c r="J1222" s="544"/>
      <c r="K1222" s="544"/>
      <c r="L1222" s="544"/>
      <c r="M1222" s="545"/>
    </row>
    <row r="1223" spans="6:13" s="495" customFormat="1" x14ac:dyDescent="0.2">
      <c r="F1223" s="544"/>
      <c r="G1223" s="544"/>
      <c r="H1223" s="544"/>
      <c r="I1223" s="544"/>
      <c r="J1223" s="544"/>
      <c r="K1223" s="544"/>
      <c r="L1223" s="544"/>
      <c r="M1223" s="545"/>
    </row>
    <row r="1224" spans="6:13" s="495" customFormat="1" x14ac:dyDescent="0.2">
      <c r="F1224" s="544"/>
      <c r="G1224" s="544"/>
      <c r="H1224" s="544"/>
      <c r="I1224" s="544"/>
      <c r="J1224" s="544"/>
      <c r="K1224" s="544"/>
      <c r="L1224" s="544"/>
      <c r="M1224" s="545"/>
    </row>
    <row r="1225" spans="6:13" s="495" customFormat="1" x14ac:dyDescent="0.2">
      <c r="F1225" s="544"/>
      <c r="G1225" s="544"/>
      <c r="H1225" s="544"/>
      <c r="I1225" s="544"/>
      <c r="J1225" s="544"/>
      <c r="K1225" s="544"/>
      <c r="L1225" s="544"/>
      <c r="M1225" s="545"/>
    </row>
    <row r="1226" spans="6:13" s="495" customFormat="1" x14ac:dyDescent="0.2">
      <c r="F1226" s="544"/>
      <c r="G1226" s="544"/>
      <c r="H1226" s="544"/>
      <c r="I1226" s="544"/>
      <c r="J1226" s="544"/>
      <c r="K1226" s="544"/>
      <c r="L1226" s="544"/>
      <c r="M1226" s="545"/>
    </row>
    <row r="1227" spans="6:13" s="495" customFormat="1" x14ac:dyDescent="0.2">
      <c r="F1227" s="544"/>
      <c r="G1227" s="544"/>
      <c r="H1227" s="544"/>
      <c r="I1227" s="544"/>
      <c r="J1227" s="544"/>
      <c r="K1227" s="544"/>
      <c r="L1227" s="544"/>
      <c r="M1227" s="545"/>
    </row>
    <row r="1228" spans="6:13" s="495" customFormat="1" x14ac:dyDescent="0.2">
      <c r="F1228" s="544"/>
      <c r="G1228" s="544"/>
      <c r="H1228" s="544"/>
      <c r="I1228" s="544"/>
      <c r="J1228" s="544"/>
      <c r="K1228" s="544"/>
      <c r="L1228" s="544"/>
      <c r="M1228" s="545"/>
    </row>
    <row r="1229" spans="6:13" s="495" customFormat="1" x14ac:dyDescent="0.2">
      <c r="F1229" s="544"/>
      <c r="G1229" s="544"/>
      <c r="H1229" s="544"/>
      <c r="I1229" s="544"/>
      <c r="J1229" s="544"/>
      <c r="K1229" s="544"/>
      <c r="L1229" s="544"/>
      <c r="M1229" s="545"/>
    </row>
    <row r="1230" spans="6:13" s="495" customFormat="1" x14ac:dyDescent="0.2">
      <c r="F1230" s="544"/>
      <c r="G1230" s="544"/>
      <c r="H1230" s="544"/>
      <c r="I1230" s="544"/>
      <c r="J1230" s="544"/>
      <c r="K1230" s="544"/>
      <c r="L1230" s="544"/>
      <c r="M1230" s="545"/>
    </row>
    <row r="1231" spans="6:13" s="495" customFormat="1" x14ac:dyDescent="0.2">
      <c r="F1231" s="544"/>
      <c r="G1231" s="544"/>
      <c r="H1231" s="544"/>
      <c r="I1231" s="544"/>
      <c r="J1231" s="544"/>
      <c r="K1231" s="544"/>
      <c r="L1231" s="544"/>
      <c r="M1231" s="545"/>
    </row>
    <row r="1232" spans="6:13" s="495" customFormat="1" x14ac:dyDescent="0.2">
      <c r="F1232" s="544"/>
      <c r="G1232" s="544"/>
      <c r="H1232" s="544"/>
      <c r="I1232" s="544"/>
      <c r="J1232" s="544"/>
      <c r="K1232" s="544"/>
      <c r="L1232" s="544"/>
      <c r="M1232" s="545"/>
    </row>
  </sheetData>
  <sheetProtection algorithmName="SHA-512" hashValue="s10cmk6H+Dx8csF32obTc7cooXax0Ypjni0w5SW9TYulkRWXx8ublbkEqE5sqvg8C5aazlzC9/aVq9HyTm0fMg==" saltValue="YQnl8/70r6E2SiXEgPvcZA==" spinCount="100000" sheet="1" objects="1" scenarios="1"/>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R240"/>
  <sheetViews>
    <sheetView zoomScale="85" zoomScaleNormal="85" workbookViewId="0">
      <selection activeCell="B2" sqref="B2"/>
    </sheetView>
  </sheetViews>
  <sheetFormatPr defaultRowHeight="12.75" x14ac:dyDescent="0.2"/>
  <cols>
    <col min="1" max="1" width="3.7109375" style="501" customWidth="1"/>
    <col min="2" max="2" width="2.7109375" style="501" customWidth="1"/>
    <col min="3" max="9" width="9.7109375" style="501" customWidth="1"/>
    <col min="10" max="10" width="2.7109375" style="501" customWidth="1"/>
    <col min="11" max="17" width="9.7109375" style="501" customWidth="1"/>
    <col min="18" max="18" width="2.7109375" style="501" customWidth="1"/>
    <col min="19" max="16384" width="9.140625" style="501"/>
  </cols>
  <sheetData>
    <row r="1" spans="2:18" ht="12.75" customHeight="1" x14ac:dyDescent="0.2"/>
    <row r="2" spans="2:18" x14ac:dyDescent="0.2">
      <c r="B2" s="522"/>
      <c r="C2" s="504"/>
      <c r="D2" s="504"/>
      <c r="E2" s="504"/>
      <c r="F2" s="504"/>
      <c r="G2" s="504"/>
      <c r="H2" s="504"/>
      <c r="I2" s="504"/>
      <c r="J2" s="504"/>
      <c r="K2" s="504"/>
      <c r="L2" s="504"/>
      <c r="M2" s="504"/>
      <c r="N2" s="504"/>
      <c r="O2" s="504"/>
      <c r="P2" s="504"/>
      <c r="Q2" s="504"/>
      <c r="R2" s="507"/>
    </row>
    <row r="3" spans="2:18" x14ac:dyDescent="0.2">
      <c r="B3" s="508"/>
      <c r="C3" s="509"/>
      <c r="D3" s="509"/>
      <c r="E3" s="509"/>
      <c r="F3" s="509"/>
      <c r="G3" s="509"/>
      <c r="H3" s="509"/>
      <c r="I3" s="509"/>
      <c r="J3" s="509"/>
      <c r="K3" s="509"/>
      <c r="L3" s="509"/>
      <c r="M3" s="509"/>
      <c r="N3" s="509"/>
      <c r="O3" s="509"/>
      <c r="P3" s="509"/>
      <c r="Q3" s="509"/>
      <c r="R3" s="529"/>
    </row>
    <row r="4" spans="2:18" s="532" customFormat="1" ht="18.75" x14ac:dyDescent="0.3">
      <c r="B4" s="512"/>
      <c r="C4" s="975" t="s">
        <v>318</v>
      </c>
      <c r="D4" s="530"/>
      <c r="E4" s="530"/>
      <c r="F4" s="530"/>
      <c r="G4" s="530"/>
      <c r="H4" s="530"/>
      <c r="I4" s="530"/>
      <c r="J4" s="530"/>
      <c r="K4" s="530"/>
      <c r="L4" s="530"/>
      <c r="M4" s="530"/>
      <c r="N4" s="530"/>
      <c r="O4" s="530"/>
      <c r="P4" s="530"/>
      <c r="Q4" s="530"/>
      <c r="R4" s="531"/>
    </row>
    <row r="5" spans="2:18" s="532" customFormat="1" ht="18.75" x14ac:dyDescent="0.3">
      <c r="B5" s="512"/>
      <c r="C5" s="975" t="str">
        <f>'geg ll'!C5</f>
        <v>Voorbeeld SWV VO Alkmaar</v>
      </c>
      <c r="D5" s="530"/>
      <c r="E5" s="530"/>
      <c r="F5" s="530"/>
      <c r="G5" s="530"/>
      <c r="H5" s="530"/>
      <c r="I5" s="530"/>
      <c r="J5" s="530"/>
      <c r="K5" s="530"/>
      <c r="L5" s="530"/>
      <c r="M5" s="530"/>
      <c r="N5" s="530"/>
      <c r="O5" s="530"/>
      <c r="P5" s="530"/>
      <c r="Q5" s="530"/>
      <c r="R5" s="531"/>
    </row>
    <row r="6" spans="2:18" x14ac:dyDescent="0.2">
      <c r="B6" s="508"/>
      <c r="C6" s="509"/>
      <c r="D6" s="509"/>
      <c r="E6" s="509"/>
      <c r="F6" s="509"/>
      <c r="G6" s="509"/>
      <c r="H6" s="509"/>
      <c r="I6" s="509"/>
      <c r="J6" s="509"/>
      <c r="K6" s="509"/>
      <c r="L6" s="509"/>
      <c r="M6" s="509"/>
      <c r="N6" s="509"/>
      <c r="O6" s="509"/>
      <c r="P6" s="509"/>
      <c r="Q6" s="509"/>
      <c r="R6" s="529"/>
    </row>
    <row r="7" spans="2:18" x14ac:dyDescent="0.2">
      <c r="B7" s="508"/>
      <c r="C7" s="509"/>
      <c r="D7" s="509"/>
      <c r="E7" s="509"/>
      <c r="F7" s="509"/>
      <c r="G7" s="509"/>
      <c r="H7" s="509"/>
      <c r="I7" s="509"/>
      <c r="J7" s="509"/>
      <c r="K7" s="509"/>
      <c r="L7" s="509"/>
      <c r="M7" s="509"/>
      <c r="N7" s="509"/>
      <c r="O7" s="509"/>
      <c r="P7" s="509"/>
      <c r="Q7" s="509"/>
      <c r="R7" s="529"/>
    </row>
    <row r="8" spans="2:18" x14ac:dyDescent="0.2">
      <c r="B8" s="508"/>
      <c r="C8" s="509"/>
      <c r="D8" s="509"/>
      <c r="E8" s="509"/>
      <c r="F8" s="509"/>
      <c r="G8" s="509"/>
      <c r="H8" s="509"/>
      <c r="I8" s="509"/>
      <c r="J8" s="509"/>
      <c r="K8" s="509"/>
      <c r="L8" s="509"/>
      <c r="M8" s="509"/>
      <c r="N8" s="509"/>
      <c r="O8" s="509"/>
      <c r="P8" s="509"/>
      <c r="Q8" s="509"/>
      <c r="R8" s="529"/>
    </row>
    <row r="9" spans="2:18" x14ac:dyDescent="0.2">
      <c r="B9" s="508"/>
      <c r="C9" s="509"/>
      <c r="D9" s="509"/>
      <c r="E9" s="509"/>
      <c r="F9" s="509"/>
      <c r="G9" s="509"/>
      <c r="H9" s="509"/>
      <c r="I9" s="509"/>
      <c r="J9" s="509"/>
      <c r="K9" s="509"/>
      <c r="L9" s="509"/>
      <c r="M9" s="509"/>
      <c r="N9" s="509"/>
      <c r="O9" s="509"/>
      <c r="P9" s="509"/>
      <c r="Q9" s="509"/>
      <c r="R9" s="529"/>
    </row>
    <row r="10" spans="2:18" x14ac:dyDescent="0.2">
      <c r="B10" s="508"/>
      <c r="C10" s="509"/>
      <c r="D10" s="509"/>
      <c r="E10" s="509"/>
      <c r="F10" s="509"/>
      <c r="G10" s="509"/>
      <c r="H10" s="509"/>
      <c r="I10" s="509"/>
      <c r="J10" s="509"/>
      <c r="K10" s="509"/>
      <c r="L10" s="509"/>
      <c r="M10" s="509"/>
      <c r="N10" s="509"/>
      <c r="O10" s="509"/>
      <c r="P10" s="509"/>
      <c r="Q10" s="509"/>
      <c r="R10" s="529"/>
    </row>
    <row r="11" spans="2:18" x14ac:dyDescent="0.2">
      <c r="B11" s="508"/>
      <c r="C11" s="509"/>
      <c r="D11" s="509"/>
      <c r="E11" s="509"/>
      <c r="F11" s="509"/>
      <c r="G11" s="509"/>
      <c r="H11" s="509"/>
      <c r="I11" s="509"/>
      <c r="J11" s="509"/>
      <c r="K11" s="509"/>
      <c r="L11" s="509"/>
      <c r="M11" s="509"/>
      <c r="N11" s="509"/>
      <c r="O11" s="509"/>
      <c r="P11" s="509"/>
      <c r="Q11" s="509"/>
      <c r="R11" s="529"/>
    </row>
    <row r="12" spans="2:18" x14ac:dyDescent="0.2">
      <c r="B12" s="508"/>
      <c r="C12" s="509"/>
      <c r="D12" s="509"/>
      <c r="E12" s="509"/>
      <c r="F12" s="509"/>
      <c r="G12" s="509"/>
      <c r="H12" s="509"/>
      <c r="I12" s="509"/>
      <c r="J12" s="509"/>
      <c r="K12" s="509"/>
      <c r="L12" s="509"/>
      <c r="M12" s="509"/>
      <c r="N12" s="509"/>
      <c r="O12" s="509"/>
      <c r="P12" s="509"/>
      <c r="Q12" s="509"/>
      <c r="R12" s="529"/>
    </row>
    <row r="13" spans="2:18" x14ac:dyDescent="0.2">
      <c r="B13" s="508"/>
      <c r="C13" s="509"/>
      <c r="D13" s="509"/>
      <c r="E13" s="509"/>
      <c r="F13" s="509"/>
      <c r="G13" s="509"/>
      <c r="H13" s="509"/>
      <c r="I13" s="509"/>
      <c r="J13" s="509"/>
      <c r="K13" s="509"/>
      <c r="L13" s="509"/>
      <c r="M13" s="509"/>
      <c r="N13" s="509"/>
      <c r="O13" s="509"/>
      <c r="P13" s="509"/>
      <c r="Q13" s="509"/>
      <c r="R13" s="529"/>
    </row>
    <row r="14" spans="2:18" x14ac:dyDescent="0.2">
      <c r="B14" s="508"/>
      <c r="C14" s="509"/>
      <c r="D14" s="509"/>
      <c r="E14" s="509"/>
      <c r="F14" s="509"/>
      <c r="G14" s="509"/>
      <c r="H14" s="509"/>
      <c r="I14" s="509"/>
      <c r="J14" s="509"/>
      <c r="K14" s="509"/>
      <c r="L14" s="509"/>
      <c r="M14" s="509"/>
      <c r="N14" s="509"/>
      <c r="O14" s="509"/>
      <c r="P14" s="509"/>
      <c r="Q14" s="509"/>
      <c r="R14" s="529"/>
    </row>
    <row r="15" spans="2:18" x14ac:dyDescent="0.2">
      <c r="B15" s="508"/>
      <c r="C15" s="509"/>
      <c r="D15" s="509"/>
      <c r="E15" s="509"/>
      <c r="F15" s="509"/>
      <c r="G15" s="509"/>
      <c r="H15" s="509"/>
      <c r="I15" s="509"/>
      <c r="J15" s="509"/>
      <c r="K15" s="509"/>
      <c r="L15" s="509"/>
      <c r="M15" s="509"/>
      <c r="N15" s="509"/>
      <c r="O15" s="509"/>
      <c r="P15" s="509"/>
      <c r="Q15" s="509"/>
      <c r="R15" s="529"/>
    </row>
    <row r="16" spans="2:18" x14ac:dyDescent="0.2">
      <c r="B16" s="508"/>
      <c r="C16" s="509"/>
      <c r="D16" s="509"/>
      <c r="E16" s="509"/>
      <c r="F16" s="509"/>
      <c r="G16" s="509"/>
      <c r="H16" s="509"/>
      <c r="I16" s="509"/>
      <c r="J16" s="509"/>
      <c r="K16" s="509"/>
      <c r="L16" s="509"/>
      <c r="M16" s="509"/>
      <c r="N16" s="509"/>
      <c r="O16" s="509"/>
      <c r="P16" s="509"/>
      <c r="Q16" s="509"/>
      <c r="R16" s="529"/>
    </row>
    <row r="17" spans="2:18" x14ac:dyDescent="0.2">
      <c r="B17" s="508"/>
      <c r="C17" s="509"/>
      <c r="D17" s="509"/>
      <c r="E17" s="509"/>
      <c r="F17" s="509"/>
      <c r="G17" s="509"/>
      <c r="H17" s="509"/>
      <c r="I17" s="509"/>
      <c r="J17" s="509"/>
      <c r="K17" s="509"/>
      <c r="L17" s="509"/>
      <c r="M17" s="509"/>
      <c r="N17" s="509"/>
      <c r="O17" s="509"/>
      <c r="P17" s="509"/>
      <c r="Q17" s="509"/>
      <c r="R17" s="529"/>
    </row>
    <row r="18" spans="2:18" x14ac:dyDescent="0.2">
      <c r="B18" s="508"/>
      <c r="C18" s="509"/>
      <c r="D18" s="509"/>
      <c r="E18" s="509"/>
      <c r="F18" s="509"/>
      <c r="G18" s="509"/>
      <c r="H18" s="509"/>
      <c r="I18" s="509"/>
      <c r="J18" s="509"/>
      <c r="K18" s="509"/>
      <c r="L18" s="509"/>
      <c r="M18" s="509"/>
      <c r="N18" s="509"/>
      <c r="O18" s="509"/>
      <c r="P18" s="509"/>
      <c r="Q18" s="509"/>
      <c r="R18" s="529"/>
    </row>
    <row r="19" spans="2:18" x14ac:dyDescent="0.2">
      <c r="B19" s="508"/>
      <c r="C19" s="509"/>
      <c r="D19" s="509"/>
      <c r="E19" s="509"/>
      <c r="F19" s="509"/>
      <c r="G19" s="509"/>
      <c r="H19" s="509"/>
      <c r="I19" s="509"/>
      <c r="J19" s="509"/>
      <c r="K19" s="509"/>
      <c r="L19" s="509"/>
      <c r="M19" s="509"/>
      <c r="N19" s="509"/>
      <c r="O19" s="509"/>
      <c r="P19" s="509"/>
      <c r="Q19" s="509"/>
      <c r="R19" s="529"/>
    </row>
    <row r="20" spans="2:18" x14ac:dyDescent="0.2">
      <c r="B20" s="508"/>
      <c r="C20" s="509"/>
      <c r="D20" s="509"/>
      <c r="E20" s="509"/>
      <c r="F20" s="509"/>
      <c r="G20" s="509"/>
      <c r="H20" s="509"/>
      <c r="I20" s="509"/>
      <c r="J20" s="509"/>
      <c r="K20" s="509"/>
      <c r="L20" s="509"/>
      <c r="M20" s="509"/>
      <c r="N20" s="509"/>
      <c r="O20" s="509"/>
      <c r="P20" s="509"/>
      <c r="Q20" s="509"/>
      <c r="R20" s="529"/>
    </row>
    <row r="21" spans="2:18" x14ac:dyDescent="0.2">
      <c r="B21" s="508"/>
      <c r="C21" s="509"/>
      <c r="D21" s="509"/>
      <c r="E21" s="509"/>
      <c r="F21" s="509"/>
      <c r="G21" s="509"/>
      <c r="H21" s="509"/>
      <c r="I21" s="509"/>
      <c r="J21" s="509"/>
      <c r="K21" s="509"/>
      <c r="L21" s="509"/>
      <c r="M21" s="509"/>
      <c r="N21" s="509"/>
      <c r="O21" s="509"/>
      <c r="P21" s="509"/>
      <c r="Q21" s="509"/>
      <c r="R21" s="529"/>
    </row>
    <row r="22" spans="2:18" x14ac:dyDescent="0.2">
      <c r="B22" s="508"/>
      <c r="C22" s="509"/>
      <c r="D22" s="509"/>
      <c r="E22" s="509"/>
      <c r="F22" s="509"/>
      <c r="G22" s="509"/>
      <c r="H22" s="509"/>
      <c r="I22" s="509"/>
      <c r="J22" s="509"/>
      <c r="K22" s="509"/>
      <c r="L22" s="509"/>
      <c r="M22" s="509"/>
      <c r="N22" s="509"/>
      <c r="O22" s="509"/>
      <c r="P22" s="509"/>
      <c r="Q22" s="509"/>
      <c r="R22" s="529"/>
    </row>
    <row r="23" spans="2:18" x14ac:dyDescent="0.2">
      <c r="B23" s="508"/>
      <c r="C23" s="509"/>
      <c r="D23" s="509"/>
      <c r="E23" s="509"/>
      <c r="F23" s="509"/>
      <c r="G23" s="509"/>
      <c r="H23" s="509"/>
      <c r="I23" s="509"/>
      <c r="J23" s="509"/>
      <c r="K23" s="509"/>
      <c r="L23" s="509"/>
      <c r="M23" s="509"/>
      <c r="N23" s="509"/>
      <c r="O23" s="509"/>
      <c r="P23" s="509"/>
      <c r="Q23" s="509"/>
      <c r="R23" s="529"/>
    </row>
    <row r="24" spans="2:18" x14ac:dyDescent="0.2">
      <c r="B24" s="508"/>
      <c r="C24" s="509"/>
      <c r="D24" s="509"/>
      <c r="E24" s="509"/>
      <c r="F24" s="509"/>
      <c r="G24" s="509"/>
      <c r="H24" s="509"/>
      <c r="I24" s="509"/>
      <c r="J24" s="509"/>
      <c r="K24" s="509"/>
      <c r="L24" s="509"/>
      <c r="M24" s="509"/>
      <c r="N24" s="509"/>
      <c r="O24" s="509"/>
      <c r="P24" s="509"/>
      <c r="Q24" s="509"/>
      <c r="R24" s="529"/>
    </row>
    <row r="25" spans="2:18" x14ac:dyDescent="0.2">
      <c r="B25" s="508"/>
      <c r="C25" s="509"/>
      <c r="D25" s="509"/>
      <c r="E25" s="509"/>
      <c r="F25" s="509"/>
      <c r="G25" s="509"/>
      <c r="H25" s="509"/>
      <c r="I25" s="509"/>
      <c r="J25" s="509"/>
      <c r="K25" s="509"/>
      <c r="L25" s="509"/>
      <c r="M25" s="509"/>
      <c r="N25" s="509"/>
      <c r="O25" s="509"/>
      <c r="P25" s="509"/>
      <c r="Q25" s="509"/>
      <c r="R25" s="529"/>
    </row>
    <row r="26" spans="2:18" x14ac:dyDescent="0.2">
      <c r="B26" s="508"/>
      <c r="C26" s="509"/>
      <c r="D26" s="509"/>
      <c r="E26" s="509"/>
      <c r="F26" s="509"/>
      <c r="G26" s="509"/>
      <c r="H26" s="509"/>
      <c r="I26" s="509"/>
      <c r="J26" s="509"/>
      <c r="K26" s="509"/>
      <c r="L26" s="509"/>
      <c r="M26" s="509"/>
      <c r="N26" s="509"/>
      <c r="O26" s="509"/>
      <c r="P26" s="509"/>
      <c r="Q26" s="509"/>
      <c r="R26" s="529"/>
    </row>
    <row r="27" spans="2:18" x14ac:dyDescent="0.2">
      <c r="B27" s="508"/>
      <c r="C27" s="509"/>
      <c r="D27" s="509"/>
      <c r="E27" s="509"/>
      <c r="F27" s="509"/>
      <c r="G27" s="509"/>
      <c r="H27" s="509"/>
      <c r="I27" s="509"/>
      <c r="J27" s="509"/>
      <c r="K27" s="509"/>
      <c r="L27" s="509"/>
      <c r="M27" s="509"/>
      <c r="N27" s="509"/>
      <c r="O27" s="509"/>
      <c r="P27" s="509"/>
      <c r="Q27" s="509"/>
      <c r="R27" s="529"/>
    </row>
    <row r="28" spans="2:18" x14ac:dyDescent="0.2">
      <c r="B28" s="508"/>
      <c r="C28" s="509"/>
      <c r="D28" s="509"/>
      <c r="E28" s="509"/>
      <c r="F28" s="509"/>
      <c r="G28" s="509"/>
      <c r="H28" s="509"/>
      <c r="I28" s="509"/>
      <c r="J28" s="509"/>
      <c r="K28" s="509"/>
      <c r="L28" s="509"/>
      <c r="M28" s="509"/>
      <c r="N28" s="509"/>
      <c r="O28" s="509"/>
      <c r="P28" s="509"/>
      <c r="Q28" s="509"/>
      <c r="R28" s="529"/>
    </row>
    <row r="29" spans="2:18" x14ac:dyDescent="0.2">
      <c r="B29" s="508"/>
      <c r="C29" s="509"/>
      <c r="D29" s="509"/>
      <c r="E29" s="509"/>
      <c r="F29" s="509"/>
      <c r="G29" s="509"/>
      <c r="H29" s="509"/>
      <c r="I29" s="509"/>
      <c r="J29" s="509"/>
      <c r="K29" s="509"/>
      <c r="L29" s="509"/>
      <c r="M29" s="509"/>
      <c r="N29" s="509"/>
      <c r="O29" s="509"/>
      <c r="P29" s="509"/>
      <c r="Q29" s="509"/>
      <c r="R29" s="529"/>
    </row>
    <row r="30" spans="2:18" x14ac:dyDescent="0.2">
      <c r="B30" s="508"/>
      <c r="C30" s="509"/>
      <c r="D30" s="509"/>
      <c r="E30" s="509"/>
      <c r="F30" s="509"/>
      <c r="G30" s="509"/>
      <c r="H30" s="509"/>
      <c r="I30" s="509"/>
      <c r="J30" s="509"/>
      <c r="K30" s="509"/>
      <c r="L30" s="509"/>
      <c r="M30" s="509"/>
      <c r="N30" s="509"/>
      <c r="O30" s="509"/>
      <c r="P30" s="509"/>
      <c r="Q30" s="509"/>
      <c r="R30" s="529"/>
    </row>
    <row r="31" spans="2:18" x14ac:dyDescent="0.2">
      <c r="B31" s="508"/>
      <c r="C31" s="509"/>
      <c r="D31" s="509"/>
      <c r="E31" s="509"/>
      <c r="F31" s="509"/>
      <c r="G31" s="509"/>
      <c r="H31" s="509"/>
      <c r="I31" s="509"/>
      <c r="J31" s="509"/>
      <c r="K31" s="509"/>
      <c r="L31" s="509"/>
      <c r="M31" s="509"/>
      <c r="N31" s="509"/>
      <c r="O31" s="509"/>
      <c r="P31" s="509"/>
      <c r="Q31" s="509"/>
      <c r="R31" s="529"/>
    </row>
    <row r="32" spans="2:18" x14ac:dyDescent="0.2">
      <c r="B32" s="508"/>
      <c r="C32" s="509"/>
      <c r="D32" s="509"/>
      <c r="E32" s="509"/>
      <c r="F32" s="509"/>
      <c r="G32" s="509"/>
      <c r="H32" s="509"/>
      <c r="I32" s="509"/>
      <c r="J32" s="509"/>
      <c r="K32" s="509"/>
      <c r="L32" s="509"/>
      <c r="M32" s="509"/>
      <c r="N32" s="509"/>
      <c r="O32" s="509"/>
      <c r="P32" s="509"/>
      <c r="Q32" s="509"/>
      <c r="R32" s="529"/>
    </row>
    <row r="33" spans="2:18" x14ac:dyDescent="0.2">
      <c r="B33" s="508"/>
      <c r="C33" s="509"/>
      <c r="D33" s="509"/>
      <c r="E33" s="509"/>
      <c r="F33" s="509"/>
      <c r="G33" s="509"/>
      <c r="H33" s="509"/>
      <c r="I33" s="509"/>
      <c r="J33" s="509"/>
      <c r="K33" s="509"/>
      <c r="L33" s="509"/>
      <c r="M33" s="509"/>
      <c r="N33" s="509"/>
      <c r="O33" s="509"/>
      <c r="P33" s="509"/>
      <c r="Q33" s="509"/>
      <c r="R33" s="529"/>
    </row>
    <row r="34" spans="2:18" x14ac:dyDescent="0.2">
      <c r="B34" s="508"/>
      <c r="C34" s="509"/>
      <c r="D34" s="509"/>
      <c r="E34" s="509"/>
      <c r="F34" s="509"/>
      <c r="G34" s="509"/>
      <c r="H34" s="509"/>
      <c r="I34" s="509"/>
      <c r="J34" s="509"/>
      <c r="K34" s="509"/>
      <c r="L34" s="509"/>
      <c r="M34" s="509"/>
      <c r="N34" s="509"/>
      <c r="O34" s="509"/>
      <c r="P34" s="509"/>
      <c r="Q34" s="509"/>
      <c r="R34" s="529"/>
    </row>
    <row r="35" spans="2:18" x14ac:dyDescent="0.2">
      <c r="B35" s="508"/>
      <c r="C35" s="509"/>
      <c r="D35" s="509"/>
      <c r="E35" s="509"/>
      <c r="F35" s="509"/>
      <c r="G35" s="509"/>
      <c r="H35" s="509"/>
      <c r="I35" s="509"/>
      <c r="J35" s="509"/>
      <c r="K35" s="509"/>
      <c r="L35" s="509"/>
      <c r="M35" s="509"/>
      <c r="N35" s="509"/>
      <c r="O35" s="509"/>
      <c r="P35" s="509"/>
      <c r="Q35" s="509"/>
      <c r="R35" s="529"/>
    </row>
    <row r="36" spans="2:18" x14ac:dyDescent="0.2">
      <c r="B36" s="508"/>
      <c r="C36" s="509"/>
      <c r="D36" s="509"/>
      <c r="E36" s="509"/>
      <c r="F36" s="509"/>
      <c r="G36" s="509"/>
      <c r="H36" s="509"/>
      <c r="I36" s="509"/>
      <c r="J36" s="509"/>
      <c r="K36" s="509"/>
      <c r="L36" s="509"/>
      <c r="M36" s="509"/>
      <c r="N36" s="509"/>
      <c r="O36" s="509"/>
      <c r="P36" s="509"/>
      <c r="Q36" s="509"/>
      <c r="R36" s="529"/>
    </row>
    <row r="37" spans="2:18" x14ac:dyDescent="0.2">
      <c r="B37" s="508"/>
      <c r="C37" s="509"/>
      <c r="D37" s="509"/>
      <c r="E37" s="509"/>
      <c r="F37" s="509"/>
      <c r="G37" s="509"/>
      <c r="H37" s="509"/>
      <c r="I37" s="509"/>
      <c r="J37" s="509"/>
      <c r="K37" s="509"/>
      <c r="L37" s="509"/>
      <c r="M37" s="509"/>
      <c r="N37" s="509"/>
      <c r="O37" s="509"/>
      <c r="P37" s="509"/>
      <c r="Q37" s="509"/>
      <c r="R37" s="529"/>
    </row>
    <row r="38" spans="2:18" x14ac:dyDescent="0.2">
      <c r="B38" s="508"/>
      <c r="C38" s="509"/>
      <c r="D38" s="509"/>
      <c r="E38" s="509"/>
      <c r="F38" s="509"/>
      <c r="G38" s="509"/>
      <c r="H38" s="509"/>
      <c r="I38" s="509"/>
      <c r="J38" s="509"/>
      <c r="K38" s="509"/>
      <c r="L38" s="509"/>
      <c r="M38" s="509"/>
      <c r="N38" s="509"/>
      <c r="O38" s="509"/>
      <c r="P38" s="509"/>
      <c r="Q38" s="509"/>
      <c r="R38" s="529"/>
    </row>
    <row r="39" spans="2:18" x14ac:dyDescent="0.2">
      <c r="B39" s="508"/>
      <c r="C39" s="509"/>
      <c r="D39" s="509"/>
      <c r="E39" s="509"/>
      <c r="F39" s="509"/>
      <c r="G39" s="509"/>
      <c r="H39" s="509"/>
      <c r="I39" s="509"/>
      <c r="J39" s="509"/>
      <c r="K39" s="509"/>
      <c r="L39" s="509"/>
      <c r="M39" s="509"/>
      <c r="N39" s="509"/>
      <c r="O39" s="509"/>
      <c r="P39" s="509"/>
      <c r="Q39" s="509"/>
      <c r="R39" s="529"/>
    </row>
    <row r="40" spans="2:18" x14ac:dyDescent="0.2">
      <c r="B40" s="508"/>
      <c r="C40" s="509"/>
      <c r="D40" s="509"/>
      <c r="E40" s="509"/>
      <c r="F40" s="509"/>
      <c r="G40" s="509"/>
      <c r="H40" s="509"/>
      <c r="I40" s="509"/>
      <c r="J40" s="509"/>
      <c r="K40" s="509"/>
      <c r="L40" s="509"/>
      <c r="M40" s="509"/>
      <c r="N40" s="509"/>
      <c r="O40" s="509"/>
      <c r="P40" s="509"/>
      <c r="Q40" s="509"/>
      <c r="R40" s="529"/>
    </row>
    <row r="41" spans="2:18" x14ac:dyDescent="0.2">
      <c r="B41" s="508"/>
      <c r="C41" s="509"/>
      <c r="D41" s="509"/>
      <c r="E41" s="509"/>
      <c r="F41" s="509"/>
      <c r="G41" s="509"/>
      <c r="H41" s="509"/>
      <c r="I41" s="509"/>
      <c r="J41" s="509"/>
      <c r="K41" s="509"/>
      <c r="L41" s="509"/>
      <c r="M41" s="509"/>
      <c r="N41" s="509"/>
      <c r="O41" s="509"/>
      <c r="P41" s="509"/>
      <c r="Q41" s="509"/>
      <c r="R41" s="529"/>
    </row>
    <row r="42" spans="2:18" x14ac:dyDescent="0.2">
      <c r="B42" s="508"/>
      <c r="C42" s="509"/>
      <c r="D42" s="509"/>
      <c r="E42" s="509"/>
      <c r="F42" s="509"/>
      <c r="G42" s="509"/>
      <c r="H42" s="509"/>
      <c r="I42" s="509"/>
      <c r="J42" s="509"/>
      <c r="K42" s="509"/>
      <c r="L42" s="509"/>
      <c r="M42" s="509"/>
      <c r="N42" s="509"/>
      <c r="O42" s="509"/>
      <c r="P42" s="509"/>
      <c r="Q42" s="509"/>
      <c r="R42" s="529"/>
    </row>
    <row r="43" spans="2:18" x14ac:dyDescent="0.2">
      <c r="B43" s="508"/>
      <c r="C43" s="509"/>
      <c r="D43" s="509"/>
      <c r="E43" s="509"/>
      <c r="F43" s="509"/>
      <c r="G43" s="509"/>
      <c r="H43" s="509"/>
      <c r="I43" s="509"/>
      <c r="J43" s="509"/>
      <c r="K43" s="509"/>
      <c r="L43" s="509"/>
      <c r="M43" s="509"/>
      <c r="N43" s="509"/>
      <c r="O43" s="509"/>
      <c r="P43" s="509"/>
      <c r="Q43" s="509"/>
      <c r="R43" s="529"/>
    </row>
    <row r="44" spans="2:18" x14ac:dyDescent="0.2">
      <c r="B44" s="508"/>
      <c r="C44" s="509"/>
      <c r="D44" s="509"/>
      <c r="E44" s="509"/>
      <c r="F44" s="509"/>
      <c r="G44" s="509"/>
      <c r="H44" s="509"/>
      <c r="I44" s="509"/>
      <c r="J44" s="509"/>
      <c r="K44" s="509"/>
      <c r="L44" s="509"/>
      <c r="M44" s="509"/>
      <c r="N44" s="509"/>
      <c r="O44" s="509"/>
      <c r="P44" s="509"/>
      <c r="Q44" s="509"/>
      <c r="R44" s="529"/>
    </row>
    <row r="45" spans="2:18" x14ac:dyDescent="0.2">
      <c r="B45" s="508"/>
      <c r="C45" s="509"/>
      <c r="D45" s="509"/>
      <c r="E45" s="509"/>
      <c r="F45" s="509"/>
      <c r="G45" s="509"/>
      <c r="H45" s="509"/>
      <c r="I45" s="509"/>
      <c r="J45" s="509"/>
      <c r="K45" s="509"/>
      <c r="L45" s="509"/>
      <c r="M45" s="509"/>
      <c r="N45" s="509"/>
      <c r="O45" s="509"/>
      <c r="P45" s="509"/>
      <c r="Q45" s="509"/>
      <c r="R45" s="529"/>
    </row>
    <row r="46" spans="2:18" x14ac:dyDescent="0.2">
      <c r="B46" s="508"/>
      <c r="C46" s="509"/>
      <c r="D46" s="509"/>
      <c r="E46" s="509"/>
      <c r="F46" s="509"/>
      <c r="G46" s="509"/>
      <c r="H46" s="509"/>
      <c r="I46" s="509"/>
      <c r="J46" s="509"/>
      <c r="K46" s="509"/>
      <c r="L46" s="509"/>
      <c r="M46" s="509"/>
      <c r="N46" s="509"/>
      <c r="O46" s="509"/>
      <c r="P46" s="509"/>
      <c r="Q46" s="509"/>
      <c r="R46" s="529"/>
    </row>
    <row r="47" spans="2:18" x14ac:dyDescent="0.2">
      <c r="B47" s="508"/>
      <c r="C47" s="509"/>
      <c r="D47" s="509"/>
      <c r="E47" s="509"/>
      <c r="F47" s="509"/>
      <c r="G47" s="509"/>
      <c r="H47" s="509"/>
      <c r="I47" s="509"/>
      <c r="J47" s="509"/>
      <c r="K47" s="509"/>
      <c r="L47" s="509"/>
      <c r="M47" s="509"/>
      <c r="N47" s="509"/>
      <c r="O47" s="509"/>
      <c r="P47" s="509"/>
      <c r="Q47" s="509"/>
      <c r="R47" s="529"/>
    </row>
    <row r="48" spans="2:18" x14ac:dyDescent="0.2">
      <c r="B48" s="508"/>
      <c r="C48" s="509"/>
      <c r="D48" s="509"/>
      <c r="E48" s="509"/>
      <c r="F48" s="509"/>
      <c r="G48" s="509"/>
      <c r="H48" s="509"/>
      <c r="I48" s="509"/>
      <c r="J48" s="509"/>
      <c r="K48" s="509"/>
      <c r="L48" s="509"/>
      <c r="M48" s="509"/>
      <c r="N48" s="509"/>
      <c r="O48" s="509"/>
      <c r="P48" s="509"/>
      <c r="Q48" s="509"/>
      <c r="R48" s="529"/>
    </row>
    <row r="49" spans="2:18" x14ac:dyDescent="0.2">
      <c r="B49" s="508"/>
      <c r="C49" s="509"/>
      <c r="D49" s="509"/>
      <c r="E49" s="509"/>
      <c r="F49" s="509"/>
      <c r="G49" s="509"/>
      <c r="H49" s="509"/>
      <c r="I49" s="509"/>
      <c r="J49" s="509"/>
      <c r="K49" s="509"/>
      <c r="L49" s="509"/>
      <c r="M49" s="509"/>
      <c r="N49" s="509"/>
      <c r="O49" s="509"/>
      <c r="P49" s="509"/>
      <c r="Q49" s="509"/>
      <c r="R49" s="529"/>
    </row>
    <row r="50" spans="2:18" x14ac:dyDescent="0.2">
      <c r="B50" s="508"/>
      <c r="C50" s="509"/>
      <c r="D50" s="509"/>
      <c r="E50" s="509"/>
      <c r="F50" s="509"/>
      <c r="G50" s="509"/>
      <c r="H50" s="509"/>
      <c r="I50" s="509"/>
      <c r="J50" s="509"/>
      <c r="K50" s="509"/>
      <c r="L50" s="509"/>
      <c r="M50" s="509"/>
      <c r="N50" s="509"/>
      <c r="O50" s="509"/>
      <c r="P50" s="509"/>
      <c r="Q50" s="509"/>
      <c r="R50" s="529"/>
    </row>
    <row r="51" spans="2:18" x14ac:dyDescent="0.2">
      <c r="B51" s="508"/>
      <c r="C51" s="509"/>
      <c r="D51" s="509"/>
      <c r="E51" s="509"/>
      <c r="F51" s="509"/>
      <c r="G51" s="509"/>
      <c r="H51" s="509"/>
      <c r="I51" s="509"/>
      <c r="J51" s="509"/>
      <c r="K51" s="509"/>
      <c r="L51" s="509"/>
      <c r="M51" s="509"/>
      <c r="N51" s="509"/>
      <c r="O51" s="509"/>
      <c r="P51" s="509"/>
      <c r="Q51" s="509"/>
      <c r="R51" s="529"/>
    </row>
    <row r="52" spans="2:18" x14ac:dyDescent="0.2">
      <c r="B52" s="508"/>
      <c r="C52" s="509"/>
      <c r="D52" s="509"/>
      <c r="E52" s="509"/>
      <c r="F52" s="509"/>
      <c r="G52" s="509"/>
      <c r="H52" s="509"/>
      <c r="I52" s="509"/>
      <c r="J52" s="509"/>
      <c r="K52" s="509"/>
      <c r="L52" s="509"/>
      <c r="M52" s="509"/>
      <c r="N52" s="509"/>
      <c r="O52" s="509"/>
      <c r="P52" s="509"/>
      <c r="Q52" s="509"/>
      <c r="R52" s="529"/>
    </row>
    <row r="53" spans="2:18" x14ac:dyDescent="0.2">
      <c r="B53" s="508"/>
      <c r="C53" s="509"/>
      <c r="D53" s="509"/>
      <c r="E53" s="509"/>
      <c r="F53" s="509"/>
      <c r="G53" s="509"/>
      <c r="H53" s="509"/>
      <c r="I53" s="509"/>
      <c r="J53" s="509"/>
      <c r="K53" s="509"/>
      <c r="L53" s="509"/>
      <c r="M53" s="509"/>
      <c r="N53" s="509"/>
      <c r="O53" s="509"/>
      <c r="P53" s="509"/>
      <c r="Q53" s="509"/>
      <c r="R53" s="529"/>
    </row>
    <row r="54" spans="2:18" x14ac:dyDescent="0.2">
      <c r="B54" s="508"/>
      <c r="C54" s="509"/>
      <c r="D54" s="509"/>
      <c r="E54" s="509"/>
      <c r="F54" s="509"/>
      <c r="G54" s="509"/>
      <c r="H54" s="509"/>
      <c r="I54" s="509"/>
      <c r="J54" s="509"/>
      <c r="K54" s="509"/>
      <c r="L54" s="509"/>
      <c r="M54" s="509"/>
      <c r="N54" s="509"/>
      <c r="O54" s="509"/>
      <c r="P54" s="509"/>
      <c r="Q54" s="509"/>
      <c r="R54" s="529"/>
    </row>
    <row r="55" spans="2:18" x14ac:dyDescent="0.2">
      <c r="B55" s="508"/>
      <c r="C55" s="509"/>
      <c r="D55" s="509"/>
      <c r="E55" s="509"/>
      <c r="F55" s="509"/>
      <c r="G55" s="509"/>
      <c r="H55" s="509"/>
      <c r="I55" s="509"/>
      <c r="J55" s="509"/>
      <c r="K55" s="509"/>
      <c r="L55" s="509"/>
      <c r="M55" s="509"/>
      <c r="N55" s="509"/>
      <c r="O55" s="509"/>
      <c r="P55" s="509"/>
      <c r="Q55" s="509"/>
      <c r="R55" s="529"/>
    </row>
    <row r="56" spans="2:18" x14ac:dyDescent="0.2">
      <c r="B56" s="508"/>
      <c r="C56" s="509"/>
      <c r="D56" s="509"/>
      <c r="E56" s="509"/>
      <c r="F56" s="509"/>
      <c r="G56" s="509"/>
      <c r="H56" s="509"/>
      <c r="I56" s="509"/>
      <c r="J56" s="509"/>
      <c r="K56" s="509"/>
      <c r="L56" s="509"/>
      <c r="M56" s="509"/>
      <c r="N56" s="509"/>
      <c r="O56" s="509"/>
      <c r="P56" s="509"/>
      <c r="Q56" s="509"/>
      <c r="R56" s="529"/>
    </row>
    <row r="57" spans="2:18" x14ac:dyDescent="0.2">
      <c r="B57" s="508"/>
      <c r="C57" s="509"/>
      <c r="D57" s="509"/>
      <c r="E57" s="509"/>
      <c r="F57" s="509"/>
      <c r="G57" s="509"/>
      <c r="H57" s="509"/>
      <c r="I57" s="509"/>
      <c r="J57" s="509"/>
      <c r="K57" s="509"/>
      <c r="L57" s="509"/>
      <c r="M57" s="509"/>
      <c r="N57" s="509"/>
      <c r="O57" s="509"/>
      <c r="P57" s="509"/>
      <c r="Q57" s="509"/>
      <c r="R57" s="529"/>
    </row>
    <row r="58" spans="2:18" x14ac:dyDescent="0.2">
      <c r="B58" s="508"/>
      <c r="C58" s="509"/>
      <c r="D58" s="509"/>
      <c r="E58" s="509"/>
      <c r="F58" s="509"/>
      <c r="G58" s="509"/>
      <c r="H58" s="509"/>
      <c r="I58" s="509"/>
      <c r="J58" s="509"/>
      <c r="K58" s="509"/>
      <c r="L58" s="509"/>
      <c r="M58" s="509"/>
      <c r="N58" s="509"/>
      <c r="O58" s="509"/>
      <c r="P58" s="509"/>
      <c r="Q58" s="509"/>
      <c r="R58" s="529"/>
    </row>
    <row r="59" spans="2:18" x14ac:dyDescent="0.2">
      <c r="B59" s="508"/>
      <c r="C59" s="509"/>
      <c r="D59" s="509"/>
      <c r="E59" s="509"/>
      <c r="F59" s="509"/>
      <c r="G59" s="509"/>
      <c r="H59" s="509"/>
      <c r="I59" s="509"/>
      <c r="J59" s="509"/>
      <c r="K59" s="509"/>
      <c r="L59" s="509"/>
      <c r="M59" s="509"/>
      <c r="N59" s="509"/>
      <c r="O59" s="509"/>
      <c r="P59" s="509"/>
      <c r="Q59" s="509"/>
      <c r="R59" s="529"/>
    </row>
    <row r="60" spans="2:18" x14ac:dyDescent="0.2">
      <c r="B60" s="508"/>
      <c r="C60" s="509"/>
      <c r="D60" s="509"/>
      <c r="E60" s="509"/>
      <c r="F60" s="509"/>
      <c r="G60" s="509"/>
      <c r="H60" s="509"/>
      <c r="I60" s="509"/>
      <c r="J60" s="509"/>
      <c r="K60" s="509"/>
      <c r="L60" s="509"/>
      <c r="M60" s="509"/>
      <c r="N60" s="509"/>
      <c r="O60" s="509"/>
      <c r="P60" s="509"/>
      <c r="Q60" s="509"/>
      <c r="R60" s="529"/>
    </row>
    <row r="61" spans="2:18" x14ac:dyDescent="0.2">
      <c r="B61" s="508"/>
      <c r="C61" s="509"/>
      <c r="D61" s="509"/>
      <c r="E61" s="509"/>
      <c r="F61" s="509"/>
      <c r="G61" s="509"/>
      <c r="H61" s="509"/>
      <c r="I61" s="509"/>
      <c r="J61" s="509"/>
      <c r="K61" s="509"/>
      <c r="L61" s="509"/>
      <c r="M61" s="509"/>
      <c r="N61" s="509"/>
      <c r="O61" s="509"/>
      <c r="P61" s="509"/>
      <c r="Q61" s="509"/>
      <c r="R61" s="529"/>
    </row>
    <row r="62" spans="2:18" x14ac:dyDescent="0.2">
      <c r="B62" s="508"/>
      <c r="C62" s="509"/>
      <c r="D62" s="509"/>
      <c r="E62" s="509"/>
      <c r="F62" s="509"/>
      <c r="G62" s="509"/>
      <c r="H62" s="509"/>
      <c r="I62" s="509"/>
      <c r="J62" s="509"/>
      <c r="K62" s="509"/>
      <c r="L62" s="509"/>
      <c r="M62" s="509"/>
      <c r="N62" s="509"/>
      <c r="O62" s="509"/>
      <c r="P62" s="509"/>
      <c r="Q62" s="509"/>
      <c r="R62" s="529"/>
    </row>
    <row r="63" spans="2:18" x14ac:dyDescent="0.2">
      <c r="B63" s="508"/>
      <c r="C63" s="509"/>
      <c r="D63" s="509"/>
      <c r="E63" s="509"/>
      <c r="F63" s="509"/>
      <c r="G63" s="509"/>
      <c r="H63" s="509"/>
      <c r="I63" s="509"/>
      <c r="J63" s="509"/>
      <c r="K63" s="509"/>
      <c r="L63" s="509"/>
      <c r="M63" s="509"/>
      <c r="N63" s="509"/>
      <c r="O63" s="509"/>
      <c r="P63" s="509"/>
      <c r="Q63" s="509"/>
      <c r="R63" s="529"/>
    </row>
    <row r="64" spans="2:18" x14ac:dyDescent="0.2">
      <c r="B64" s="508"/>
      <c r="C64" s="509"/>
      <c r="D64" s="509"/>
      <c r="E64" s="509"/>
      <c r="F64" s="509"/>
      <c r="G64" s="509"/>
      <c r="H64" s="509"/>
      <c r="I64" s="509"/>
      <c r="J64" s="509"/>
      <c r="K64" s="509"/>
      <c r="L64" s="509"/>
      <c r="M64" s="509"/>
      <c r="N64" s="509"/>
      <c r="O64" s="509"/>
      <c r="P64" s="509"/>
      <c r="Q64" s="509"/>
      <c r="R64" s="529"/>
    </row>
    <row r="65" spans="2:18" x14ac:dyDescent="0.2">
      <c r="B65" s="508"/>
      <c r="C65" s="509"/>
      <c r="D65" s="509"/>
      <c r="E65" s="509"/>
      <c r="F65" s="509"/>
      <c r="G65" s="509"/>
      <c r="H65" s="509"/>
      <c r="I65" s="509"/>
      <c r="J65" s="509"/>
      <c r="K65" s="509"/>
      <c r="L65" s="509"/>
      <c r="M65" s="509"/>
      <c r="N65" s="509"/>
      <c r="O65" s="509"/>
      <c r="P65" s="509"/>
      <c r="Q65" s="509"/>
      <c r="R65" s="529"/>
    </row>
    <row r="66" spans="2:18" x14ac:dyDescent="0.2">
      <c r="B66" s="508"/>
      <c r="C66" s="509"/>
      <c r="D66" s="509"/>
      <c r="E66" s="509"/>
      <c r="F66" s="509"/>
      <c r="G66" s="509"/>
      <c r="H66" s="509"/>
      <c r="I66" s="509"/>
      <c r="J66" s="509"/>
      <c r="K66" s="509"/>
      <c r="L66" s="509"/>
      <c r="M66" s="509"/>
      <c r="N66" s="509"/>
      <c r="O66" s="509"/>
      <c r="P66" s="509"/>
      <c r="Q66" s="509"/>
      <c r="R66" s="529"/>
    </row>
    <row r="67" spans="2:18" x14ac:dyDescent="0.2">
      <c r="B67" s="508"/>
      <c r="C67" s="509"/>
      <c r="D67" s="509"/>
      <c r="E67" s="509"/>
      <c r="F67" s="509"/>
      <c r="G67" s="509"/>
      <c r="H67" s="509"/>
      <c r="I67" s="509"/>
      <c r="J67" s="509"/>
      <c r="K67" s="509"/>
      <c r="L67" s="509"/>
      <c r="M67" s="509"/>
      <c r="N67" s="509"/>
      <c r="O67" s="509"/>
      <c r="P67" s="509"/>
      <c r="Q67" s="509"/>
      <c r="R67" s="529"/>
    </row>
    <row r="68" spans="2:18" x14ac:dyDescent="0.2">
      <c r="B68" s="508"/>
      <c r="C68" s="509"/>
      <c r="D68" s="509"/>
      <c r="E68" s="509"/>
      <c r="F68" s="509"/>
      <c r="G68" s="509"/>
      <c r="H68" s="509"/>
      <c r="I68" s="509"/>
      <c r="J68" s="509"/>
      <c r="K68" s="509"/>
      <c r="L68" s="509"/>
      <c r="M68" s="509"/>
      <c r="N68" s="509"/>
      <c r="O68" s="509"/>
      <c r="P68" s="509"/>
      <c r="Q68" s="509"/>
      <c r="R68" s="529"/>
    </row>
    <row r="69" spans="2:18" x14ac:dyDescent="0.2">
      <c r="B69" s="508"/>
      <c r="C69" s="509"/>
      <c r="D69" s="509"/>
      <c r="E69" s="509"/>
      <c r="F69" s="509"/>
      <c r="G69" s="509"/>
      <c r="H69" s="509"/>
      <c r="I69" s="509"/>
      <c r="J69" s="509"/>
      <c r="K69" s="509"/>
      <c r="L69" s="509"/>
      <c r="M69" s="509"/>
      <c r="N69" s="509"/>
      <c r="O69" s="509"/>
      <c r="P69" s="509"/>
      <c r="Q69" s="509"/>
      <c r="R69" s="529"/>
    </row>
    <row r="70" spans="2:18" x14ac:dyDescent="0.2">
      <c r="B70" s="508"/>
      <c r="C70" s="509"/>
      <c r="D70" s="509"/>
      <c r="E70" s="509"/>
      <c r="F70" s="509"/>
      <c r="G70" s="509"/>
      <c r="H70" s="509"/>
      <c r="I70" s="509"/>
      <c r="J70" s="509"/>
      <c r="K70" s="509"/>
      <c r="L70" s="509"/>
      <c r="M70" s="509"/>
      <c r="N70" s="509"/>
      <c r="O70" s="509"/>
      <c r="P70" s="509"/>
      <c r="Q70" s="509"/>
      <c r="R70" s="529"/>
    </row>
    <row r="71" spans="2:18" x14ac:dyDescent="0.2">
      <c r="B71" s="508"/>
      <c r="C71" s="509"/>
      <c r="D71" s="509"/>
      <c r="E71" s="509"/>
      <c r="F71" s="509"/>
      <c r="G71" s="509"/>
      <c r="H71" s="509"/>
      <c r="I71" s="509"/>
      <c r="J71" s="509"/>
      <c r="K71" s="509"/>
      <c r="L71" s="509"/>
      <c r="M71" s="509"/>
      <c r="N71" s="509"/>
      <c r="O71" s="509"/>
      <c r="P71" s="509"/>
      <c r="Q71" s="509"/>
      <c r="R71" s="529"/>
    </row>
    <row r="72" spans="2:18" x14ac:dyDescent="0.2">
      <c r="B72" s="508"/>
      <c r="C72" s="509"/>
      <c r="D72" s="509"/>
      <c r="E72" s="509"/>
      <c r="F72" s="509"/>
      <c r="G72" s="509"/>
      <c r="H72" s="509"/>
      <c r="I72" s="509"/>
      <c r="J72" s="509"/>
      <c r="K72" s="509"/>
      <c r="L72" s="509"/>
      <c r="M72" s="509"/>
      <c r="N72" s="509"/>
      <c r="O72" s="509"/>
      <c r="P72" s="509"/>
      <c r="Q72" s="509"/>
      <c r="R72" s="529"/>
    </row>
    <row r="73" spans="2:18" x14ac:dyDescent="0.2">
      <c r="B73" s="521"/>
      <c r="C73" s="533"/>
      <c r="D73" s="533"/>
      <c r="E73" s="533"/>
      <c r="F73" s="533"/>
      <c r="G73" s="533"/>
      <c r="H73" s="533"/>
      <c r="I73" s="533"/>
      <c r="J73" s="533"/>
      <c r="K73" s="533"/>
      <c r="L73" s="533"/>
      <c r="M73" s="533"/>
      <c r="N73" s="533"/>
      <c r="O73" s="533"/>
      <c r="P73" s="533"/>
      <c r="Q73" s="627" t="s">
        <v>254</v>
      </c>
      <c r="R73" s="534"/>
    </row>
    <row r="74" spans="2:18" x14ac:dyDescent="0.2">
      <c r="B74" s="522"/>
      <c r="C74" s="504"/>
      <c r="D74" s="504"/>
      <c r="E74" s="504"/>
      <c r="F74" s="504"/>
      <c r="G74" s="504"/>
      <c r="H74" s="504"/>
      <c r="I74" s="504"/>
      <c r="J74" s="504"/>
      <c r="K74" s="504"/>
      <c r="L74" s="504"/>
      <c r="M74" s="504"/>
      <c r="N74" s="504"/>
      <c r="O74" s="504"/>
      <c r="P74" s="504"/>
      <c r="Q74" s="504"/>
      <c r="R74" s="507"/>
    </row>
    <row r="75" spans="2:18" x14ac:dyDescent="0.2">
      <c r="B75" s="508"/>
      <c r="C75" s="509"/>
      <c r="D75" s="509"/>
      <c r="E75" s="509"/>
      <c r="F75" s="509"/>
      <c r="G75" s="509"/>
      <c r="H75" s="509"/>
      <c r="I75" s="509"/>
      <c r="J75" s="509"/>
      <c r="K75" s="509"/>
      <c r="L75" s="509"/>
      <c r="M75" s="509"/>
      <c r="N75" s="509"/>
      <c r="O75" s="509"/>
      <c r="P75" s="509"/>
      <c r="Q75" s="509"/>
      <c r="R75" s="529"/>
    </row>
    <row r="76" spans="2:18" x14ac:dyDescent="0.2">
      <c r="B76" s="508"/>
      <c r="C76" s="509"/>
      <c r="D76" s="509"/>
      <c r="E76" s="509"/>
      <c r="F76" s="509"/>
      <c r="G76" s="509"/>
      <c r="H76" s="509"/>
      <c r="I76" s="509"/>
      <c r="J76" s="509"/>
      <c r="K76" s="509"/>
      <c r="L76" s="509"/>
      <c r="M76" s="509"/>
      <c r="N76" s="509"/>
      <c r="O76" s="509"/>
      <c r="P76" s="509"/>
      <c r="Q76" s="509"/>
      <c r="R76" s="529"/>
    </row>
    <row r="77" spans="2:18" x14ac:dyDescent="0.2">
      <c r="B77" s="508"/>
      <c r="C77" s="509"/>
      <c r="D77" s="509"/>
      <c r="E77" s="509"/>
      <c r="F77" s="509"/>
      <c r="G77" s="509"/>
      <c r="H77" s="509"/>
      <c r="I77" s="509"/>
      <c r="J77" s="509"/>
      <c r="K77" s="509"/>
      <c r="L77" s="509"/>
      <c r="M77" s="509"/>
      <c r="N77" s="509"/>
      <c r="O77" s="509"/>
      <c r="P77" s="509"/>
      <c r="Q77" s="509"/>
      <c r="R77" s="529"/>
    </row>
    <row r="78" spans="2:18" x14ac:dyDescent="0.2">
      <c r="B78" s="508"/>
      <c r="C78" s="509"/>
      <c r="D78" s="509"/>
      <c r="E78" s="509"/>
      <c r="F78" s="509"/>
      <c r="G78" s="509"/>
      <c r="H78" s="509"/>
      <c r="I78" s="509"/>
      <c r="J78" s="509"/>
      <c r="K78" s="509"/>
      <c r="L78" s="509"/>
      <c r="M78" s="509"/>
      <c r="N78" s="509"/>
      <c r="O78" s="509"/>
      <c r="P78" s="509"/>
      <c r="Q78" s="509"/>
      <c r="R78" s="529"/>
    </row>
    <row r="79" spans="2:18" x14ac:dyDescent="0.2">
      <c r="B79" s="508"/>
      <c r="C79" s="509"/>
      <c r="D79" s="509"/>
      <c r="E79" s="509"/>
      <c r="F79" s="509"/>
      <c r="G79" s="509"/>
      <c r="H79" s="509"/>
      <c r="I79" s="509"/>
      <c r="J79" s="509"/>
      <c r="K79" s="509"/>
      <c r="L79" s="509"/>
      <c r="M79" s="509"/>
      <c r="N79" s="509"/>
      <c r="O79" s="509"/>
      <c r="P79" s="509"/>
      <c r="Q79" s="509"/>
      <c r="R79" s="529"/>
    </row>
    <row r="80" spans="2:18" x14ac:dyDescent="0.2">
      <c r="B80" s="508"/>
      <c r="C80" s="509"/>
      <c r="D80" s="509"/>
      <c r="E80" s="509"/>
      <c r="F80" s="509"/>
      <c r="G80" s="509"/>
      <c r="H80" s="509"/>
      <c r="I80" s="509"/>
      <c r="J80" s="509"/>
      <c r="K80" s="509"/>
      <c r="L80" s="509"/>
      <c r="M80" s="509"/>
      <c r="N80" s="509"/>
      <c r="O80" s="509"/>
      <c r="P80" s="509"/>
      <c r="Q80" s="509"/>
      <c r="R80" s="529"/>
    </row>
    <row r="81" spans="2:18" x14ac:dyDescent="0.2">
      <c r="B81" s="508"/>
      <c r="C81" s="509"/>
      <c r="D81" s="509"/>
      <c r="E81" s="509"/>
      <c r="F81" s="509"/>
      <c r="G81" s="509"/>
      <c r="H81" s="509"/>
      <c r="I81" s="509"/>
      <c r="J81" s="509"/>
      <c r="K81" s="509"/>
      <c r="L81" s="509"/>
      <c r="M81" s="509"/>
      <c r="N81" s="509"/>
      <c r="O81" s="509"/>
      <c r="P81" s="509"/>
      <c r="Q81" s="509"/>
      <c r="R81" s="529"/>
    </row>
    <row r="82" spans="2:18" x14ac:dyDescent="0.2">
      <c r="B82" s="508"/>
      <c r="C82" s="509"/>
      <c r="D82" s="509"/>
      <c r="E82" s="509"/>
      <c r="F82" s="509"/>
      <c r="G82" s="509"/>
      <c r="H82" s="509"/>
      <c r="I82" s="509"/>
      <c r="J82" s="509"/>
      <c r="K82" s="509"/>
      <c r="L82" s="509"/>
      <c r="M82" s="509"/>
      <c r="N82" s="509"/>
      <c r="O82" s="509"/>
      <c r="P82" s="509"/>
      <c r="Q82" s="509"/>
      <c r="R82" s="529"/>
    </row>
    <row r="83" spans="2:18" x14ac:dyDescent="0.2">
      <c r="B83" s="508"/>
      <c r="C83" s="509"/>
      <c r="D83" s="509"/>
      <c r="E83" s="509"/>
      <c r="F83" s="509"/>
      <c r="G83" s="509"/>
      <c r="H83" s="509"/>
      <c r="I83" s="509"/>
      <c r="J83" s="509"/>
      <c r="K83" s="509"/>
      <c r="L83" s="509"/>
      <c r="M83" s="509"/>
      <c r="N83" s="509"/>
      <c r="O83" s="509"/>
      <c r="P83" s="509"/>
      <c r="Q83" s="509"/>
      <c r="R83" s="529"/>
    </row>
    <row r="84" spans="2:18" x14ac:dyDescent="0.2">
      <c r="B84" s="508"/>
      <c r="C84" s="509"/>
      <c r="D84" s="509"/>
      <c r="E84" s="509"/>
      <c r="F84" s="509"/>
      <c r="G84" s="509"/>
      <c r="H84" s="509"/>
      <c r="I84" s="509"/>
      <c r="J84" s="509"/>
      <c r="K84" s="509"/>
      <c r="L84" s="509"/>
      <c r="M84" s="509"/>
      <c r="N84" s="509"/>
      <c r="O84" s="509"/>
      <c r="P84" s="509"/>
      <c r="Q84" s="509"/>
      <c r="R84" s="529"/>
    </row>
    <row r="85" spans="2:18" x14ac:dyDescent="0.2">
      <c r="B85" s="508"/>
      <c r="C85" s="509"/>
      <c r="D85" s="509"/>
      <c r="E85" s="509"/>
      <c r="F85" s="509"/>
      <c r="G85" s="509"/>
      <c r="H85" s="509"/>
      <c r="I85" s="509"/>
      <c r="J85" s="509"/>
      <c r="K85" s="509"/>
      <c r="L85" s="509"/>
      <c r="M85" s="509"/>
      <c r="N85" s="509"/>
      <c r="O85" s="509"/>
      <c r="P85" s="509"/>
      <c r="Q85" s="509"/>
      <c r="R85" s="529"/>
    </row>
    <row r="86" spans="2:18" x14ac:dyDescent="0.2">
      <c r="B86" s="508"/>
      <c r="C86" s="509"/>
      <c r="D86" s="509"/>
      <c r="E86" s="509"/>
      <c r="F86" s="509"/>
      <c r="G86" s="509"/>
      <c r="H86" s="509"/>
      <c r="I86" s="509"/>
      <c r="J86" s="509"/>
      <c r="K86" s="509"/>
      <c r="L86" s="509"/>
      <c r="M86" s="509"/>
      <c r="N86" s="509"/>
      <c r="O86" s="509"/>
      <c r="P86" s="509"/>
      <c r="Q86" s="509"/>
      <c r="R86" s="529"/>
    </row>
    <row r="87" spans="2:18" x14ac:dyDescent="0.2">
      <c r="B87" s="508"/>
      <c r="C87" s="509"/>
      <c r="D87" s="509"/>
      <c r="E87" s="509"/>
      <c r="F87" s="509"/>
      <c r="G87" s="509"/>
      <c r="H87" s="509"/>
      <c r="I87" s="509"/>
      <c r="J87" s="509"/>
      <c r="K87" s="509"/>
      <c r="L87" s="509"/>
      <c r="M87" s="509"/>
      <c r="N87" s="509"/>
      <c r="O87" s="509"/>
      <c r="P87" s="509"/>
      <c r="Q87" s="509"/>
      <c r="R87" s="529"/>
    </row>
    <row r="88" spans="2:18" x14ac:dyDescent="0.2">
      <c r="B88" s="508"/>
      <c r="C88" s="509"/>
      <c r="D88" s="509"/>
      <c r="E88" s="509"/>
      <c r="F88" s="509"/>
      <c r="G88" s="509"/>
      <c r="H88" s="509"/>
      <c r="I88" s="509"/>
      <c r="J88" s="509"/>
      <c r="K88" s="509"/>
      <c r="L88" s="509"/>
      <c r="M88" s="509"/>
      <c r="N88" s="509"/>
      <c r="O88" s="509"/>
      <c r="P88" s="509"/>
      <c r="Q88" s="509"/>
      <c r="R88" s="529"/>
    </row>
    <row r="89" spans="2:18" x14ac:dyDescent="0.2">
      <c r="B89" s="508"/>
      <c r="C89" s="509"/>
      <c r="D89" s="509"/>
      <c r="E89" s="509"/>
      <c r="F89" s="509"/>
      <c r="G89" s="509"/>
      <c r="H89" s="509"/>
      <c r="I89" s="509"/>
      <c r="J89" s="509"/>
      <c r="K89" s="509"/>
      <c r="L89" s="509"/>
      <c r="M89" s="509"/>
      <c r="N89" s="509"/>
      <c r="O89" s="509"/>
      <c r="P89" s="509"/>
      <c r="Q89" s="509"/>
      <c r="R89" s="529"/>
    </row>
    <row r="90" spans="2:18" x14ac:dyDescent="0.2">
      <c r="B90" s="508"/>
      <c r="C90" s="509"/>
      <c r="D90" s="509"/>
      <c r="E90" s="509"/>
      <c r="F90" s="509"/>
      <c r="G90" s="509"/>
      <c r="H90" s="509"/>
      <c r="I90" s="509"/>
      <c r="J90" s="509"/>
      <c r="K90" s="509"/>
      <c r="L90" s="509"/>
      <c r="M90" s="509"/>
      <c r="N90" s="509"/>
      <c r="O90" s="509"/>
      <c r="P90" s="509"/>
      <c r="Q90" s="509"/>
      <c r="R90" s="529"/>
    </row>
    <row r="91" spans="2:18" x14ac:dyDescent="0.2">
      <c r="B91" s="508"/>
      <c r="C91" s="509"/>
      <c r="D91" s="509"/>
      <c r="E91" s="509"/>
      <c r="F91" s="509"/>
      <c r="G91" s="509"/>
      <c r="H91" s="509"/>
      <c r="I91" s="509"/>
      <c r="J91" s="509"/>
      <c r="K91" s="509"/>
      <c r="L91" s="509"/>
      <c r="M91" s="509"/>
      <c r="N91" s="509"/>
      <c r="O91" s="509"/>
      <c r="P91" s="509"/>
      <c r="Q91" s="509"/>
      <c r="R91" s="529"/>
    </row>
    <row r="92" spans="2:18" x14ac:dyDescent="0.2">
      <c r="B92" s="508"/>
      <c r="C92" s="509"/>
      <c r="D92" s="509"/>
      <c r="E92" s="509"/>
      <c r="F92" s="509"/>
      <c r="G92" s="509"/>
      <c r="H92" s="509"/>
      <c r="I92" s="509"/>
      <c r="J92" s="509"/>
      <c r="K92" s="509"/>
      <c r="L92" s="509"/>
      <c r="M92" s="509"/>
      <c r="N92" s="509"/>
      <c r="O92" s="509"/>
      <c r="P92" s="509"/>
      <c r="Q92" s="509"/>
      <c r="R92" s="529"/>
    </row>
    <row r="93" spans="2:18" x14ac:dyDescent="0.2">
      <c r="B93" s="508"/>
      <c r="C93" s="509"/>
      <c r="D93" s="509"/>
      <c r="E93" s="509"/>
      <c r="F93" s="509"/>
      <c r="G93" s="509"/>
      <c r="H93" s="509"/>
      <c r="I93" s="509"/>
      <c r="J93" s="509"/>
      <c r="K93" s="509"/>
      <c r="L93" s="509"/>
      <c r="M93" s="509"/>
      <c r="N93" s="509"/>
      <c r="O93" s="509"/>
      <c r="P93" s="509"/>
      <c r="Q93" s="509"/>
      <c r="R93" s="529"/>
    </row>
    <row r="94" spans="2:18" x14ac:dyDescent="0.2">
      <c r="B94" s="508"/>
      <c r="C94" s="509"/>
      <c r="D94" s="509"/>
      <c r="E94" s="509"/>
      <c r="F94" s="509"/>
      <c r="G94" s="509"/>
      <c r="H94" s="509"/>
      <c r="I94" s="509"/>
      <c r="J94" s="509"/>
      <c r="K94" s="509"/>
      <c r="L94" s="509"/>
      <c r="M94" s="509"/>
      <c r="N94" s="509"/>
      <c r="O94" s="509"/>
      <c r="P94" s="509"/>
      <c r="Q94" s="509"/>
      <c r="R94" s="529"/>
    </row>
    <row r="95" spans="2:18" x14ac:dyDescent="0.2">
      <c r="B95" s="508"/>
      <c r="C95" s="509"/>
      <c r="D95" s="509"/>
      <c r="E95" s="509"/>
      <c r="F95" s="509"/>
      <c r="G95" s="509"/>
      <c r="H95" s="509"/>
      <c r="I95" s="509"/>
      <c r="J95" s="509"/>
      <c r="K95" s="509"/>
      <c r="L95" s="509"/>
      <c r="M95" s="509"/>
      <c r="N95" s="509"/>
      <c r="O95" s="509"/>
      <c r="P95" s="509"/>
      <c r="Q95" s="509"/>
      <c r="R95" s="529"/>
    </row>
    <row r="96" spans="2:18" x14ac:dyDescent="0.2">
      <c r="B96" s="508"/>
      <c r="C96" s="509"/>
      <c r="D96" s="509"/>
      <c r="E96" s="509"/>
      <c r="F96" s="509"/>
      <c r="G96" s="509"/>
      <c r="H96" s="509"/>
      <c r="I96" s="509"/>
      <c r="J96" s="509"/>
      <c r="K96" s="509"/>
      <c r="L96" s="509"/>
      <c r="M96" s="509"/>
      <c r="N96" s="509"/>
      <c r="O96" s="509"/>
      <c r="P96" s="509"/>
      <c r="Q96" s="509"/>
      <c r="R96" s="529"/>
    </row>
    <row r="97" spans="2:18" x14ac:dyDescent="0.2">
      <c r="B97" s="508"/>
      <c r="C97" s="509"/>
      <c r="D97" s="509"/>
      <c r="E97" s="509"/>
      <c r="F97" s="509"/>
      <c r="G97" s="509"/>
      <c r="H97" s="509"/>
      <c r="I97" s="509"/>
      <c r="J97" s="509"/>
      <c r="K97" s="509"/>
      <c r="L97" s="509"/>
      <c r="M97" s="509"/>
      <c r="N97" s="509"/>
      <c r="O97" s="509"/>
      <c r="P97" s="509"/>
      <c r="Q97" s="509"/>
      <c r="R97" s="529"/>
    </row>
    <row r="98" spans="2:18" x14ac:dyDescent="0.2">
      <c r="B98" s="508"/>
      <c r="C98" s="509"/>
      <c r="D98" s="509"/>
      <c r="E98" s="509"/>
      <c r="F98" s="509"/>
      <c r="G98" s="509"/>
      <c r="H98" s="509"/>
      <c r="I98" s="509"/>
      <c r="J98" s="509"/>
      <c r="K98" s="509"/>
      <c r="L98" s="509"/>
      <c r="M98" s="509"/>
      <c r="N98" s="509"/>
      <c r="O98" s="509"/>
      <c r="P98" s="509"/>
      <c r="Q98" s="509"/>
      <c r="R98" s="529"/>
    </row>
    <row r="99" spans="2:18" x14ac:dyDescent="0.2">
      <c r="B99" s="508"/>
      <c r="C99" s="509"/>
      <c r="D99" s="509"/>
      <c r="E99" s="509"/>
      <c r="F99" s="509"/>
      <c r="G99" s="509"/>
      <c r="H99" s="509"/>
      <c r="I99" s="509"/>
      <c r="J99" s="509"/>
      <c r="K99" s="509"/>
      <c r="L99" s="509"/>
      <c r="M99" s="509"/>
      <c r="N99" s="509"/>
      <c r="O99" s="509"/>
      <c r="P99" s="509"/>
      <c r="Q99" s="509"/>
      <c r="R99" s="529"/>
    </row>
    <row r="100" spans="2:18" x14ac:dyDescent="0.2">
      <c r="B100" s="508"/>
      <c r="C100" s="509"/>
      <c r="D100" s="509"/>
      <c r="E100" s="509"/>
      <c r="F100" s="509"/>
      <c r="G100" s="509"/>
      <c r="H100" s="509"/>
      <c r="I100" s="509"/>
      <c r="J100" s="509"/>
      <c r="K100" s="509"/>
      <c r="L100" s="509"/>
      <c r="M100" s="509"/>
      <c r="N100" s="509"/>
      <c r="O100" s="509"/>
      <c r="P100" s="509"/>
      <c r="Q100" s="509"/>
      <c r="R100" s="529"/>
    </row>
    <row r="101" spans="2:18" x14ac:dyDescent="0.2">
      <c r="B101" s="508"/>
      <c r="C101" s="509"/>
      <c r="D101" s="509"/>
      <c r="E101" s="509"/>
      <c r="F101" s="509"/>
      <c r="G101" s="509"/>
      <c r="H101" s="509"/>
      <c r="I101" s="509"/>
      <c r="J101" s="509"/>
      <c r="K101" s="509"/>
      <c r="L101" s="509"/>
      <c r="M101" s="509"/>
      <c r="N101" s="509"/>
      <c r="O101" s="509"/>
      <c r="P101" s="509"/>
      <c r="Q101" s="509"/>
      <c r="R101" s="529"/>
    </row>
    <row r="102" spans="2:18" x14ac:dyDescent="0.2">
      <c r="B102" s="508"/>
      <c r="C102" s="509"/>
      <c r="D102" s="509"/>
      <c r="E102" s="509"/>
      <c r="F102" s="509"/>
      <c r="G102" s="509"/>
      <c r="H102" s="509"/>
      <c r="I102" s="509"/>
      <c r="J102" s="509"/>
      <c r="K102" s="509"/>
      <c r="L102" s="509"/>
      <c r="M102" s="509"/>
      <c r="N102" s="509"/>
      <c r="O102" s="509"/>
      <c r="P102" s="509"/>
      <c r="Q102" s="509"/>
      <c r="R102" s="529"/>
    </row>
    <row r="103" spans="2:18" x14ac:dyDescent="0.2">
      <c r="B103" s="508"/>
      <c r="C103" s="509"/>
      <c r="D103" s="509"/>
      <c r="E103" s="509"/>
      <c r="F103" s="509"/>
      <c r="G103" s="509"/>
      <c r="H103" s="509"/>
      <c r="I103" s="509"/>
      <c r="J103" s="509"/>
      <c r="K103" s="509"/>
      <c r="L103" s="509"/>
      <c r="M103" s="509"/>
      <c r="N103" s="509"/>
      <c r="O103" s="509"/>
      <c r="P103" s="509"/>
      <c r="Q103" s="509"/>
      <c r="R103" s="529"/>
    </row>
    <row r="104" spans="2:18" x14ac:dyDescent="0.2">
      <c r="B104" s="508"/>
      <c r="C104" s="509"/>
      <c r="D104" s="509"/>
      <c r="E104" s="509"/>
      <c r="F104" s="509"/>
      <c r="G104" s="509"/>
      <c r="H104" s="509"/>
      <c r="I104" s="509"/>
      <c r="J104" s="509"/>
      <c r="K104" s="509"/>
      <c r="L104" s="509"/>
      <c r="M104" s="509"/>
      <c r="N104" s="509"/>
      <c r="O104" s="509"/>
      <c r="P104" s="509"/>
      <c r="Q104" s="509"/>
      <c r="R104" s="529"/>
    </row>
    <row r="105" spans="2:18" x14ac:dyDescent="0.2">
      <c r="B105" s="508"/>
      <c r="C105" s="509"/>
      <c r="D105" s="509"/>
      <c r="E105" s="509"/>
      <c r="F105" s="509"/>
      <c r="G105" s="509"/>
      <c r="H105" s="509"/>
      <c r="I105" s="509"/>
      <c r="J105" s="509"/>
      <c r="K105" s="509"/>
      <c r="L105" s="509"/>
      <c r="M105" s="509"/>
      <c r="N105" s="509"/>
      <c r="O105" s="509"/>
      <c r="P105" s="509"/>
      <c r="Q105" s="509"/>
      <c r="R105" s="529"/>
    </row>
    <row r="106" spans="2:18" x14ac:dyDescent="0.2">
      <c r="B106" s="508"/>
      <c r="C106" s="509"/>
      <c r="D106" s="509"/>
      <c r="E106" s="509"/>
      <c r="F106" s="509"/>
      <c r="G106" s="509"/>
      <c r="H106" s="509"/>
      <c r="I106" s="509"/>
      <c r="J106" s="509"/>
      <c r="K106" s="509"/>
      <c r="L106" s="509"/>
      <c r="M106" s="509"/>
      <c r="N106" s="509"/>
      <c r="O106" s="509"/>
      <c r="P106" s="509"/>
      <c r="Q106" s="509"/>
      <c r="R106" s="529"/>
    </row>
    <row r="107" spans="2:18" x14ac:dyDescent="0.2">
      <c r="B107" s="508"/>
      <c r="C107" s="509"/>
      <c r="D107" s="509"/>
      <c r="E107" s="509"/>
      <c r="F107" s="509"/>
      <c r="G107" s="509"/>
      <c r="H107" s="509"/>
      <c r="I107" s="509"/>
      <c r="J107" s="509"/>
      <c r="K107" s="509"/>
      <c r="L107" s="509"/>
      <c r="M107" s="509"/>
      <c r="N107" s="509"/>
      <c r="O107" s="509"/>
      <c r="P107" s="509"/>
      <c r="Q107" s="509"/>
      <c r="R107" s="529"/>
    </row>
    <row r="108" spans="2:18" x14ac:dyDescent="0.2">
      <c r="B108" s="508"/>
      <c r="C108" s="509"/>
      <c r="D108" s="509"/>
      <c r="E108" s="509"/>
      <c r="F108" s="509"/>
      <c r="G108" s="509"/>
      <c r="H108" s="509"/>
      <c r="I108" s="509"/>
      <c r="J108" s="509"/>
      <c r="K108" s="509"/>
      <c r="L108" s="509"/>
      <c r="M108" s="509"/>
      <c r="N108" s="509"/>
      <c r="O108" s="509"/>
      <c r="P108" s="509"/>
      <c r="Q108" s="509"/>
      <c r="R108" s="529"/>
    </row>
    <row r="109" spans="2:18" x14ac:dyDescent="0.2">
      <c r="B109" s="508"/>
      <c r="C109" s="509"/>
      <c r="D109" s="509"/>
      <c r="E109" s="509"/>
      <c r="F109" s="509"/>
      <c r="G109" s="509"/>
      <c r="H109" s="509"/>
      <c r="I109" s="509"/>
      <c r="J109" s="509"/>
      <c r="K109" s="509"/>
      <c r="L109" s="509"/>
      <c r="M109" s="509"/>
      <c r="N109" s="509"/>
      <c r="O109" s="509"/>
      <c r="P109" s="509"/>
      <c r="Q109" s="509"/>
      <c r="R109" s="529"/>
    </row>
    <row r="110" spans="2:18" x14ac:dyDescent="0.2">
      <c r="B110" s="508"/>
      <c r="C110" s="509"/>
      <c r="D110" s="509"/>
      <c r="E110" s="509"/>
      <c r="F110" s="509"/>
      <c r="G110" s="509"/>
      <c r="H110" s="509"/>
      <c r="I110" s="509"/>
      <c r="J110" s="509"/>
      <c r="K110" s="509"/>
      <c r="L110" s="509"/>
      <c r="M110" s="509"/>
      <c r="N110" s="509"/>
      <c r="O110" s="509"/>
      <c r="P110" s="509"/>
      <c r="Q110" s="509"/>
      <c r="R110" s="529"/>
    </row>
    <row r="111" spans="2:18" x14ac:dyDescent="0.2">
      <c r="B111" s="508"/>
      <c r="C111" s="509"/>
      <c r="D111" s="509"/>
      <c r="E111" s="509"/>
      <c r="F111" s="509"/>
      <c r="G111" s="509"/>
      <c r="H111" s="509"/>
      <c r="I111" s="509"/>
      <c r="J111" s="509"/>
      <c r="K111" s="509"/>
      <c r="L111" s="509"/>
      <c r="M111" s="509"/>
      <c r="N111" s="509"/>
      <c r="O111" s="509"/>
      <c r="P111" s="509"/>
      <c r="Q111" s="509"/>
      <c r="R111" s="529"/>
    </row>
    <row r="112" spans="2:18" x14ac:dyDescent="0.2">
      <c r="B112" s="508"/>
      <c r="C112" s="509"/>
      <c r="D112" s="509"/>
      <c r="E112" s="509"/>
      <c r="F112" s="509"/>
      <c r="G112" s="509"/>
      <c r="H112" s="509"/>
      <c r="I112" s="509"/>
      <c r="J112" s="509"/>
      <c r="K112" s="509"/>
      <c r="L112" s="509"/>
      <c r="M112" s="509"/>
      <c r="N112" s="509"/>
      <c r="O112" s="509"/>
      <c r="P112" s="509"/>
      <c r="Q112" s="509"/>
      <c r="R112" s="529"/>
    </row>
    <row r="113" spans="2:18" x14ac:dyDescent="0.2">
      <c r="B113" s="508"/>
      <c r="C113" s="509"/>
      <c r="D113" s="509"/>
      <c r="E113" s="509"/>
      <c r="F113" s="509"/>
      <c r="G113" s="509"/>
      <c r="H113" s="509"/>
      <c r="I113" s="509"/>
      <c r="J113" s="509"/>
      <c r="K113" s="509"/>
      <c r="L113" s="509"/>
      <c r="M113" s="509"/>
      <c r="N113" s="509"/>
      <c r="O113" s="509"/>
      <c r="P113" s="509"/>
      <c r="Q113" s="509"/>
      <c r="R113" s="529"/>
    </row>
    <row r="114" spans="2:18" x14ac:dyDescent="0.2">
      <c r="B114" s="508"/>
      <c r="C114" s="509"/>
      <c r="D114" s="509"/>
      <c r="E114" s="509"/>
      <c r="F114" s="509"/>
      <c r="G114" s="509"/>
      <c r="H114" s="509"/>
      <c r="I114" s="509"/>
      <c r="J114" s="509"/>
      <c r="K114" s="509"/>
      <c r="L114" s="509"/>
      <c r="M114" s="509"/>
      <c r="N114" s="509"/>
      <c r="O114" s="509"/>
      <c r="P114" s="509"/>
      <c r="Q114" s="509"/>
      <c r="R114" s="529"/>
    </row>
    <row r="115" spans="2:18" x14ac:dyDescent="0.2">
      <c r="B115" s="508"/>
      <c r="C115" s="509"/>
      <c r="D115" s="509"/>
      <c r="E115" s="509"/>
      <c r="F115" s="509"/>
      <c r="G115" s="509"/>
      <c r="H115" s="509"/>
      <c r="I115" s="509"/>
      <c r="J115" s="509"/>
      <c r="K115" s="509"/>
      <c r="L115" s="509"/>
      <c r="M115" s="509"/>
      <c r="N115" s="509"/>
      <c r="O115" s="509"/>
      <c r="P115" s="509"/>
      <c r="Q115" s="509"/>
      <c r="R115" s="529"/>
    </row>
    <row r="116" spans="2:18" x14ac:dyDescent="0.2">
      <c r="B116" s="508"/>
      <c r="C116" s="509"/>
      <c r="D116" s="509"/>
      <c r="E116" s="509"/>
      <c r="F116" s="509"/>
      <c r="G116" s="509"/>
      <c r="H116" s="509"/>
      <c r="I116" s="509"/>
      <c r="J116" s="509"/>
      <c r="K116" s="509"/>
      <c r="L116" s="509"/>
      <c r="M116" s="509"/>
      <c r="N116" s="509"/>
      <c r="O116" s="509"/>
      <c r="P116" s="509"/>
      <c r="Q116" s="509"/>
      <c r="R116" s="529"/>
    </row>
    <row r="117" spans="2:18" x14ac:dyDescent="0.2">
      <c r="B117" s="508"/>
      <c r="C117" s="509"/>
      <c r="D117" s="509"/>
      <c r="E117" s="509"/>
      <c r="F117" s="509"/>
      <c r="G117" s="509"/>
      <c r="H117" s="509"/>
      <c r="I117" s="509"/>
      <c r="J117" s="509"/>
      <c r="K117" s="509"/>
      <c r="L117" s="509"/>
      <c r="M117" s="509"/>
      <c r="N117" s="509"/>
      <c r="O117" s="509"/>
      <c r="P117" s="509"/>
      <c r="Q117" s="509"/>
      <c r="R117" s="529"/>
    </row>
    <row r="118" spans="2:18" x14ac:dyDescent="0.2">
      <c r="B118" s="508"/>
      <c r="C118" s="509"/>
      <c r="D118" s="509"/>
      <c r="E118" s="509"/>
      <c r="F118" s="509"/>
      <c r="G118" s="509"/>
      <c r="H118" s="509"/>
      <c r="I118" s="509"/>
      <c r="J118" s="509"/>
      <c r="K118" s="509"/>
      <c r="L118" s="509"/>
      <c r="M118" s="509"/>
      <c r="N118" s="509"/>
      <c r="O118" s="509"/>
      <c r="P118" s="509"/>
      <c r="Q118" s="509"/>
      <c r="R118" s="529"/>
    </row>
    <row r="119" spans="2:18" x14ac:dyDescent="0.2">
      <c r="B119" s="508"/>
      <c r="C119" s="509"/>
      <c r="D119" s="509"/>
      <c r="E119" s="509"/>
      <c r="F119" s="509"/>
      <c r="G119" s="509"/>
      <c r="H119" s="509"/>
      <c r="I119" s="509"/>
      <c r="J119" s="509"/>
      <c r="K119" s="509"/>
      <c r="L119" s="509"/>
      <c r="M119" s="509"/>
      <c r="N119" s="509"/>
      <c r="O119" s="509"/>
      <c r="P119" s="509"/>
      <c r="Q119" s="509"/>
      <c r="R119" s="529"/>
    </row>
    <row r="120" spans="2:18" x14ac:dyDescent="0.2">
      <c r="B120" s="508"/>
      <c r="C120" s="509"/>
      <c r="D120" s="509"/>
      <c r="E120" s="509"/>
      <c r="F120" s="509"/>
      <c r="G120" s="509"/>
      <c r="H120" s="509"/>
      <c r="I120" s="509"/>
      <c r="J120" s="509"/>
      <c r="K120" s="509"/>
      <c r="L120" s="509"/>
      <c r="M120" s="509"/>
      <c r="N120" s="509"/>
      <c r="O120" s="509"/>
      <c r="P120" s="509"/>
      <c r="Q120" s="509"/>
      <c r="R120" s="529"/>
    </row>
    <row r="121" spans="2:18" x14ac:dyDescent="0.2">
      <c r="B121" s="508"/>
      <c r="C121" s="509"/>
      <c r="D121" s="509"/>
      <c r="E121" s="509"/>
      <c r="F121" s="509"/>
      <c r="G121" s="509"/>
      <c r="H121" s="509"/>
      <c r="I121" s="509"/>
      <c r="J121" s="509"/>
      <c r="K121" s="509"/>
      <c r="L121" s="509"/>
      <c r="M121" s="509"/>
      <c r="N121" s="509"/>
      <c r="O121" s="509"/>
      <c r="P121" s="509"/>
      <c r="Q121" s="509"/>
      <c r="R121" s="529"/>
    </row>
    <row r="122" spans="2:18" x14ac:dyDescent="0.2">
      <c r="B122" s="508"/>
      <c r="C122" s="509"/>
      <c r="D122" s="509"/>
      <c r="E122" s="509"/>
      <c r="F122" s="509"/>
      <c r="G122" s="509"/>
      <c r="H122" s="509"/>
      <c r="I122" s="509"/>
      <c r="J122" s="509"/>
      <c r="K122" s="509"/>
      <c r="L122" s="509"/>
      <c r="M122" s="509"/>
      <c r="N122" s="509"/>
      <c r="O122" s="509"/>
      <c r="P122" s="509"/>
      <c r="Q122" s="509"/>
      <c r="R122" s="529"/>
    </row>
    <row r="123" spans="2:18" x14ac:dyDescent="0.2">
      <c r="B123" s="508"/>
      <c r="C123" s="509"/>
      <c r="D123" s="509"/>
      <c r="E123" s="509"/>
      <c r="F123" s="509"/>
      <c r="G123" s="509"/>
      <c r="H123" s="509"/>
      <c r="I123" s="509"/>
      <c r="J123" s="509"/>
      <c r="K123" s="509"/>
      <c r="L123" s="509"/>
      <c r="M123" s="509"/>
      <c r="N123" s="509"/>
      <c r="O123" s="509"/>
      <c r="P123" s="509"/>
      <c r="Q123" s="509"/>
      <c r="R123" s="529"/>
    </row>
    <row r="124" spans="2:18" x14ac:dyDescent="0.2">
      <c r="B124" s="508"/>
      <c r="C124" s="509"/>
      <c r="D124" s="509"/>
      <c r="E124" s="509"/>
      <c r="F124" s="509"/>
      <c r="G124" s="509"/>
      <c r="H124" s="509"/>
      <c r="I124" s="509"/>
      <c r="J124" s="509"/>
      <c r="K124" s="509"/>
      <c r="L124" s="509"/>
      <c r="M124" s="509"/>
      <c r="N124" s="509"/>
      <c r="O124" s="509"/>
      <c r="P124" s="509"/>
      <c r="Q124" s="509"/>
      <c r="R124" s="529"/>
    </row>
    <row r="125" spans="2:18" x14ac:dyDescent="0.2">
      <c r="B125" s="508"/>
      <c r="C125" s="509"/>
      <c r="D125" s="509"/>
      <c r="E125" s="509"/>
      <c r="F125" s="509"/>
      <c r="G125" s="509"/>
      <c r="H125" s="509"/>
      <c r="I125" s="509"/>
      <c r="J125" s="509"/>
      <c r="K125" s="509"/>
      <c r="L125" s="509"/>
      <c r="M125" s="509"/>
      <c r="N125" s="509"/>
      <c r="O125" s="509"/>
      <c r="P125" s="509"/>
      <c r="Q125" s="509"/>
      <c r="R125" s="529"/>
    </row>
    <row r="126" spans="2:18" x14ac:dyDescent="0.2">
      <c r="B126" s="508"/>
      <c r="C126" s="509"/>
      <c r="D126" s="509"/>
      <c r="E126" s="509"/>
      <c r="F126" s="509"/>
      <c r="G126" s="509"/>
      <c r="H126" s="509"/>
      <c r="I126" s="509"/>
      <c r="J126" s="509"/>
      <c r="K126" s="509"/>
      <c r="L126" s="509"/>
      <c r="M126" s="509"/>
      <c r="N126" s="509"/>
      <c r="O126" s="509"/>
      <c r="P126" s="509"/>
      <c r="Q126" s="509"/>
      <c r="R126" s="529"/>
    </row>
    <row r="127" spans="2:18" x14ac:dyDescent="0.2">
      <c r="B127" s="508"/>
      <c r="C127" s="509"/>
      <c r="D127" s="509"/>
      <c r="E127" s="509"/>
      <c r="F127" s="509"/>
      <c r="G127" s="509"/>
      <c r="H127" s="509"/>
      <c r="I127" s="509"/>
      <c r="J127" s="509"/>
      <c r="K127" s="509"/>
      <c r="L127" s="509"/>
      <c r="M127" s="509"/>
      <c r="N127" s="509"/>
      <c r="O127" s="509"/>
      <c r="P127" s="509"/>
      <c r="Q127" s="509"/>
      <c r="R127" s="529"/>
    </row>
    <row r="128" spans="2:18" x14ac:dyDescent="0.2">
      <c r="B128" s="508"/>
      <c r="C128" s="509"/>
      <c r="D128" s="509"/>
      <c r="E128" s="509"/>
      <c r="F128" s="509"/>
      <c r="G128" s="509"/>
      <c r="H128" s="509"/>
      <c r="I128" s="509"/>
      <c r="J128" s="509"/>
      <c r="K128" s="509"/>
      <c r="L128" s="509"/>
      <c r="M128" s="509"/>
      <c r="N128" s="509"/>
      <c r="O128" s="509"/>
      <c r="P128" s="509"/>
      <c r="Q128" s="509"/>
      <c r="R128" s="529"/>
    </row>
    <row r="129" spans="2:18" x14ac:dyDescent="0.2">
      <c r="B129" s="508"/>
      <c r="C129" s="509"/>
      <c r="D129" s="509"/>
      <c r="E129" s="509"/>
      <c r="F129" s="509"/>
      <c r="G129" s="509"/>
      <c r="H129" s="509"/>
      <c r="I129" s="509"/>
      <c r="J129" s="509"/>
      <c r="K129" s="509"/>
      <c r="L129" s="509"/>
      <c r="M129" s="509"/>
      <c r="N129" s="509"/>
      <c r="O129" s="509"/>
      <c r="P129" s="509"/>
      <c r="Q129" s="509"/>
      <c r="R129" s="529"/>
    </row>
    <row r="130" spans="2:18" x14ac:dyDescent="0.2">
      <c r="B130" s="508"/>
      <c r="C130" s="509"/>
      <c r="D130" s="509"/>
      <c r="E130" s="509"/>
      <c r="F130" s="509"/>
      <c r="G130" s="509"/>
      <c r="H130" s="509"/>
      <c r="I130" s="509"/>
      <c r="J130" s="509"/>
      <c r="K130" s="509"/>
      <c r="L130" s="509"/>
      <c r="M130" s="509"/>
      <c r="N130" s="509"/>
      <c r="O130" s="509"/>
      <c r="P130" s="509"/>
      <c r="Q130" s="509"/>
      <c r="R130" s="529"/>
    </row>
    <row r="131" spans="2:18" x14ac:dyDescent="0.2">
      <c r="B131" s="508"/>
      <c r="C131" s="509"/>
      <c r="D131" s="509"/>
      <c r="E131" s="509"/>
      <c r="F131" s="509"/>
      <c r="G131" s="509"/>
      <c r="H131" s="509"/>
      <c r="I131" s="509"/>
      <c r="J131" s="509"/>
      <c r="K131" s="509"/>
      <c r="L131" s="509"/>
      <c r="M131" s="509"/>
      <c r="N131" s="509"/>
      <c r="O131" s="509"/>
      <c r="P131" s="509"/>
      <c r="Q131" s="509"/>
      <c r="R131" s="529"/>
    </row>
    <row r="132" spans="2:18" x14ac:dyDescent="0.2">
      <c r="B132" s="508"/>
      <c r="C132" s="509"/>
      <c r="D132" s="509"/>
      <c r="E132" s="509"/>
      <c r="F132" s="509"/>
      <c r="G132" s="509"/>
      <c r="H132" s="509"/>
      <c r="I132" s="509"/>
      <c r="J132" s="509"/>
      <c r="K132" s="509"/>
      <c r="L132" s="509"/>
      <c r="M132" s="509"/>
      <c r="N132" s="509"/>
      <c r="O132" s="509"/>
      <c r="P132" s="509"/>
      <c r="Q132" s="509"/>
      <c r="R132" s="529"/>
    </row>
    <row r="133" spans="2:18" x14ac:dyDescent="0.2">
      <c r="B133" s="508"/>
      <c r="C133" s="509"/>
      <c r="D133" s="509"/>
      <c r="E133" s="509"/>
      <c r="F133" s="509"/>
      <c r="G133" s="509"/>
      <c r="H133" s="509"/>
      <c r="I133" s="509"/>
      <c r="J133" s="509"/>
      <c r="K133" s="509"/>
      <c r="L133" s="509"/>
      <c r="M133" s="509"/>
      <c r="N133" s="509"/>
      <c r="O133" s="509"/>
      <c r="P133" s="509"/>
      <c r="Q133" s="509"/>
      <c r="R133" s="529"/>
    </row>
    <row r="134" spans="2:18" x14ac:dyDescent="0.2">
      <c r="B134" s="508"/>
      <c r="C134" s="509"/>
      <c r="D134" s="509"/>
      <c r="E134" s="509"/>
      <c r="F134" s="509"/>
      <c r="G134" s="509"/>
      <c r="H134" s="509"/>
      <c r="I134" s="509"/>
      <c r="J134" s="509"/>
      <c r="K134" s="509"/>
      <c r="L134" s="509"/>
      <c r="M134" s="509"/>
      <c r="N134" s="509"/>
      <c r="O134" s="509"/>
      <c r="P134" s="509"/>
      <c r="Q134" s="509"/>
      <c r="R134" s="529"/>
    </row>
    <row r="135" spans="2:18" x14ac:dyDescent="0.2">
      <c r="B135" s="508"/>
      <c r="C135" s="509"/>
      <c r="D135" s="509"/>
      <c r="E135" s="509"/>
      <c r="F135" s="509"/>
      <c r="G135" s="509"/>
      <c r="H135" s="509"/>
      <c r="I135" s="509"/>
      <c r="J135" s="509"/>
      <c r="K135" s="509"/>
      <c r="L135" s="509"/>
      <c r="M135" s="509"/>
      <c r="N135" s="509"/>
      <c r="O135" s="509"/>
      <c r="P135" s="509"/>
      <c r="Q135" s="509"/>
      <c r="R135" s="529"/>
    </row>
    <row r="136" spans="2:18" x14ac:dyDescent="0.2">
      <c r="B136" s="508"/>
      <c r="C136" s="509"/>
      <c r="D136" s="509"/>
      <c r="E136" s="509"/>
      <c r="F136" s="509"/>
      <c r="G136" s="509"/>
      <c r="H136" s="509"/>
      <c r="I136" s="509"/>
      <c r="J136" s="509"/>
      <c r="K136" s="509"/>
      <c r="L136" s="509"/>
      <c r="M136" s="509"/>
      <c r="N136" s="509"/>
      <c r="O136" s="509"/>
      <c r="P136" s="509"/>
      <c r="Q136" s="509"/>
      <c r="R136" s="529"/>
    </row>
    <row r="137" spans="2:18" x14ac:dyDescent="0.2">
      <c r="B137" s="508"/>
      <c r="C137" s="509"/>
      <c r="D137" s="509"/>
      <c r="E137" s="509"/>
      <c r="F137" s="509"/>
      <c r="G137" s="509"/>
      <c r="H137" s="509"/>
      <c r="I137" s="509"/>
      <c r="J137" s="509"/>
      <c r="K137" s="509"/>
      <c r="L137" s="509"/>
      <c r="M137" s="509"/>
      <c r="N137" s="509"/>
      <c r="O137" s="509"/>
      <c r="P137" s="509"/>
      <c r="Q137" s="509"/>
      <c r="R137" s="529"/>
    </row>
    <row r="138" spans="2:18" x14ac:dyDescent="0.2">
      <c r="B138" s="508"/>
      <c r="C138" s="509"/>
      <c r="D138" s="509"/>
      <c r="E138" s="509"/>
      <c r="F138" s="509"/>
      <c r="G138" s="509"/>
      <c r="H138" s="509"/>
      <c r="I138" s="509"/>
      <c r="J138" s="509"/>
      <c r="K138" s="509"/>
      <c r="L138" s="509"/>
      <c r="M138" s="509"/>
      <c r="N138" s="509"/>
      <c r="O138" s="509"/>
      <c r="P138" s="509"/>
      <c r="Q138" s="509"/>
      <c r="R138" s="529"/>
    </row>
    <row r="139" spans="2:18" x14ac:dyDescent="0.2">
      <c r="B139" s="508"/>
      <c r="C139" s="509"/>
      <c r="D139" s="509"/>
      <c r="E139" s="509"/>
      <c r="F139" s="509"/>
      <c r="G139" s="509"/>
      <c r="H139" s="509"/>
      <c r="I139" s="509"/>
      <c r="J139" s="509"/>
      <c r="K139" s="509"/>
      <c r="L139" s="509"/>
      <c r="M139" s="509"/>
      <c r="N139" s="509"/>
      <c r="O139" s="509"/>
      <c r="P139" s="509"/>
      <c r="Q139" s="509"/>
      <c r="R139" s="529"/>
    </row>
    <row r="140" spans="2:18" x14ac:dyDescent="0.2">
      <c r="B140" s="508"/>
      <c r="C140" s="509"/>
      <c r="D140" s="509"/>
      <c r="E140" s="509"/>
      <c r="F140" s="509"/>
      <c r="G140" s="509"/>
      <c r="H140" s="509"/>
      <c r="I140" s="509"/>
      <c r="J140" s="509"/>
      <c r="K140" s="509"/>
      <c r="L140" s="509"/>
      <c r="M140" s="509"/>
      <c r="N140" s="509"/>
      <c r="O140" s="509"/>
      <c r="P140" s="509"/>
      <c r="Q140" s="509"/>
      <c r="R140" s="529"/>
    </row>
    <row r="141" spans="2:18" x14ac:dyDescent="0.2">
      <c r="B141" s="508"/>
      <c r="C141" s="509"/>
      <c r="D141" s="509"/>
      <c r="E141" s="509"/>
      <c r="F141" s="509"/>
      <c r="G141" s="509"/>
      <c r="H141" s="509"/>
      <c r="I141" s="509"/>
      <c r="J141" s="509"/>
      <c r="K141" s="509"/>
      <c r="L141" s="509"/>
      <c r="M141" s="509"/>
      <c r="N141" s="509"/>
      <c r="O141" s="509"/>
      <c r="P141" s="509"/>
      <c r="Q141" s="509"/>
      <c r="R141" s="529"/>
    </row>
    <row r="142" spans="2:18" x14ac:dyDescent="0.2">
      <c r="B142" s="508"/>
      <c r="C142" s="509"/>
      <c r="D142" s="509"/>
      <c r="E142" s="509"/>
      <c r="F142" s="509"/>
      <c r="G142" s="509"/>
      <c r="H142" s="509"/>
      <c r="I142" s="509"/>
      <c r="J142" s="509"/>
      <c r="K142" s="509"/>
      <c r="L142" s="509"/>
      <c r="M142" s="509"/>
      <c r="N142" s="509"/>
      <c r="O142" s="509"/>
      <c r="P142" s="509"/>
      <c r="Q142" s="509"/>
      <c r="R142" s="529"/>
    </row>
    <row r="143" spans="2:18" x14ac:dyDescent="0.2">
      <c r="B143" s="508"/>
      <c r="C143" s="509"/>
      <c r="D143" s="509"/>
      <c r="E143" s="509"/>
      <c r="F143" s="509"/>
      <c r="G143" s="509"/>
      <c r="H143" s="509"/>
      <c r="I143" s="509"/>
      <c r="J143" s="509"/>
      <c r="K143" s="509"/>
      <c r="L143" s="509"/>
      <c r="M143" s="509"/>
      <c r="N143" s="509"/>
      <c r="O143" s="509"/>
      <c r="P143" s="509"/>
      <c r="Q143" s="509"/>
      <c r="R143" s="529"/>
    </row>
    <row r="144" spans="2:18" x14ac:dyDescent="0.2">
      <c r="B144" s="508"/>
      <c r="C144" s="509"/>
      <c r="D144" s="509"/>
      <c r="E144" s="509"/>
      <c r="F144" s="509"/>
      <c r="G144" s="509"/>
      <c r="H144" s="509"/>
      <c r="I144" s="509"/>
      <c r="J144" s="509"/>
      <c r="K144" s="509"/>
      <c r="L144" s="509"/>
      <c r="M144" s="509"/>
      <c r="N144" s="509"/>
      <c r="O144" s="509"/>
      <c r="P144" s="509"/>
      <c r="Q144" s="509"/>
      <c r="R144" s="529"/>
    </row>
    <row r="145" spans="2:18" x14ac:dyDescent="0.2">
      <c r="B145" s="508"/>
      <c r="C145" s="509"/>
      <c r="D145" s="509"/>
      <c r="E145" s="509"/>
      <c r="F145" s="509"/>
      <c r="G145" s="509"/>
      <c r="H145" s="509"/>
      <c r="I145" s="509"/>
      <c r="J145" s="509"/>
      <c r="K145" s="509"/>
      <c r="L145" s="509"/>
      <c r="M145" s="509"/>
      <c r="N145" s="509"/>
      <c r="O145" s="509"/>
      <c r="P145" s="509"/>
      <c r="Q145" s="509"/>
      <c r="R145" s="529"/>
    </row>
    <row r="146" spans="2:18" x14ac:dyDescent="0.2">
      <c r="B146" s="508"/>
      <c r="C146" s="509"/>
      <c r="D146" s="509"/>
      <c r="E146" s="509"/>
      <c r="F146" s="509"/>
      <c r="G146" s="509"/>
      <c r="H146" s="509"/>
      <c r="I146" s="509"/>
      <c r="J146" s="509"/>
      <c r="K146" s="509"/>
      <c r="L146" s="509"/>
      <c r="M146" s="509"/>
      <c r="N146" s="509"/>
      <c r="O146" s="509"/>
      <c r="P146" s="509"/>
      <c r="Q146" s="509"/>
      <c r="R146" s="529"/>
    </row>
    <row r="147" spans="2:18" x14ac:dyDescent="0.2">
      <c r="B147" s="508"/>
      <c r="C147" s="509"/>
      <c r="D147" s="509"/>
      <c r="E147" s="509"/>
      <c r="F147" s="509"/>
      <c r="G147" s="509"/>
      <c r="H147" s="509"/>
      <c r="I147" s="509"/>
      <c r="J147" s="509"/>
      <c r="K147" s="509"/>
      <c r="L147" s="509"/>
      <c r="M147" s="509"/>
      <c r="N147" s="509"/>
      <c r="O147" s="509"/>
      <c r="P147" s="509"/>
      <c r="Q147" s="509"/>
      <c r="R147" s="529"/>
    </row>
    <row r="148" spans="2:18" x14ac:dyDescent="0.2">
      <c r="B148" s="508"/>
      <c r="C148" s="509"/>
      <c r="D148" s="509"/>
      <c r="E148" s="509"/>
      <c r="F148" s="509"/>
      <c r="G148" s="509"/>
      <c r="H148" s="509"/>
      <c r="I148" s="509"/>
      <c r="J148" s="509"/>
      <c r="K148" s="509"/>
      <c r="L148" s="509"/>
      <c r="M148" s="509"/>
      <c r="N148" s="509"/>
      <c r="O148" s="509"/>
      <c r="P148" s="509"/>
      <c r="Q148" s="509"/>
      <c r="R148" s="529"/>
    </row>
    <row r="149" spans="2:18" x14ac:dyDescent="0.2">
      <c r="B149" s="508"/>
      <c r="C149" s="509"/>
      <c r="D149" s="509"/>
      <c r="E149" s="509"/>
      <c r="F149" s="509"/>
      <c r="G149" s="509"/>
      <c r="H149" s="509"/>
      <c r="I149" s="509"/>
      <c r="J149" s="509"/>
      <c r="K149" s="509"/>
      <c r="L149" s="509"/>
      <c r="M149" s="509"/>
      <c r="N149" s="509"/>
      <c r="O149" s="509"/>
      <c r="P149" s="509"/>
      <c r="Q149" s="509"/>
      <c r="R149" s="529"/>
    </row>
    <row r="150" spans="2:18" x14ac:dyDescent="0.2">
      <c r="B150" s="508"/>
      <c r="C150" s="509"/>
      <c r="D150" s="509"/>
      <c r="E150" s="509"/>
      <c r="F150" s="509"/>
      <c r="G150" s="509"/>
      <c r="H150" s="509"/>
      <c r="I150" s="509"/>
      <c r="J150" s="509"/>
      <c r="K150" s="509"/>
      <c r="L150" s="509"/>
      <c r="M150" s="509"/>
      <c r="N150" s="509"/>
      <c r="O150" s="509"/>
      <c r="P150" s="509"/>
      <c r="Q150" s="509"/>
      <c r="R150" s="529"/>
    </row>
    <row r="151" spans="2:18" x14ac:dyDescent="0.2">
      <c r="B151" s="508"/>
      <c r="C151" s="509"/>
      <c r="D151" s="509"/>
      <c r="E151" s="509"/>
      <c r="F151" s="509"/>
      <c r="G151" s="509"/>
      <c r="H151" s="509"/>
      <c r="I151" s="509"/>
      <c r="J151" s="509"/>
      <c r="K151" s="509"/>
      <c r="L151" s="509"/>
      <c r="M151" s="509"/>
      <c r="N151" s="509"/>
      <c r="O151" s="509"/>
      <c r="P151" s="509"/>
      <c r="Q151" s="509"/>
      <c r="R151" s="529"/>
    </row>
    <row r="152" spans="2:18" x14ac:dyDescent="0.2">
      <c r="B152" s="508"/>
      <c r="C152" s="509"/>
      <c r="D152" s="509"/>
      <c r="E152" s="509"/>
      <c r="F152" s="509"/>
      <c r="G152" s="509"/>
      <c r="H152" s="509"/>
      <c r="I152" s="509"/>
      <c r="J152" s="509"/>
      <c r="K152" s="509"/>
      <c r="L152" s="509"/>
      <c r="M152" s="509"/>
      <c r="N152" s="509"/>
      <c r="O152" s="509"/>
      <c r="P152" s="509"/>
      <c r="Q152" s="509"/>
      <c r="R152" s="529"/>
    </row>
    <row r="153" spans="2:18" x14ac:dyDescent="0.2">
      <c r="B153" s="508"/>
      <c r="C153" s="509"/>
      <c r="D153" s="509"/>
      <c r="E153" s="509"/>
      <c r="F153" s="509"/>
      <c r="G153" s="509"/>
      <c r="H153" s="509"/>
      <c r="I153" s="509"/>
      <c r="J153" s="509"/>
      <c r="K153" s="509"/>
      <c r="L153" s="509"/>
      <c r="M153" s="509"/>
      <c r="N153" s="509"/>
      <c r="O153" s="509"/>
      <c r="P153" s="509"/>
      <c r="Q153" s="509"/>
      <c r="R153" s="529"/>
    </row>
    <row r="154" spans="2:18" x14ac:dyDescent="0.2">
      <c r="B154" s="508"/>
      <c r="C154" s="509"/>
      <c r="D154" s="509"/>
      <c r="E154" s="509"/>
      <c r="F154" s="509"/>
      <c r="G154" s="509"/>
      <c r="H154" s="509"/>
      <c r="I154" s="509"/>
      <c r="J154" s="509"/>
      <c r="K154" s="509"/>
      <c r="L154" s="509"/>
      <c r="M154" s="509"/>
      <c r="N154" s="509"/>
      <c r="O154" s="509"/>
      <c r="P154" s="509"/>
      <c r="Q154" s="509"/>
      <c r="R154" s="529"/>
    </row>
    <row r="155" spans="2:18" x14ac:dyDescent="0.2">
      <c r="B155" s="508"/>
      <c r="C155" s="509"/>
      <c r="D155" s="509"/>
      <c r="E155" s="509"/>
      <c r="F155" s="509"/>
      <c r="G155" s="509"/>
      <c r="H155" s="509"/>
      <c r="I155" s="509"/>
      <c r="J155" s="509"/>
      <c r="K155" s="509"/>
      <c r="L155" s="509"/>
      <c r="M155" s="509"/>
      <c r="N155" s="509"/>
      <c r="O155" s="509"/>
      <c r="P155" s="509"/>
      <c r="Q155" s="509"/>
      <c r="R155" s="529"/>
    </row>
    <row r="156" spans="2:18" x14ac:dyDescent="0.2">
      <c r="B156" s="508"/>
      <c r="C156" s="509"/>
      <c r="D156" s="509"/>
      <c r="E156" s="509"/>
      <c r="F156" s="509"/>
      <c r="G156" s="509"/>
      <c r="H156" s="509"/>
      <c r="I156" s="509"/>
      <c r="J156" s="509"/>
      <c r="K156" s="509"/>
      <c r="L156" s="509"/>
      <c r="M156" s="509"/>
      <c r="N156" s="509"/>
      <c r="O156" s="509"/>
      <c r="P156" s="509"/>
      <c r="Q156" s="509"/>
      <c r="R156" s="529"/>
    </row>
    <row r="157" spans="2:18" x14ac:dyDescent="0.2">
      <c r="B157" s="508"/>
      <c r="C157" s="509"/>
      <c r="D157" s="509"/>
      <c r="E157" s="509"/>
      <c r="F157" s="509"/>
      <c r="G157" s="509"/>
      <c r="H157" s="509"/>
      <c r="I157" s="509"/>
      <c r="J157" s="509"/>
      <c r="K157" s="509"/>
      <c r="L157" s="509"/>
      <c r="M157" s="509"/>
      <c r="N157" s="509"/>
      <c r="O157" s="509"/>
      <c r="P157" s="509"/>
      <c r="Q157" s="509"/>
      <c r="R157" s="529"/>
    </row>
    <row r="158" spans="2:18" x14ac:dyDescent="0.2">
      <c r="B158" s="508"/>
      <c r="C158" s="509"/>
      <c r="D158" s="509"/>
      <c r="E158" s="509"/>
      <c r="F158" s="509"/>
      <c r="G158" s="509"/>
      <c r="H158" s="509"/>
      <c r="I158" s="509"/>
      <c r="J158" s="509"/>
      <c r="K158" s="509"/>
      <c r="L158" s="509"/>
      <c r="M158" s="509"/>
      <c r="N158" s="509"/>
      <c r="O158" s="509"/>
      <c r="P158" s="509"/>
      <c r="Q158" s="509"/>
      <c r="R158" s="529"/>
    </row>
    <row r="159" spans="2:18" x14ac:dyDescent="0.2">
      <c r="B159" s="508"/>
      <c r="C159" s="509"/>
      <c r="D159" s="509"/>
      <c r="E159" s="509"/>
      <c r="F159" s="509"/>
      <c r="G159" s="509"/>
      <c r="H159" s="509"/>
      <c r="I159" s="509"/>
      <c r="J159" s="509"/>
      <c r="K159" s="509"/>
      <c r="L159" s="509"/>
      <c r="M159" s="509"/>
      <c r="N159" s="509"/>
      <c r="O159" s="509"/>
      <c r="P159" s="509"/>
      <c r="Q159" s="509"/>
      <c r="R159" s="529"/>
    </row>
    <row r="160" spans="2:18" x14ac:dyDescent="0.2">
      <c r="B160" s="508"/>
      <c r="C160" s="509"/>
      <c r="D160" s="509"/>
      <c r="E160" s="509"/>
      <c r="F160" s="509"/>
      <c r="G160" s="509"/>
      <c r="H160" s="509"/>
      <c r="I160" s="509"/>
      <c r="J160" s="509"/>
      <c r="K160" s="509"/>
      <c r="L160" s="509"/>
      <c r="M160" s="509"/>
      <c r="N160" s="509"/>
      <c r="O160" s="509"/>
      <c r="P160" s="509"/>
      <c r="Q160" s="509"/>
      <c r="R160" s="529"/>
    </row>
    <row r="161" spans="2:18" x14ac:dyDescent="0.2">
      <c r="B161" s="508"/>
      <c r="C161" s="509"/>
      <c r="D161" s="509"/>
      <c r="E161" s="509"/>
      <c r="F161" s="509"/>
      <c r="G161" s="509"/>
      <c r="H161" s="509"/>
      <c r="I161" s="509"/>
      <c r="J161" s="509"/>
      <c r="K161" s="509"/>
      <c r="L161" s="509"/>
      <c r="M161" s="509"/>
      <c r="N161" s="509"/>
      <c r="O161" s="509"/>
      <c r="P161" s="509"/>
      <c r="Q161" s="509"/>
      <c r="R161" s="529"/>
    </row>
    <row r="162" spans="2:18" x14ac:dyDescent="0.2">
      <c r="B162" s="508"/>
      <c r="C162" s="509"/>
      <c r="D162" s="509"/>
      <c r="E162" s="509"/>
      <c r="F162" s="509"/>
      <c r="G162" s="509"/>
      <c r="H162" s="509"/>
      <c r="I162" s="509"/>
      <c r="J162" s="509"/>
      <c r="K162" s="509"/>
      <c r="L162" s="509"/>
      <c r="M162" s="509"/>
      <c r="N162" s="509"/>
      <c r="O162" s="509"/>
      <c r="P162" s="509"/>
      <c r="Q162" s="509"/>
      <c r="R162" s="529"/>
    </row>
    <row r="163" spans="2:18" x14ac:dyDescent="0.2">
      <c r="B163" s="521"/>
      <c r="C163" s="533"/>
      <c r="D163" s="533"/>
      <c r="E163" s="533"/>
      <c r="F163" s="533"/>
      <c r="G163" s="533"/>
      <c r="H163" s="533"/>
      <c r="I163" s="533"/>
      <c r="J163" s="533"/>
      <c r="K163" s="533"/>
      <c r="L163" s="533"/>
      <c r="M163" s="533"/>
      <c r="N163" s="533"/>
      <c r="O163" s="533"/>
      <c r="P163" s="533"/>
      <c r="Q163" s="627" t="s">
        <v>254</v>
      </c>
      <c r="R163" s="534"/>
    </row>
    <row r="240" spans="2:3" ht="18.75" x14ac:dyDescent="0.3">
      <c r="B240" s="535"/>
      <c r="C240" s="535"/>
    </row>
  </sheetData>
  <sheetProtection algorithmName="SHA-512" hashValue="QIWP3dF+Z1pvQVMplvCKHLNuylDgf/MABZUQzKPBNXOWurPKfsCPw2DoXalJnV58L29sj+CwFO5+e5XTypl3yA==" saltValue="eqjzVdaJrLwKZJ3tBLBaFg==" spinCount="100000" sheet="1" objects="1" scenarios="1"/>
  <hyperlinks>
    <hyperlink ref="Q73" r:id="rId1" xr:uid="{00000000-0004-0000-0F00-000000000000}"/>
    <hyperlink ref="Q163" r:id="rId2" xr:uid="{00000000-0004-0000-0F00-000001000000}"/>
  </hyperlinks>
  <pageMargins left="0.75" right="0.75" top="1" bottom="1" header="0.5" footer="0.5"/>
  <pageSetup paperSize="9" scale="58" orientation="portrait" r:id="rId3"/>
  <headerFooter alignWithMargins="0">
    <oddHeader>&amp;L&amp;"Arial,Vet"&amp;9&amp;F&amp;R&amp;"Arial,Vet"&amp;9&amp;A</oddHeader>
    <oddFooter>&amp;L&amp;"Arial,Vet"&amp;9be.keizer@wxs.nl&amp;C&amp;"Arial,Vet"&amp;9pagina &amp;P&amp;R&amp;"Arial,Vet"&amp;9&amp;D</oddFooter>
  </headerFooter>
  <rowBreaks count="1" manualBreakCount="1">
    <brk id="73" min="1" max="17" man="1"/>
  </rowBreaks>
  <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Q48"/>
  <sheetViews>
    <sheetView zoomScale="80" zoomScaleNormal="80" zoomScalePageLayoutView="85" workbookViewId="0"/>
  </sheetViews>
  <sheetFormatPr defaultRowHeight="12.75" x14ac:dyDescent="0.2"/>
  <cols>
    <col min="1" max="1" width="49.42578125" style="658" customWidth="1"/>
    <col min="2" max="2" width="3.42578125" style="658" customWidth="1"/>
    <col min="3" max="3" width="16.28515625" style="658" customWidth="1"/>
    <col min="4" max="5" width="15.5703125" style="658" customWidth="1"/>
    <col min="6" max="6" width="15.7109375" style="658" customWidth="1"/>
    <col min="7" max="7" width="15.42578125" style="658" customWidth="1"/>
    <col min="8" max="8" width="14.85546875" style="658" customWidth="1"/>
    <col min="9" max="9" width="15.140625" style="658" customWidth="1"/>
    <col min="10" max="11" width="14.85546875" style="658" customWidth="1"/>
    <col min="12" max="12" width="16.140625" style="658" customWidth="1"/>
    <col min="13" max="33" width="14.85546875" style="658" customWidth="1"/>
    <col min="34" max="16384" width="9.140625" style="658"/>
  </cols>
  <sheetData>
    <row r="1" spans="1:42" x14ac:dyDescent="0.2">
      <c r="A1" s="658" t="s">
        <v>1</v>
      </c>
    </row>
    <row r="2" spans="1:42" x14ac:dyDescent="0.2">
      <c r="A2" s="658" t="s">
        <v>87</v>
      </c>
      <c r="B2" s="856"/>
      <c r="C2" s="658" t="s">
        <v>483</v>
      </c>
      <c r="D2" s="658" t="s">
        <v>539</v>
      </c>
      <c r="E2" s="658" t="s">
        <v>581</v>
      </c>
      <c r="F2" s="658" t="s">
        <v>596</v>
      </c>
      <c r="G2" s="658" t="s">
        <v>621</v>
      </c>
      <c r="H2" s="658" t="s">
        <v>641</v>
      </c>
    </row>
    <row r="3" spans="1:42" x14ac:dyDescent="0.2">
      <c r="A3" s="658" t="s">
        <v>129</v>
      </c>
      <c r="B3" s="857">
        <v>40452</v>
      </c>
      <c r="C3" s="858">
        <v>44835</v>
      </c>
      <c r="D3" s="858">
        <v>45200</v>
      </c>
      <c r="E3" s="858">
        <v>45566</v>
      </c>
      <c r="F3" s="858">
        <v>45931</v>
      </c>
      <c r="G3" s="858">
        <v>46296</v>
      </c>
      <c r="H3" s="858">
        <v>46661</v>
      </c>
    </row>
    <row r="4" spans="1:42" s="859" customFormat="1" x14ac:dyDescent="0.2">
      <c r="A4" s="859" t="s">
        <v>105</v>
      </c>
      <c r="B4" s="860">
        <v>2011</v>
      </c>
      <c r="C4" s="859">
        <v>2023</v>
      </c>
      <c r="D4" s="859">
        <f t="shared" ref="D4:H4" si="0">C4+1</f>
        <v>2024</v>
      </c>
      <c r="E4" s="859">
        <f t="shared" si="0"/>
        <v>2025</v>
      </c>
      <c r="F4" s="859">
        <f t="shared" si="0"/>
        <v>2026</v>
      </c>
      <c r="G4" s="859">
        <f t="shared" si="0"/>
        <v>2027</v>
      </c>
      <c r="H4" s="859">
        <f t="shared" si="0"/>
        <v>2028</v>
      </c>
    </row>
    <row r="6" spans="1:42" ht="15" x14ac:dyDescent="0.25">
      <c r="A6" s="861" t="s">
        <v>240</v>
      </c>
      <c r="C6" s="970">
        <f>C4</f>
        <v>2023</v>
      </c>
      <c r="D6" s="970">
        <f>D4</f>
        <v>2024</v>
      </c>
      <c r="E6" s="970">
        <f>E4</f>
        <v>2025</v>
      </c>
      <c r="F6" s="970">
        <f t="shared" ref="F6:G6" si="1">F4</f>
        <v>2026</v>
      </c>
      <c r="G6" s="970">
        <f t="shared" si="1"/>
        <v>2027</v>
      </c>
    </row>
    <row r="7" spans="1:42" x14ac:dyDescent="0.2">
      <c r="A7" s="862" t="s">
        <v>620</v>
      </c>
      <c r="C7" s="1069">
        <v>109.33</v>
      </c>
      <c r="D7" s="1069">
        <f t="shared" ref="D7:E7" si="2">+C7</f>
        <v>109.33</v>
      </c>
      <c r="E7" s="1069">
        <f t="shared" si="2"/>
        <v>109.33</v>
      </c>
      <c r="F7" s="1069">
        <f t="shared" ref="F7" si="3">+E7</f>
        <v>109.33</v>
      </c>
      <c r="G7" s="1069">
        <f t="shared" ref="G7" si="4">+F7</f>
        <v>109.33</v>
      </c>
    </row>
    <row r="8" spans="1:42" x14ac:dyDescent="0.2">
      <c r="A8" s="862"/>
      <c r="C8" s="659"/>
      <c r="D8" s="659"/>
      <c r="E8" s="659"/>
    </row>
    <row r="9" spans="1:42" x14ac:dyDescent="0.2">
      <c r="A9" s="862" t="s">
        <v>624</v>
      </c>
      <c r="C9" s="1069">
        <v>5187.62</v>
      </c>
      <c r="D9" s="1069">
        <f t="shared" ref="D9:E9" si="5">+C9</f>
        <v>5187.62</v>
      </c>
      <c r="E9" s="1069">
        <f t="shared" si="5"/>
        <v>5187.62</v>
      </c>
      <c r="F9" s="1069">
        <f t="shared" ref="F9" si="6">+E9</f>
        <v>5187.62</v>
      </c>
      <c r="G9" s="1069">
        <f t="shared" ref="G9" si="7">+F9</f>
        <v>5187.62</v>
      </c>
    </row>
    <row r="10" spans="1:42" x14ac:dyDescent="0.2">
      <c r="A10" s="862" t="s">
        <v>625</v>
      </c>
      <c r="C10" s="1070">
        <f>C9</f>
        <v>5187.62</v>
      </c>
      <c r="D10" s="1070">
        <f t="shared" ref="D10:E10" si="8">+C10</f>
        <v>5187.62</v>
      </c>
      <c r="E10" s="1070">
        <f t="shared" si="8"/>
        <v>5187.62</v>
      </c>
      <c r="F10" s="1070">
        <f t="shared" ref="F10" si="9">+E10</f>
        <v>5187.62</v>
      </c>
      <c r="G10" s="1070">
        <f t="shared" ref="G10" si="10">+F10</f>
        <v>5187.62</v>
      </c>
    </row>
    <row r="12" spans="1:42" ht="15" x14ac:dyDescent="0.25">
      <c r="A12" s="861" t="s">
        <v>622</v>
      </c>
      <c r="C12" s="970">
        <f>+C4</f>
        <v>2023</v>
      </c>
      <c r="D12" s="970">
        <f>+D4</f>
        <v>2024</v>
      </c>
      <c r="E12" s="970">
        <f>+E4</f>
        <v>2025</v>
      </c>
      <c r="F12" s="970">
        <f>+F4</f>
        <v>2026</v>
      </c>
      <c r="G12" s="970">
        <f>+G4</f>
        <v>2027</v>
      </c>
      <c r="H12" s="883"/>
      <c r="I12" s="884"/>
      <c r="J12" s="883"/>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863"/>
    </row>
    <row r="13" spans="1:42" x14ac:dyDescent="0.2">
      <c r="A13" s="658" t="s">
        <v>638</v>
      </c>
      <c r="B13" s="543"/>
      <c r="C13" s="1099">
        <v>756.42</v>
      </c>
      <c r="D13" s="1099">
        <f>C13</f>
        <v>756.42</v>
      </c>
      <c r="E13" s="1099">
        <f>D13</f>
        <v>756.42</v>
      </c>
      <c r="F13" s="1099">
        <f t="shared" ref="F13:G13" si="11">E13</f>
        <v>756.42</v>
      </c>
      <c r="G13" s="1099">
        <f t="shared" si="11"/>
        <v>756.42</v>
      </c>
      <c r="M13" s="863"/>
      <c r="N13" s="863"/>
      <c r="O13" s="863"/>
      <c r="P13" s="863"/>
      <c r="Q13" s="863"/>
      <c r="R13" s="863"/>
      <c r="S13" s="863"/>
      <c r="T13" s="863"/>
      <c r="U13" s="863"/>
      <c r="V13" s="863"/>
      <c r="W13" s="863"/>
      <c r="X13" s="863"/>
      <c r="Y13" s="863"/>
      <c r="Z13" s="863"/>
      <c r="AA13" s="863"/>
      <c r="AB13" s="863"/>
      <c r="AC13" s="863"/>
      <c r="AD13" s="863"/>
      <c r="AE13" s="863"/>
      <c r="AF13" s="863"/>
      <c r="AG13" s="863"/>
      <c r="AH13" s="863"/>
      <c r="AI13" s="863"/>
      <c r="AJ13" s="863"/>
    </row>
    <row r="14" spans="1:42" s="543" customFormat="1" x14ac:dyDescent="0.2">
      <c r="A14" s="658"/>
      <c r="B14" s="1010"/>
      <c r="C14" s="996"/>
      <c r="D14" s="996"/>
      <c r="E14" s="996"/>
      <c r="F14" s="996"/>
      <c r="G14" s="996"/>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row>
    <row r="15" spans="1:42" x14ac:dyDescent="0.2">
      <c r="A15" s="543" t="s">
        <v>623</v>
      </c>
      <c r="C15" s="970">
        <f>C4</f>
        <v>2023</v>
      </c>
      <c r="D15" s="970">
        <f>D4</f>
        <v>2024</v>
      </c>
      <c r="E15" s="970">
        <f>E4</f>
        <v>2025</v>
      </c>
      <c r="F15" s="970">
        <f>F4</f>
        <v>2026</v>
      </c>
      <c r="G15" s="970">
        <f>G4</f>
        <v>2027</v>
      </c>
      <c r="O15" s="863"/>
      <c r="P15" s="863"/>
      <c r="Q15" s="863"/>
      <c r="R15" s="863"/>
      <c r="S15" s="863"/>
      <c r="T15" s="863"/>
      <c r="U15" s="863"/>
      <c r="V15" s="863"/>
      <c r="W15" s="863"/>
      <c r="X15" s="863"/>
      <c r="Y15" s="863"/>
      <c r="Z15" s="863"/>
      <c r="AA15" s="863"/>
      <c r="AB15" s="863"/>
      <c r="AC15" s="863"/>
      <c r="AD15" s="863"/>
      <c r="AE15" s="863"/>
      <c r="AF15" s="863"/>
      <c r="AG15" s="863"/>
      <c r="AH15" s="863"/>
      <c r="AI15" s="863"/>
      <c r="AJ15" s="863"/>
      <c r="AK15" s="863"/>
      <c r="AL15" s="863"/>
      <c r="AM15" s="659"/>
      <c r="AN15" s="659"/>
      <c r="AO15" s="659"/>
      <c r="AP15" s="659"/>
    </row>
    <row r="16" spans="1:42" x14ac:dyDescent="0.2">
      <c r="A16" s="658" t="s">
        <v>229</v>
      </c>
      <c r="C16" s="1071">
        <v>13131.51</v>
      </c>
      <c r="D16" s="1071">
        <f>C16</f>
        <v>13131.51</v>
      </c>
      <c r="E16" s="1071">
        <f t="shared" ref="E16:G16" si="12">D16</f>
        <v>13131.51</v>
      </c>
      <c r="F16" s="1071">
        <f t="shared" si="12"/>
        <v>13131.51</v>
      </c>
      <c r="G16" s="1071">
        <f t="shared" si="12"/>
        <v>13131.51</v>
      </c>
      <c r="H16" s="659"/>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659"/>
      <c r="AM16" s="659"/>
      <c r="AN16" s="659"/>
      <c r="AO16" s="659"/>
    </row>
    <row r="17" spans="1:43" x14ac:dyDescent="0.2">
      <c r="A17" s="658" t="s">
        <v>230</v>
      </c>
      <c r="C17" s="1071">
        <v>22919.65</v>
      </c>
      <c r="D17" s="1071">
        <f t="shared" ref="D17:G17" si="13">C17</f>
        <v>22919.65</v>
      </c>
      <c r="E17" s="1071">
        <f t="shared" si="13"/>
        <v>22919.65</v>
      </c>
      <c r="F17" s="1071">
        <f t="shared" si="13"/>
        <v>22919.65</v>
      </c>
      <c r="G17" s="1071">
        <f t="shared" si="13"/>
        <v>22919.65</v>
      </c>
      <c r="H17" s="659"/>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659"/>
      <c r="AM17" s="659"/>
      <c r="AN17" s="659"/>
      <c r="AO17" s="659"/>
    </row>
    <row r="18" spans="1:43" x14ac:dyDescent="0.2">
      <c r="A18" s="658" t="s">
        <v>231</v>
      </c>
      <c r="C18" s="1071">
        <v>28314.32</v>
      </c>
      <c r="D18" s="1071">
        <f t="shared" ref="D18:G18" si="14">C18</f>
        <v>28314.32</v>
      </c>
      <c r="E18" s="1071">
        <f t="shared" si="14"/>
        <v>28314.32</v>
      </c>
      <c r="F18" s="1071">
        <f t="shared" si="14"/>
        <v>28314.32</v>
      </c>
      <c r="G18" s="1071">
        <f t="shared" si="14"/>
        <v>28314.32</v>
      </c>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659"/>
      <c r="AK18" s="659"/>
      <c r="AL18" s="659"/>
      <c r="AM18" s="659"/>
    </row>
    <row r="19" spans="1:43" x14ac:dyDescent="0.2">
      <c r="A19"/>
      <c r="B19"/>
      <c r="C19"/>
      <c r="D19"/>
      <c r="E19"/>
      <c r="F19"/>
      <c r="G19"/>
      <c r="J19" s="659"/>
      <c r="K19" s="659"/>
      <c r="P19" s="863"/>
      <c r="Q19" s="863"/>
      <c r="R19" s="863"/>
      <c r="S19" s="863"/>
      <c r="T19" s="863"/>
      <c r="U19" s="863"/>
      <c r="V19" s="863"/>
      <c r="W19" s="863"/>
      <c r="X19" s="863"/>
      <c r="Y19" s="863"/>
      <c r="Z19" s="863"/>
      <c r="AA19" s="863"/>
      <c r="AB19" s="863"/>
      <c r="AC19" s="863"/>
      <c r="AD19" s="863"/>
      <c r="AE19" s="863"/>
      <c r="AF19" s="863"/>
      <c r="AG19" s="863"/>
      <c r="AH19" s="863"/>
      <c r="AI19" s="863"/>
      <c r="AJ19" s="863"/>
      <c r="AK19" s="863"/>
      <c r="AL19" s="863"/>
      <c r="AM19" s="863"/>
      <c r="AN19" s="659"/>
      <c r="AO19" s="659"/>
      <c r="AP19" s="659"/>
      <c r="AQ19" s="659"/>
    </row>
    <row r="20" spans="1:43" x14ac:dyDescent="0.2">
      <c r="A20" s="1107" t="s">
        <v>647</v>
      </c>
      <c r="B20"/>
      <c r="C20"/>
      <c r="D20"/>
      <c r="E20"/>
      <c r="F20"/>
      <c r="G20"/>
      <c r="J20" s="659"/>
      <c r="K20" s="659"/>
      <c r="P20" s="863"/>
      <c r="Q20" s="863"/>
      <c r="R20" s="863"/>
      <c r="S20" s="863"/>
      <c r="T20" s="863"/>
      <c r="U20" s="863"/>
      <c r="V20" s="863"/>
      <c r="W20" s="863"/>
      <c r="X20" s="863"/>
      <c r="Y20" s="863"/>
      <c r="Z20" s="863"/>
      <c r="AA20" s="863"/>
      <c r="AB20" s="863"/>
      <c r="AC20" s="863"/>
      <c r="AD20" s="863"/>
      <c r="AE20" s="863"/>
      <c r="AF20" s="863"/>
      <c r="AG20" s="863"/>
      <c r="AH20" s="863"/>
      <c r="AI20" s="863"/>
      <c r="AJ20" s="863"/>
      <c r="AK20" s="863"/>
      <c r="AL20" s="863"/>
      <c r="AM20" s="863"/>
      <c r="AN20" s="659"/>
      <c r="AO20" s="659"/>
      <c r="AP20" s="659"/>
      <c r="AQ20" s="659"/>
    </row>
    <row r="21" spans="1:43" x14ac:dyDescent="0.2">
      <c r="A21"/>
      <c r="B21"/>
      <c r="C21" s="1111">
        <f>C4</f>
        <v>2023</v>
      </c>
      <c r="D21" s="1111">
        <f t="shared" ref="D21:G21" si="15">D4</f>
        <v>2024</v>
      </c>
      <c r="E21" s="1111">
        <f t="shared" si="15"/>
        <v>2025</v>
      </c>
      <c r="F21" s="1111">
        <f t="shared" si="15"/>
        <v>2026</v>
      </c>
      <c r="G21" s="1111">
        <f t="shared" si="15"/>
        <v>2027</v>
      </c>
      <c r="J21" s="659"/>
      <c r="K21" s="659"/>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863"/>
      <c r="AM21" s="863"/>
      <c r="AN21" s="659"/>
      <c r="AO21" s="659"/>
      <c r="AP21" s="659"/>
      <c r="AQ21" s="659"/>
    </row>
    <row r="22" spans="1:43" s="1002" customFormat="1" x14ac:dyDescent="0.2">
      <c r="A22" s="1002" t="s">
        <v>648</v>
      </c>
      <c r="C22" s="1108">
        <v>23423.040000000001</v>
      </c>
      <c r="D22" s="1109">
        <f t="shared" ref="D22:G24" si="16">C22</f>
        <v>23423.040000000001</v>
      </c>
      <c r="E22" s="1109">
        <f t="shared" si="16"/>
        <v>23423.040000000001</v>
      </c>
      <c r="F22" s="1109">
        <f t="shared" si="16"/>
        <v>23423.040000000001</v>
      </c>
      <c r="G22" s="1109">
        <f t="shared" si="16"/>
        <v>23423.040000000001</v>
      </c>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89"/>
      <c r="AI22" s="89"/>
      <c r="AJ22" s="89"/>
      <c r="AK22" s="89"/>
    </row>
    <row r="23" spans="1:43" s="1002" customFormat="1" x14ac:dyDescent="0.2">
      <c r="A23" s="1002" t="s">
        <v>649</v>
      </c>
      <c r="C23" s="1108">
        <v>33211.18</v>
      </c>
      <c r="D23" s="1109">
        <f t="shared" si="16"/>
        <v>33211.18</v>
      </c>
      <c r="E23" s="1109">
        <f t="shared" si="16"/>
        <v>33211.18</v>
      </c>
      <c r="F23" s="1109">
        <f t="shared" si="16"/>
        <v>33211.18</v>
      </c>
      <c r="G23" s="1109">
        <f t="shared" si="16"/>
        <v>33211.18</v>
      </c>
      <c r="L23" s="1110"/>
      <c r="M23" s="1110"/>
      <c r="N23" s="1110"/>
      <c r="O23" s="1110"/>
      <c r="P23" s="1110"/>
      <c r="Q23" s="1110"/>
      <c r="R23" s="1110"/>
      <c r="S23" s="1110"/>
      <c r="T23" s="1110"/>
      <c r="U23" s="1110"/>
      <c r="V23" s="1110"/>
      <c r="W23" s="1110"/>
      <c r="X23" s="1110"/>
      <c r="Y23" s="1110"/>
      <c r="Z23" s="1110"/>
      <c r="AA23" s="1110"/>
      <c r="AB23" s="1110"/>
      <c r="AC23" s="1110"/>
      <c r="AD23" s="1110"/>
      <c r="AE23" s="1110"/>
      <c r="AF23" s="1110"/>
      <c r="AG23" s="1110"/>
      <c r="AH23" s="89"/>
      <c r="AI23" s="89"/>
      <c r="AJ23" s="89"/>
      <c r="AK23" s="89"/>
    </row>
    <row r="24" spans="1:43" s="1002" customFormat="1" x14ac:dyDescent="0.2">
      <c r="A24" s="1002" t="s">
        <v>650</v>
      </c>
      <c r="C24" s="1108">
        <v>38605.85</v>
      </c>
      <c r="D24" s="1109">
        <f t="shared" si="16"/>
        <v>38605.85</v>
      </c>
      <c r="E24" s="1109">
        <f t="shared" si="16"/>
        <v>38605.85</v>
      </c>
      <c r="F24" s="1109">
        <f t="shared" si="16"/>
        <v>38605.85</v>
      </c>
      <c r="G24" s="1109">
        <f t="shared" si="16"/>
        <v>38605.85</v>
      </c>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89"/>
      <c r="AI24" s="89"/>
      <c r="AJ24" s="89"/>
      <c r="AK24" s="89"/>
    </row>
    <row r="25" spans="1:43" x14ac:dyDescent="0.2">
      <c r="A25"/>
      <c r="B25"/>
      <c r="C25"/>
      <c r="D25"/>
      <c r="E25"/>
      <c r="F25"/>
      <c r="G25"/>
      <c r="J25" s="659"/>
      <c r="K25" s="659"/>
      <c r="P25" s="863"/>
      <c r="Q25" s="863"/>
      <c r="R25" s="863"/>
      <c r="S25" s="863"/>
      <c r="T25" s="863"/>
      <c r="U25" s="863"/>
      <c r="V25" s="863"/>
      <c r="W25" s="863"/>
      <c r="X25" s="863"/>
      <c r="Y25" s="863"/>
      <c r="Z25" s="863"/>
      <c r="AA25" s="863"/>
      <c r="AB25" s="863"/>
      <c r="AC25" s="863"/>
      <c r="AD25" s="863"/>
      <c r="AE25" s="863"/>
      <c r="AF25" s="863"/>
      <c r="AG25" s="863"/>
      <c r="AH25" s="863"/>
      <c r="AI25" s="863"/>
      <c r="AJ25" s="863"/>
      <c r="AK25" s="863"/>
      <c r="AL25" s="863"/>
      <c r="AM25" s="863"/>
      <c r="AN25" s="659"/>
      <c r="AO25" s="659"/>
      <c r="AP25" s="659"/>
      <c r="AQ25" s="659"/>
    </row>
    <row r="26" spans="1:43" x14ac:dyDescent="0.2">
      <c r="A26" s="1002" t="s">
        <v>657</v>
      </c>
      <c r="B26"/>
      <c r="C26" s="1108">
        <v>90000</v>
      </c>
      <c r="D26" s="1108">
        <f>C26</f>
        <v>90000</v>
      </c>
      <c r="E26" s="1108">
        <f t="shared" ref="E26:G26" si="17">D26</f>
        <v>90000</v>
      </c>
      <c r="F26" s="1108">
        <f t="shared" si="17"/>
        <v>90000</v>
      </c>
      <c r="G26" s="1108">
        <f t="shared" si="17"/>
        <v>90000</v>
      </c>
      <c r="J26" s="659"/>
      <c r="K26" s="659"/>
      <c r="P26" s="863"/>
      <c r="Q26" s="863"/>
      <c r="R26" s="863"/>
      <c r="S26" s="863"/>
      <c r="T26" s="863"/>
      <c r="U26" s="863"/>
      <c r="V26" s="863"/>
      <c r="W26" s="863"/>
      <c r="X26" s="863"/>
      <c r="Y26" s="863"/>
      <c r="Z26" s="863"/>
      <c r="AA26" s="863"/>
      <c r="AB26" s="863"/>
      <c r="AC26" s="863"/>
      <c r="AD26" s="863"/>
      <c r="AE26" s="863"/>
      <c r="AF26" s="863"/>
      <c r="AG26" s="863"/>
      <c r="AH26" s="863"/>
      <c r="AI26" s="863"/>
      <c r="AJ26" s="863"/>
      <c r="AK26" s="863"/>
      <c r="AL26" s="863"/>
      <c r="AM26" s="863"/>
      <c r="AN26" s="659"/>
      <c r="AO26" s="659"/>
      <c r="AP26" s="659"/>
      <c r="AQ26" s="659"/>
    </row>
    <row r="27" spans="1:43" x14ac:dyDescent="0.2">
      <c r="A27"/>
      <c r="B27"/>
      <c r="C27"/>
      <c r="D27"/>
      <c r="E27"/>
      <c r="F27"/>
      <c r="G27"/>
      <c r="J27" s="659"/>
      <c r="K27" s="659"/>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863"/>
      <c r="AN27" s="659"/>
      <c r="AO27" s="659"/>
      <c r="AP27" s="659"/>
      <c r="AQ27" s="659"/>
    </row>
    <row r="28" spans="1:43" x14ac:dyDescent="0.2">
      <c r="A28"/>
      <c r="B28"/>
      <c r="C28"/>
      <c r="D28"/>
      <c r="E28"/>
      <c r="F28"/>
      <c r="G28"/>
      <c r="J28" s="659"/>
      <c r="K28" s="659"/>
      <c r="P28" s="863"/>
      <c r="Q28" s="863"/>
      <c r="R28" s="863"/>
      <c r="S28" s="863"/>
      <c r="T28" s="863"/>
      <c r="U28" s="863"/>
      <c r="V28" s="863"/>
      <c r="W28" s="863"/>
      <c r="X28" s="863"/>
      <c r="Y28" s="863"/>
      <c r="Z28" s="863"/>
      <c r="AA28" s="863"/>
      <c r="AB28" s="863"/>
      <c r="AC28" s="863"/>
      <c r="AD28" s="863"/>
      <c r="AE28" s="863"/>
      <c r="AF28" s="863"/>
      <c r="AG28" s="863"/>
      <c r="AH28" s="863"/>
      <c r="AI28" s="863"/>
      <c r="AJ28" s="863"/>
      <c r="AK28" s="863"/>
      <c r="AL28" s="863"/>
      <c r="AM28" s="863"/>
      <c r="AN28" s="659"/>
      <c r="AO28" s="659"/>
      <c r="AP28" s="659"/>
      <c r="AQ28" s="659"/>
    </row>
    <row r="29" spans="1:43" x14ac:dyDescent="0.2">
      <c r="A29"/>
      <c r="B29"/>
      <c r="C29"/>
      <c r="D29"/>
      <c r="E29"/>
      <c r="F29"/>
      <c r="G29"/>
      <c r="J29" s="659"/>
      <c r="K29" s="659"/>
      <c r="P29" s="863"/>
      <c r="Q29" s="863"/>
      <c r="R29" s="863"/>
      <c r="S29" s="863"/>
      <c r="T29" s="863"/>
      <c r="U29" s="863"/>
      <c r="V29" s="863"/>
      <c r="W29" s="863"/>
      <c r="X29" s="863"/>
      <c r="Y29" s="863"/>
      <c r="Z29" s="863"/>
      <c r="AA29" s="863"/>
      <c r="AB29" s="863"/>
      <c r="AC29" s="863"/>
      <c r="AD29" s="863"/>
      <c r="AE29" s="863"/>
      <c r="AF29" s="863"/>
      <c r="AG29" s="863"/>
      <c r="AH29" s="863"/>
      <c r="AI29" s="863"/>
      <c r="AJ29" s="863"/>
      <c r="AK29" s="863"/>
      <c r="AL29" s="863"/>
      <c r="AM29" s="863"/>
      <c r="AN29" s="659"/>
      <c r="AO29" s="659"/>
      <c r="AP29" s="659"/>
      <c r="AQ29" s="659"/>
    </row>
    <row r="30" spans="1:43" x14ac:dyDescent="0.2">
      <c r="A30"/>
      <c r="B30"/>
      <c r="C30"/>
      <c r="D30"/>
      <c r="E30"/>
      <c r="F30"/>
      <c r="G30"/>
      <c r="J30" s="659"/>
      <c r="K30" s="659"/>
      <c r="P30" s="863"/>
      <c r="Q30" s="863"/>
      <c r="R30" s="863"/>
      <c r="S30" s="863"/>
      <c r="T30" s="863"/>
      <c r="U30" s="863"/>
      <c r="V30" s="863"/>
      <c r="W30" s="863"/>
      <c r="X30" s="863"/>
      <c r="Y30" s="863"/>
      <c r="Z30" s="863"/>
      <c r="AA30" s="863"/>
      <c r="AB30" s="863"/>
      <c r="AC30" s="863"/>
      <c r="AD30" s="863"/>
      <c r="AE30" s="863"/>
      <c r="AF30" s="863"/>
      <c r="AG30" s="863"/>
      <c r="AH30" s="863"/>
      <c r="AI30" s="863"/>
      <c r="AJ30" s="863"/>
      <c r="AK30" s="863"/>
      <c r="AL30" s="863"/>
      <c r="AM30" s="863"/>
      <c r="AN30" s="659"/>
      <c r="AO30" s="659"/>
      <c r="AP30" s="659"/>
      <c r="AQ30" s="659"/>
    </row>
    <row r="31" spans="1:43" x14ac:dyDescent="0.2">
      <c r="A31" s="659"/>
      <c r="C31" s="780" t="str">
        <f>C2</f>
        <v>2023/24</v>
      </c>
      <c r="D31" s="780" t="str">
        <f t="shared" ref="D31:F31" si="18">D2</f>
        <v>2024/25</v>
      </c>
      <c r="E31" s="780" t="str">
        <f t="shared" si="18"/>
        <v>2025/26</v>
      </c>
      <c r="F31" s="780" t="str">
        <f t="shared" si="18"/>
        <v>2026/27</v>
      </c>
      <c r="G31" s="780" t="str">
        <f>G2</f>
        <v>2027/28</v>
      </c>
      <c r="H31" s="1022"/>
      <c r="I31" s="1014"/>
      <c r="J31" s="864"/>
      <c r="N31" s="659"/>
    </row>
    <row r="32" spans="1:43" x14ac:dyDescent="0.2">
      <c r="A32" s="543" t="s">
        <v>696</v>
      </c>
      <c r="C32" s="1100">
        <f>SUM(C33:C34)</f>
        <v>0.60000000000000009</v>
      </c>
      <c r="D32" s="1100">
        <f>C32</f>
        <v>0.60000000000000009</v>
      </c>
      <c r="E32" s="1100">
        <f t="shared" ref="E32:G32" si="19">D32</f>
        <v>0.60000000000000009</v>
      </c>
      <c r="F32" s="1100">
        <f t="shared" si="19"/>
        <v>0.60000000000000009</v>
      </c>
      <c r="G32" s="1100">
        <f t="shared" si="19"/>
        <v>0.60000000000000009</v>
      </c>
      <c r="H32" s="1022"/>
      <c r="I32" s="1014"/>
      <c r="J32" s="864"/>
      <c r="N32" s="659"/>
    </row>
    <row r="33" spans="1:14" x14ac:dyDescent="0.2">
      <c r="A33" s="658" t="s">
        <v>697</v>
      </c>
      <c r="C33" s="1100">
        <v>0.54</v>
      </c>
      <c r="D33" s="1100">
        <f>C33</f>
        <v>0.54</v>
      </c>
      <c r="E33" s="1100">
        <f t="shared" ref="E33:G33" si="20">D33</f>
        <v>0.54</v>
      </c>
      <c r="F33" s="1100">
        <f t="shared" si="20"/>
        <v>0.54</v>
      </c>
      <c r="G33" s="1100">
        <f t="shared" si="20"/>
        <v>0.54</v>
      </c>
      <c r="H33" s="1022"/>
      <c r="I33" s="1014"/>
      <c r="J33" s="864"/>
      <c r="N33" s="659"/>
    </row>
    <row r="34" spans="1:14" x14ac:dyDescent="0.2">
      <c r="A34" s="658" t="s">
        <v>656</v>
      </c>
      <c r="C34" s="1100">
        <v>0.06</v>
      </c>
      <c r="D34" s="1100">
        <f>C34</f>
        <v>0.06</v>
      </c>
      <c r="E34" s="1100">
        <f t="shared" ref="E34:G34" si="21">D34</f>
        <v>0.06</v>
      </c>
      <c r="F34" s="1100">
        <f t="shared" si="21"/>
        <v>0.06</v>
      </c>
      <c r="G34" s="1100">
        <f t="shared" si="21"/>
        <v>0.06</v>
      </c>
      <c r="H34" s="1022"/>
      <c r="I34" s="1014"/>
      <c r="J34" s="864"/>
      <c r="N34" s="659"/>
    </row>
    <row r="35" spans="1:14" x14ac:dyDescent="0.2">
      <c r="A35" s="658" t="s">
        <v>487</v>
      </c>
      <c r="C35" s="1101">
        <v>0.5</v>
      </c>
      <c r="D35" s="1101">
        <f>C35</f>
        <v>0.5</v>
      </c>
      <c r="E35" s="1101">
        <f t="shared" ref="E35:G35" si="22">D35</f>
        <v>0.5</v>
      </c>
      <c r="F35" s="1101">
        <f t="shared" si="22"/>
        <v>0.5</v>
      </c>
      <c r="G35" s="1101">
        <f t="shared" si="22"/>
        <v>0.5</v>
      </c>
      <c r="H35" s="1022"/>
      <c r="I35" s="1014"/>
      <c r="J35" s="864"/>
      <c r="N35" s="659"/>
    </row>
    <row r="36" spans="1:14" x14ac:dyDescent="0.2">
      <c r="A36" s="658" t="s">
        <v>488</v>
      </c>
      <c r="C36" s="1101">
        <v>0.20000000000000007</v>
      </c>
      <c r="D36" s="1101">
        <f>C36</f>
        <v>0.20000000000000007</v>
      </c>
      <c r="E36" s="1101">
        <f t="shared" ref="E36:G36" si="23">D36</f>
        <v>0.20000000000000007</v>
      </c>
      <c r="F36" s="1101">
        <f t="shared" si="23"/>
        <v>0.20000000000000007</v>
      </c>
      <c r="G36" s="1101">
        <f t="shared" si="23"/>
        <v>0.20000000000000007</v>
      </c>
      <c r="H36" s="1014"/>
      <c r="I36" s="1014"/>
      <c r="J36" s="864"/>
    </row>
    <row r="37" spans="1:14" x14ac:dyDescent="0.2">
      <c r="A37" s="658" t="s">
        <v>486</v>
      </c>
      <c r="C37" s="1101">
        <v>0.4</v>
      </c>
      <c r="D37" s="1101">
        <f>C37</f>
        <v>0.4</v>
      </c>
      <c r="E37" s="1101">
        <f t="shared" ref="E37:G37" si="24">D37</f>
        <v>0.4</v>
      </c>
      <c r="F37" s="1101">
        <f t="shared" si="24"/>
        <v>0.4</v>
      </c>
      <c r="G37" s="1101">
        <f t="shared" si="24"/>
        <v>0.4</v>
      </c>
      <c r="J37" s="864"/>
    </row>
    <row r="38" spans="1:14" x14ac:dyDescent="0.2">
      <c r="A38" s="658" t="s">
        <v>488</v>
      </c>
      <c r="C38" s="1101">
        <v>0.30000000000000004</v>
      </c>
      <c r="D38" s="1101">
        <f>C38</f>
        <v>0.30000000000000004</v>
      </c>
      <c r="E38" s="1101">
        <f t="shared" ref="E38:G38" si="25">D38</f>
        <v>0.30000000000000004</v>
      </c>
      <c r="F38" s="1101">
        <f t="shared" si="25"/>
        <v>0.30000000000000004</v>
      </c>
      <c r="G38" s="1101">
        <f t="shared" si="25"/>
        <v>0.30000000000000004</v>
      </c>
      <c r="H38" s="1002"/>
      <c r="I38"/>
      <c r="J38" s="864"/>
    </row>
    <row r="39" spans="1:14" x14ac:dyDescent="0.2">
      <c r="C39" s="864"/>
      <c r="D39" s="864"/>
      <c r="E39" s="864"/>
      <c r="F39" s="1102"/>
      <c r="G39" s="1102"/>
      <c r="H39"/>
    </row>
    <row r="40" spans="1:14" x14ac:dyDescent="0.2">
      <c r="A40" s="543" t="s">
        <v>477</v>
      </c>
      <c r="B40" s="543"/>
      <c r="C40" s="1104">
        <f>C4</f>
        <v>2023</v>
      </c>
      <c r="D40" s="1104">
        <f t="shared" ref="D40:G40" si="26">D4</f>
        <v>2024</v>
      </c>
      <c r="E40" s="1104">
        <f t="shared" si="26"/>
        <v>2025</v>
      </c>
      <c r="F40" s="1104">
        <f t="shared" si="26"/>
        <v>2026</v>
      </c>
      <c r="G40" s="1104">
        <f t="shared" si="26"/>
        <v>2027</v>
      </c>
      <c r="H40" s="1013"/>
    </row>
    <row r="41" spans="1:14" x14ac:dyDescent="0.2">
      <c r="A41" s="658" t="s">
        <v>478</v>
      </c>
      <c r="C41" s="1103">
        <v>0.1953</v>
      </c>
      <c r="D41" s="1103">
        <f>C41</f>
        <v>0.1953</v>
      </c>
      <c r="E41" s="1103">
        <f t="shared" ref="E41:G41" si="27">D41</f>
        <v>0.1953</v>
      </c>
      <c r="F41" s="1103">
        <f t="shared" si="27"/>
        <v>0.1953</v>
      </c>
      <c r="G41" s="1103">
        <f t="shared" si="27"/>
        <v>0.1953</v>
      </c>
      <c r="J41" s="1014"/>
    </row>
    <row r="42" spans="1:14" x14ac:dyDescent="0.2">
      <c r="A42" s="658" t="s">
        <v>479</v>
      </c>
      <c r="C42" s="1103">
        <v>8.3699999999999997E-2</v>
      </c>
      <c r="D42" s="1103">
        <f t="shared" ref="D42:G45" si="28">C42</f>
        <v>8.3699999999999997E-2</v>
      </c>
      <c r="E42" s="1103">
        <f t="shared" si="28"/>
        <v>8.3699999999999997E-2</v>
      </c>
      <c r="F42" s="1103">
        <f t="shared" si="28"/>
        <v>8.3699999999999997E-2</v>
      </c>
      <c r="G42" s="1103">
        <f t="shared" si="28"/>
        <v>8.3699999999999997E-2</v>
      </c>
    </row>
    <row r="43" spans="1:14" x14ac:dyDescent="0.2">
      <c r="A43" s="658" t="s">
        <v>480</v>
      </c>
      <c r="C43" s="1163">
        <v>16350</v>
      </c>
      <c r="D43" s="1163">
        <f t="shared" si="28"/>
        <v>16350</v>
      </c>
      <c r="E43" s="1163">
        <f t="shared" si="28"/>
        <v>16350</v>
      </c>
      <c r="F43" s="1163">
        <f t="shared" si="28"/>
        <v>16350</v>
      </c>
      <c r="G43" s="1163">
        <f t="shared" si="28"/>
        <v>16350</v>
      </c>
    </row>
    <row r="44" spans="1:14" x14ac:dyDescent="0.2">
      <c r="A44" s="543" t="s">
        <v>481</v>
      </c>
      <c r="C44" s="1103">
        <v>8.3299999999999999E-2</v>
      </c>
      <c r="D44" s="1103">
        <f t="shared" si="28"/>
        <v>8.3299999999999999E-2</v>
      </c>
      <c r="E44" s="1103">
        <f t="shared" si="28"/>
        <v>8.3299999999999999E-2</v>
      </c>
      <c r="F44" s="1103">
        <f t="shared" si="28"/>
        <v>8.3299999999999999E-2</v>
      </c>
      <c r="G44" s="1103">
        <f t="shared" si="28"/>
        <v>8.3299999999999999E-2</v>
      </c>
    </row>
    <row r="45" spans="1:14" x14ac:dyDescent="0.2">
      <c r="A45" s="543" t="s">
        <v>482</v>
      </c>
      <c r="C45" s="1103">
        <v>0.08</v>
      </c>
      <c r="D45" s="1103">
        <f t="shared" si="28"/>
        <v>0.08</v>
      </c>
      <c r="E45" s="1103">
        <f t="shared" si="28"/>
        <v>0.08</v>
      </c>
      <c r="F45" s="1103">
        <f t="shared" si="28"/>
        <v>0.08</v>
      </c>
      <c r="G45" s="1103">
        <f t="shared" si="28"/>
        <v>0.08</v>
      </c>
    </row>
    <row r="46" spans="1:14" x14ac:dyDescent="0.2">
      <c r="D46" s="659"/>
      <c r="E46" s="659"/>
    </row>
    <row r="47" spans="1:14" x14ac:dyDescent="0.2">
      <c r="D47"/>
      <c r="E47" s="659"/>
    </row>
    <row r="48" spans="1:14" x14ac:dyDescent="0.2">
      <c r="E48" s="1002"/>
    </row>
  </sheetData>
  <sheetProtection algorithmName="SHA-512" hashValue="FngEcKw3eLKoqIKQg+8FyawaJ+j2RIJwtNUDp8YA6rf89RnVpFJAPwsfglWlXifxGwIhVq+B2YbkVx/mi4yqrw==" saltValue="hDV7v83Pw3Nb1pqnm5jylA=="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73" orientation="landscape"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X30"/>
  <sheetViews>
    <sheetView zoomScale="77" zoomScaleNormal="77" workbookViewId="0">
      <selection activeCell="B2" sqref="B2"/>
    </sheetView>
  </sheetViews>
  <sheetFormatPr defaultRowHeight="12.75" x14ac:dyDescent="0.2"/>
  <cols>
    <col min="1" max="1" width="3.7109375" style="1008" customWidth="1"/>
    <col min="2" max="2" width="16.5703125" style="1009" customWidth="1"/>
    <col min="3" max="18" width="9.140625" style="1008"/>
    <col min="19" max="20" width="9.140625" style="1008" customWidth="1"/>
    <col min="21" max="16384" width="9.140625" style="1008"/>
  </cols>
  <sheetData>
    <row r="2" spans="2:24" ht="15.75" x14ac:dyDescent="0.25">
      <c r="B2" s="1007" t="s">
        <v>595</v>
      </c>
    </row>
    <row r="3" spans="2:24" x14ac:dyDescent="0.2">
      <c r="B3" s="1008"/>
    </row>
    <row r="4" spans="2:24" x14ac:dyDescent="0.2">
      <c r="B4" s="1082" t="s">
        <v>252</v>
      </c>
      <c r="C4" s="1127">
        <v>44743</v>
      </c>
      <c r="D4" s="1128"/>
      <c r="E4" s="1083">
        <v>4.7500000000000001E-2</v>
      </c>
      <c r="F4" s="1084"/>
      <c r="G4" s="1084"/>
      <c r="H4" s="1084"/>
      <c r="I4" s="1084"/>
      <c r="J4" s="1084"/>
      <c r="K4" s="1084"/>
      <c r="L4" s="1084"/>
      <c r="M4" s="1084"/>
      <c r="N4" s="1084"/>
      <c r="O4" s="1084"/>
      <c r="P4" s="1084"/>
      <c r="Q4" s="1084"/>
      <c r="R4" s="1084"/>
      <c r="S4" s="1084"/>
      <c r="T4" s="1084"/>
      <c r="U4" s="1084"/>
      <c r="V4" s="1084"/>
      <c r="W4" s="1084"/>
      <c r="X4" s="1126" t="s">
        <v>698</v>
      </c>
    </row>
    <row r="5" spans="2:24" x14ac:dyDescent="0.2">
      <c r="B5" s="1085" t="s">
        <v>356</v>
      </c>
      <c r="C5" s="1086">
        <v>1</v>
      </c>
      <c r="D5" s="1086">
        <v>2</v>
      </c>
      <c r="E5" s="1086">
        <v>3</v>
      </c>
      <c r="F5" s="1086">
        <v>4</v>
      </c>
      <c r="G5" s="1086">
        <v>5</v>
      </c>
      <c r="H5" s="1086">
        <v>6</v>
      </c>
      <c r="I5" s="1086">
        <v>7</v>
      </c>
      <c r="J5" s="1086">
        <v>8</v>
      </c>
      <c r="K5" s="1086">
        <v>9</v>
      </c>
      <c r="L5" s="1086">
        <v>10</v>
      </c>
      <c r="M5" s="1086">
        <v>11</v>
      </c>
      <c r="N5" s="1086">
        <v>12</v>
      </c>
      <c r="O5" s="1086">
        <v>13</v>
      </c>
      <c r="P5" s="1086">
        <v>14</v>
      </c>
      <c r="Q5" s="1086">
        <v>15</v>
      </c>
      <c r="R5" s="1086">
        <v>16</v>
      </c>
      <c r="S5" s="1086">
        <v>17</v>
      </c>
      <c r="T5" s="1086">
        <v>18</v>
      </c>
      <c r="U5" s="1086">
        <v>19</v>
      </c>
      <c r="V5" s="1086">
        <v>20</v>
      </c>
      <c r="W5" s="1086" t="s">
        <v>357</v>
      </c>
      <c r="X5" s="1126" t="s">
        <v>690</v>
      </c>
    </row>
    <row r="6" spans="2:24" x14ac:dyDescent="0.2">
      <c r="B6" s="1002" t="s">
        <v>84</v>
      </c>
      <c r="C6" s="1087">
        <v>1934.4</v>
      </c>
      <c r="D6" s="1087">
        <v>1941</v>
      </c>
      <c r="E6" s="1087">
        <v>2013</v>
      </c>
      <c r="F6" s="1087">
        <v>2047</v>
      </c>
      <c r="G6" s="1087">
        <v>2086</v>
      </c>
      <c r="H6" s="1087">
        <v>2124</v>
      </c>
      <c r="I6" s="1087">
        <v>2175</v>
      </c>
      <c r="J6" s="1088"/>
      <c r="K6" s="1089"/>
      <c r="L6" s="1089"/>
      <c r="M6" s="1089"/>
      <c r="N6" s="1089"/>
      <c r="O6" s="1089"/>
      <c r="P6" s="1089"/>
      <c r="Q6" s="1089"/>
      <c r="R6" s="1089"/>
      <c r="S6" s="1089"/>
      <c r="T6" s="1089"/>
      <c r="U6" s="1089"/>
      <c r="V6" s="1088"/>
      <c r="W6" s="780">
        <f t="shared" ref="W6:W30" si="0">COUNTA(C6:V6)</f>
        <v>7</v>
      </c>
      <c r="X6" s="1090">
        <v>0.47561775639623877</v>
      </c>
    </row>
    <row r="7" spans="2:24" x14ac:dyDescent="0.2">
      <c r="B7" s="1084" t="s">
        <v>85</v>
      </c>
      <c r="C7" s="1087">
        <v>1934.4</v>
      </c>
      <c r="D7" s="1087">
        <v>1979</v>
      </c>
      <c r="E7" s="1087">
        <v>2047</v>
      </c>
      <c r="F7" s="1087">
        <v>2124</v>
      </c>
      <c r="G7" s="1087">
        <v>2175</v>
      </c>
      <c r="H7" s="1087">
        <v>2234</v>
      </c>
      <c r="I7" s="1087">
        <v>2306</v>
      </c>
      <c r="J7" s="1087">
        <v>2373</v>
      </c>
      <c r="K7" s="1089"/>
      <c r="L7" s="1089"/>
      <c r="M7" s="1089"/>
      <c r="N7" s="1089"/>
      <c r="O7" s="1089"/>
      <c r="P7" s="1089"/>
      <c r="Q7" s="1089"/>
      <c r="R7" s="1089"/>
      <c r="S7" s="1089"/>
      <c r="T7" s="1089"/>
      <c r="U7" s="1089"/>
      <c r="V7" s="1088"/>
      <c r="W7" s="780">
        <f t="shared" si="0"/>
        <v>8</v>
      </c>
      <c r="X7" s="1090">
        <v>0.51891537284058609</v>
      </c>
    </row>
    <row r="8" spans="2:24" x14ac:dyDescent="0.2">
      <c r="B8" s="1084" t="s">
        <v>86</v>
      </c>
      <c r="C8" s="1087">
        <v>1934.4</v>
      </c>
      <c r="D8" s="1087">
        <v>2047</v>
      </c>
      <c r="E8" s="1087">
        <v>2124</v>
      </c>
      <c r="F8" s="1087">
        <v>2234</v>
      </c>
      <c r="G8" s="1087">
        <v>2306</v>
      </c>
      <c r="H8" s="1087">
        <v>2373</v>
      </c>
      <c r="I8" s="1087">
        <v>2439</v>
      </c>
      <c r="J8" s="1087">
        <v>2504</v>
      </c>
      <c r="K8" s="1087">
        <v>2568</v>
      </c>
      <c r="L8" s="1089"/>
      <c r="M8" s="1089"/>
      <c r="N8" s="1089"/>
      <c r="O8" s="1089"/>
      <c r="P8" s="1089"/>
      <c r="Q8" s="1089"/>
      <c r="R8" s="1089"/>
      <c r="S8" s="1089"/>
      <c r="T8" s="1089"/>
      <c r="U8" s="1089"/>
      <c r="V8" s="1088"/>
      <c r="W8" s="780">
        <f t="shared" si="0"/>
        <v>9</v>
      </c>
      <c r="X8" s="1090">
        <v>0.56155696479335226</v>
      </c>
    </row>
    <row r="9" spans="2:24" x14ac:dyDescent="0.2">
      <c r="B9" s="1091" t="s">
        <v>56</v>
      </c>
      <c r="C9" s="1087">
        <v>3001</v>
      </c>
      <c r="D9" s="1087">
        <v>3074</v>
      </c>
      <c r="E9" s="1087">
        <v>3166</v>
      </c>
      <c r="F9" s="1087">
        <v>3258</v>
      </c>
      <c r="G9" s="1087">
        <v>3352</v>
      </c>
      <c r="H9" s="1087">
        <v>3467</v>
      </c>
      <c r="I9" s="1087">
        <v>3602</v>
      </c>
      <c r="J9" s="1087">
        <v>3755</v>
      </c>
      <c r="K9" s="1087">
        <v>3929</v>
      </c>
      <c r="L9" s="1087">
        <v>4122</v>
      </c>
      <c r="M9" s="1087">
        <v>4336</v>
      </c>
      <c r="N9" s="1087">
        <v>4573</v>
      </c>
      <c r="O9" s="1092"/>
      <c r="P9" s="1092"/>
      <c r="Q9" s="1092"/>
      <c r="R9" s="1089"/>
      <c r="S9" s="1089"/>
      <c r="T9" s="1089"/>
      <c r="U9" s="1089"/>
      <c r="V9" s="1088"/>
      <c r="W9" s="780">
        <f t="shared" si="0"/>
        <v>12</v>
      </c>
      <c r="X9" s="1090">
        <v>1</v>
      </c>
    </row>
    <row r="10" spans="2:24" x14ac:dyDescent="0.2">
      <c r="B10" s="1091" t="s">
        <v>57</v>
      </c>
      <c r="C10" s="1087">
        <v>3019</v>
      </c>
      <c r="D10" s="1087">
        <v>3162</v>
      </c>
      <c r="E10" s="1087">
        <v>3326</v>
      </c>
      <c r="F10" s="1087">
        <v>3491</v>
      </c>
      <c r="G10" s="1087">
        <v>3653</v>
      </c>
      <c r="H10" s="1087">
        <v>3836</v>
      </c>
      <c r="I10" s="1087">
        <v>4037</v>
      </c>
      <c r="J10" s="1087">
        <v>4257</v>
      </c>
      <c r="K10" s="1087">
        <v>4497</v>
      </c>
      <c r="L10" s="1087">
        <v>4755</v>
      </c>
      <c r="M10" s="1087">
        <v>5032</v>
      </c>
      <c r="N10" s="1087">
        <v>5329</v>
      </c>
      <c r="O10" s="1092"/>
      <c r="P10" s="1092"/>
      <c r="Q10" s="1092"/>
      <c r="R10" s="1089"/>
      <c r="S10" s="1089"/>
      <c r="T10" s="1089"/>
      <c r="U10" s="1089"/>
      <c r="V10" s="1088"/>
      <c r="W10" s="780">
        <f t="shared" si="0"/>
        <v>12</v>
      </c>
      <c r="X10" s="1090">
        <v>1.1653181718784167</v>
      </c>
    </row>
    <row r="11" spans="2:24" x14ac:dyDescent="0.2">
      <c r="B11" s="1091" t="s">
        <v>58</v>
      </c>
      <c r="C11" s="1087">
        <v>3031</v>
      </c>
      <c r="D11" s="1087">
        <v>3210</v>
      </c>
      <c r="E11" s="1087">
        <v>3418</v>
      </c>
      <c r="F11" s="1087">
        <v>3625</v>
      </c>
      <c r="G11" s="1087">
        <v>3833</v>
      </c>
      <c r="H11" s="1087">
        <v>4068</v>
      </c>
      <c r="I11" s="1087">
        <v>4329</v>
      </c>
      <c r="J11" s="1087">
        <v>4621</v>
      </c>
      <c r="K11" s="1087">
        <v>4938</v>
      </c>
      <c r="L11" s="1087">
        <v>5284</v>
      </c>
      <c r="M11" s="1087">
        <v>5657</v>
      </c>
      <c r="N11" s="1087">
        <v>6059</v>
      </c>
      <c r="O11" s="1092"/>
      <c r="P11" s="1092"/>
      <c r="Q11" s="1092"/>
      <c r="R11" s="1089"/>
      <c r="S11" s="1089"/>
      <c r="T11" s="1089"/>
      <c r="U11" s="1089"/>
      <c r="V11" s="1088"/>
      <c r="W11" s="780">
        <f t="shared" si="0"/>
        <v>12</v>
      </c>
      <c r="X11" s="1090">
        <v>1.3249507981631314</v>
      </c>
    </row>
    <row r="12" spans="2:24" x14ac:dyDescent="0.2">
      <c r="B12" s="1091" t="s">
        <v>59</v>
      </c>
      <c r="C12" s="1087">
        <v>3890</v>
      </c>
      <c r="D12" s="1087">
        <v>4035</v>
      </c>
      <c r="E12" s="1087">
        <v>4164</v>
      </c>
      <c r="F12" s="1087">
        <v>4425</v>
      </c>
      <c r="G12" s="1087">
        <v>4715</v>
      </c>
      <c r="H12" s="1087">
        <v>4980</v>
      </c>
      <c r="I12" s="1087">
        <v>5244</v>
      </c>
      <c r="J12" s="1087">
        <v>5509</v>
      </c>
      <c r="K12" s="1087">
        <v>5774</v>
      </c>
      <c r="L12" s="1087">
        <v>6037</v>
      </c>
      <c r="M12" s="1087">
        <v>6301</v>
      </c>
      <c r="N12" s="1087">
        <v>6568</v>
      </c>
      <c r="O12" s="1092"/>
      <c r="P12" s="1092"/>
      <c r="Q12" s="1092"/>
      <c r="R12" s="1089"/>
      <c r="S12" s="1089"/>
      <c r="T12" s="1089"/>
      <c r="U12" s="1089"/>
      <c r="V12" s="1088"/>
      <c r="W12" s="780">
        <f t="shared" si="0"/>
        <v>12</v>
      </c>
      <c r="X12" s="1090">
        <v>1.4362562869013777</v>
      </c>
    </row>
    <row r="13" spans="2:24" x14ac:dyDescent="0.2">
      <c r="B13" s="1084" t="s">
        <v>253</v>
      </c>
      <c r="C13" s="1088">
        <v>1516</v>
      </c>
      <c r="D13" s="1093"/>
      <c r="E13" s="1093"/>
      <c r="F13" s="1093"/>
      <c r="G13" s="1093"/>
      <c r="H13" s="1093"/>
      <c r="I13" s="1093"/>
      <c r="J13" s="1093"/>
      <c r="K13" s="1093"/>
      <c r="L13" s="1093"/>
      <c r="M13" s="1093"/>
      <c r="N13" s="1093"/>
      <c r="O13" s="1093"/>
      <c r="P13" s="1093"/>
      <c r="Q13" s="1093"/>
      <c r="R13" s="1089"/>
      <c r="S13" s="1094"/>
      <c r="T13" s="1094"/>
      <c r="U13" s="1094"/>
      <c r="V13" s="1093"/>
      <c r="W13" s="780">
        <f t="shared" si="0"/>
        <v>1</v>
      </c>
      <c r="X13" s="1090">
        <v>0.32998031926525256</v>
      </c>
    </row>
    <row r="14" spans="2:24" x14ac:dyDescent="0.2">
      <c r="B14" s="1084">
        <v>1</v>
      </c>
      <c r="C14" s="1087">
        <v>1934.4</v>
      </c>
      <c r="D14" s="1087">
        <v>1941</v>
      </c>
      <c r="E14" s="1087">
        <v>2013</v>
      </c>
      <c r="F14" s="1087">
        <v>2047</v>
      </c>
      <c r="G14" s="1087">
        <v>2086</v>
      </c>
      <c r="H14" s="1087">
        <v>2124</v>
      </c>
      <c r="I14" s="1087">
        <v>2175</v>
      </c>
      <c r="J14" s="1087"/>
      <c r="K14" s="1087"/>
      <c r="L14" s="1087"/>
      <c r="M14" s="1087"/>
      <c r="N14" s="1087"/>
      <c r="O14" s="1087"/>
      <c r="P14" s="1087"/>
      <c r="Q14" s="1087"/>
      <c r="R14" s="1087"/>
      <c r="S14" s="1092"/>
      <c r="T14" s="1092"/>
      <c r="U14" s="1089"/>
      <c r="V14" s="1088"/>
      <c r="W14" s="780">
        <f t="shared" si="0"/>
        <v>7</v>
      </c>
      <c r="X14" s="1090">
        <v>0.47561775639623877</v>
      </c>
    </row>
    <row r="15" spans="2:24" x14ac:dyDescent="0.2">
      <c r="B15" s="1084">
        <v>2</v>
      </c>
      <c r="C15" s="1087">
        <v>1934.4</v>
      </c>
      <c r="D15" s="1087">
        <v>1979</v>
      </c>
      <c r="E15" s="1087">
        <v>2047</v>
      </c>
      <c r="F15" s="1087">
        <v>2124</v>
      </c>
      <c r="G15" s="1087">
        <v>2175</v>
      </c>
      <c r="H15" s="1087">
        <v>2234</v>
      </c>
      <c r="I15" s="1087">
        <v>2306</v>
      </c>
      <c r="J15" s="1087">
        <v>2373</v>
      </c>
      <c r="K15" s="1087"/>
      <c r="L15" s="1087"/>
      <c r="M15" s="1087"/>
      <c r="N15" s="1087"/>
      <c r="O15" s="1087"/>
      <c r="P15" s="1087"/>
      <c r="Q15" s="1087"/>
      <c r="R15" s="1087"/>
      <c r="S15" s="1092"/>
      <c r="T15" s="1092"/>
      <c r="U15" s="1089"/>
      <c r="V15" s="1088"/>
      <c r="W15" s="780">
        <f t="shared" si="0"/>
        <v>8</v>
      </c>
      <c r="X15" s="1090">
        <v>0.51891537284058609</v>
      </c>
    </row>
    <row r="16" spans="2:24" x14ac:dyDescent="0.2">
      <c r="B16" s="1084">
        <v>3</v>
      </c>
      <c r="C16" s="1087">
        <v>1934.4</v>
      </c>
      <c r="D16" s="1087">
        <v>2047</v>
      </c>
      <c r="E16" s="1087">
        <v>2124</v>
      </c>
      <c r="F16" s="1087">
        <v>2234</v>
      </c>
      <c r="G16" s="1087">
        <v>2306</v>
      </c>
      <c r="H16" s="1087">
        <v>2373</v>
      </c>
      <c r="I16" s="1087">
        <v>2439</v>
      </c>
      <c r="J16" s="1087">
        <v>2504</v>
      </c>
      <c r="K16" s="1087">
        <v>2568</v>
      </c>
      <c r="L16" s="1087"/>
      <c r="M16" s="1087"/>
      <c r="N16" s="1087"/>
      <c r="O16" s="1087"/>
      <c r="P16" s="1087"/>
      <c r="Q16" s="1087"/>
      <c r="R16" s="1087"/>
      <c r="S16" s="1092"/>
      <c r="T16" s="1092"/>
      <c r="U16" s="1089"/>
      <c r="V16" s="1088"/>
      <c r="W16" s="780">
        <f t="shared" si="0"/>
        <v>9</v>
      </c>
      <c r="X16" s="1090">
        <v>0.56155696479335226</v>
      </c>
    </row>
    <row r="17" spans="2:24" x14ac:dyDescent="0.2">
      <c r="B17" s="1084">
        <v>4</v>
      </c>
      <c r="C17" s="1087">
        <v>1942</v>
      </c>
      <c r="D17" s="1087">
        <v>2047</v>
      </c>
      <c r="E17" s="1087">
        <v>2124</v>
      </c>
      <c r="F17" s="1087">
        <v>2234</v>
      </c>
      <c r="G17" s="1087">
        <v>2306</v>
      </c>
      <c r="H17" s="1087">
        <v>2373</v>
      </c>
      <c r="I17" s="1087">
        <v>2439</v>
      </c>
      <c r="J17" s="1087">
        <v>2504</v>
      </c>
      <c r="K17" s="1087">
        <v>2568</v>
      </c>
      <c r="L17" s="1087">
        <v>2630</v>
      </c>
      <c r="M17" s="1087">
        <v>2692</v>
      </c>
      <c r="N17" s="1087"/>
      <c r="O17" s="1087"/>
      <c r="P17" s="1087"/>
      <c r="Q17" s="1087"/>
      <c r="R17" s="1087"/>
      <c r="S17" s="1092"/>
      <c r="T17" s="1092"/>
      <c r="U17" s="1089"/>
      <c r="V17" s="1088"/>
      <c r="W17" s="780">
        <f t="shared" si="0"/>
        <v>11</v>
      </c>
      <c r="X17" s="1090">
        <v>0.5886726437787011</v>
      </c>
    </row>
    <row r="18" spans="2:24" x14ac:dyDescent="0.2">
      <c r="B18" s="1084">
        <v>5</v>
      </c>
      <c r="C18" s="1087">
        <v>1979</v>
      </c>
      <c r="D18" s="1087">
        <v>2047</v>
      </c>
      <c r="E18" s="1087">
        <v>2124</v>
      </c>
      <c r="F18" s="1087">
        <v>2234</v>
      </c>
      <c r="G18" s="1087">
        <v>2373</v>
      </c>
      <c r="H18" s="1087">
        <v>2439</v>
      </c>
      <c r="I18" s="1087">
        <v>2504</v>
      </c>
      <c r="J18" s="1087">
        <v>2568</v>
      </c>
      <c r="K18" s="1087">
        <v>2630</v>
      </c>
      <c r="L18" s="1087">
        <v>2692</v>
      </c>
      <c r="M18" s="1087">
        <v>2755</v>
      </c>
      <c r="N18" s="1087">
        <v>2827</v>
      </c>
      <c r="O18" s="1087"/>
      <c r="P18" s="1087"/>
      <c r="Q18" s="1087"/>
      <c r="R18" s="1087"/>
      <c r="S18" s="1092"/>
      <c r="T18" s="1092"/>
      <c r="U18" s="1089"/>
      <c r="V18" s="1088"/>
      <c r="W18" s="780">
        <f t="shared" si="0"/>
        <v>12</v>
      </c>
      <c r="X18" s="1090">
        <v>0.61819374589984688</v>
      </c>
    </row>
    <row r="19" spans="2:24" x14ac:dyDescent="0.2">
      <c r="B19" s="1084">
        <v>6</v>
      </c>
      <c r="C19" s="1087">
        <v>2047</v>
      </c>
      <c r="D19" s="1087">
        <v>2124</v>
      </c>
      <c r="E19" s="1087">
        <v>2373</v>
      </c>
      <c r="F19" s="1087">
        <v>2504</v>
      </c>
      <c r="G19" s="1087">
        <v>2568</v>
      </c>
      <c r="H19" s="1087">
        <v>2630</v>
      </c>
      <c r="I19" s="1087">
        <v>2692</v>
      </c>
      <c r="J19" s="1087">
        <v>2755</v>
      </c>
      <c r="K19" s="1087">
        <v>2827</v>
      </c>
      <c r="L19" s="1087">
        <v>2896</v>
      </c>
      <c r="M19" s="1087">
        <v>2961</v>
      </c>
      <c r="N19" s="1087"/>
      <c r="O19" s="1087"/>
      <c r="P19" s="1087"/>
      <c r="Q19" s="1087"/>
      <c r="R19" s="1087"/>
      <c r="S19" s="1092"/>
      <c r="T19" s="1092"/>
      <c r="U19" s="1089"/>
      <c r="V19" s="1088"/>
      <c r="W19" s="780">
        <f t="shared" si="0"/>
        <v>11</v>
      </c>
      <c r="X19" s="1090">
        <v>0.64749617319046582</v>
      </c>
    </row>
    <row r="20" spans="2:24" x14ac:dyDescent="0.2">
      <c r="B20" s="1084">
        <v>7</v>
      </c>
      <c r="C20" s="1087">
        <v>2175</v>
      </c>
      <c r="D20" s="1087">
        <v>2234</v>
      </c>
      <c r="E20" s="1087">
        <v>2373</v>
      </c>
      <c r="F20" s="1087">
        <v>2630</v>
      </c>
      <c r="G20" s="1087">
        <v>2755</v>
      </c>
      <c r="H20" s="1087">
        <v>2827</v>
      </c>
      <c r="I20" s="1087">
        <v>2896</v>
      </c>
      <c r="J20" s="1087">
        <v>2961</v>
      </c>
      <c r="K20" s="1087">
        <v>3031</v>
      </c>
      <c r="L20" s="1087">
        <v>3104</v>
      </c>
      <c r="M20" s="1087">
        <v>3177</v>
      </c>
      <c r="N20" s="1087">
        <v>3262</v>
      </c>
      <c r="O20" s="1087"/>
      <c r="P20" s="1087"/>
      <c r="Q20" s="1087"/>
      <c r="R20" s="1087"/>
      <c r="S20" s="1092"/>
      <c r="T20" s="1092"/>
      <c r="U20" s="1089"/>
      <c r="V20" s="1088"/>
      <c r="W20" s="780">
        <f t="shared" si="0"/>
        <v>12</v>
      </c>
      <c r="X20" s="1090">
        <v>0.71331729717909464</v>
      </c>
    </row>
    <row r="21" spans="2:24" x14ac:dyDescent="0.2">
      <c r="B21" s="1084">
        <v>8</v>
      </c>
      <c r="C21" s="1087">
        <v>2439</v>
      </c>
      <c r="D21" s="1087">
        <v>2504</v>
      </c>
      <c r="E21" s="1087">
        <v>2630</v>
      </c>
      <c r="F21" s="1087">
        <v>2896</v>
      </c>
      <c r="G21" s="1087">
        <v>3031</v>
      </c>
      <c r="H21" s="1087">
        <v>3177</v>
      </c>
      <c r="I21" s="1087">
        <v>3262</v>
      </c>
      <c r="J21" s="1087">
        <v>3339</v>
      </c>
      <c r="K21" s="1087">
        <v>3407</v>
      </c>
      <c r="L21" s="1087">
        <v>3481</v>
      </c>
      <c r="M21" s="1087">
        <v>3554</v>
      </c>
      <c r="N21" s="1087">
        <v>3622</v>
      </c>
      <c r="O21" s="1087">
        <v>3686</v>
      </c>
      <c r="P21" s="1087"/>
      <c r="Q21" s="1087"/>
      <c r="R21" s="1087"/>
      <c r="S21" s="1092"/>
      <c r="T21" s="1092"/>
      <c r="U21" s="1089"/>
      <c r="V21" s="1088"/>
      <c r="W21" s="780">
        <f t="shared" si="0"/>
        <v>13</v>
      </c>
      <c r="X21" s="1090">
        <v>0.80603542532254535</v>
      </c>
    </row>
    <row r="22" spans="2:24" x14ac:dyDescent="0.2">
      <c r="B22" s="1084">
        <v>9</v>
      </c>
      <c r="C22" s="1087">
        <v>2755</v>
      </c>
      <c r="D22" s="1087">
        <v>2896</v>
      </c>
      <c r="E22" s="1087">
        <v>3177</v>
      </c>
      <c r="F22" s="1087">
        <v>3339</v>
      </c>
      <c r="G22" s="1087">
        <v>3481</v>
      </c>
      <c r="H22" s="1087">
        <v>3622</v>
      </c>
      <c r="I22" s="1087">
        <v>3757</v>
      </c>
      <c r="J22" s="1087">
        <v>3890</v>
      </c>
      <c r="K22" s="1087">
        <v>4035</v>
      </c>
      <c r="L22" s="1087">
        <v>4164</v>
      </c>
      <c r="M22" s="1087"/>
      <c r="N22" s="1087"/>
      <c r="O22" s="1087"/>
      <c r="P22" s="1087"/>
      <c r="Q22" s="1087"/>
      <c r="R22" s="1087"/>
      <c r="S22" s="1092"/>
      <c r="T22" s="1092"/>
      <c r="U22" s="1089"/>
      <c r="V22" s="1088"/>
      <c r="W22" s="780">
        <f t="shared" si="0"/>
        <v>10</v>
      </c>
      <c r="X22" s="1090">
        <v>0.91056199431445439</v>
      </c>
    </row>
    <row r="23" spans="2:24" x14ac:dyDescent="0.2">
      <c r="B23" s="1084">
        <v>10</v>
      </c>
      <c r="C23" s="1087">
        <v>2755</v>
      </c>
      <c r="D23" s="1087">
        <v>3031</v>
      </c>
      <c r="E23" s="1087">
        <v>3177</v>
      </c>
      <c r="F23" s="1087">
        <v>3339</v>
      </c>
      <c r="G23" s="1087">
        <v>3481</v>
      </c>
      <c r="H23" s="1087">
        <v>3622</v>
      </c>
      <c r="I23" s="1087">
        <v>3757</v>
      </c>
      <c r="J23" s="1087">
        <v>3890</v>
      </c>
      <c r="K23" s="1087">
        <v>4035</v>
      </c>
      <c r="L23" s="1087">
        <v>4164</v>
      </c>
      <c r="M23" s="1087">
        <v>4296</v>
      </c>
      <c r="N23" s="1087">
        <v>4425</v>
      </c>
      <c r="O23" s="1087">
        <v>4573</v>
      </c>
      <c r="P23" s="1087"/>
      <c r="Q23" s="1087"/>
      <c r="R23" s="1087"/>
      <c r="S23" s="1092"/>
      <c r="T23" s="1092"/>
      <c r="U23" s="1089"/>
      <c r="V23" s="1088"/>
      <c r="W23" s="780">
        <f t="shared" si="0"/>
        <v>13</v>
      </c>
      <c r="X23" s="1090">
        <v>1</v>
      </c>
    </row>
    <row r="24" spans="2:24" x14ac:dyDescent="0.2">
      <c r="B24" s="1084">
        <v>11</v>
      </c>
      <c r="C24" s="1087">
        <v>2896</v>
      </c>
      <c r="D24" s="1087">
        <v>3031</v>
      </c>
      <c r="E24" s="1087">
        <v>3181</v>
      </c>
      <c r="F24" s="1087">
        <v>3341</v>
      </c>
      <c r="G24" s="1087">
        <v>3491</v>
      </c>
      <c r="H24" s="1087">
        <v>3641</v>
      </c>
      <c r="I24" s="1087">
        <v>3793</v>
      </c>
      <c r="J24" s="1087">
        <v>4035</v>
      </c>
      <c r="K24" s="1087">
        <v>4196</v>
      </c>
      <c r="L24" s="1087">
        <v>4358</v>
      </c>
      <c r="M24" s="1087">
        <v>4520</v>
      </c>
      <c r="N24" s="1087">
        <v>4682</v>
      </c>
      <c r="O24" s="1087">
        <v>4844</v>
      </c>
      <c r="P24" s="1087">
        <v>5006</v>
      </c>
      <c r="Q24" s="1087">
        <v>5169</v>
      </c>
      <c r="R24" s="1087">
        <v>5329</v>
      </c>
      <c r="S24" s="1092"/>
      <c r="T24" s="1092"/>
      <c r="U24" s="1089"/>
      <c r="V24" s="1088"/>
      <c r="W24" s="780">
        <f t="shared" si="0"/>
        <v>16</v>
      </c>
      <c r="X24" s="1090">
        <v>1.1653181718784167</v>
      </c>
    </row>
    <row r="25" spans="2:24" x14ac:dyDescent="0.2">
      <c r="B25" s="1084">
        <v>12</v>
      </c>
      <c r="C25" s="1087">
        <v>3031</v>
      </c>
      <c r="D25" s="1087">
        <v>3210</v>
      </c>
      <c r="E25" s="1087">
        <v>3417</v>
      </c>
      <c r="F25" s="1087">
        <v>3626</v>
      </c>
      <c r="G25" s="1087">
        <v>3833</v>
      </c>
      <c r="H25" s="1087">
        <v>4068</v>
      </c>
      <c r="I25" s="1087">
        <v>4329</v>
      </c>
      <c r="J25" s="1087">
        <v>4621</v>
      </c>
      <c r="K25" s="1087">
        <v>4938</v>
      </c>
      <c r="L25" s="1087">
        <v>5284</v>
      </c>
      <c r="M25" s="1087">
        <v>5657</v>
      </c>
      <c r="N25" s="1087">
        <v>6059</v>
      </c>
      <c r="O25" s="1087"/>
      <c r="P25" s="1087"/>
      <c r="Q25" s="1087"/>
      <c r="R25" s="1087"/>
      <c r="S25" s="1092"/>
      <c r="T25" s="1092"/>
      <c r="U25" s="1089"/>
      <c r="V25" s="1088"/>
      <c r="W25" s="780">
        <f t="shared" si="0"/>
        <v>12</v>
      </c>
      <c r="X25" s="1090">
        <v>1.3249507981631314</v>
      </c>
    </row>
    <row r="26" spans="2:24" x14ac:dyDescent="0.2">
      <c r="B26" s="1084">
        <v>13</v>
      </c>
      <c r="C26" s="1087">
        <v>4715</v>
      </c>
      <c r="D26" s="1087">
        <v>4857</v>
      </c>
      <c r="E26" s="1087">
        <v>4991</v>
      </c>
      <c r="F26" s="1087">
        <v>5128</v>
      </c>
      <c r="G26" s="1087">
        <v>5260</v>
      </c>
      <c r="H26" s="1087">
        <v>5535</v>
      </c>
      <c r="I26" s="1087">
        <v>5668</v>
      </c>
      <c r="J26" s="1087">
        <v>5803</v>
      </c>
      <c r="K26" s="1087">
        <v>5973</v>
      </c>
      <c r="L26" s="1087">
        <v>6144</v>
      </c>
      <c r="M26" s="1087">
        <v>6314</v>
      </c>
      <c r="N26" s="1087">
        <v>6486</v>
      </c>
      <c r="O26" s="1087">
        <v>6568</v>
      </c>
      <c r="P26" s="1087"/>
      <c r="Q26" s="1087"/>
      <c r="R26" s="1087"/>
      <c r="S26" s="1092"/>
      <c r="T26" s="1092"/>
      <c r="U26" s="1089"/>
      <c r="V26" s="1088"/>
      <c r="W26" s="780">
        <f t="shared" si="0"/>
        <v>13</v>
      </c>
      <c r="X26" s="1090">
        <v>1.4362562869013777</v>
      </c>
    </row>
    <row r="27" spans="2:24" x14ac:dyDescent="0.2">
      <c r="B27" s="1084">
        <v>14</v>
      </c>
      <c r="C27" s="1087">
        <v>5399</v>
      </c>
      <c r="D27" s="1087">
        <v>5535</v>
      </c>
      <c r="E27" s="1087">
        <v>5803</v>
      </c>
      <c r="F27" s="1087">
        <v>5973</v>
      </c>
      <c r="G27" s="1087">
        <v>6144</v>
      </c>
      <c r="H27" s="1087">
        <v>6314</v>
      </c>
      <c r="I27" s="1087">
        <v>6486</v>
      </c>
      <c r="J27" s="1087">
        <v>6658</v>
      </c>
      <c r="K27" s="1087">
        <v>6838</v>
      </c>
      <c r="L27" s="1087">
        <v>7024</v>
      </c>
      <c r="M27" s="1087">
        <v>7215</v>
      </c>
      <c r="N27" s="1087"/>
      <c r="O27" s="1087"/>
      <c r="P27" s="1087"/>
      <c r="Q27" s="1087"/>
      <c r="R27" s="1087"/>
      <c r="S27" s="1092"/>
      <c r="T27" s="1092"/>
      <c r="U27" s="1089"/>
      <c r="V27" s="1088"/>
      <c r="W27" s="780">
        <f t="shared" si="0"/>
        <v>11</v>
      </c>
      <c r="X27" s="1090">
        <v>1.5777389022523507</v>
      </c>
    </row>
    <row r="28" spans="2:24" x14ac:dyDescent="0.2">
      <c r="B28" s="1084">
        <v>15</v>
      </c>
      <c r="C28" s="1087">
        <v>5668</v>
      </c>
      <c r="D28" s="1087">
        <v>5803</v>
      </c>
      <c r="E28" s="1087">
        <v>5973</v>
      </c>
      <c r="F28" s="1087">
        <v>6314</v>
      </c>
      <c r="G28" s="1087">
        <v>6486</v>
      </c>
      <c r="H28" s="1087">
        <v>6658</v>
      </c>
      <c r="I28" s="1087">
        <v>6838</v>
      </c>
      <c r="J28" s="1087">
        <v>7024</v>
      </c>
      <c r="K28" s="1087">
        <v>7215</v>
      </c>
      <c r="L28" s="1087">
        <v>7443</v>
      </c>
      <c r="M28" s="1087">
        <v>7680</v>
      </c>
      <c r="N28" s="1087">
        <v>7922</v>
      </c>
      <c r="O28" s="1087"/>
      <c r="P28" s="1087"/>
      <c r="Q28" s="1087"/>
      <c r="R28" s="1087"/>
      <c r="S28" s="1092"/>
      <c r="T28" s="1092"/>
      <c r="U28" s="1095"/>
      <c r="V28" s="1096"/>
      <c r="W28" s="780">
        <f t="shared" si="0"/>
        <v>12</v>
      </c>
      <c r="X28" s="1090">
        <v>1.7323420074349443</v>
      </c>
    </row>
    <row r="29" spans="2:24" x14ac:dyDescent="0.2">
      <c r="B29" s="1084">
        <v>16</v>
      </c>
      <c r="C29" s="1087">
        <v>6144</v>
      </c>
      <c r="D29" s="1087">
        <v>6314</v>
      </c>
      <c r="E29" s="1087">
        <v>6486</v>
      </c>
      <c r="F29" s="1087">
        <v>6838</v>
      </c>
      <c r="G29" s="1087">
        <v>7024</v>
      </c>
      <c r="H29" s="1087">
        <v>7215</v>
      </c>
      <c r="I29" s="1087">
        <v>7443</v>
      </c>
      <c r="J29" s="1087">
        <v>7680</v>
      </c>
      <c r="K29" s="1087">
        <v>7922</v>
      </c>
      <c r="L29" s="1087">
        <v>8176</v>
      </c>
      <c r="M29" s="1087">
        <v>8433</v>
      </c>
      <c r="N29" s="1087">
        <v>8702</v>
      </c>
      <c r="O29" s="1087"/>
      <c r="P29" s="1087"/>
      <c r="Q29" s="1087"/>
      <c r="R29" s="1087"/>
      <c r="S29" s="1092"/>
      <c r="T29" s="1092"/>
      <c r="U29" s="1095"/>
      <c r="V29" s="1096"/>
      <c r="W29" s="780">
        <f t="shared" si="0"/>
        <v>12</v>
      </c>
      <c r="X29" s="1090">
        <v>1.9029083752460092</v>
      </c>
    </row>
    <row r="30" spans="2:24" x14ac:dyDescent="0.2">
      <c r="B30" s="1084">
        <v>17</v>
      </c>
      <c r="C30" s="1087">
        <v>6658</v>
      </c>
      <c r="D30" s="1087">
        <v>6838</v>
      </c>
      <c r="E30" s="1087">
        <v>7024</v>
      </c>
      <c r="F30" s="1087">
        <v>7443</v>
      </c>
      <c r="G30" s="1087">
        <v>7680</v>
      </c>
      <c r="H30" s="1087">
        <v>7922</v>
      </c>
      <c r="I30" s="1087">
        <v>8176</v>
      </c>
      <c r="J30" s="1087">
        <v>8433</v>
      </c>
      <c r="K30" s="1087">
        <v>8702</v>
      </c>
      <c r="L30" s="1087">
        <v>8980</v>
      </c>
      <c r="M30" s="1087">
        <v>9265</v>
      </c>
      <c r="N30" s="1087">
        <v>9559</v>
      </c>
      <c r="O30"/>
      <c r="P30"/>
      <c r="Q30"/>
      <c r="R30"/>
      <c r="S30"/>
      <c r="T30"/>
      <c r="U30"/>
      <c r="V30"/>
      <c r="W30" s="780">
        <f t="shared" si="0"/>
        <v>12</v>
      </c>
      <c r="X30" s="1090">
        <f>N30/N9</f>
        <v>2.0903127050076535</v>
      </c>
    </row>
  </sheetData>
  <sheetProtection algorithmName="SHA-512" hashValue="kcFjXtgXTFx+iKNlRtzuG9MNzX7N3i0tys6ipsOdPaYo/EDBksL3XN6YW+wFWsLtL/MNMQ6GAb1z5r0gDosCeg==" saltValue="AVyOnko0QEAK2rauP3Qihg==" spinCount="100000" sheet="1" objects="1" scenarios="1"/>
  <mergeCells count="1">
    <mergeCell ref="C4:D4"/>
  </mergeCells>
  <printOptions gridLines="1"/>
  <pageMargins left="0.70866141732283472" right="0.70866141732283472" top="0.74803149606299213" bottom="0.74803149606299213" header="0.31496062992125984" footer="0.31496062992125984"/>
  <pageSetup paperSize="9" scale="61"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M275"/>
  <sheetViews>
    <sheetView zoomScale="85" zoomScaleNormal="85" workbookViewId="0">
      <selection activeCell="B2" sqref="B2"/>
    </sheetView>
  </sheetViews>
  <sheetFormatPr defaultColWidth="9.7109375" defaultRowHeight="12.75" x14ac:dyDescent="0.2"/>
  <cols>
    <col min="1" max="1" width="3.7109375" style="6" customWidth="1"/>
    <col min="2" max="3" width="2.7109375" style="6" customWidth="1"/>
    <col min="4" max="4" width="35.7109375" style="6" customWidth="1"/>
    <col min="5" max="5" width="2.7109375" style="6" customWidth="1"/>
    <col min="6" max="10" width="16.85546875" style="6" customWidth="1"/>
    <col min="11" max="12" width="2.7109375" style="6" customWidth="1"/>
    <col min="13" max="19" width="9.7109375" style="6" customWidth="1"/>
    <col min="20" max="20" width="8" style="6" customWidth="1"/>
    <col min="21" max="21" width="13.85546875" style="6" customWidth="1"/>
    <col min="22" max="16384" width="9.7109375" style="6"/>
  </cols>
  <sheetData>
    <row r="2" spans="2:12" x14ac:dyDescent="0.2">
      <c r="B2" s="17"/>
      <c r="C2" s="18"/>
      <c r="D2" s="18"/>
      <c r="E2" s="18"/>
      <c r="F2" s="18"/>
      <c r="G2" s="18"/>
      <c r="H2" s="18"/>
      <c r="I2" s="18"/>
      <c r="J2" s="18"/>
      <c r="K2" s="18"/>
      <c r="L2" s="19"/>
    </row>
    <row r="3" spans="2:12" x14ac:dyDescent="0.2">
      <c r="B3" s="20"/>
      <c r="C3" s="21"/>
      <c r="D3" s="21"/>
      <c r="E3" s="21"/>
      <c r="F3" s="21"/>
      <c r="G3" s="21"/>
      <c r="H3" s="21"/>
      <c r="I3" s="21"/>
      <c r="J3" s="21"/>
      <c r="K3" s="21"/>
      <c r="L3" s="24"/>
    </row>
    <row r="4" spans="2:12" s="13" customFormat="1" ht="18.75" x14ac:dyDescent="0.3">
      <c r="B4" s="42"/>
      <c r="C4" s="93" t="s">
        <v>186</v>
      </c>
      <c r="D4" s="43"/>
      <c r="E4" s="43"/>
      <c r="F4" s="43"/>
      <c r="G4" s="43"/>
      <c r="H4" s="43"/>
      <c r="I4" s="43"/>
      <c r="J4" s="43"/>
      <c r="K4" s="43"/>
      <c r="L4" s="44"/>
    </row>
    <row r="5" spans="2:12" s="8" customFormat="1" ht="18.75" x14ac:dyDescent="0.3">
      <c r="B5" s="25"/>
      <c r="C5" s="26" t="str">
        <f>'geg ll'!C5</f>
        <v>Voorbeeld SWV VO Alkmaar</v>
      </c>
      <c r="D5" s="26"/>
      <c r="E5" s="26"/>
      <c r="F5" s="26"/>
      <c r="G5" s="26"/>
      <c r="H5" s="26"/>
      <c r="I5" s="26"/>
      <c r="J5" s="26"/>
      <c r="K5" s="26"/>
      <c r="L5" s="27"/>
    </row>
    <row r="6" spans="2:12" ht="12.75" customHeight="1" x14ac:dyDescent="0.25">
      <c r="B6" s="20"/>
      <c r="C6" s="91"/>
      <c r="D6" s="21"/>
      <c r="E6" s="21"/>
      <c r="F6" s="21"/>
      <c r="G6" s="21"/>
      <c r="H6" s="21"/>
      <c r="I6" s="21"/>
      <c r="J6" s="21"/>
      <c r="K6" s="21"/>
      <c r="L6" s="24"/>
    </row>
    <row r="7" spans="2:12" ht="12.75" customHeight="1" x14ac:dyDescent="0.25">
      <c r="B7" s="20"/>
      <c r="C7" s="91"/>
      <c r="D7" s="21"/>
      <c r="E7" s="21"/>
      <c r="F7" s="21"/>
      <c r="G7" s="21"/>
      <c r="H7" s="21"/>
      <c r="I7" s="21"/>
      <c r="J7" s="21"/>
      <c r="K7" s="21"/>
      <c r="L7" s="24"/>
    </row>
    <row r="8" spans="2:12" ht="12.75" customHeight="1" x14ac:dyDescent="0.25">
      <c r="B8" s="20"/>
      <c r="C8" s="91"/>
      <c r="D8" s="21"/>
      <c r="E8" s="21"/>
      <c r="F8" s="21"/>
      <c r="G8" s="21"/>
      <c r="H8" s="21"/>
      <c r="I8" s="21"/>
      <c r="J8" s="21"/>
      <c r="K8" s="21"/>
      <c r="L8" s="24"/>
    </row>
    <row r="9" spans="2:12" ht="12.75" customHeight="1" x14ac:dyDescent="0.2">
      <c r="B9" s="20"/>
      <c r="C9" s="58"/>
      <c r="D9" s="31"/>
      <c r="E9" s="31"/>
      <c r="F9" s="31"/>
      <c r="G9" s="31"/>
      <c r="H9" s="31"/>
      <c r="I9" s="31"/>
      <c r="J9" s="31"/>
      <c r="K9" s="31"/>
      <c r="L9" s="24"/>
    </row>
    <row r="10" spans="2:12" ht="12.75" customHeight="1" x14ac:dyDescent="0.2">
      <c r="B10" s="20"/>
      <c r="C10" s="32"/>
      <c r="D10" s="92" t="s">
        <v>187</v>
      </c>
      <c r="E10" s="33"/>
      <c r="F10" s="33"/>
      <c r="G10" s="33"/>
      <c r="H10" s="676"/>
      <c r="I10" s="33"/>
      <c r="J10" s="33"/>
      <c r="K10" s="33"/>
      <c r="L10" s="24"/>
    </row>
    <row r="11" spans="2:12" ht="12.75" customHeight="1" x14ac:dyDescent="0.2">
      <c r="B11" s="20"/>
      <c r="C11" s="32"/>
      <c r="D11" s="149" t="s">
        <v>411</v>
      </c>
      <c r="E11" s="33"/>
      <c r="F11" s="33"/>
      <c r="G11" s="33"/>
      <c r="H11" s="676"/>
      <c r="I11" s="33"/>
      <c r="J11" s="33"/>
      <c r="K11" s="33"/>
      <c r="L11" s="24"/>
    </row>
    <row r="12" spans="2:12" ht="12.75" customHeight="1" x14ac:dyDescent="0.2">
      <c r="B12" s="20"/>
      <c r="C12" s="32"/>
      <c r="D12" s="33"/>
      <c r="E12" s="33"/>
      <c r="F12" s="33"/>
      <c r="G12" s="33"/>
      <c r="H12" s="33"/>
      <c r="I12" s="33"/>
      <c r="J12" s="33"/>
      <c r="K12" s="33"/>
      <c r="L12" s="24"/>
    </row>
    <row r="13" spans="2:12" ht="12.75" customHeight="1" x14ac:dyDescent="0.2">
      <c r="B13" s="20"/>
      <c r="C13" s="32"/>
      <c r="D13" s="33"/>
      <c r="E13" s="33"/>
      <c r="F13" s="35"/>
      <c r="G13" s="33"/>
      <c r="H13" s="33"/>
      <c r="I13" s="33"/>
      <c r="J13" s="33"/>
      <c r="K13" s="33"/>
      <c r="L13" s="24"/>
    </row>
    <row r="14" spans="2:12" ht="12.75" customHeight="1" x14ac:dyDescent="0.2">
      <c r="B14" s="20"/>
      <c r="C14" s="32"/>
      <c r="D14" s="33" t="s">
        <v>27</v>
      </c>
      <c r="E14" s="33"/>
      <c r="F14" s="94">
        <v>0.05</v>
      </c>
      <c r="G14" s="94">
        <v>0.1</v>
      </c>
      <c r="H14" s="94">
        <v>0.15</v>
      </c>
      <c r="I14" s="94">
        <v>0.2</v>
      </c>
      <c r="J14" s="94">
        <v>0.25</v>
      </c>
      <c r="K14" s="33"/>
      <c r="L14" s="24"/>
    </row>
    <row r="15" spans="2:12" ht="12.75" customHeight="1" x14ac:dyDescent="0.2">
      <c r="B15" s="20"/>
      <c r="C15" s="32"/>
      <c r="D15" s="33" t="s">
        <v>28</v>
      </c>
      <c r="E15" s="33"/>
      <c r="F15" s="125" t="s">
        <v>56</v>
      </c>
      <c r="G15" s="41" t="s">
        <v>57</v>
      </c>
      <c r="H15" s="41" t="s">
        <v>58</v>
      </c>
      <c r="I15" s="41" t="s">
        <v>59</v>
      </c>
      <c r="J15" s="41">
        <v>12</v>
      </c>
      <c r="K15" s="33"/>
      <c r="L15" s="24"/>
    </row>
    <row r="16" spans="2:12" ht="12.75" customHeight="1" x14ac:dyDescent="0.2">
      <c r="B16" s="20"/>
      <c r="C16" s="32"/>
      <c r="D16" s="33" t="s">
        <v>29</v>
      </c>
      <c r="E16" s="33"/>
      <c r="F16" s="1116">
        <f>ROUND(F14*VLOOKUP(F15,Verhoudingstabel,23,FALSE)*tab!$C$26,2)</f>
        <v>4500</v>
      </c>
      <c r="G16" s="1116">
        <f>ROUND(G14*VLOOKUP(G15,Verhoudingstabel,23,FALSE)*tab!$C$26,2)</f>
        <v>10487.86</v>
      </c>
      <c r="H16" s="1116">
        <f>ROUND(H14*VLOOKUP(H15,Verhoudingstabel,23,FALSE)*tab!$C$26,2)</f>
        <v>17886.84</v>
      </c>
      <c r="I16" s="1116">
        <f>ROUND(I14*VLOOKUP(I15,Verhoudingstabel,23,FALSE)*tab!$C$26,2)</f>
        <v>25852.61</v>
      </c>
      <c r="J16" s="1116">
        <f>ROUND(J14*VLOOKUP(J15,Verhoudingstabel,23,FALSE)*tab!$C$26,2)</f>
        <v>29811.39</v>
      </c>
      <c r="K16" s="33"/>
      <c r="L16" s="24"/>
    </row>
    <row r="17" spans="2:12" ht="12.75" customHeight="1" x14ac:dyDescent="0.2">
      <c r="B17" s="20"/>
      <c r="C17" s="32"/>
      <c r="D17" s="33"/>
      <c r="E17" s="35"/>
      <c r="F17" s="33"/>
      <c r="G17" s="33"/>
      <c r="H17" s="33"/>
      <c r="I17" s="33"/>
      <c r="J17" s="33"/>
      <c r="K17" s="33"/>
      <c r="L17" s="24"/>
    </row>
    <row r="18" spans="2:12" ht="12.75" customHeight="1" x14ac:dyDescent="0.2">
      <c r="B18" s="20"/>
      <c r="C18" s="32"/>
      <c r="D18" s="33" t="s">
        <v>27</v>
      </c>
      <c r="E18" s="33"/>
      <c r="F18" s="94">
        <v>0.3</v>
      </c>
      <c r="G18" s="94">
        <v>0.3</v>
      </c>
      <c r="H18" s="94">
        <v>0.45</v>
      </c>
      <c r="I18" s="94">
        <v>0.5</v>
      </c>
      <c r="J18" s="94">
        <v>0.5</v>
      </c>
      <c r="K18" s="33"/>
      <c r="L18" s="24"/>
    </row>
    <row r="19" spans="2:12" ht="12.75" customHeight="1" x14ac:dyDescent="0.2">
      <c r="B19" s="20"/>
      <c r="C19" s="32"/>
      <c r="D19" s="33" t="s">
        <v>28</v>
      </c>
      <c r="E19" s="33"/>
      <c r="F19" s="41">
        <v>8</v>
      </c>
      <c r="G19" s="41">
        <v>9</v>
      </c>
      <c r="H19" s="41">
        <v>10</v>
      </c>
      <c r="I19" s="41">
        <v>11</v>
      </c>
      <c r="J19" s="41">
        <v>12</v>
      </c>
      <c r="K19" s="33"/>
      <c r="L19" s="24"/>
    </row>
    <row r="20" spans="2:12" ht="12.75" customHeight="1" x14ac:dyDescent="0.2">
      <c r="B20" s="20"/>
      <c r="C20" s="32"/>
      <c r="D20" s="33" t="s">
        <v>29</v>
      </c>
      <c r="E20" s="33"/>
      <c r="F20" s="98">
        <f>ROUND(F18*tab!$C$26*VLOOKUP(F19,Verhoudingstabel,23,FALSE),-1)</f>
        <v>21760</v>
      </c>
      <c r="G20" s="98">
        <f>ROUND(G18*tab!$C$26*VLOOKUP(G19,Verhoudingstabel,23,FALSE),-1)</f>
        <v>24590</v>
      </c>
      <c r="H20" s="98">
        <f>ROUND(H18*tab!$C$26*VLOOKUP(H19,Verhoudingstabel,23,FALSE),-1)</f>
        <v>40500</v>
      </c>
      <c r="I20" s="98">
        <f>ROUND(I18*tab!$C$26*VLOOKUP(I19,Verhoudingstabel,23,FALSE),-1)</f>
        <v>52440</v>
      </c>
      <c r="J20" s="98">
        <f>ROUND(J18*tab!$C$26*VLOOKUP(J19,Verhoudingstabel,23,FALSE),-1)</f>
        <v>59620</v>
      </c>
      <c r="K20" s="33"/>
      <c r="L20" s="24"/>
    </row>
    <row r="21" spans="2:12" ht="12.75" customHeight="1" x14ac:dyDescent="0.2">
      <c r="B21" s="20"/>
      <c r="C21" s="37"/>
      <c r="D21" s="38"/>
      <c r="E21" s="46"/>
      <c r="F21" s="38"/>
      <c r="G21" s="38"/>
      <c r="H21" s="38"/>
      <c r="I21" s="38"/>
      <c r="J21" s="38"/>
      <c r="K21" s="38"/>
      <c r="L21" s="24"/>
    </row>
    <row r="22" spans="2:12" ht="12.75" customHeight="1" x14ac:dyDescent="0.2">
      <c r="B22" s="20"/>
      <c r="C22" s="21"/>
      <c r="D22" s="21"/>
      <c r="E22" s="22"/>
      <c r="F22" s="21"/>
      <c r="G22" s="21"/>
      <c r="H22" s="21"/>
      <c r="I22" s="21"/>
      <c r="J22" s="21"/>
      <c r="K22" s="21"/>
      <c r="L22" s="24"/>
    </row>
    <row r="23" spans="2:12" ht="12.75" customHeight="1" x14ac:dyDescent="0.2">
      <c r="B23" s="20"/>
      <c r="C23" s="30"/>
      <c r="D23" s="31"/>
      <c r="E23" s="40"/>
      <c r="F23" s="31"/>
      <c r="G23" s="31"/>
      <c r="H23" s="31"/>
      <c r="I23" s="31"/>
      <c r="J23" s="31"/>
      <c r="K23" s="31"/>
      <c r="L23" s="24"/>
    </row>
    <row r="24" spans="2:12" ht="12.75" customHeight="1" x14ac:dyDescent="0.2">
      <c r="B24" s="20"/>
      <c r="C24" s="32"/>
      <c r="D24" s="92" t="s">
        <v>188</v>
      </c>
      <c r="E24" s="35"/>
      <c r="F24" s="33"/>
      <c r="G24" s="33"/>
      <c r="H24" s="33"/>
      <c r="I24" s="33"/>
      <c r="J24" s="33"/>
      <c r="K24" s="33"/>
      <c r="L24" s="24"/>
    </row>
    <row r="25" spans="2:12" ht="12.75" customHeight="1" x14ac:dyDescent="0.2">
      <c r="B25" s="20"/>
      <c r="C25" s="32"/>
      <c r="D25" s="33"/>
      <c r="E25" s="35"/>
      <c r="F25" s="33"/>
      <c r="G25" s="33"/>
      <c r="H25" s="33"/>
      <c r="I25" s="33"/>
      <c r="J25" s="33"/>
      <c r="K25" s="33"/>
      <c r="L25" s="24"/>
    </row>
    <row r="26" spans="2:12" ht="12.75" customHeight="1" x14ac:dyDescent="0.2">
      <c r="B26" s="20"/>
      <c r="C26" s="32"/>
      <c r="D26" s="33" t="s">
        <v>30</v>
      </c>
      <c r="E26" s="33"/>
      <c r="F26" s="124" t="s">
        <v>31</v>
      </c>
      <c r="G26" s="88" t="s">
        <v>31</v>
      </c>
      <c r="H26" s="88" t="s">
        <v>31</v>
      </c>
      <c r="I26" s="88" t="s">
        <v>31</v>
      </c>
      <c r="J26" s="88" t="s">
        <v>31</v>
      </c>
      <c r="K26" s="33"/>
      <c r="L26" s="24"/>
    </row>
    <row r="27" spans="2:12" ht="12.75" customHeight="1" x14ac:dyDescent="0.2">
      <c r="B27" s="20"/>
      <c r="C27" s="32"/>
      <c r="D27" s="33" t="s">
        <v>61</v>
      </c>
      <c r="E27" s="33"/>
      <c r="F27" s="125" t="s">
        <v>56</v>
      </c>
      <c r="G27" s="41">
        <v>13</v>
      </c>
      <c r="H27" s="41">
        <v>14</v>
      </c>
      <c r="I27" s="41">
        <v>15</v>
      </c>
      <c r="J27" s="41">
        <v>16</v>
      </c>
      <c r="K27" s="33"/>
      <c r="L27" s="24"/>
    </row>
    <row r="28" spans="2:12" ht="12.75" customHeight="1" x14ac:dyDescent="0.2">
      <c r="B28" s="20"/>
      <c r="C28" s="32"/>
      <c r="D28" s="33" t="s">
        <v>32</v>
      </c>
      <c r="E28" s="33"/>
      <c r="F28" s="41">
        <v>11</v>
      </c>
      <c r="G28" s="41">
        <v>11</v>
      </c>
      <c r="H28" s="41">
        <v>11</v>
      </c>
      <c r="I28" s="41">
        <v>11</v>
      </c>
      <c r="J28" s="41">
        <v>11</v>
      </c>
      <c r="K28" s="33"/>
      <c r="L28" s="24"/>
    </row>
    <row r="29" spans="2:12" ht="12.75" customHeight="1" x14ac:dyDescent="0.2">
      <c r="B29" s="20"/>
      <c r="C29" s="32"/>
      <c r="D29" s="33" t="s">
        <v>33</v>
      </c>
      <c r="E29" s="33"/>
      <c r="F29" s="96">
        <f>ROUND(VLOOKUP(F27,saltab2022,F28+1,FALSE),0)</f>
        <v>4336</v>
      </c>
      <c r="G29" s="96">
        <f>ROUND(VLOOKUP(G27,saltab2022,G28+1,FALSE),0)</f>
        <v>6314</v>
      </c>
      <c r="H29" s="96">
        <f>ROUND(VLOOKUP(H27,saltab2022,H28+1,FALSE),0)</f>
        <v>7215</v>
      </c>
      <c r="I29" s="96">
        <f>ROUND(VLOOKUP(I27,saltab2022,I28+1,FALSE),0)</f>
        <v>7680</v>
      </c>
      <c r="J29" s="96">
        <f>ROUND(VLOOKUP(J27,saltab2022,J28+1,FALSE),0)</f>
        <v>8433</v>
      </c>
      <c r="K29" s="33"/>
      <c r="L29" s="24"/>
    </row>
    <row r="30" spans="2:12" ht="12.75" customHeight="1" x14ac:dyDescent="0.2">
      <c r="B30" s="20"/>
      <c r="C30" s="32"/>
      <c r="D30" s="33" t="s">
        <v>27</v>
      </c>
      <c r="E30" s="33"/>
      <c r="F30" s="94">
        <v>0.5</v>
      </c>
      <c r="G30" s="94">
        <v>0.5</v>
      </c>
      <c r="H30" s="94">
        <v>0.5</v>
      </c>
      <c r="I30" s="94">
        <v>0.5</v>
      </c>
      <c r="J30" s="94">
        <v>0.5</v>
      </c>
      <c r="K30" s="33"/>
      <c r="L30" s="24"/>
    </row>
    <row r="31" spans="2:12" ht="12.75" customHeight="1" x14ac:dyDescent="0.2">
      <c r="B31" s="20"/>
      <c r="C31" s="32"/>
      <c r="D31" s="33" t="s">
        <v>34</v>
      </c>
      <c r="E31" s="33"/>
      <c r="F31" s="96">
        <f>+F29*F30</f>
        <v>2168</v>
      </c>
      <c r="G31" s="96">
        <f>+G29*G30</f>
        <v>3157</v>
      </c>
      <c r="H31" s="96">
        <f>+H29*H30</f>
        <v>3607.5</v>
      </c>
      <c r="I31" s="96">
        <f>+I29*I30</f>
        <v>3840</v>
      </c>
      <c r="J31" s="96">
        <f>+J29*J30</f>
        <v>4216.5</v>
      </c>
      <c r="K31" s="33"/>
      <c r="L31" s="24"/>
    </row>
    <row r="32" spans="2:12" ht="12.75" customHeight="1" x14ac:dyDescent="0.2">
      <c r="B32" s="20"/>
      <c r="C32" s="32"/>
      <c r="D32" s="33" t="s">
        <v>35</v>
      </c>
      <c r="E32" s="33"/>
      <c r="F32" s="95">
        <f>tab!$C$32</f>
        <v>0.60000000000000009</v>
      </c>
      <c r="G32" s="95">
        <f>tab!$C$32</f>
        <v>0.60000000000000009</v>
      </c>
      <c r="H32" s="95">
        <f>tab!$C$32</f>
        <v>0.60000000000000009</v>
      </c>
      <c r="I32" s="95">
        <f>tab!$C$32</f>
        <v>0.60000000000000009</v>
      </c>
      <c r="J32" s="95">
        <f>tab!$C$32</f>
        <v>0.60000000000000009</v>
      </c>
      <c r="K32" s="33"/>
      <c r="L32" s="24"/>
    </row>
    <row r="33" spans="2:13" ht="12.75" customHeight="1" x14ac:dyDescent="0.2">
      <c r="B33" s="20"/>
      <c r="C33" s="32"/>
      <c r="D33" s="149" t="s">
        <v>448</v>
      </c>
      <c r="E33" s="33"/>
      <c r="F33" s="97">
        <f>+F31*(1+F32)*12</f>
        <v>41625.600000000006</v>
      </c>
      <c r="G33" s="97">
        <f>+G31*(1+G32)*12</f>
        <v>60614.400000000009</v>
      </c>
      <c r="H33" s="97">
        <f>+H31*(1+H32)*12</f>
        <v>69264</v>
      </c>
      <c r="I33" s="97">
        <f>+I31*(1+I32)*12</f>
        <v>73728</v>
      </c>
      <c r="J33" s="97">
        <f>+J31*(1+J32)*12</f>
        <v>80956.800000000003</v>
      </c>
      <c r="K33" s="33"/>
      <c r="L33" s="24"/>
    </row>
    <row r="34" spans="2:13" ht="12.75" customHeight="1" x14ac:dyDescent="0.2">
      <c r="B34" s="20"/>
      <c r="C34" s="32"/>
      <c r="D34" s="33"/>
      <c r="E34" s="33"/>
      <c r="F34" s="144"/>
      <c r="G34" s="144"/>
      <c r="H34" s="144"/>
      <c r="I34" s="144"/>
      <c r="J34" s="144"/>
      <c r="K34" s="33"/>
      <c r="L34" s="24"/>
      <c r="M34" s="14"/>
    </row>
    <row r="35" spans="2:13" ht="12.75" customHeight="1" x14ac:dyDescent="0.2">
      <c r="B35" s="20"/>
      <c r="C35" s="32"/>
      <c r="D35" s="33"/>
      <c r="E35" s="33"/>
      <c r="F35" s="144"/>
      <c r="G35" s="144"/>
      <c r="H35" s="144"/>
      <c r="I35" s="144"/>
      <c r="J35" s="144"/>
      <c r="K35" s="33"/>
      <c r="L35" s="24"/>
      <c r="M35" s="14"/>
    </row>
    <row r="36" spans="2:13" ht="12.75" customHeight="1" x14ac:dyDescent="0.2">
      <c r="B36" s="20"/>
      <c r="C36" s="32"/>
      <c r="D36" s="33" t="s">
        <v>30</v>
      </c>
      <c r="E36" s="33"/>
      <c r="F36" s="88" t="s">
        <v>31</v>
      </c>
      <c r="G36" s="88" t="s">
        <v>31</v>
      </c>
      <c r="H36" s="88" t="s">
        <v>31</v>
      </c>
      <c r="I36" s="88" t="s">
        <v>31</v>
      </c>
      <c r="J36" s="88" t="s">
        <v>31</v>
      </c>
      <c r="K36" s="33"/>
      <c r="L36" s="24"/>
    </row>
    <row r="37" spans="2:13" ht="12.75" customHeight="1" x14ac:dyDescent="0.2">
      <c r="B37" s="20"/>
      <c r="C37" s="32"/>
      <c r="D37" s="33" t="s">
        <v>61</v>
      </c>
      <c r="E37" s="33"/>
      <c r="F37" s="41" t="s">
        <v>56</v>
      </c>
      <c r="G37" s="41" t="s">
        <v>57</v>
      </c>
      <c r="H37" s="41" t="s">
        <v>58</v>
      </c>
      <c r="I37" s="41" t="s">
        <v>58</v>
      </c>
      <c r="J37" s="41">
        <v>12</v>
      </c>
      <c r="K37" s="33"/>
      <c r="L37" s="24"/>
    </row>
    <row r="38" spans="2:13" ht="12.75" customHeight="1" x14ac:dyDescent="0.2">
      <c r="B38" s="20"/>
      <c r="C38" s="32"/>
      <c r="D38" s="33" t="s">
        <v>32</v>
      </c>
      <c r="E38" s="33"/>
      <c r="F38" s="41">
        <v>12</v>
      </c>
      <c r="G38" s="41">
        <v>12</v>
      </c>
      <c r="H38" s="41">
        <v>12</v>
      </c>
      <c r="I38" s="41">
        <v>12</v>
      </c>
      <c r="J38" s="41">
        <v>12</v>
      </c>
      <c r="K38" s="33"/>
      <c r="L38" s="24"/>
    </row>
    <row r="39" spans="2:13" ht="12.75" customHeight="1" x14ac:dyDescent="0.2">
      <c r="B39" s="20"/>
      <c r="C39" s="32"/>
      <c r="D39" s="33" t="s">
        <v>33</v>
      </c>
      <c r="E39" s="33"/>
      <c r="F39" s="96">
        <f>ROUND(VLOOKUP(F37,saltab2022,F38+1,FALSE),0)</f>
        <v>4573</v>
      </c>
      <c r="G39" s="96">
        <f>ROUND(VLOOKUP(G37,saltab2022,G38+1,FALSE),0)</f>
        <v>5329</v>
      </c>
      <c r="H39" s="96">
        <f>ROUND(VLOOKUP(H37,saltab2022,H38+1,FALSE),0)</f>
        <v>6059</v>
      </c>
      <c r="I39" s="96">
        <f>ROUND(VLOOKUP(I37,saltab2022,I38+1,FALSE),0)</f>
        <v>6059</v>
      </c>
      <c r="J39" s="96">
        <f>ROUND(VLOOKUP(J37,saltab2022,J38+1,FALSE),0)</f>
        <v>6059</v>
      </c>
      <c r="K39" s="33"/>
      <c r="L39" s="24"/>
    </row>
    <row r="40" spans="2:13" ht="12.75" customHeight="1" x14ac:dyDescent="0.2">
      <c r="B40" s="20"/>
      <c r="C40" s="32"/>
      <c r="D40" s="33" t="s">
        <v>27</v>
      </c>
      <c r="E40" s="33"/>
      <c r="F40" s="94">
        <v>0.5</v>
      </c>
      <c r="G40" s="94">
        <v>0.5</v>
      </c>
      <c r="H40" s="94">
        <v>0.5</v>
      </c>
      <c r="I40" s="94">
        <v>0.5</v>
      </c>
      <c r="J40" s="94">
        <v>0.5</v>
      </c>
      <c r="K40" s="33"/>
      <c r="L40" s="24"/>
    </row>
    <row r="41" spans="2:13" ht="12.75" customHeight="1" x14ac:dyDescent="0.2">
      <c r="B41" s="20"/>
      <c r="C41" s="32"/>
      <c r="D41" s="33" t="s">
        <v>34</v>
      </c>
      <c r="E41" s="33"/>
      <c r="F41" s="96">
        <f>+F39*F40</f>
        <v>2286.5</v>
      </c>
      <c r="G41" s="96">
        <f>+G39*G40</f>
        <v>2664.5</v>
      </c>
      <c r="H41" s="96">
        <f>+H39*H40</f>
        <v>3029.5</v>
      </c>
      <c r="I41" s="96">
        <f>+I39*I40</f>
        <v>3029.5</v>
      </c>
      <c r="J41" s="96">
        <f>+J39*J40</f>
        <v>3029.5</v>
      </c>
      <c r="K41" s="33"/>
      <c r="L41" s="24"/>
    </row>
    <row r="42" spans="2:13" ht="12.75" customHeight="1" x14ac:dyDescent="0.2">
      <c r="B42" s="20"/>
      <c r="C42" s="32"/>
      <c r="D42" s="33" t="s">
        <v>35</v>
      </c>
      <c r="E42" s="33"/>
      <c r="F42" s="95">
        <f>tab!$C$32</f>
        <v>0.60000000000000009</v>
      </c>
      <c r="G42" s="95">
        <f>tab!$C$32</f>
        <v>0.60000000000000009</v>
      </c>
      <c r="H42" s="95">
        <f>tab!$C$32</f>
        <v>0.60000000000000009</v>
      </c>
      <c r="I42" s="95">
        <f>tab!$C$32</f>
        <v>0.60000000000000009</v>
      </c>
      <c r="J42" s="95">
        <f>tab!$C$32</f>
        <v>0.60000000000000009</v>
      </c>
      <c r="K42" s="33"/>
      <c r="L42" s="24"/>
    </row>
    <row r="43" spans="2:13" ht="12.75" customHeight="1" x14ac:dyDescent="0.2">
      <c r="B43" s="20"/>
      <c r="C43" s="32"/>
      <c r="D43" s="149" t="s">
        <v>448</v>
      </c>
      <c r="E43" s="33"/>
      <c r="F43" s="97">
        <f>+F41*(1+F42)*12</f>
        <v>43900.800000000003</v>
      </c>
      <c r="G43" s="97">
        <f>+G41*(1+G42)*12</f>
        <v>51158.399999999994</v>
      </c>
      <c r="H43" s="97">
        <f>+H41*(1+H42)*12</f>
        <v>58166.399999999994</v>
      </c>
      <c r="I43" s="97">
        <f>+I41*(1+I42)*12</f>
        <v>58166.399999999994</v>
      </c>
      <c r="J43" s="97">
        <f>+J41*(1+J42)*12</f>
        <v>58166.399999999994</v>
      </c>
      <c r="K43" s="33"/>
      <c r="L43" s="24"/>
    </row>
    <row r="44" spans="2:13" ht="12.75" customHeight="1" x14ac:dyDescent="0.2">
      <c r="B44" s="20"/>
      <c r="C44" s="37"/>
      <c r="D44" s="38"/>
      <c r="E44" s="38"/>
      <c r="F44" s="39"/>
      <c r="G44" s="39"/>
      <c r="H44" s="39"/>
      <c r="I44" s="39"/>
      <c r="J44" s="39"/>
      <c r="K44" s="38"/>
      <c r="L44" s="24"/>
    </row>
    <row r="45" spans="2:13" ht="12.75" customHeight="1" x14ac:dyDescent="0.2">
      <c r="B45" s="20"/>
      <c r="C45" s="21"/>
      <c r="D45" s="21"/>
      <c r="E45" s="21"/>
      <c r="F45" s="23"/>
      <c r="G45" s="23"/>
      <c r="H45" s="23"/>
      <c r="I45" s="23"/>
      <c r="J45" s="23"/>
      <c r="K45" s="21"/>
      <c r="L45" s="24"/>
    </row>
    <row r="46" spans="2:13" ht="12.75" customHeight="1" x14ac:dyDescent="0.2">
      <c r="B46" s="142"/>
      <c r="C46" s="129"/>
      <c r="D46" s="129"/>
      <c r="E46" s="129"/>
      <c r="F46" s="129"/>
      <c r="G46" s="129"/>
      <c r="H46" s="129"/>
      <c r="I46" s="129"/>
      <c r="J46" s="129"/>
      <c r="K46" s="493" t="s">
        <v>254</v>
      </c>
      <c r="L46" s="143"/>
    </row>
    <row r="47" spans="2:13" ht="12.75" customHeight="1" x14ac:dyDescent="0.2"/>
    <row r="48" spans="2:13" ht="12.75" customHeight="1" x14ac:dyDescent="0.2"/>
    <row r="49" spans="3:4" ht="12.75" customHeight="1" x14ac:dyDescent="0.2"/>
    <row r="50" spans="3:4" ht="12.75" customHeight="1" x14ac:dyDescent="0.2"/>
    <row r="51" spans="3:4" ht="12.75" customHeight="1" x14ac:dyDescent="0.2"/>
    <row r="52" spans="3:4" ht="12.75" customHeight="1" x14ac:dyDescent="0.2"/>
    <row r="53" spans="3:4" ht="12.75" customHeight="1" x14ac:dyDescent="0.2"/>
    <row r="54" spans="3:4" s="7" customFormat="1" ht="12.75" customHeight="1" x14ac:dyDescent="0.2"/>
    <row r="55" spans="3:4" ht="12.75" customHeight="1" x14ac:dyDescent="0.2"/>
    <row r="56" spans="3:4" ht="12.75" customHeight="1" x14ac:dyDescent="0.2"/>
    <row r="57" spans="3:4" ht="12.75" customHeight="1" x14ac:dyDescent="0.2">
      <c r="C57" s="15"/>
      <c r="D57" s="487" t="s">
        <v>56</v>
      </c>
    </row>
    <row r="58" spans="3:4" ht="12.75" customHeight="1" x14ac:dyDescent="0.2">
      <c r="C58" s="15"/>
      <c r="D58" s="487" t="s">
        <v>57</v>
      </c>
    </row>
    <row r="59" spans="3:4" ht="12.75" customHeight="1" x14ac:dyDescent="0.2">
      <c r="C59" s="15"/>
      <c r="D59" s="487" t="s">
        <v>58</v>
      </c>
    </row>
    <row r="60" spans="3:4" ht="12.75" customHeight="1" x14ac:dyDescent="0.2">
      <c r="C60" s="15"/>
      <c r="D60" s="487" t="s">
        <v>59</v>
      </c>
    </row>
    <row r="61" spans="3:4" ht="12.75" customHeight="1" x14ac:dyDescent="0.2">
      <c r="C61" s="15"/>
      <c r="D61" s="487">
        <v>1</v>
      </c>
    </row>
    <row r="62" spans="3:4" ht="12.75" customHeight="1" x14ac:dyDescent="0.2">
      <c r="C62" s="15"/>
      <c r="D62" s="487">
        <v>2</v>
      </c>
    </row>
    <row r="63" spans="3:4" ht="12.75" customHeight="1" x14ac:dyDescent="0.2">
      <c r="C63" s="15"/>
      <c r="D63" s="487">
        <v>3</v>
      </c>
    </row>
    <row r="64" spans="3:4" ht="12.75" customHeight="1" x14ac:dyDescent="0.2">
      <c r="C64" s="15"/>
      <c r="D64" s="487">
        <v>4</v>
      </c>
    </row>
    <row r="65" spans="3:4" ht="12.75" customHeight="1" x14ac:dyDescent="0.2">
      <c r="C65" s="15"/>
      <c r="D65" s="487">
        <v>5</v>
      </c>
    </row>
    <row r="66" spans="3:4" ht="12.75" customHeight="1" x14ac:dyDescent="0.2">
      <c r="C66" s="15"/>
      <c r="D66" s="487">
        <v>6</v>
      </c>
    </row>
    <row r="67" spans="3:4" ht="12.75" customHeight="1" x14ac:dyDescent="0.2">
      <c r="C67" s="15"/>
      <c r="D67" s="487">
        <v>7</v>
      </c>
    </row>
    <row r="68" spans="3:4" ht="12.75" customHeight="1" x14ac:dyDescent="0.2">
      <c r="C68" s="15"/>
      <c r="D68" s="487">
        <v>8</v>
      </c>
    </row>
    <row r="69" spans="3:4" ht="12.75" customHeight="1" x14ac:dyDescent="0.2">
      <c r="C69" s="15"/>
      <c r="D69" s="487">
        <v>9</v>
      </c>
    </row>
    <row r="70" spans="3:4" ht="12.75" customHeight="1" x14ac:dyDescent="0.2">
      <c r="C70" s="15"/>
      <c r="D70" s="487">
        <v>10</v>
      </c>
    </row>
    <row r="71" spans="3:4" ht="12.75" customHeight="1" x14ac:dyDescent="0.2">
      <c r="C71" s="15"/>
      <c r="D71" s="487">
        <v>11</v>
      </c>
    </row>
    <row r="72" spans="3:4" ht="12.75" customHeight="1" x14ac:dyDescent="0.2">
      <c r="C72" s="15"/>
      <c r="D72" s="487">
        <v>12</v>
      </c>
    </row>
    <row r="73" spans="3:4" ht="12.75" customHeight="1" x14ac:dyDescent="0.2">
      <c r="C73" s="16"/>
      <c r="D73" s="487">
        <v>13</v>
      </c>
    </row>
    <row r="74" spans="3:4" ht="12.75" customHeight="1" x14ac:dyDescent="0.2">
      <c r="C74" s="16"/>
      <c r="D74" s="487">
        <v>14</v>
      </c>
    </row>
    <row r="75" spans="3:4" ht="12.75" customHeight="1" x14ac:dyDescent="0.2">
      <c r="C75" s="16"/>
      <c r="D75" s="487">
        <v>15</v>
      </c>
    </row>
    <row r="76" spans="3:4" ht="12.75" customHeight="1" x14ac:dyDescent="0.2">
      <c r="C76" s="16"/>
      <c r="D76" s="487">
        <v>16</v>
      </c>
    </row>
    <row r="77" spans="3:4" ht="12.75" customHeight="1" x14ac:dyDescent="0.2">
      <c r="C77" s="16"/>
      <c r="D77" s="487">
        <v>17</v>
      </c>
    </row>
    <row r="78" spans="3:4" ht="12.75" customHeight="1" x14ac:dyDescent="0.2">
      <c r="C78" s="16"/>
      <c r="D78" s="487" t="s">
        <v>84</v>
      </c>
    </row>
    <row r="79" spans="3:4" ht="12.75" customHeight="1" x14ac:dyDescent="0.2">
      <c r="C79" s="16"/>
      <c r="D79" s="487" t="s">
        <v>85</v>
      </c>
    </row>
    <row r="80" spans="3:4" ht="12.75" customHeight="1" x14ac:dyDescent="0.2">
      <c r="C80" s="16"/>
      <c r="D80" s="487" t="s">
        <v>86</v>
      </c>
    </row>
    <row r="81" spans="3:6" ht="12.75" customHeight="1" x14ac:dyDescent="0.2">
      <c r="C81" s="16"/>
      <c r="D81" s="487" t="s">
        <v>253</v>
      </c>
    </row>
    <row r="82" spans="3:6" ht="12.75" customHeight="1" x14ac:dyDescent="0.2">
      <c r="C82" s="16"/>
      <c r="D82" s="9"/>
    </row>
    <row r="83" spans="3:6" ht="12.75" customHeight="1" x14ac:dyDescent="0.2">
      <c r="C83" s="16"/>
      <c r="D83" s="9"/>
    </row>
    <row r="84" spans="3:6" ht="12.75" customHeight="1" x14ac:dyDescent="0.2">
      <c r="C84" s="16"/>
      <c r="D84" s="9"/>
    </row>
    <row r="85" spans="3:6" ht="12.75" customHeight="1" x14ac:dyDescent="0.2">
      <c r="C85" s="16"/>
      <c r="D85" s="9"/>
    </row>
    <row r="86" spans="3:6" ht="12.75" customHeight="1" x14ac:dyDescent="0.2">
      <c r="C86" s="16"/>
      <c r="D86" s="9"/>
    </row>
    <row r="87" spans="3:6" ht="12.75" customHeight="1" x14ac:dyDescent="0.2">
      <c r="C87" s="16"/>
      <c r="D87" s="9"/>
    </row>
    <row r="88" spans="3:6" ht="12.75" customHeight="1" x14ac:dyDescent="0.2">
      <c r="C88" s="16"/>
      <c r="D88" s="9"/>
    </row>
    <row r="89" spans="3:6" ht="12.75" customHeight="1" x14ac:dyDescent="0.2">
      <c r="C89" s="16"/>
      <c r="D89" s="9"/>
    </row>
    <row r="90" spans="3:6" ht="12.75" customHeight="1" x14ac:dyDescent="0.2">
      <c r="C90" s="16"/>
      <c r="D90" s="9"/>
    </row>
    <row r="91" spans="3:6" ht="12.75" customHeight="1" x14ac:dyDescent="0.2">
      <c r="C91" s="16"/>
      <c r="D91" s="9"/>
    </row>
    <row r="92" spans="3:6" ht="12.75" customHeight="1" x14ac:dyDescent="0.2">
      <c r="D92" s="9"/>
    </row>
    <row r="93" spans="3:6" ht="12.75" customHeight="1" x14ac:dyDescent="0.2">
      <c r="D93" s="9"/>
    </row>
    <row r="94" spans="3:6" ht="12.75" customHeight="1" x14ac:dyDescent="0.2">
      <c r="D94" s="9"/>
    </row>
    <row r="95" spans="3:6" ht="12.75" customHeight="1" x14ac:dyDescent="0.2">
      <c r="D95" s="9"/>
    </row>
    <row r="96" spans="3:6" ht="12.75" customHeight="1" x14ac:dyDescent="0.2">
      <c r="D96" s="9"/>
      <c r="E96" s="16"/>
      <c r="F96" s="668"/>
    </row>
    <row r="97" spans="3:10" ht="12.75" customHeight="1" x14ac:dyDescent="0.2">
      <c r="D97" s="9"/>
    </row>
    <row r="98" spans="3:10" ht="12.75" customHeight="1" x14ac:dyDescent="0.2"/>
    <row r="99" spans="3:10" ht="12.75" customHeight="1" x14ac:dyDescent="0.2"/>
    <row r="100" spans="3:10" s="7" customFormat="1" ht="12.75" customHeight="1" x14ac:dyDescent="0.2">
      <c r="C100" s="6"/>
    </row>
    <row r="101" spans="3:10" ht="12.75" customHeight="1" x14ac:dyDescent="0.2">
      <c r="C101" s="7"/>
    </row>
    <row r="102" spans="3:10" ht="12.75" customHeight="1" x14ac:dyDescent="0.2"/>
    <row r="103" spans="3:10" ht="12.75" customHeight="1" x14ac:dyDescent="0.2"/>
    <row r="104" spans="3:10" ht="12.75" customHeight="1" x14ac:dyDescent="0.2"/>
    <row r="105" spans="3:10" s="7" customFormat="1" ht="12.75" customHeight="1" x14ac:dyDescent="0.2">
      <c r="C105" s="6"/>
    </row>
    <row r="106" spans="3:10" ht="12.75" customHeight="1" x14ac:dyDescent="0.2">
      <c r="C106" s="7"/>
    </row>
    <row r="107" spans="3:10" ht="12.75" customHeight="1" x14ac:dyDescent="0.2"/>
    <row r="108" spans="3:10" ht="12.75" customHeight="1" x14ac:dyDescent="0.2">
      <c r="D108" s="7"/>
      <c r="E108" s="7"/>
      <c r="F108" s="7"/>
      <c r="G108" s="7"/>
      <c r="H108" s="7"/>
      <c r="I108" s="7"/>
      <c r="J108" s="7"/>
    </row>
    <row r="109" spans="3:10" ht="12.75" customHeight="1" x14ac:dyDescent="0.2">
      <c r="D109" s="7"/>
      <c r="E109" s="7"/>
      <c r="F109" s="7"/>
      <c r="G109" s="7"/>
      <c r="H109" s="7"/>
      <c r="I109" s="7"/>
      <c r="J109" s="7"/>
    </row>
    <row r="110" spans="3:10" s="7" customFormat="1" ht="12.75" customHeight="1" x14ac:dyDescent="0.2">
      <c r="C110" s="6"/>
    </row>
    <row r="111" spans="3:10" ht="12.75" customHeight="1" x14ac:dyDescent="0.2">
      <c r="C111" s="7"/>
    </row>
    <row r="112" spans="3:10"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sheetData>
  <sheetProtection algorithmName="SHA-512" hashValue="f9V8bae/lYleUkcM3/I8yJx3H6BlzDNo5kvQ8hz8vjcDWY+6fuo0nllOPC1TEUN3o5kwLx1D4+/GEZUY8s33sw==" saltValue="MN15ih63iHh++c3Z5GNbPg==" spinCount="100000" sheet="1" objects="1" scenarios="1"/>
  <phoneticPr fontId="5" type="noConversion"/>
  <dataValidations count="1">
    <dataValidation type="list" allowBlank="1" showInputMessage="1" showErrorMessage="1" sqref="F15:J15 F37:J37 F27:J27 F19:J19" xr:uid="{00000000-0002-0000-1400-000000000000}">
      <formula1>$D$56:$D$82</formula1>
    </dataValidation>
  </dataValidations>
  <hyperlinks>
    <hyperlink ref="K46" r:id="rId1" xr:uid="{00000000-0004-0000-1400-000000000000}"/>
  </hyperlinks>
  <pageMargins left="0.75" right="0.75" top="1" bottom="1" header="0.5" footer="0.5"/>
  <pageSetup paperSize="9" scale="79" orientation="landscape" r:id="rId2"/>
  <headerFooter alignWithMargins="0">
    <oddHeader>&amp;L&amp;"Arial,Vet"&amp;F&amp;R&amp;"Arial,Vet"&amp;A</oddHeader>
    <oddFooter>&amp;L&amp;"Arial,Vet"keizer&amp;C&amp;"Arial,Vet"pagina &amp;P&amp;R&amp;"Arial,Vet"&amp;D</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608"/>
  <sheetViews>
    <sheetView showGridLines="0" zoomScale="80" zoomScaleNormal="80" zoomScaleSheetLayoutView="85" zoomScalePageLayoutView="40" workbookViewId="0">
      <selection activeCell="B2" sqref="B2"/>
    </sheetView>
  </sheetViews>
  <sheetFormatPr defaultRowHeight="12.75" x14ac:dyDescent="0.2"/>
  <cols>
    <col min="1" max="1" width="2.5703125" style="100" customWidth="1"/>
    <col min="2" max="3" width="2.7109375" style="100" customWidth="1"/>
    <col min="4" max="4" width="40.42578125" style="100" customWidth="1"/>
    <col min="5" max="5" width="8.42578125" style="100" customWidth="1"/>
    <col min="6" max="6" width="5.7109375" style="102" customWidth="1"/>
    <col min="7" max="7" width="14.85546875" style="100" customWidth="1"/>
    <col min="8" max="11" width="14.85546875" style="102" customWidth="1"/>
    <col min="12" max="12" width="3.42578125" style="102" customWidth="1"/>
    <col min="13" max="13" width="14.85546875" style="102" customWidth="1"/>
    <col min="14" max="14" width="16.140625" style="100" customWidth="1"/>
    <col min="15" max="15" width="2.7109375" style="100" customWidth="1"/>
    <col min="16" max="16384" width="9.140625" style="100"/>
  </cols>
  <sheetData>
    <row r="1" spans="1:14" x14ac:dyDescent="0.2">
      <c r="A1" s="6"/>
      <c r="B1" s="6"/>
      <c r="C1" s="6"/>
      <c r="D1" s="6"/>
      <c r="E1" s="6"/>
      <c r="F1" s="130"/>
      <c r="G1" s="130"/>
      <c r="H1" s="130"/>
      <c r="I1" s="130"/>
      <c r="J1" s="130"/>
      <c r="K1" s="130"/>
      <c r="L1" s="6"/>
      <c r="M1" s="6"/>
      <c r="N1" s="6"/>
    </row>
    <row r="2" spans="1:14" x14ac:dyDescent="0.2">
      <c r="A2" s="6"/>
      <c r="B2" s="672"/>
      <c r="C2" s="18"/>
      <c r="D2" s="18"/>
      <c r="E2" s="18"/>
      <c r="F2" s="133"/>
      <c r="G2" s="133"/>
      <c r="H2" s="133"/>
      <c r="I2" s="133"/>
      <c r="J2" s="133"/>
      <c r="K2" s="133"/>
      <c r="L2" s="19"/>
      <c r="M2" s="6"/>
    </row>
    <row r="3" spans="1:14" x14ac:dyDescent="0.2">
      <c r="A3" s="6"/>
      <c r="B3" s="20"/>
      <c r="C3" s="21"/>
      <c r="D3" s="22"/>
      <c r="E3" s="21"/>
      <c r="F3" s="23"/>
      <c r="G3" s="23"/>
      <c r="H3" s="23"/>
      <c r="I3" s="23"/>
      <c r="J3" s="23"/>
      <c r="K3" s="23"/>
      <c r="L3" s="24"/>
      <c r="M3" s="6"/>
    </row>
    <row r="4" spans="1:14" ht="18.75" x14ac:dyDescent="0.3">
      <c r="A4" s="132"/>
      <c r="B4" s="134"/>
      <c r="C4" s="679" t="s">
        <v>542</v>
      </c>
      <c r="D4" s="136"/>
      <c r="E4" s="136"/>
      <c r="F4" s="137"/>
      <c r="G4" s="137"/>
      <c r="H4" s="137"/>
      <c r="I4" s="137"/>
      <c r="J4" s="137"/>
      <c r="K4" s="137"/>
      <c r="L4" s="138"/>
      <c r="M4" s="132"/>
    </row>
    <row r="5" spans="1:14" ht="18.75" x14ac:dyDescent="0.3">
      <c r="A5" s="8"/>
      <c r="B5" s="25"/>
      <c r="C5" s="679" t="str">
        <f>G10</f>
        <v>Voorbeeld SWV VO Alkmaar</v>
      </c>
      <c r="D5" s="52"/>
      <c r="E5" s="26"/>
      <c r="F5" s="139"/>
      <c r="G5" s="139"/>
      <c r="H5" s="139"/>
      <c r="I5" s="139"/>
      <c r="J5" s="139"/>
      <c r="K5" s="139"/>
      <c r="L5" s="27"/>
      <c r="M5" s="8"/>
    </row>
    <row r="6" spans="1:14" x14ac:dyDescent="0.2">
      <c r="A6" s="6"/>
      <c r="B6" s="20"/>
      <c r="C6" s="21"/>
      <c r="D6" s="22"/>
      <c r="E6" s="21"/>
      <c r="F6" s="23"/>
      <c r="G6" s="23"/>
      <c r="H6" s="23"/>
      <c r="I6" s="23"/>
      <c r="J6" s="23"/>
      <c r="K6" s="23"/>
      <c r="L6" s="24"/>
      <c r="M6" s="6"/>
    </row>
    <row r="7" spans="1:14" x14ac:dyDescent="0.2">
      <c r="A7" s="6"/>
      <c r="B7" s="20"/>
      <c r="C7" s="21"/>
      <c r="D7" s="22"/>
      <c r="E7" s="21"/>
      <c r="F7" s="23"/>
      <c r="G7" s="23"/>
      <c r="H7" s="23"/>
      <c r="I7" s="23"/>
      <c r="J7" s="23"/>
      <c r="K7" s="23"/>
      <c r="L7" s="24"/>
      <c r="M7" s="6"/>
    </row>
    <row r="8" spans="1:14" x14ac:dyDescent="0.2">
      <c r="A8" s="6"/>
      <c r="B8" s="20"/>
      <c r="C8" s="21"/>
      <c r="D8" s="22"/>
      <c r="E8" s="21"/>
      <c r="F8" s="23"/>
      <c r="G8" s="23"/>
      <c r="H8" s="23"/>
      <c r="I8" s="23"/>
      <c r="J8" s="23"/>
      <c r="K8" s="23"/>
      <c r="L8" s="24"/>
      <c r="M8" s="6"/>
    </row>
    <row r="9" spans="1:14" x14ac:dyDescent="0.2">
      <c r="A9" s="6"/>
      <c r="B9" s="20"/>
      <c r="C9" s="33"/>
      <c r="D9" s="35"/>
      <c r="E9" s="33"/>
      <c r="F9" s="33"/>
      <c r="G9" s="144"/>
      <c r="H9" s="144"/>
      <c r="I9" s="144"/>
      <c r="J9" s="144"/>
      <c r="K9" s="144"/>
      <c r="L9" s="24"/>
      <c r="M9" s="6"/>
    </row>
    <row r="10" spans="1:14" x14ac:dyDescent="0.2">
      <c r="A10" s="6"/>
      <c r="B10" s="20"/>
      <c r="C10" s="33"/>
      <c r="D10" s="145" t="s">
        <v>228</v>
      </c>
      <c r="E10" s="33"/>
      <c r="F10" s="33"/>
      <c r="G10" s="781" t="s">
        <v>611</v>
      </c>
      <c r="H10" s="782"/>
      <c r="I10" s="660"/>
      <c r="J10" s="146"/>
      <c r="K10" s="146"/>
      <c r="L10" s="24"/>
      <c r="M10" s="6"/>
    </row>
    <row r="11" spans="1:14" x14ac:dyDescent="0.2">
      <c r="A11" s="6"/>
      <c r="B11" s="20"/>
      <c r="C11" s="33"/>
      <c r="D11" s="145" t="s">
        <v>43</v>
      </c>
      <c r="E11" s="33"/>
      <c r="F11" s="33"/>
      <c r="G11" s="417" t="s">
        <v>612</v>
      </c>
      <c r="H11" s="33"/>
      <c r="I11" s="660"/>
      <c r="J11" s="146"/>
      <c r="K11" s="146"/>
      <c r="L11" s="24"/>
      <c r="M11" s="6"/>
    </row>
    <row r="12" spans="1:14" x14ac:dyDescent="0.2">
      <c r="A12" s="6"/>
      <c r="B12" s="20"/>
      <c r="C12" s="33"/>
      <c r="D12" s="33"/>
      <c r="E12" s="33"/>
      <c r="F12" s="33"/>
      <c r="G12" s="33"/>
      <c r="H12" s="33"/>
      <c r="I12" s="33"/>
      <c r="J12" s="33"/>
      <c r="K12" s="33"/>
      <c r="L12" s="24"/>
      <c r="M12" s="6"/>
    </row>
    <row r="13" spans="1:14" x14ac:dyDescent="0.2">
      <c r="A13" s="6"/>
      <c r="B13" s="20"/>
      <c r="C13" s="21"/>
      <c r="D13" s="22"/>
      <c r="E13" s="21"/>
      <c r="F13" s="23"/>
      <c r="G13" s="23"/>
      <c r="H13" s="23"/>
      <c r="I13" s="23"/>
      <c r="J13" s="23"/>
      <c r="K13" s="23"/>
      <c r="L13" s="24"/>
      <c r="M13" s="6"/>
    </row>
    <row r="14" spans="1:14" x14ac:dyDescent="0.2">
      <c r="A14" s="6"/>
      <c r="B14" s="20"/>
      <c r="C14" s="21"/>
      <c r="D14" s="22"/>
      <c r="E14" s="21"/>
      <c r="F14" s="23"/>
      <c r="G14" s="23"/>
      <c r="H14" s="23"/>
      <c r="I14" s="23"/>
      <c r="J14" s="23"/>
      <c r="K14" s="23"/>
      <c r="L14" s="24"/>
      <c r="M14" s="6"/>
    </row>
    <row r="15" spans="1:14" x14ac:dyDescent="0.2">
      <c r="A15" s="6"/>
      <c r="B15" s="20"/>
      <c r="C15" s="21"/>
      <c r="D15" s="478" t="s">
        <v>105</v>
      </c>
      <c r="E15" s="157"/>
      <c r="F15" s="456"/>
      <c r="G15" s="479">
        <f>tab!C4</f>
        <v>2023</v>
      </c>
      <c r="H15" s="479">
        <f>tab!D4</f>
        <v>2024</v>
      </c>
      <c r="I15" s="479">
        <f>tab!E4</f>
        <v>2025</v>
      </c>
      <c r="J15" s="479">
        <f>tab!F4</f>
        <v>2026</v>
      </c>
      <c r="K15" s="479">
        <f>tab!G4</f>
        <v>2027</v>
      </c>
      <c r="L15" s="479"/>
      <c r="M15" s="100"/>
    </row>
    <row r="16" spans="1:14" x14ac:dyDescent="0.2">
      <c r="A16" s="6"/>
      <c r="B16" s="20"/>
      <c r="C16" s="21"/>
      <c r="D16" s="156" t="s">
        <v>192</v>
      </c>
      <c r="E16" s="157"/>
      <c r="F16" s="468"/>
      <c r="G16" s="457">
        <v>2022</v>
      </c>
      <c r="H16" s="457">
        <f>tab!C4</f>
        <v>2023</v>
      </c>
      <c r="I16" s="457">
        <f>tab!D4</f>
        <v>2024</v>
      </c>
      <c r="J16" s="457">
        <v>2023</v>
      </c>
      <c r="K16" s="457">
        <f>tab!F4</f>
        <v>2026</v>
      </c>
      <c r="L16" s="457"/>
      <c r="M16" s="100"/>
    </row>
    <row r="17" spans="1:13" x14ac:dyDescent="0.2">
      <c r="A17" s="6"/>
      <c r="B17" s="20"/>
      <c r="C17" s="21"/>
      <c r="D17" s="22"/>
      <c r="E17" s="21"/>
      <c r="F17" s="23"/>
      <c r="G17" s="23"/>
      <c r="H17" s="23"/>
      <c r="I17" s="23"/>
      <c r="J17" s="23"/>
      <c r="K17" s="23"/>
      <c r="L17" s="24"/>
      <c r="M17" s="6"/>
    </row>
    <row r="18" spans="1:13" x14ac:dyDescent="0.2">
      <c r="A18" s="6"/>
      <c r="B18" s="20"/>
      <c r="C18" s="33"/>
      <c r="D18" s="33"/>
      <c r="E18" s="33"/>
      <c r="F18" s="144"/>
      <c r="G18" s="144"/>
      <c r="H18" s="144"/>
      <c r="I18" s="144"/>
      <c r="J18" s="144"/>
      <c r="K18" s="144"/>
      <c r="L18" s="24"/>
      <c r="M18" s="6"/>
    </row>
    <row r="19" spans="1:13" ht="15.75" x14ac:dyDescent="0.25">
      <c r="A19" s="6"/>
      <c r="B19" s="20"/>
      <c r="C19" s="33"/>
      <c r="D19" s="748" t="s">
        <v>543</v>
      </c>
      <c r="E19" s="33"/>
      <c r="F19" s="144"/>
      <c r="G19" s="144"/>
      <c r="H19" s="144"/>
      <c r="I19" s="144"/>
      <c r="J19" s="144"/>
      <c r="K19" s="144"/>
      <c r="L19" s="24"/>
      <c r="M19" s="6"/>
    </row>
    <row r="20" spans="1:13" ht="15.75" x14ac:dyDescent="0.25">
      <c r="A20" s="6"/>
      <c r="B20" s="20"/>
      <c r="C20" s="33"/>
      <c r="D20" s="33"/>
      <c r="E20" s="33"/>
      <c r="F20" s="144"/>
      <c r="G20" s="779"/>
      <c r="H20" s="779" t="s">
        <v>421</v>
      </c>
      <c r="I20" s="779"/>
      <c r="J20" s="779"/>
      <c r="K20" s="144"/>
      <c r="L20" s="24"/>
      <c r="M20" s="6"/>
    </row>
    <row r="21" spans="1:13" x14ac:dyDescent="0.2">
      <c r="A21" s="6"/>
      <c r="B21" s="20"/>
      <c r="C21" s="33"/>
      <c r="D21" s="149" t="s">
        <v>236</v>
      </c>
      <c r="E21" s="33"/>
      <c r="F21" s="676"/>
      <c r="G21" s="885">
        <v>0</v>
      </c>
      <c r="H21" s="885">
        <f>G21</f>
        <v>0</v>
      </c>
      <c r="I21" s="885">
        <f t="shared" ref="I21:K21" si="0">H21</f>
        <v>0</v>
      </c>
      <c r="J21" s="885">
        <f t="shared" si="0"/>
        <v>0</v>
      </c>
      <c r="K21" s="885">
        <f t="shared" si="0"/>
        <v>0</v>
      </c>
      <c r="L21" s="24"/>
      <c r="M21" s="6"/>
    </row>
    <row r="22" spans="1:13" x14ac:dyDescent="0.2">
      <c r="A22" s="6"/>
      <c r="B22" s="20"/>
      <c r="C22" s="33"/>
      <c r="D22" s="149" t="s">
        <v>238</v>
      </c>
      <c r="E22" s="33"/>
      <c r="F22" s="676"/>
      <c r="G22" s="885">
        <v>454</v>
      </c>
      <c r="H22" s="885">
        <f t="shared" ref="H22:K23" si="1">G22</f>
        <v>454</v>
      </c>
      <c r="I22" s="885">
        <f t="shared" si="1"/>
        <v>454</v>
      </c>
      <c r="J22" s="885">
        <f t="shared" si="1"/>
        <v>454</v>
      </c>
      <c r="K22" s="885">
        <f t="shared" si="1"/>
        <v>454</v>
      </c>
      <c r="L22" s="24"/>
      <c r="M22" s="6"/>
    </row>
    <row r="23" spans="1:13" x14ac:dyDescent="0.2">
      <c r="A23" s="6"/>
      <c r="B23" s="20"/>
      <c r="C23" s="33"/>
      <c r="D23" s="149" t="s">
        <v>239</v>
      </c>
      <c r="E23" s="149"/>
      <c r="F23" s="676"/>
      <c r="G23" s="900">
        <v>14389</v>
      </c>
      <c r="H23" s="885">
        <f t="shared" si="1"/>
        <v>14389</v>
      </c>
      <c r="I23" s="885">
        <f t="shared" si="1"/>
        <v>14389</v>
      </c>
      <c r="J23" s="885">
        <f t="shared" si="1"/>
        <v>14389</v>
      </c>
      <c r="K23" s="885">
        <f t="shared" si="1"/>
        <v>14389</v>
      </c>
      <c r="L23" s="24"/>
      <c r="M23" s="6"/>
    </row>
    <row r="24" spans="1:13" x14ac:dyDescent="0.2">
      <c r="A24" s="6"/>
      <c r="B24" s="20"/>
      <c r="C24" s="33"/>
      <c r="D24" s="149" t="s">
        <v>237</v>
      </c>
      <c r="E24" s="149"/>
      <c r="F24" s="676"/>
      <c r="G24" s="886">
        <f t="shared" ref="G24:K24" si="2">SUM(G21:G23)</f>
        <v>14843</v>
      </c>
      <c r="H24" s="886">
        <f t="shared" si="2"/>
        <v>14843</v>
      </c>
      <c r="I24" s="886">
        <f t="shared" si="2"/>
        <v>14843</v>
      </c>
      <c r="J24" s="886">
        <f t="shared" si="2"/>
        <v>14843</v>
      </c>
      <c r="K24" s="886">
        <f t="shared" si="2"/>
        <v>14843</v>
      </c>
      <c r="L24" s="24"/>
      <c r="M24" s="6"/>
    </row>
    <row r="25" spans="1:13" x14ac:dyDescent="0.2">
      <c r="A25" s="6"/>
      <c r="B25" s="675"/>
      <c r="C25" s="33"/>
      <c r="D25" s="149"/>
      <c r="E25" s="33"/>
      <c r="F25" s="707"/>
      <c r="G25" s="707"/>
      <c r="H25" s="707"/>
      <c r="I25" s="707"/>
      <c r="J25" s="707"/>
      <c r="K25" s="707"/>
      <c r="L25" s="24"/>
      <c r="M25" s="6"/>
    </row>
    <row r="26" spans="1:13" x14ac:dyDescent="0.2">
      <c r="A26" s="6"/>
      <c r="B26" s="675"/>
      <c r="C26" s="33"/>
      <c r="D26" s="149" t="s">
        <v>614</v>
      </c>
      <c r="E26" s="33"/>
      <c r="F26" s="707"/>
      <c r="G26" s="106">
        <v>73</v>
      </c>
      <c r="H26" s="106">
        <f>G26</f>
        <v>73</v>
      </c>
      <c r="I26" s="106">
        <f t="shared" ref="I26:K26" si="3">H26</f>
        <v>73</v>
      </c>
      <c r="J26" s="106">
        <f t="shared" si="3"/>
        <v>73</v>
      </c>
      <c r="K26" s="106">
        <f t="shared" si="3"/>
        <v>73</v>
      </c>
      <c r="L26" s="24"/>
      <c r="M26" s="6"/>
    </row>
    <row r="27" spans="1:13" x14ac:dyDescent="0.2">
      <c r="A27" s="6"/>
      <c r="B27" s="675"/>
      <c r="C27" s="33"/>
      <c r="D27" s="149" t="s">
        <v>615</v>
      </c>
      <c r="E27" s="33"/>
      <c r="F27" s="707"/>
      <c r="G27" s="106">
        <v>183</v>
      </c>
      <c r="H27" s="106">
        <f>G27</f>
        <v>183</v>
      </c>
      <c r="I27" s="106">
        <f t="shared" ref="I27:K27" si="4">H27</f>
        <v>183</v>
      </c>
      <c r="J27" s="106">
        <f t="shared" si="4"/>
        <v>183</v>
      </c>
      <c r="K27" s="106">
        <f t="shared" si="4"/>
        <v>183</v>
      </c>
      <c r="L27" s="24"/>
      <c r="M27" s="6"/>
    </row>
    <row r="28" spans="1:13" x14ac:dyDescent="0.2">
      <c r="A28" s="6"/>
      <c r="B28" s="675"/>
      <c r="C28" s="33"/>
      <c r="D28" s="149"/>
      <c r="E28" s="33"/>
      <c r="F28" s="707"/>
      <c r="G28" s="707"/>
      <c r="H28" s="707"/>
      <c r="I28" s="707"/>
      <c r="J28" s="707"/>
      <c r="K28" s="707"/>
      <c r="L28" s="24"/>
      <c r="M28" s="6"/>
    </row>
    <row r="29" spans="1:13" x14ac:dyDescent="0.2">
      <c r="A29" s="6"/>
      <c r="B29" s="675"/>
      <c r="C29" s="33"/>
      <c r="D29" s="149" t="s">
        <v>717</v>
      </c>
      <c r="E29" s="33"/>
      <c r="F29" s="707"/>
      <c r="G29" s="707"/>
      <c r="H29" s="707"/>
      <c r="I29" s="707"/>
      <c r="J29" s="707"/>
      <c r="K29" s="707"/>
      <c r="L29" s="24"/>
      <c r="M29" s="6"/>
    </row>
    <row r="30" spans="1:13" x14ac:dyDescent="0.2">
      <c r="A30" s="6"/>
      <c r="B30" s="675"/>
      <c r="C30" s="33"/>
      <c r="D30" s="149" t="s">
        <v>236</v>
      </c>
      <c r="E30" s="885">
        <v>1808.5</v>
      </c>
      <c r="F30" s="149"/>
      <c r="G30" s="707"/>
      <c r="H30" s="707"/>
      <c r="I30" s="707"/>
      <c r="J30" s="707"/>
      <c r="K30" s="707"/>
      <c r="L30" s="24"/>
      <c r="M30" s="6"/>
    </row>
    <row r="31" spans="1:13" x14ac:dyDescent="0.2">
      <c r="A31" s="6"/>
      <c r="B31" s="675"/>
      <c r="C31" s="33"/>
      <c r="D31" s="149" t="s">
        <v>238</v>
      </c>
      <c r="E31" s="885">
        <v>400</v>
      </c>
      <c r="F31" s="149"/>
      <c r="G31" s="707"/>
      <c r="H31" s="707"/>
      <c r="I31" s="707"/>
      <c r="J31" s="707"/>
      <c r="K31" s="707"/>
      <c r="L31" s="24"/>
      <c r="M31" s="6"/>
    </row>
    <row r="32" spans="1:13" x14ac:dyDescent="0.2">
      <c r="A32" s="6"/>
      <c r="B32" s="675"/>
      <c r="C32" s="33"/>
      <c r="D32" s="149" t="s">
        <v>237</v>
      </c>
      <c r="E32" s="900">
        <v>15188.5</v>
      </c>
      <c r="F32" s="149"/>
      <c r="G32" s="707"/>
      <c r="H32" s="707"/>
      <c r="I32" s="707"/>
      <c r="J32" s="707"/>
      <c r="K32" s="707"/>
      <c r="L32" s="24"/>
      <c r="M32" s="6"/>
    </row>
    <row r="33" spans="1:13" x14ac:dyDescent="0.2">
      <c r="A33" s="6"/>
      <c r="B33" s="675"/>
      <c r="C33" s="33"/>
      <c r="D33" s="149"/>
      <c r="E33" s="33"/>
      <c r="F33" s="707"/>
      <c r="G33" s="707"/>
      <c r="H33" s="707"/>
      <c r="I33" s="707"/>
      <c r="J33" s="707"/>
      <c r="K33" s="707"/>
      <c r="L33" s="24"/>
      <c r="M33" s="6"/>
    </row>
    <row r="34" spans="1:13" x14ac:dyDescent="0.2">
      <c r="A34" s="6"/>
      <c r="B34" s="20"/>
      <c r="C34" s="33"/>
      <c r="D34" s="149" t="s">
        <v>540</v>
      </c>
      <c r="E34" s="968">
        <f>IF(E32=0,0,E30/E$32)</f>
        <v>0.11907034927741383</v>
      </c>
      <c r="F34" s="676"/>
      <c r="G34" s="958">
        <f>$E34*G23</f>
        <v>1713.3032557527076</v>
      </c>
      <c r="H34" s="958">
        <f>$E34*H23</f>
        <v>1713.3032557527076</v>
      </c>
      <c r="I34" s="958">
        <f>$E34*I23</f>
        <v>1713.3032557527076</v>
      </c>
      <c r="J34" s="958">
        <f>$E34*J23</f>
        <v>1713.3032557527076</v>
      </c>
      <c r="K34" s="958">
        <f>$E34*K23</f>
        <v>1713.3032557527076</v>
      </c>
      <c r="L34" s="24"/>
      <c r="M34" s="6"/>
    </row>
    <row r="35" spans="1:13" x14ac:dyDescent="0.2">
      <c r="A35" s="6"/>
      <c r="B35" s="675"/>
      <c r="C35" s="6"/>
      <c r="D35" s="149" t="s">
        <v>541</v>
      </c>
      <c r="E35" s="969">
        <f>IF(E32=0,0,E31/E$32)</f>
        <v>2.6335714520854595E-2</v>
      </c>
      <c r="F35" s="676"/>
      <c r="G35" s="958">
        <f>$E35*G23</f>
        <v>378.94459624057674</v>
      </c>
      <c r="H35" s="958">
        <f>$E35*H23</f>
        <v>378.94459624057674</v>
      </c>
      <c r="I35" s="958">
        <f>$E35*I23</f>
        <v>378.94459624057674</v>
      </c>
      <c r="J35" s="958">
        <f>$E35*J23</f>
        <v>378.94459624057674</v>
      </c>
      <c r="K35" s="958">
        <f>$E35*K23</f>
        <v>378.94459624057674</v>
      </c>
      <c r="L35" s="657"/>
      <c r="M35" s="6"/>
    </row>
    <row r="36" spans="1:13" x14ac:dyDescent="0.2">
      <c r="A36" s="6"/>
      <c r="B36" s="675"/>
      <c r="C36" s="6"/>
      <c r="D36" s="6"/>
      <c r="E36" s="6"/>
      <c r="F36" s="130"/>
      <c r="G36" s="130"/>
      <c r="H36" s="130"/>
      <c r="I36" s="130"/>
      <c r="J36" s="130"/>
      <c r="K36" s="130"/>
      <c r="L36" s="657"/>
      <c r="M36" s="6"/>
    </row>
    <row r="37" spans="1:13" x14ac:dyDescent="0.2">
      <c r="A37" s="6"/>
      <c r="B37" s="20"/>
      <c r="C37" s="140"/>
      <c r="D37" s="140"/>
      <c r="E37" s="140"/>
      <c r="F37" s="141"/>
      <c r="G37" s="141"/>
      <c r="H37" s="141"/>
      <c r="I37" s="141"/>
      <c r="J37" s="141"/>
      <c r="K37" s="141"/>
      <c r="L37" s="24"/>
      <c r="M37" s="6"/>
    </row>
    <row r="38" spans="1:13" x14ac:dyDescent="0.2">
      <c r="A38" s="6"/>
      <c r="B38" s="20"/>
      <c r="C38" s="149"/>
      <c r="D38" s="149"/>
      <c r="E38" s="64"/>
      <c r="F38" s="494"/>
      <c r="G38" s="494"/>
      <c r="H38" s="494"/>
      <c r="I38" s="494"/>
      <c r="J38" s="494"/>
      <c r="K38" s="494"/>
      <c r="L38" s="24"/>
      <c r="M38" s="6"/>
    </row>
    <row r="39" spans="1:13" x14ac:dyDescent="0.2">
      <c r="A39" s="6"/>
      <c r="B39" s="20"/>
      <c r="C39" s="149"/>
      <c r="D39" s="153" t="s">
        <v>324</v>
      </c>
      <c r="E39" s="84"/>
      <c r="F39" s="494"/>
      <c r="G39" s="494"/>
      <c r="H39" s="494"/>
      <c r="I39" s="494"/>
      <c r="J39" s="494"/>
      <c r="K39" s="494"/>
      <c r="L39" s="24"/>
      <c r="M39" s="6"/>
    </row>
    <row r="40" spans="1:13" x14ac:dyDescent="0.2">
      <c r="A40" s="6"/>
      <c r="B40" s="20"/>
      <c r="C40" s="153"/>
      <c r="D40" s="149" t="s">
        <v>236</v>
      </c>
      <c r="E40" s="84"/>
      <c r="F40" s="676"/>
      <c r="G40" s="671">
        <f t="shared" ref="G40:K41" si="5">IF(G$24=0,0,+G21/G$24)</f>
        <v>0</v>
      </c>
      <c r="H40" s="671">
        <f t="shared" si="5"/>
        <v>0</v>
      </c>
      <c r="I40" s="671">
        <f t="shared" si="5"/>
        <v>0</v>
      </c>
      <c r="J40" s="671">
        <f t="shared" si="5"/>
        <v>0</v>
      </c>
      <c r="K40" s="671">
        <f t="shared" si="5"/>
        <v>0</v>
      </c>
      <c r="L40" s="24"/>
      <c r="M40" s="6"/>
    </row>
    <row r="41" spans="1:13" x14ac:dyDescent="0.2">
      <c r="A41" s="6"/>
      <c r="B41" s="20"/>
      <c r="C41" s="153"/>
      <c r="D41" s="149" t="s">
        <v>238</v>
      </c>
      <c r="E41" s="84"/>
      <c r="F41" s="676"/>
      <c r="G41" s="671">
        <f t="shared" si="5"/>
        <v>3.0586808596644883E-2</v>
      </c>
      <c r="H41" s="671">
        <f t="shared" si="5"/>
        <v>3.0586808596644883E-2</v>
      </c>
      <c r="I41" s="671">
        <f t="shared" si="5"/>
        <v>3.0586808596644883E-2</v>
      </c>
      <c r="J41" s="671">
        <f t="shared" si="5"/>
        <v>3.0586808596644883E-2</v>
      </c>
      <c r="K41" s="671">
        <f t="shared" si="5"/>
        <v>3.0586808596644883E-2</v>
      </c>
      <c r="L41" s="24"/>
      <c r="M41" s="6"/>
    </row>
    <row r="42" spans="1:13" x14ac:dyDescent="0.2">
      <c r="A42" s="6"/>
      <c r="B42" s="20"/>
      <c r="C42" s="149"/>
      <c r="D42" s="149"/>
      <c r="E42" s="64"/>
      <c r="F42" s="536"/>
      <c r="G42" s="536"/>
      <c r="H42" s="536"/>
      <c r="I42" s="536"/>
      <c r="J42" s="536"/>
      <c r="K42" s="966"/>
      <c r="L42" s="24"/>
      <c r="M42" s="6"/>
    </row>
    <row r="43" spans="1:13" x14ac:dyDescent="0.2">
      <c r="A43" s="6"/>
      <c r="B43" s="20"/>
      <c r="C43" s="149"/>
      <c r="D43" s="153" t="s">
        <v>331</v>
      </c>
      <c r="E43" s="84"/>
      <c r="F43" s="494"/>
      <c r="G43" s="494"/>
      <c r="H43" s="494"/>
      <c r="I43" s="494"/>
      <c r="J43" s="494"/>
      <c r="K43" s="494"/>
      <c r="L43" s="24"/>
      <c r="M43" s="6"/>
    </row>
    <row r="44" spans="1:13" x14ac:dyDescent="0.2">
      <c r="A44" s="6"/>
      <c r="B44" s="20"/>
      <c r="C44" s="153"/>
      <c r="D44" s="149" t="s">
        <v>609</v>
      </c>
      <c r="E44" s="84"/>
      <c r="F44" s="676"/>
      <c r="G44" s="1020">
        <v>0</v>
      </c>
      <c r="H44" s="1019">
        <v>0</v>
      </c>
      <c r="I44" s="1019">
        <v>0</v>
      </c>
      <c r="J44" s="1019">
        <v>0</v>
      </c>
      <c r="K44" s="1019">
        <v>0</v>
      </c>
      <c r="L44" s="24"/>
      <c r="M44" s="6"/>
    </row>
    <row r="45" spans="1:13" x14ac:dyDescent="0.2">
      <c r="A45" s="6"/>
      <c r="B45" s="20"/>
      <c r="C45" s="149"/>
      <c r="D45" s="149"/>
      <c r="E45" s="64"/>
      <c r="F45" s="536"/>
      <c r="G45" s="536"/>
      <c r="H45" s="536"/>
      <c r="I45" s="536"/>
      <c r="J45" s="536"/>
      <c r="K45" s="536"/>
      <c r="L45" s="24"/>
      <c r="M45" s="6"/>
    </row>
    <row r="46" spans="1:13" x14ac:dyDescent="0.2">
      <c r="B46" s="69"/>
      <c r="C46" s="5"/>
      <c r="D46" s="51"/>
      <c r="E46" s="51"/>
      <c r="F46" s="109"/>
      <c r="G46" s="63"/>
      <c r="H46" s="63"/>
      <c r="I46" s="63"/>
      <c r="J46" s="63"/>
      <c r="K46" s="5"/>
      <c r="L46" s="70"/>
      <c r="M46" s="100"/>
    </row>
    <row r="47" spans="1:13" hidden="1" x14ac:dyDescent="0.2">
      <c r="B47" s="69"/>
      <c r="C47" s="149"/>
      <c r="D47" s="153"/>
      <c r="E47" s="153"/>
      <c r="F47" s="155"/>
      <c r="G47" s="64"/>
      <c r="H47" s="64"/>
      <c r="I47" s="64"/>
      <c r="J47" s="64"/>
      <c r="K47" s="149"/>
      <c r="L47" s="70"/>
      <c r="M47" s="100"/>
    </row>
    <row r="48" spans="1:13" hidden="1" x14ac:dyDescent="0.2">
      <c r="B48" s="69"/>
      <c r="C48" s="149"/>
      <c r="D48" s="342" t="s">
        <v>556</v>
      </c>
      <c r="E48" s="470"/>
      <c r="F48" s="155"/>
      <c r="G48" s="64"/>
      <c r="H48" s="64"/>
      <c r="I48" s="64"/>
      <c r="J48" s="64"/>
      <c r="K48" s="149"/>
      <c r="L48" s="70"/>
      <c r="M48" s="100"/>
    </row>
    <row r="49" spans="2:13" hidden="1" x14ac:dyDescent="0.2">
      <c r="B49" s="69"/>
      <c r="C49" s="149"/>
      <c r="D49" s="155"/>
      <c r="E49" s="155"/>
      <c r="F49" s="155"/>
      <c r="G49" s="632">
        <v>2015</v>
      </c>
      <c r="H49" s="123"/>
      <c r="I49" s="64"/>
      <c r="J49" s="64"/>
      <c r="K49" s="149"/>
      <c r="L49" s="70"/>
      <c r="M49" s="100"/>
    </row>
    <row r="50" spans="2:13" hidden="1" x14ac:dyDescent="0.2">
      <c r="B50" s="69"/>
      <c r="C50" s="149"/>
      <c r="D50" s="382" t="s">
        <v>554</v>
      </c>
      <c r="E50" s="145"/>
      <c r="F50" s="145"/>
      <c r="G50" s="961"/>
      <c r="H50" s="665"/>
      <c r="I50" s="154"/>
      <c r="J50" s="154"/>
      <c r="K50" s="149"/>
      <c r="L50" s="70"/>
      <c r="M50" s="100"/>
    </row>
    <row r="51" spans="2:13" hidden="1" x14ac:dyDescent="0.2">
      <c r="B51" s="69"/>
      <c r="C51" s="149"/>
      <c r="D51" s="382" t="s">
        <v>555</v>
      </c>
      <c r="E51" s="145"/>
      <c r="F51" s="145"/>
      <c r="G51" s="1018">
        <v>102913.81</v>
      </c>
      <c r="H51" s="666"/>
      <c r="I51" s="154"/>
      <c r="J51" s="154"/>
      <c r="K51" s="149"/>
      <c r="L51" s="654"/>
      <c r="M51" s="100"/>
    </row>
    <row r="52" spans="2:13" hidden="1" x14ac:dyDescent="0.2">
      <c r="B52" s="69"/>
      <c r="C52" s="149"/>
      <c r="D52" s="149"/>
      <c r="E52" s="149"/>
      <c r="F52" s="64"/>
      <c r="G52" s="149"/>
      <c r="H52" s="149"/>
      <c r="I52" s="149"/>
      <c r="J52" s="149"/>
      <c r="K52" s="149"/>
      <c r="L52" s="70"/>
      <c r="M52" s="100"/>
    </row>
    <row r="53" spans="2:13" ht="15" hidden="1" x14ac:dyDescent="0.25">
      <c r="B53" s="69"/>
      <c r="C53" s="683"/>
      <c r="D53" s="51"/>
      <c r="E53" s="51"/>
      <c r="F53" s="109"/>
      <c r="G53" s="63"/>
      <c r="H53" s="63"/>
      <c r="I53" s="63"/>
      <c r="J53" s="63"/>
      <c r="K53" s="5"/>
      <c r="L53" s="70"/>
      <c r="M53" s="100"/>
    </row>
    <row r="54" spans="2:13" ht="15" x14ac:dyDescent="0.25">
      <c r="B54" s="69"/>
      <c r="C54" s="971"/>
      <c r="D54" s="971"/>
      <c r="E54" s="906"/>
      <c r="F54" s="764"/>
      <c r="G54" s="632"/>
      <c r="H54" s="632"/>
      <c r="I54" s="632"/>
      <c r="J54" s="632"/>
      <c r="K54" s="495"/>
      <c r="L54" s="70"/>
      <c r="M54" s="100"/>
    </row>
    <row r="55" spans="2:13" x14ac:dyDescent="0.2">
      <c r="B55" s="69"/>
      <c r="C55" s="149"/>
      <c r="D55" s="1073" t="s">
        <v>105</v>
      </c>
      <c r="E55" s="462"/>
      <c r="F55" s="163"/>
      <c r="G55" s="1072">
        <v>2023</v>
      </c>
      <c r="H55" s="1072">
        <v>2024</v>
      </c>
      <c r="I55" s="1072">
        <v>2025</v>
      </c>
      <c r="J55" s="1072">
        <v>2026</v>
      </c>
      <c r="K55" s="1072">
        <v>2027</v>
      </c>
      <c r="L55" s="70"/>
      <c r="M55" s="100"/>
    </row>
    <row r="56" spans="2:13" x14ac:dyDescent="0.2">
      <c r="B56" s="69"/>
      <c r="C56" s="149"/>
      <c r="D56" s="1073" t="s">
        <v>192</v>
      </c>
      <c r="E56" s="149"/>
      <c r="F56" s="64"/>
      <c r="G56" s="1072">
        <v>2022</v>
      </c>
      <c r="H56" s="1072">
        <f>G56+1</f>
        <v>2023</v>
      </c>
      <c r="I56" s="1072">
        <f t="shared" ref="I56:K56" si="6">H56+1</f>
        <v>2024</v>
      </c>
      <c r="J56" s="1072">
        <f t="shared" si="6"/>
        <v>2025</v>
      </c>
      <c r="K56" s="1072">
        <f t="shared" si="6"/>
        <v>2026</v>
      </c>
      <c r="L56" s="70"/>
      <c r="M56" s="100"/>
    </row>
    <row r="57" spans="2:13" x14ac:dyDescent="0.2">
      <c r="B57" s="69"/>
      <c r="C57" s="149"/>
      <c r="D57" s="149" t="s">
        <v>236</v>
      </c>
      <c r="E57" s="149"/>
      <c r="F57" s="64"/>
      <c r="G57" s="959">
        <f t="shared" ref="G57:K59" si="7">G21</f>
        <v>0</v>
      </c>
      <c r="H57" s="959">
        <f t="shared" si="7"/>
        <v>0</v>
      </c>
      <c r="I57" s="959">
        <f t="shared" si="7"/>
        <v>0</v>
      </c>
      <c r="J57" s="959">
        <f t="shared" si="7"/>
        <v>0</v>
      </c>
      <c r="K57" s="959">
        <f t="shared" si="7"/>
        <v>0</v>
      </c>
      <c r="L57" s="70"/>
      <c r="M57" s="100"/>
    </row>
    <row r="58" spans="2:13" x14ac:dyDescent="0.2">
      <c r="B58" s="69"/>
      <c r="C58" s="149"/>
      <c r="D58" s="149" t="s">
        <v>238</v>
      </c>
      <c r="E58" s="149"/>
      <c r="F58" s="64"/>
      <c r="G58" s="959">
        <f t="shared" si="7"/>
        <v>454</v>
      </c>
      <c r="H58" s="959">
        <f t="shared" si="7"/>
        <v>454</v>
      </c>
      <c r="I58" s="959">
        <f t="shared" si="7"/>
        <v>454</v>
      </c>
      <c r="J58" s="959">
        <f t="shared" si="7"/>
        <v>454</v>
      </c>
      <c r="K58" s="959">
        <f t="shared" si="7"/>
        <v>454</v>
      </c>
      <c r="L58" s="70"/>
      <c r="M58" s="100"/>
    </row>
    <row r="59" spans="2:13" x14ac:dyDescent="0.2">
      <c r="B59" s="69"/>
      <c r="C59" s="149"/>
      <c r="D59" s="149" t="s">
        <v>239</v>
      </c>
      <c r="E59" s="149"/>
      <c r="F59" s="64"/>
      <c r="G59" s="959">
        <f t="shared" si="7"/>
        <v>14389</v>
      </c>
      <c r="H59" s="959">
        <f t="shared" si="7"/>
        <v>14389</v>
      </c>
      <c r="I59" s="959">
        <f t="shared" si="7"/>
        <v>14389</v>
      </c>
      <c r="J59" s="959">
        <f t="shared" si="7"/>
        <v>14389</v>
      </c>
      <c r="K59" s="959">
        <f t="shared" si="7"/>
        <v>14389</v>
      </c>
      <c r="L59" s="70"/>
      <c r="M59" s="100"/>
    </row>
    <row r="60" spans="2:13" x14ac:dyDescent="0.2">
      <c r="B60" s="69"/>
      <c r="C60" s="149"/>
      <c r="D60" s="149" t="s">
        <v>237</v>
      </c>
      <c r="E60" s="149"/>
      <c r="F60" s="64"/>
      <c r="G60" s="960">
        <f t="shared" ref="G60:K60" si="8">SUM(G57:G59)</f>
        <v>14843</v>
      </c>
      <c r="H60" s="960">
        <f t="shared" si="8"/>
        <v>14843</v>
      </c>
      <c r="I60" s="960">
        <f t="shared" si="8"/>
        <v>14843</v>
      </c>
      <c r="J60" s="960">
        <f t="shared" si="8"/>
        <v>14843</v>
      </c>
      <c r="K60" s="960">
        <f t="shared" si="8"/>
        <v>14843</v>
      </c>
      <c r="L60" s="70"/>
      <c r="M60" s="100"/>
    </row>
    <row r="61" spans="2:13" x14ac:dyDescent="0.2">
      <c r="B61" s="69"/>
      <c r="G61" s="494"/>
      <c r="H61" s="494"/>
      <c r="I61" s="494"/>
      <c r="J61" s="494"/>
      <c r="K61" s="494"/>
      <c r="L61" s="70"/>
      <c r="M61" s="100"/>
    </row>
    <row r="62" spans="2:13" x14ac:dyDescent="0.2">
      <c r="B62" s="69"/>
      <c r="C62" s="5"/>
      <c r="D62" s="5"/>
      <c r="E62" s="5"/>
      <c r="F62" s="63"/>
      <c r="G62" s="63"/>
      <c r="H62" s="63"/>
      <c r="I62" s="63"/>
      <c r="J62" s="63"/>
      <c r="K62" s="63"/>
      <c r="L62" s="70"/>
      <c r="M62" s="100"/>
    </row>
    <row r="63" spans="2:13" x14ac:dyDescent="0.2">
      <c r="B63" s="704"/>
      <c r="C63" s="495"/>
      <c r="D63" s="495"/>
      <c r="E63" s="495"/>
      <c r="F63" s="632"/>
      <c r="G63" s="632"/>
      <c r="H63" s="632"/>
      <c r="I63" s="632"/>
      <c r="J63" s="632"/>
      <c r="K63" s="632"/>
      <c r="L63" s="654"/>
      <c r="M63" s="100"/>
    </row>
    <row r="64" spans="2:13" x14ac:dyDescent="0.2">
      <c r="B64" s="704"/>
      <c r="C64" s="670" t="s">
        <v>651</v>
      </c>
      <c r="D64" s="676"/>
      <c r="E64" s="676"/>
      <c r="F64" s="676"/>
      <c r="G64" s="676"/>
      <c r="H64" s="676"/>
      <c r="I64" s="676"/>
      <c r="J64" s="632"/>
      <c r="K64" s="632"/>
      <c r="L64" s="654"/>
      <c r="M64" s="100"/>
    </row>
    <row r="65" spans="2:16" x14ac:dyDescent="0.2">
      <c r="B65" s="704"/>
      <c r="C65" s="676"/>
      <c r="D65" s="676"/>
      <c r="E65" s="676"/>
      <c r="F65" s="676"/>
      <c r="G65" s="1112">
        <f>tab!C4</f>
        <v>2023</v>
      </c>
      <c r="H65" s="1112">
        <f>tab!D4</f>
        <v>2024</v>
      </c>
      <c r="I65" s="1112">
        <f>tab!E4</f>
        <v>2025</v>
      </c>
      <c r="J65" s="1112">
        <f>tab!F4</f>
        <v>2026</v>
      </c>
      <c r="K65" s="1112">
        <f>tab!G4</f>
        <v>2027</v>
      </c>
      <c r="L65" s="63"/>
      <c r="M65" s="100"/>
    </row>
    <row r="66" spans="2:16" x14ac:dyDescent="0.2">
      <c r="B66" s="704"/>
      <c r="C66" s="712" t="s">
        <v>653</v>
      </c>
      <c r="D66" s="712"/>
      <c r="E66" s="712"/>
      <c r="F66" s="712"/>
      <c r="G66" s="1115">
        <v>1</v>
      </c>
      <c r="H66" s="1115">
        <f>G66</f>
        <v>1</v>
      </c>
      <c r="I66" s="1115">
        <f t="shared" ref="I66:K66" si="9">H66</f>
        <v>1</v>
      </c>
      <c r="J66" s="1115">
        <f t="shared" si="9"/>
        <v>1</v>
      </c>
      <c r="K66" s="1115">
        <f t="shared" si="9"/>
        <v>1</v>
      </c>
      <c r="L66" s="63"/>
      <c r="M66" s="100"/>
    </row>
    <row r="67" spans="2:16" x14ac:dyDescent="0.2">
      <c r="B67" s="704"/>
      <c r="C67" s="712" t="s">
        <v>654</v>
      </c>
      <c r="D67" s="712"/>
      <c r="E67" s="712"/>
      <c r="F67" s="712"/>
      <c r="G67" s="1115">
        <v>0</v>
      </c>
      <c r="H67" s="1115">
        <f t="shared" ref="H67:K68" si="10">G67</f>
        <v>0</v>
      </c>
      <c r="I67" s="1115">
        <f t="shared" si="10"/>
        <v>0</v>
      </c>
      <c r="J67" s="1115">
        <f t="shared" si="10"/>
        <v>0</v>
      </c>
      <c r="K67" s="1115">
        <f t="shared" si="10"/>
        <v>0</v>
      </c>
      <c r="L67" s="63"/>
      <c r="M67" s="100"/>
    </row>
    <row r="68" spans="2:16" x14ac:dyDescent="0.2">
      <c r="B68" s="704"/>
      <c r="C68" s="712" t="s">
        <v>655</v>
      </c>
      <c r="D68" s="712"/>
      <c r="E68" s="712"/>
      <c r="F68" s="712"/>
      <c r="G68" s="1115">
        <v>0</v>
      </c>
      <c r="H68" s="1115">
        <f t="shared" si="10"/>
        <v>0</v>
      </c>
      <c r="I68" s="1115">
        <f t="shared" si="10"/>
        <v>0</v>
      </c>
      <c r="J68" s="1115">
        <f t="shared" si="10"/>
        <v>0</v>
      </c>
      <c r="K68" s="1115">
        <f t="shared" si="10"/>
        <v>0</v>
      </c>
      <c r="L68" s="63"/>
      <c r="M68" s="100"/>
    </row>
    <row r="69" spans="2:16" x14ac:dyDescent="0.2">
      <c r="B69" s="704"/>
      <c r="C69" s="495"/>
      <c r="D69" s="495"/>
      <c r="E69" s="495"/>
      <c r="F69" s="632"/>
      <c r="G69" s="1113">
        <f>SUM(G66:G68)</f>
        <v>1</v>
      </c>
      <c r="H69" s="1113">
        <f t="shared" ref="H69:K69" si="11">SUM(H66:H68)</f>
        <v>1</v>
      </c>
      <c r="I69" s="1113">
        <f t="shared" si="11"/>
        <v>1</v>
      </c>
      <c r="J69" s="1113">
        <f t="shared" si="11"/>
        <v>1</v>
      </c>
      <c r="K69" s="1113">
        <f t="shared" si="11"/>
        <v>1</v>
      </c>
      <c r="L69" s="654"/>
      <c r="M69" s="100"/>
    </row>
    <row r="70" spans="2:16" x14ac:dyDescent="0.2">
      <c r="B70" s="704"/>
      <c r="C70" s="495"/>
      <c r="D70" s="495"/>
      <c r="E70" s="495"/>
      <c r="F70" s="632"/>
      <c r="G70" s="632"/>
      <c r="H70" s="632"/>
      <c r="I70" s="632"/>
      <c r="J70" s="632"/>
      <c r="K70" s="632"/>
      <c r="L70" s="654"/>
      <c r="M70" s="100"/>
    </row>
    <row r="71" spans="2:16" x14ac:dyDescent="0.2">
      <c r="B71" s="704"/>
      <c r="C71" s="5"/>
      <c r="D71" s="5"/>
      <c r="E71" s="5"/>
      <c r="F71" s="63"/>
      <c r="G71" s="63"/>
      <c r="H71" s="63"/>
      <c r="I71" s="63"/>
      <c r="J71" s="63"/>
      <c r="K71" s="63"/>
      <c r="L71" s="654"/>
      <c r="M71" s="100"/>
    </row>
    <row r="72" spans="2:16" x14ac:dyDescent="0.2">
      <c r="B72" s="704"/>
      <c r="C72" s="5"/>
      <c r="D72" s="5"/>
      <c r="E72" s="5"/>
      <c r="F72" s="63"/>
      <c r="G72" s="63"/>
      <c r="H72" s="63"/>
      <c r="I72" s="63"/>
      <c r="J72" s="63"/>
      <c r="K72" s="63"/>
      <c r="L72" s="654"/>
      <c r="M72" s="100"/>
    </row>
    <row r="73" spans="2:16" ht="15.75" x14ac:dyDescent="0.25">
      <c r="B73" s="69"/>
      <c r="C73" s="122"/>
      <c r="D73" s="122"/>
      <c r="E73" s="122"/>
      <c r="F73" s="71"/>
      <c r="G73" s="1005"/>
      <c r="H73" s="1079" t="s">
        <v>584</v>
      </c>
      <c r="I73" s="71"/>
      <c r="J73" s="71"/>
      <c r="K73" s="71"/>
      <c r="L73" s="70"/>
      <c r="M73" s="100"/>
    </row>
    <row r="74" spans="2:16" ht="15.75" x14ac:dyDescent="0.25">
      <c r="B74" s="69"/>
      <c r="C74" s="122"/>
      <c r="D74" s="971" t="s">
        <v>610</v>
      </c>
      <c r="E74" s="122"/>
      <c r="F74" s="71"/>
      <c r="G74" s="1005"/>
      <c r="H74" s="748" t="s">
        <v>546</v>
      </c>
      <c r="I74" s="71"/>
      <c r="J74" s="71"/>
      <c r="K74" s="71"/>
      <c r="L74" s="70"/>
      <c r="M74" s="100"/>
    </row>
    <row r="75" spans="2:16" x14ac:dyDescent="0.2">
      <c r="B75" s="69"/>
      <c r="C75" s="149"/>
      <c r="D75" s="147" t="s">
        <v>242</v>
      </c>
      <c r="E75" s="147"/>
      <c r="F75" s="64">
        <v>1</v>
      </c>
      <c r="G75" s="418">
        <f t="shared" ref="G75:K77" si="12">+G108+G112+G116+G120+G124+G128+G132+G136+G140+G144+G148+G152+G156+G160+G164+G168+G172+G176+G180+G184+G188+G192+G196+G200+G204+G208+G212+G216+G220+G224+G228+G232+G236+G240+G244</f>
        <v>438</v>
      </c>
      <c r="H75" s="418">
        <f t="shared" si="12"/>
        <v>438</v>
      </c>
      <c r="I75" s="418">
        <f t="shared" si="12"/>
        <v>438</v>
      </c>
      <c r="J75" s="418">
        <f t="shared" si="12"/>
        <v>438</v>
      </c>
      <c r="K75" s="418">
        <f t="shared" si="12"/>
        <v>438</v>
      </c>
      <c r="L75" s="70"/>
      <c r="M75" s="100"/>
      <c r="P75" s="1003"/>
    </row>
    <row r="76" spans="2:16" x14ac:dyDescent="0.2">
      <c r="B76" s="69"/>
      <c r="C76" s="149"/>
      <c r="D76" s="982"/>
      <c r="E76" s="149"/>
      <c r="F76" s="64">
        <v>2</v>
      </c>
      <c r="G76" s="418">
        <f t="shared" si="12"/>
        <v>37</v>
      </c>
      <c r="H76" s="418">
        <f t="shared" si="12"/>
        <v>37</v>
      </c>
      <c r="I76" s="418">
        <f t="shared" si="12"/>
        <v>37</v>
      </c>
      <c r="J76" s="418">
        <f t="shared" si="12"/>
        <v>37</v>
      </c>
      <c r="K76" s="418">
        <f t="shared" si="12"/>
        <v>37</v>
      </c>
      <c r="L76" s="70"/>
      <c r="M76" s="100"/>
      <c r="P76" s="1003"/>
    </row>
    <row r="77" spans="2:16" x14ac:dyDescent="0.2">
      <c r="B77" s="69"/>
      <c r="C77" s="149"/>
      <c r="D77" s="149"/>
      <c r="E77" s="149"/>
      <c r="F77" s="64">
        <v>3</v>
      </c>
      <c r="G77" s="418">
        <f t="shared" si="12"/>
        <v>40</v>
      </c>
      <c r="H77" s="418">
        <f t="shared" si="12"/>
        <v>40</v>
      </c>
      <c r="I77" s="418">
        <f t="shared" si="12"/>
        <v>40</v>
      </c>
      <c r="J77" s="418">
        <f t="shared" si="12"/>
        <v>40</v>
      </c>
      <c r="K77" s="418">
        <f t="shared" si="12"/>
        <v>40</v>
      </c>
      <c r="L77" s="70"/>
      <c r="M77" s="100"/>
      <c r="P77" s="1003"/>
    </row>
    <row r="78" spans="2:16" x14ac:dyDescent="0.2">
      <c r="B78" s="69"/>
      <c r="C78" s="149"/>
      <c r="D78" s="149"/>
      <c r="E78" s="149"/>
      <c r="F78" s="64"/>
      <c r="G78" s="459">
        <f t="shared" ref="G78:K78" si="13">SUM(G75:G77)</f>
        <v>515</v>
      </c>
      <c r="H78" s="459">
        <f t="shared" si="13"/>
        <v>515</v>
      </c>
      <c r="I78" s="459">
        <f t="shared" si="13"/>
        <v>515</v>
      </c>
      <c r="J78" s="459">
        <f t="shared" si="13"/>
        <v>515</v>
      </c>
      <c r="K78" s="459">
        <f t="shared" si="13"/>
        <v>515</v>
      </c>
      <c r="L78" s="70"/>
      <c r="M78" s="100"/>
      <c r="P78" s="1003"/>
    </row>
    <row r="79" spans="2:16" x14ac:dyDescent="0.2">
      <c r="B79" s="69"/>
      <c r="C79" s="149"/>
      <c r="D79" s="149"/>
      <c r="E79" s="149"/>
      <c r="F79" s="64"/>
      <c r="G79" s="64"/>
      <c r="H79" s="64"/>
      <c r="I79" s="64"/>
      <c r="J79" s="64"/>
      <c r="K79" s="64"/>
      <c r="L79" s="70"/>
      <c r="M79" s="100"/>
    </row>
    <row r="80" spans="2:16" x14ac:dyDescent="0.2">
      <c r="B80" s="72"/>
      <c r="C80" s="153"/>
      <c r="D80" s="153" t="s">
        <v>243</v>
      </c>
      <c r="E80" s="153"/>
      <c r="F80" s="64"/>
      <c r="G80" s="460">
        <f>G21+G22+G23+G78</f>
        <v>15358</v>
      </c>
      <c r="H80" s="460">
        <f>H21+H22+H23+H78</f>
        <v>15358</v>
      </c>
      <c r="I80" s="460">
        <f>I21+I22+I23+I78</f>
        <v>15358</v>
      </c>
      <c r="J80" s="460">
        <f>J21+J22+J23+J78</f>
        <v>15358</v>
      </c>
      <c r="K80" s="460">
        <f>+K57+K58+K59+K78</f>
        <v>15358</v>
      </c>
      <c r="L80" s="83"/>
      <c r="M80" s="100"/>
    </row>
    <row r="81" spans="2:13" x14ac:dyDescent="0.2">
      <c r="B81" s="69"/>
      <c r="C81" s="149"/>
      <c r="D81" s="149"/>
      <c r="E81" s="149"/>
      <c r="F81" s="64"/>
      <c r="G81" s="64"/>
      <c r="H81" s="64"/>
      <c r="I81" s="64"/>
      <c r="J81" s="64"/>
      <c r="K81" s="64"/>
      <c r="L81" s="70"/>
      <c r="M81" s="100"/>
    </row>
    <row r="82" spans="2:13" x14ac:dyDescent="0.2">
      <c r="B82" s="69"/>
      <c r="C82" s="141"/>
      <c r="D82" s="141"/>
      <c r="E82" s="141"/>
      <c r="F82" s="141"/>
      <c r="G82" s="141"/>
      <c r="H82" s="141"/>
      <c r="I82" s="141"/>
      <c r="J82" s="141"/>
      <c r="K82" s="141"/>
      <c r="L82" s="70"/>
      <c r="M82" s="100"/>
    </row>
    <row r="83" spans="2:13" x14ac:dyDescent="0.2">
      <c r="B83" s="69"/>
      <c r="C83" s="149"/>
      <c r="D83" s="149"/>
      <c r="E83" s="149"/>
      <c r="F83" s="64"/>
      <c r="G83" s="64"/>
      <c r="H83" s="64"/>
      <c r="I83" s="64"/>
      <c r="J83" s="64"/>
      <c r="K83" s="64"/>
      <c r="L83" s="70"/>
      <c r="M83" s="100"/>
    </row>
    <row r="84" spans="2:13" x14ac:dyDescent="0.2">
      <c r="B84" s="69"/>
      <c r="C84" s="149"/>
      <c r="D84" s="462" t="s">
        <v>154</v>
      </c>
      <c r="E84" s="462"/>
      <c r="F84" s="163"/>
      <c r="G84" s="1080">
        <f>G16</f>
        <v>2022</v>
      </c>
      <c r="H84" s="1080">
        <f t="shared" ref="H84:K84" si="14">H16</f>
        <v>2023</v>
      </c>
      <c r="I84" s="1080">
        <f t="shared" si="14"/>
        <v>2024</v>
      </c>
      <c r="J84" s="1080">
        <f t="shared" si="14"/>
        <v>2023</v>
      </c>
      <c r="K84" s="1080">
        <f t="shared" si="14"/>
        <v>2026</v>
      </c>
      <c r="L84" s="70"/>
      <c r="M84" s="100"/>
    </row>
    <row r="85" spans="2:13" x14ac:dyDescent="0.2">
      <c r="B85" s="69"/>
      <c r="C85" s="149"/>
      <c r="D85" s="462"/>
      <c r="E85" s="462"/>
      <c r="F85" s="163"/>
      <c r="G85" s="64"/>
      <c r="H85" s="64"/>
      <c r="I85" s="64"/>
      <c r="J85" s="64"/>
      <c r="K85" s="64"/>
      <c r="L85" s="70"/>
      <c r="M85" s="100"/>
    </row>
    <row r="86" spans="2:13" x14ac:dyDescent="0.2">
      <c r="B86" s="69"/>
      <c r="C86" s="149"/>
      <c r="D86" s="149" t="s">
        <v>246</v>
      </c>
      <c r="E86" s="149"/>
      <c r="F86" s="163"/>
      <c r="G86" s="525">
        <f t="shared" ref="G86:G88" si="15">IF(G$60=0,0,+G75/G$60)</f>
        <v>2.9508859395001009E-2</v>
      </c>
      <c r="H86" s="525">
        <f t="shared" ref="H86:J88" si="16">IF(H$60=0,0,+H75/H$60)</f>
        <v>2.9508859395001009E-2</v>
      </c>
      <c r="I86" s="525">
        <f t="shared" si="16"/>
        <v>2.9508859395001009E-2</v>
      </c>
      <c r="J86" s="525">
        <f t="shared" si="16"/>
        <v>2.9508859395001009E-2</v>
      </c>
      <c r="K86" s="525">
        <f>IF(K$60=0,0,+K75/K$60)</f>
        <v>2.9508859395001009E-2</v>
      </c>
      <c r="L86" s="70"/>
      <c r="M86" s="100"/>
    </row>
    <row r="87" spans="2:13" x14ac:dyDescent="0.2">
      <c r="B87" s="69"/>
      <c r="C87" s="149"/>
      <c r="D87" s="149" t="s">
        <v>247</v>
      </c>
      <c r="E87" s="149"/>
      <c r="F87" s="163"/>
      <c r="G87" s="525">
        <f t="shared" si="15"/>
        <v>2.4927575288014553E-3</v>
      </c>
      <c r="H87" s="525">
        <f t="shared" si="16"/>
        <v>2.4927575288014553E-3</v>
      </c>
      <c r="I87" s="525">
        <f t="shared" si="16"/>
        <v>2.4927575288014553E-3</v>
      </c>
      <c r="J87" s="525">
        <f t="shared" si="16"/>
        <v>2.4927575288014553E-3</v>
      </c>
      <c r="K87" s="525">
        <f>IF(K$60=0,0,+K76/K$60)</f>
        <v>2.4927575288014553E-3</v>
      </c>
      <c r="L87" s="70"/>
      <c r="M87" s="100"/>
    </row>
    <row r="88" spans="2:13" x14ac:dyDescent="0.2">
      <c r="B88" s="69"/>
      <c r="C88" s="149"/>
      <c r="D88" s="149" t="s">
        <v>248</v>
      </c>
      <c r="E88" s="149"/>
      <c r="F88" s="164"/>
      <c r="G88" s="525">
        <f t="shared" si="15"/>
        <v>2.6948730041096813E-3</v>
      </c>
      <c r="H88" s="525">
        <f t="shared" si="16"/>
        <v>2.6948730041096813E-3</v>
      </c>
      <c r="I88" s="525">
        <f t="shared" si="16"/>
        <v>2.6948730041096813E-3</v>
      </c>
      <c r="J88" s="525">
        <f t="shared" si="16"/>
        <v>2.6948730041096813E-3</v>
      </c>
      <c r="K88" s="525">
        <f>IF(K$60=0,0,+K77/K$60)</f>
        <v>2.6948730041096813E-3</v>
      </c>
      <c r="L88" s="70"/>
      <c r="M88" s="100"/>
    </row>
    <row r="89" spans="2:13" x14ac:dyDescent="0.2">
      <c r="B89" s="69"/>
      <c r="C89" s="149"/>
      <c r="D89" s="149" t="s">
        <v>245</v>
      </c>
      <c r="E89" s="149"/>
      <c r="F89" s="64"/>
      <c r="G89" s="526">
        <f t="shared" ref="G89:K89" si="17">IF(G60=0,0,G78/G60)</f>
        <v>3.4696489927912147E-2</v>
      </c>
      <c r="H89" s="526">
        <f t="shared" si="17"/>
        <v>3.4696489927912147E-2</v>
      </c>
      <c r="I89" s="526">
        <f t="shared" si="17"/>
        <v>3.4696489927912147E-2</v>
      </c>
      <c r="J89" s="526">
        <f t="shared" si="17"/>
        <v>3.4696489927912147E-2</v>
      </c>
      <c r="K89" s="526">
        <f t="shared" si="17"/>
        <v>3.4696489927912147E-2</v>
      </c>
      <c r="L89" s="70"/>
      <c r="M89" s="100"/>
    </row>
    <row r="90" spans="2:13" x14ac:dyDescent="0.2">
      <c r="B90" s="69"/>
      <c r="C90" s="149"/>
      <c r="D90" s="149" t="s">
        <v>244</v>
      </c>
      <c r="E90" s="149"/>
      <c r="F90" s="64"/>
      <c r="G90" s="526">
        <f>IF(G$80=0,0,+G$248/G$80)</f>
        <v>3.353301211095195E-2</v>
      </c>
      <c r="H90" s="526">
        <f>IF(H$80=0,0,+H$248/H$80)</f>
        <v>3.353301211095195E-2</v>
      </c>
      <c r="I90" s="526">
        <f>IF(I$80=0,0,+I$248/I$80)</f>
        <v>3.353301211095195E-2</v>
      </c>
      <c r="J90" s="526">
        <f>IF(J$80=0,0,+J$248/J$80)</f>
        <v>3.353301211095195E-2</v>
      </c>
      <c r="K90" s="526">
        <f>IF(K$80=0,0,+K$248/K$80)</f>
        <v>3.353301211095195E-2</v>
      </c>
      <c r="L90" s="70"/>
      <c r="M90" s="100"/>
    </row>
    <row r="91" spans="2:13" x14ac:dyDescent="0.2">
      <c r="B91" s="69"/>
      <c r="C91" s="149"/>
      <c r="D91" s="149"/>
      <c r="E91" s="149"/>
      <c r="F91" s="64"/>
      <c r="G91" s="64"/>
      <c r="H91" s="64"/>
      <c r="I91" s="64"/>
      <c r="J91" s="64"/>
      <c r="K91" s="64"/>
      <c r="L91" s="70"/>
      <c r="M91" s="100"/>
    </row>
    <row r="92" spans="2:13" x14ac:dyDescent="0.2">
      <c r="B92" s="69"/>
      <c r="D92" s="537" t="s">
        <v>332</v>
      </c>
      <c r="G92" s="102"/>
      <c r="L92" s="70"/>
      <c r="M92" s="100"/>
    </row>
    <row r="93" spans="2:13" x14ac:dyDescent="0.2">
      <c r="B93" s="69"/>
      <c r="G93" s="319" t="s">
        <v>583</v>
      </c>
      <c r="L93" s="70"/>
      <c r="M93" s="100"/>
    </row>
    <row r="94" spans="2:13" x14ac:dyDescent="0.2">
      <c r="B94" s="69"/>
      <c r="D94" s="149" t="s">
        <v>246</v>
      </c>
      <c r="G94" s="1004">
        <v>3.4049999999999997E-2</v>
      </c>
      <c r="H94" s="631">
        <v>0</v>
      </c>
      <c r="I94" s="631">
        <v>0</v>
      </c>
      <c r="J94" s="631">
        <v>0</v>
      </c>
      <c r="K94" s="631">
        <v>0</v>
      </c>
      <c r="L94" s="70"/>
      <c r="M94" s="100"/>
    </row>
    <row r="95" spans="2:13" x14ac:dyDescent="0.2">
      <c r="B95" s="69"/>
      <c r="D95" s="149" t="s">
        <v>247</v>
      </c>
      <c r="G95" s="1004">
        <v>2.3900000000000002E-3</v>
      </c>
      <c r="H95" s="631">
        <v>0</v>
      </c>
      <c r="I95" s="631">
        <v>0</v>
      </c>
      <c r="J95" s="631">
        <v>0</v>
      </c>
      <c r="K95" s="631">
        <v>0</v>
      </c>
      <c r="L95" s="70"/>
      <c r="M95" s="100"/>
    </row>
    <row r="96" spans="2:13" x14ac:dyDescent="0.2">
      <c r="B96" s="69"/>
      <c r="D96" s="149" t="s">
        <v>248</v>
      </c>
      <c r="G96" s="1004">
        <v>2.4299999999999999E-3</v>
      </c>
      <c r="H96" s="631">
        <v>0</v>
      </c>
      <c r="I96" s="631">
        <v>0</v>
      </c>
      <c r="J96" s="631">
        <v>0</v>
      </c>
      <c r="K96" s="631">
        <v>0</v>
      </c>
      <c r="L96" s="70"/>
      <c r="M96" s="100"/>
    </row>
    <row r="97" spans="2:19" x14ac:dyDescent="0.2">
      <c r="B97" s="69"/>
      <c r="D97" s="149" t="s">
        <v>493</v>
      </c>
      <c r="G97" s="1004">
        <v>3.8870000000000002E-2</v>
      </c>
      <c r="H97" s="631">
        <v>0</v>
      </c>
      <c r="I97" s="631">
        <v>0</v>
      </c>
      <c r="J97" s="631">
        <v>0</v>
      </c>
      <c r="K97" s="631">
        <v>0</v>
      </c>
      <c r="L97" s="70"/>
      <c r="M97" s="100"/>
    </row>
    <row r="98" spans="2:19" x14ac:dyDescent="0.2">
      <c r="B98" s="69"/>
      <c r="C98" s="542"/>
      <c r="D98" s="542"/>
      <c r="E98" s="542"/>
      <c r="F98" s="446"/>
      <c r="G98" s="446"/>
      <c r="H98" s="446"/>
      <c r="I98" s="446"/>
      <c r="J98" s="446"/>
      <c r="K98" s="446"/>
      <c r="L98" s="70"/>
      <c r="M98" s="100"/>
    </row>
    <row r="99" spans="2:19" x14ac:dyDescent="0.2">
      <c r="B99" s="69"/>
      <c r="C99" s="140"/>
      <c r="D99" s="140"/>
      <c r="E99" s="140"/>
      <c r="F99" s="141"/>
      <c r="G99" s="141"/>
      <c r="H99" s="141"/>
      <c r="I99" s="141"/>
      <c r="J99" s="141"/>
      <c r="K99" s="141"/>
      <c r="L99" s="70"/>
      <c r="M99" s="100"/>
    </row>
    <row r="100" spans="2:19" x14ac:dyDescent="0.2">
      <c r="B100" s="78"/>
      <c r="C100" s="538"/>
      <c r="D100" s="538"/>
      <c r="E100" s="538"/>
      <c r="F100" s="539"/>
      <c r="G100" s="539"/>
      <c r="H100" s="539"/>
      <c r="I100" s="539"/>
      <c r="J100" s="539"/>
      <c r="K100" s="539"/>
      <c r="L100" s="77"/>
      <c r="M100" s="100"/>
    </row>
    <row r="101" spans="2:19" x14ac:dyDescent="0.2">
      <c r="B101" s="65"/>
      <c r="C101" s="160"/>
      <c r="D101" s="160"/>
      <c r="E101" s="160"/>
      <c r="F101" s="161"/>
      <c r="G101" s="161"/>
      <c r="H101" s="161"/>
      <c r="I101" s="161"/>
      <c r="J101" s="161"/>
      <c r="K101" s="161"/>
      <c r="L101" s="68"/>
      <c r="M101" s="100"/>
    </row>
    <row r="102" spans="2:19" x14ac:dyDescent="0.2">
      <c r="B102" s="69"/>
      <c r="C102" s="140"/>
      <c r="D102" s="1074" t="s">
        <v>105</v>
      </c>
      <c r="E102" s="1075"/>
      <c r="F102" s="1076"/>
      <c r="G102" s="1077">
        <f>G55</f>
        <v>2023</v>
      </c>
      <c r="H102" s="1077">
        <f t="shared" ref="H102:K102" si="18">H55</f>
        <v>2024</v>
      </c>
      <c r="I102" s="1077">
        <f t="shared" si="18"/>
        <v>2025</v>
      </c>
      <c r="J102" s="1077">
        <f t="shared" si="18"/>
        <v>2026</v>
      </c>
      <c r="K102" s="1077">
        <f t="shared" si="18"/>
        <v>2027</v>
      </c>
      <c r="L102" s="70"/>
      <c r="M102" s="100"/>
    </row>
    <row r="103" spans="2:19" x14ac:dyDescent="0.2">
      <c r="B103" s="69"/>
      <c r="C103" s="140"/>
      <c r="D103" s="1074" t="s">
        <v>192</v>
      </c>
      <c r="E103" s="509"/>
      <c r="F103" s="497"/>
      <c r="G103" s="1078">
        <v>2022</v>
      </c>
      <c r="H103" s="1078">
        <f>G103+1</f>
        <v>2023</v>
      </c>
      <c r="I103" s="1078">
        <f t="shared" ref="I103:K103" si="19">H103+1</f>
        <v>2024</v>
      </c>
      <c r="J103" s="1078">
        <f t="shared" si="19"/>
        <v>2025</v>
      </c>
      <c r="K103" s="1078">
        <f t="shared" si="19"/>
        <v>2026</v>
      </c>
      <c r="L103" s="70"/>
      <c r="M103" s="100"/>
    </row>
    <row r="104" spans="2:19" x14ac:dyDescent="0.2">
      <c r="B104" s="69"/>
      <c r="C104" s="140"/>
      <c r="D104" s="140"/>
      <c r="E104" s="140"/>
      <c r="F104" s="141"/>
      <c r="G104" s="141"/>
      <c r="H104" s="141"/>
      <c r="I104" s="141"/>
      <c r="J104" s="141"/>
      <c r="K104" s="141"/>
      <c r="L104" s="70"/>
      <c r="M104" s="100"/>
    </row>
    <row r="105" spans="2:19" x14ac:dyDescent="0.2">
      <c r="B105" s="69"/>
      <c r="C105" s="985"/>
      <c r="D105" s="985"/>
      <c r="E105" s="985"/>
      <c r="F105" s="123"/>
      <c r="G105" s="64"/>
      <c r="H105" s="64"/>
      <c r="I105" s="64"/>
      <c r="J105" s="64"/>
      <c r="K105" s="64"/>
      <c r="L105" s="70"/>
      <c r="M105" s="100"/>
    </row>
    <row r="106" spans="2:19" x14ac:dyDescent="0.2">
      <c r="B106" s="69"/>
      <c r="C106" s="985"/>
      <c r="D106" s="986" t="s">
        <v>241</v>
      </c>
      <c r="E106" s="985" t="s">
        <v>255</v>
      </c>
      <c r="F106" s="983" t="s">
        <v>4</v>
      </c>
      <c r="G106" s="64"/>
      <c r="H106" s="64"/>
      <c r="I106" s="64"/>
      <c r="J106" s="64"/>
      <c r="K106" s="64"/>
      <c r="L106" s="70"/>
      <c r="M106" s="100"/>
    </row>
    <row r="107" spans="2:19" x14ac:dyDescent="0.2">
      <c r="B107" s="69"/>
      <c r="C107" s="985"/>
      <c r="D107" s="985"/>
      <c r="E107" s="985"/>
      <c r="F107" s="123"/>
      <c r="G107" s="64"/>
      <c r="H107" s="64"/>
      <c r="I107" s="64"/>
      <c r="J107" s="64"/>
      <c r="K107" s="64"/>
      <c r="L107" s="70"/>
      <c r="M107" s="100"/>
    </row>
    <row r="108" spans="2:19" x14ac:dyDescent="0.2">
      <c r="B108" s="69"/>
      <c r="C108" s="985"/>
      <c r="D108" s="987" t="s">
        <v>514</v>
      </c>
      <c r="E108" s="987"/>
      <c r="F108" s="123">
        <v>1</v>
      </c>
      <c r="G108" s="125">
        <v>438</v>
      </c>
      <c r="H108" s="125">
        <f>G108</f>
        <v>438</v>
      </c>
      <c r="I108" s="125">
        <f t="shared" ref="I108:K108" si="20">H108</f>
        <v>438</v>
      </c>
      <c r="J108" s="125">
        <f t="shared" si="20"/>
        <v>438</v>
      </c>
      <c r="K108" s="125">
        <f t="shared" si="20"/>
        <v>438</v>
      </c>
      <c r="L108" s="70"/>
      <c r="M108" s="100"/>
      <c r="P108" s="676"/>
      <c r="Q108" s="676"/>
      <c r="R108" s="676"/>
      <c r="S108" s="676"/>
    </row>
    <row r="109" spans="2:19" x14ac:dyDescent="0.2">
      <c r="B109" s="69"/>
      <c r="C109" s="985"/>
      <c r="D109" s="985"/>
      <c r="E109" s="985"/>
      <c r="F109" s="123">
        <v>2</v>
      </c>
      <c r="G109" s="125">
        <v>37</v>
      </c>
      <c r="H109" s="125">
        <f t="shared" ref="H109:K110" si="21">G109</f>
        <v>37</v>
      </c>
      <c r="I109" s="125">
        <f t="shared" si="21"/>
        <v>37</v>
      </c>
      <c r="J109" s="125">
        <f t="shared" si="21"/>
        <v>37</v>
      </c>
      <c r="K109" s="125">
        <f t="shared" si="21"/>
        <v>37</v>
      </c>
      <c r="L109" s="70"/>
      <c r="M109" s="100"/>
    </row>
    <row r="110" spans="2:19" x14ac:dyDescent="0.2">
      <c r="B110" s="69"/>
      <c r="C110" s="985"/>
      <c r="D110" s="985"/>
      <c r="E110" s="985"/>
      <c r="F110" s="123">
        <v>3</v>
      </c>
      <c r="G110" s="125">
        <v>40</v>
      </c>
      <c r="H110" s="125">
        <f t="shared" si="21"/>
        <v>40</v>
      </c>
      <c r="I110" s="125">
        <f t="shared" si="21"/>
        <v>40</v>
      </c>
      <c r="J110" s="125">
        <f t="shared" si="21"/>
        <v>40</v>
      </c>
      <c r="K110" s="125">
        <f t="shared" si="21"/>
        <v>40</v>
      </c>
      <c r="L110" s="70"/>
      <c r="M110" s="100"/>
    </row>
    <row r="111" spans="2:19" x14ac:dyDescent="0.2">
      <c r="B111" s="69"/>
      <c r="C111" s="985"/>
      <c r="D111" s="985"/>
      <c r="E111" s="985"/>
      <c r="F111" s="123"/>
      <c r="G111" s="64"/>
      <c r="H111" s="64"/>
      <c r="I111" s="64"/>
      <c r="J111" s="64"/>
      <c r="K111" s="64"/>
      <c r="L111" s="70"/>
      <c r="M111" s="100"/>
    </row>
    <row r="112" spans="2:19" x14ac:dyDescent="0.2">
      <c r="B112" s="69"/>
      <c r="C112" s="985"/>
      <c r="D112" s="987" t="s">
        <v>515</v>
      </c>
      <c r="E112" s="987"/>
      <c r="F112" s="123">
        <v>1</v>
      </c>
      <c r="G112" s="125">
        <v>0</v>
      </c>
      <c r="H112" s="125">
        <f t="shared" ref="H112:H114" si="22">+G112</f>
        <v>0</v>
      </c>
      <c r="I112" s="125">
        <f t="shared" ref="I112:K114" si="23">+H112</f>
        <v>0</v>
      </c>
      <c r="J112" s="125">
        <f t="shared" si="23"/>
        <v>0</v>
      </c>
      <c r="K112" s="125">
        <f t="shared" si="23"/>
        <v>0</v>
      </c>
      <c r="L112" s="70"/>
      <c r="M112" s="100"/>
    </row>
    <row r="113" spans="2:30" x14ac:dyDescent="0.2">
      <c r="B113" s="69"/>
      <c r="C113" s="985"/>
      <c r="D113" s="985"/>
      <c r="E113" s="985"/>
      <c r="F113" s="123">
        <v>2</v>
      </c>
      <c r="G113" s="125">
        <v>0</v>
      </c>
      <c r="H113" s="125">
        <f t="shared" si="22"/>
        <v>0</v>
      </c>
      <c r="I113" s="125">
        <f t="shared" si="23"/>
        <v>0</v>
      </c>
      <c r="J113" s="125">
        <f t="shared" si="23"/>
        <v>0</v>
      </c>
      <c r="K113" s="125">
        <f t="shared" si="23"/>
        <v>0</v>
      </c>
      <c r="L113" s="70"/>
      <c r="M113" s="100"/>
      <c r="AA113" s="103"/>
    </row>
    <row r="114" spans="2:30" x14ac:dyDescent="0.2">
      <c r="B114" s="69"/>
      <c r="C114" s="985"/>
      <c r="D114" s="985"/>
      <c r="E114" s="985"/>
      <c r="F114" s="123">
        <v>3</v>
      </c>
      <c r="G114" s="125">
        <v>0</v>
      </c>
      <c r="H114" s="125">
        <f t="shared" si="22"/>
        <v>0</v>
      </c>
      <c r="I114" s="125">
        <f t="shared" si="23"/>
        <v>0</v>
      </c>
      <c r="J114" s="125">
        <f t="shared" si="23"/>
        <v>0</v>
      </c>
      <c r="K114" s="125">
        <f t="shared" si="23"/>
        <v>0</v>
      </c>
      <c r="L114" s="70"/>
      <c r="M114" s="100"/>
    </row>
    <row r="115" spans="2:30" x14ac:dyDescent="0.2">
      <c r="B115" s="69"/>
      <c r="C115" s="985"/>
      <c r="D115" s="985"/>
      <c r="E115" s="985"/>
      <c r="F115" s="123"/>
      <c r="G115" s="64"/>
      <c r="H115" s="64"/>
      <c r="I115" s="64"/>
      <c r="J115" s="64"/>
      <c r="K115" s="64"/>
      <c r="L115" s="70"/>
      <c r="M115" s="100"/>
    </row>
    <row r="116" spans="2:30" x14ac:dyDescent="0.2">
      <c r="B116" s="69"/>
      <c r="C116" s="985"/>
      <c r="D116" s="987" t="s">
        <v>516</v>
      </c>
      <c r="E116" s="987"/>
      <c r="F116" s="123">
        <v>1</v>
      </c>
      <c r="G116" s="125">
        <v>0</v>
      </c>
      <c r="H116" s="125">
        <f t="shared" ref="H116:H118" si="24">+G116</f>
        <v>0</v>
      </c>
      <c r="I116" s="125">
        <f t="shared" ref="I116:K118" si="25">+H116</f>
        <v>0</v>
      </c>
      <c r="J116" s="125">
        <f t="shared" si="25"/>
        <v>0</v>
      </c>
      <c r="K116" s="125">
        <f t="shared" si="25"/>
        <v>0</v>
      </c>
      <c r="L116" s="70"/>
      <c r="M116" s="100"/>
      <c r="AB116" s="103"/>
      <c r="AC116" s="103"/>
      <c r="AD116" s="103"/>
    </row>
    <row r="117" spans="2:30" x14ac:dyDescent="0.2">
      <c r="B117" s="69"/>
      <c r="C117" s="985"/>
      <c r="D117" s="985"/>
      <c r="E117" s="985"/>
      <c r="F117" s="123">
        <v>2</v>
      </c>
      <c r="G117" s="125">
        <v>0</v>
      </c>
      <c r="H117" s="125">
        <f t="shared" si="24"/>
        <v>0</v>
      </c>
      <c r="I117" s="125">
        <f t="shared" si="25"/>
        <v>0</v>
      </c>
      <c r="J117" s="125">
        <f t="shared" si="25"/>
        <v>0</v>
      </c>
      <c r="K117" s="125">
        <f t="shared" si="25"/>
        <v>0</v>
      </c>
      <c r="L117" s="70"/>
      <c r="M117" s="100"/>
    </row>
    <row r="118" spans="2:30" x14ac:dyDescent="0.2">
      <c r="B118" s="69"/>
      <c r="C118" s="985"/>
      <c r="D118" s="985"/>
      <c r="E118" s="985"/>
      <c r="F118" s="123">
        <v>3</v>
      </c>
      <c r="G118" s="125">
        <v>0</v>
      </c>
      <c r="H118" s="125">
        <f t="shared" si="24"/>
        <v>0</v>
      </c>
      <c r="I118" s="125">
        <f t="shared" si="25"/>
        <v>0</v>
      </c>
      <c r="J118" s="125">
        <f t="shared" si="25"/>
        <v>0</v>
      </c>
      <c r="K118" s="125">
        <f t="shared" si="25"/>
        <v>0</v>
      </c>
      <c r="L118" s="70"/>
      <c r="M118" s="100"/>
    </row>
    <row r="119" spans="2:30" x14ac:dyDescent="0.2">
      <c r="B119" s="69"/>
      <c r="C119" s="985"/>
      <c r="D119" s="985"/>
      <c r="E119" s="985"/>
      <c r="F119" s="123"/>
      <c r="G119" s="64"/>
      <c r="H119" s="64"/>
      <c r="I119" s="64"/>
      <c r="J119" s="64"/>
      <c r="K119" s="64"/>
      <c r="L119" s="70"/>
      <c r="M119" s="100"/>
    </row>
    <row r="120" spans="2:30" x14ac:dyDescent="0.2">
      <c r="B120" s="69"/>
      <c r="C120" s="985"/>
      <c r="D120" s="987" t="s">
        <v>517</v>
      </c>
      <c r="E120" s="987"/>
      <c r="F120" s="123">
        <v>1</v>
      </c>
      <c r="G120" s="125">
        <v>0</v>
      </c>
      <c r="H120" s="125">
        <f t="shared" ref="H120:H122" si="26">+G120</f>
        <v>0</v>
      </c>
      <c r="I120" s="125">
        <f t="shared" ref="I120:K122" si="27">+H120</f>
        <v>0</v>
      </c>
      <c r="J120" s="125">
        <f t="shared" si="27"/>
        <v>0</v>
      </c>
      <c r="K120" s="125">
        <f t="shared" si="27"/>
        <v>0</v>
      </c>
      <c r="L120" s="70"/>
      <c r="M120" s="100"/>
    </row>
    <row r="121" spans="2:30" x14ac:dyDescent="0.2">
      <c r="B121" s="69"/>
      <c r="C121" s="985"/>
      <c r="D121" s="985"/>
      <c r="E121" s="985"/>
      <c r="F121" s="123">
        <v>2</v>
      </c>
      <c r="G121" s="125">
        <v>0</v>
      </c>
      <c r="H121" s="125">
        <f t="shared" si="26"/>
        <v>0</v>
      </c>
      <c r="I121" s="125">
        <f t="shared" si="27"/>
        <v>0</v>
      </c>
      <c r="J121" s="125">
        <f t="shared" si="27"/>
        <v>0</v>
      </c>
      <c r="K121" s="125">
        <f t="shared" si="27"/>
        <v>0</v>
      </c>
      <c r="L121" s="70"/>
      <c r="M121" s="100"/>
      <c r="AB121" s="103"/>
      <c r="AC121" s="103"/>
      <c r="AD121" s="103"/>
    </row>
    <row r="122" spans="2:30" x14ac:dyDescent="0.2">
      <c r="B122" s="69"/>
      <c r="C122" s="985"/>
      <c r="D122" s="985"/>
      <c r="E122" s="985"/>
      <c r="F122" s="123">
        <v>3</v>
      </c>
      <c r="G122" s="125">
        <v>0</v>
      </c>
      <c r="H122" s="125">
        <f t="shared" si="26"/>
        <v>0</v>
      </c>
      <c r="I122" s="125">
        <f t="shared" si="27"/>
        <v>0</v>
      </c>
      <c r="J122" s="125">
        <f t="shared" si="27"/>
        <v>0</v>
      </c>
      <c r="K122" s="125">
        <f t="shared" si="27"/>
        <v>0</v>
      </c>
      <c r="L122" s="70"/>
      <c r="M122" s="100"/>
    </row>
    <row r="123" spans="2:30" x14ac:dyDescent="0.2">
      <c r="B123" s="69"/>
      <c r="C123" s="985"/>
      <c r="D123" s="985"/>
      <c r="E123" s="985"/>
      <c r="F123" s="123"/>
      <c r="G123" s="64"/>
      <c r="H123" s="64"/>
      <c r="I123" s="64"/>
      <c r="J123" s="64"/>
      <c r="K123" s="64"/>
      <c r="L123" s="70"/>
      <c r="M123" s="100"/>
    </row>
    <row r="124" spans="2:30" x14ac:dyDescent="0.2">
      <c r="B124" s="69"/>
      <c r="C124" s="985"/>
      <c r="D124" s="987" t="s">
        <v>518</v>
      </c>
      <c r="E124" s="987"/>
      <c r="F124" s="123">
        <v>1</v>
      </c>
      <c r="G124" s="125">
        <v>0</v>
      </c>
      <c r="H124" s="125">
        <f t="shared" ref="H124:H126" si="28">+G124</f>
        <v>0</v>
      </c>
      <c r="I124" s="125">
        <f t="shared" ref="I124:K126" si="29">+H124</f>
        <v>0</v>
      </c>
      <c r="J124" s="125">
        <f t="shared" si="29"/>
        <v>0</v>
      </c>
      <c r="K124" s="125">
        <f t="shared" si="29"/>
        <v>0</v>
      </c>
      <c r="L124" s="70"/>
      <c r="M124" s="100"/>
    </row>
    <row r="125" spans="2:30" x14ac:dyDescent="0.2">
      <c r="B125" s="69"/>
      <c r="C125" s="985"/>
      <c r="D125" s="985"/>
      <c r="E125" s="985"/>
      <c r="F125" s="123">
        <v>2</v>
      </c>
      <c r="G125" s="125">
        <v>0</v>
      </c>
      <c r="H125" s="125">
        <f t="shared" si="28"/>
        <v>0</v>
      </c>
      <c r="I125" s="125">
        <f t="shared" si="29"/>
        <v>0</v>
      </c>
      <c r="J125" s="125">
        <f t="shared" si="29"/>
        <v>0</v>
      </c>
      <c r="K125" s="125">
        <f t="shared" si="29"/>
        <v>0</v>
      </c>
      <c r="L125" s="70"/>
      <c r="M125" s="100"/>
    </row>
    <row r="126" spans="2:30" x14ac:dyDescent="0.2">
      <c r="B126" s="69"/>
      <c r="C126" s="985"/>
      <c r="D126" s="985"/>
      <c r="E126" s="985"/>
      <c r="F126" s="123">
        <v>3</v>
      </c>
      <c r="G126" s="125">
        <v>0</v>
      </c>
      <c r="H126" s="125">
        <f t="shared" si="28"/>
        <v>0</v>
      </c>
      <c r="I126" s="125">
        <f t="shared" si="29"/>
        <v>0</v>
      </c>
      <c r="J126" s="125">
        <f t="shared" si="29"/>
        <v>0</v>
      </c>
      <c r="K126" s="125">
        <f t="shared" si="29"/>
        <v>0</v>
      </c>
      <c r="L126" s="70"/>
      <c r="M126" s="100"/>
      <c r="AB126" s="103"/>
      <c r="AC126" s="103"/>
      <c r="AD126" s="103"/>
    </row>
    <row r="127" spans="2:30" x14ac:dyDescent="0.2">
      <c r="B127" s="69"/>
      <c r="C127" s="985"/>
      <c r="D127" s="985"/>
      <c r="E127" s="985"/>
      <c r="F127" s="123"/>
      <c r="G127" s="64"/>
      <c r="H127" s="64"/>
      <c r="I127" s="64"/>
      <c r="J127" s="64"/>
      <c r="K127" s="64"/>
      <c r="L127" s="70"/>
      <c r="M127" s="100"/>
    </row>
    <row r="128" spans="2:30" x14ac:dyDescent="0.2">
      <c r="B128" s="69"/>
      <c r="C128" s="985"/>
      <c r="D128" s="987" t="s">
        <v>519</v>
      </c>
      <c r="E128" s="987"/>
      <c r="F128" s="123">
        <v>1</v>
      </c>
      <c r="G128" s="125">
        <v>0</v>
      </c>
      <c r="H128" s="125">
        <f t="shared" ref="H128:K128" si="30">G128</f>
        <v>0</v>
      </c>
      <c r="I128" s="125">
        <f t="shared" si="30"/>
        <v>0</v>
      </c>
      <c r="J128" s="125">
        <f t="shared" si="30"/>
        <v>0</v>
      </c>
      <c r="K128" s="125">
        <f t="shared" si="30"/>
        <v>0</v>
      </c>
      <c r="L128" s="70"/>
      <c r="M128" s="100"/>
    </row>
    <row r="129" spans="2:30" x14ac:dyDescent="0.2">
      <c r="B129" s="69"/>
      <c r="C129" s="985"/>
      <c r="D129" s="985"/>
      <c r="E129" s="985"/>
      <c r="F129" s="123">
        <v>2</v>
      </c>
      <c r="G129" s="125">
        <v>0</v>
      </c>
      <c r="H129" s="125">
        <f t="shared" ref="H129:J130" si="31">G129</f>
        <v>0</v>
      </c>
      <c r="I129" s="125">
        <f t="shared" si="31"/>
        <v>0</v>
      </c>
      <c r="J129" s="125">
        <f t="shared" si="31"/>
        <v>0</v>
      </c>
      <c r="K129" s="125">
        <f>J129</f>
        <v>0</v>
      </c>
      <c r="L129" s="70"/>
      <c r="M129" s="100"/>
      <c r="AA129" s="103"/>
    </row>
    <row r="130" spans="2:30" x14ac:dyDescent="0.2">
      <c r="B130" s="69"/>
      <c r="C130" s="985"/>
      <c r="D130" s="985"/>
      <c r="E130" s="985"/>
      <c r="F130" s="123">
        <v>3</v>
      </c>
      <c r="G130" s="125">
        <v>0</v>
      </c>
      <c r="H130" s="125">
        <f t="shared" si="31"/>
        <v>0</v>
      </c>
      <c r="I130" s="125">
        <f t="shared" si="31"/>
        <v>0</v>
      </c>
      <c r="J130" s="125">
        <f t="shared" si="31"/>
        <v>0</v>
      </c>
      <c r="K130" s="125">
        <f>J130</f>
        <v>0</v>
      </c>
      <c r="L130" s="70"/>
      <c r="M130" s="100"/>
    </row>
    <row r="131" spans="2:30" x14ac:dyDescent="0.2">
      <c r="B131" s="69"/>
      <c r="C131" s="985"/>
      <c r="D131" s="985"/>
      <c r="E131" s="985"/>
      <c r="F131" s="123"/>
      <c r="G131" s="64"/>
      <c r="H131" s="64"/>
      <c r="I131" s="64"/>
      <c r="J131" s="64"/>
      <c r="K131" s="64"/>
      <c r="L131" s="70"/>
      <c r="M131" s="100"/>
      <c r="AA131" s="103"/>
    </row>
    <row r="132" spans="2:30" x14ac:dyDescent="0.2">
      <c r="B132" s="69"/>
      <c r="C132" s="985"/>
      <c r="D132" s="987" t="s">
        <v>520</v>
      </c>
      <c r="E132" s="987"/>
      <c r="F132" s="123">
        <v>1</v>
      </c>
      <c r="G132" s="125">
        <v>0</v>
      </c>
      <c r="H132" s="125">
        <f t="shared" ref="H132:K132" si="32">G132</f>
        <v>0</v>
      </c>
      <c r="I132" s="125">
        <f t="shared" si="32"/>
        <v>0</v>
      </c>
      <c r="J132" s="125">
        <f t="shared" si="32"/>
        <v>0</v>
      </c>
      <c r="K132" s="125">
        <f t="shared" si="32"/>
        <v>0</v>
      </c>
      <c r="L132" s="70"/>
      <c r="M132" s="100"/>
    </row>
    <row r="133" spans="2:30" x14ac:dyDescent="0.2">
      <c r="B133" s="69"/>
      <c r="C133" s="985"/>
      <c r="D133" s="985"/>
      <c r="E133" s="985"/>
      <c r="F133" s="123">
        <v>2</v>
      </c>
      <c r="G133" s="125">
        <v>0</v>
      </c>
      <c r="H133" s="125">
        <f t="shared" ref="H133:J134" si="33">G133</f>
        <v>0</v>
      </c>
      <c r="I133" s="125">
        <f t="shared" si="33"/>
        <v>0</v>
      </c>
      <c r="J133" s="125">
        <f t="shared" si="33"/>
        <v>0</v>
      </c>
      <c r="K133" s="125">
        <f>J133</f>
        <v>0</v>
      </c>
      <c r="L133" s="70"/>
      <c r="M133" s="100"/>
    </row>
    <row r="134" spans="2:30" x14ac:dyDescent="0.2">
      <c r="B134" s="69"/>
      <c r="C134" s="985"/>
      <c r="D134" s="985"/>
      <c r="E134" s="985"/>
      <c r="F134" s="123">
        <v>3</v>
      </c>
      <c r="G134" s="125">
        <v>0</v>
      </c>
      <c r="H134" s="125">
        <f t="shared" si="33"/>
        <v>0</v>
      </c>
      <c r="I134" s="125">
        <f t="shared" si="33"/>
        <v>0</v>
      </c>
      <c r="J134" s="125">
        <f t="shared" si="33"/>
        <v>0</v>
      </c>
      <c r="K134" s="125">
        <f>J134</f>
        <v>0</v>
      </c>
      <c r="L134" s="70"/>
      <c r="M134" s="100"/>
      <c r="AA134" s="103"/>
    </row>
    <row r="135" spans="2:30" x14ac:dyDescent="0.2">
      <c r="B135" s="69"/>
      <c r="C135" s="985"/>
      <c r="D135" s="985"/>
      <c r="E135" s="985"/>
      <c r="F135" s="123"/>
      <c r="G135" s="64"/>
      <c r="H135" s="64"/>
      <c r="I135" s="64"/>
      <c r="J135" s="64"/>
      <c r="K135" s="64"/>
      <c r="L135" s="70"/>
      <c r="M135" s="100"/>
    </row>
    <row r="136" spans="2:30" x14ac:dyDescent="0.2">
      <c r="B136" s="69"/>
      <c r="C136" s="985"/>
      <c r="D136" s="987" t="s">
        <v>521</v>
      </c>
      <c r="E136" s="987"/>
      <c r="F136" s="123">
        <v>1</v>
      </c>
      <c r="G136" s="125">
        <v>0</v>
      </c>
      <c r="H136" s="125">
        <f t="shared" ref="H136:H138" si="34">+G136</f>
        <v>0</v>
      </c>
      <c r="I136" s="125">
        <f t="shared" ref="I136:K138" si="35">+H136</f>
        <v>0</v>
      </c>
      <c r="J136" s="125">
        <f t="shared" si="35"/>
        <v>0</v>
      </c>
      <c r="K136" s="125">
        <f t="shared" si="35"/>
        <v>0</v>
      </c>
      <c r="L136" s="70"/>
      <c r="M136" s="100"/>
      <c r="AA136" s="103"/>
    </row>
    <row r="137" spans="2:30" x14ac:dyDescent="0.2">
      <c r="B137" s="69"/>
      <c r="C137" s="985"/>
      <c r="D137" s="985"/>
      <c r="E137" s="985"/>
      <c r="F137" s="123">
        <v>2</v>
      </c>
      <c r="G137" s="125">
        <v>0</v>
      </c>
      <c r="H137" s="125">
        <f t="shared" si="34"/>
        <v>0</v>
      </c>
      <c r="I137" s="125">
        <f t="shared" si="35"/>
        <v>0</v>
      </c>
      <c r="J137" s="125">
        <f t="shared" si="35"/>
        <v>0</v>
      </c>
      <c r="K137" s="125">
        <f t="shared" si="35"/>
        <v>0</v>
      </c>
      <c r="L137" s="70"/>
      <c r="M137" s="100"/>
    </row>
    <row r="138" spans="2:30" x14ac:dyDescent="0.2">
      <c r="B138" s="69"/>
      <c r="C138" s="985"/>
      <c r="D138" s="985"/>
      <c r="E138" s="985"/>
      <c r="F138" s="123">
        <v>3</v>
      </c>
      <c r="G138" s="125">
        <v>0</v>
      </c>
      <c r="H138" s="125">
        <f t="shared" si="34"/>
        <v>0</v>
      </c>
      <c r="I138" s="125">
        <f t="shared" si="35"/>
        <v>0</v>
      </c>
      <c r="J138" s="125">
        <f t="shared" si="35"/>
        <v>0</v>
      </c>
      <c r="K138" s="125">
        <f t="shared" si="35"/>
        <v>0</v>
      </c>
      <c r="L138" s="70"/>
      <c r="M138" s="100"/>
    </row>
    <row r="139" spans="2:30" x14ac:dyDescent="0.2">
      <c r="B139" s="69"/>
      <c r="C139" s="985"/>
      <c r="D139" s="985"/>
      <c r="E139" s="985"/>
      <c r="F139" s="123"/>
      <c r="G139" s="64"/>
      <c r="H139" s="64"/>
      <c r="I139" s="64"/>
      <c r="J139" s="64"/>
      <c r="K139" s="64"/>
      <c r="L139" s="70"/>
      <c r="M139" s="100"/>
    </row>
    <row r="140" spans="2:30" x14ac:dyDescent="0.2">
      <c r="B140" s="69"/>
      <c r="C140" s="985"/>
      <c r="D140" s="987" t="s">
        <v>522</v>
      </c>
      <c r="E140" s="987"/>
      <c r="F140" s="123">
        <v>1</v>
      </c>
      <c r="G140" s="125">
        <v>0</v>
      </c>
      <c r="H140" s="125">
        <f t="shared" ref="H140:K140" si="36">G140</f>
        <v>0</v>
      </c>
      <c r="I140" s="125">
        <f t="shared" si="36"/>
        <v>0</v>
      </c>
      <c r="J140" s="125">
        <f t="shared" si="36"/>
        <v>0</v>
      </c>
      <c r="K140" s="125">
        <f t="shared" si="36"/>
        <v>0</v>
      </c>
      <c r="L140" s="70"/>
      <c r="M140" s="100"/>
    </row>
    <row r="141" spans="2:30" x14ac:dyDescent="0.2">
      <c r="B141" s="69"/>
      <c r="C141" s="985"/>
      <c r="D141" s="985"/>
      <c r="E141" s="985"/>
      <c r="F141" s="123">
        <v>2</v>
      </c>
      <c r="G141" s="125">
        <v>0</v>
      </c>
      <c r="H141" s="125">
        <f t="shared" ref="H141:J142" si="37">G141</f>
        <v>0</v>
      </c>
      <c r="I141" s="125">
        <f t="shared" si="37"/>
        <v>0</v>
      </c>
      <c r="J141" s="125">
        <f t="shared" si="37"/>
        <v>0</v>
      </c>
      <c r="K141" s="125">
        <f>J141</f>
        <v>0</v>
      </c>
      <c r="L141" s="70"/>
      <c r="M141" s="100"/>
      <c r="AB141" s="103"/>
      <c r="AC141" s="103"/>
      <c r="AD141" s="103"/>
    </row>
    <row r="142" spans="2:30" x14ac:dyDescent="0.2">
      <c r="B142" s="69"/>
      <c r="C142" s="985"/>
      <c r="D142" s="985"/>
      <c r="E142" s="985"/>
      <c r="F142" s="123">
        <v>3</v>
      </c>
      <c r="G142" s="125">
        <v>0</v>
      </c>
      <c r="H142" s="125">
        <f t="shared" si="37"/>
        <v>0</v>
      </c>
      <c r="I142" s="125">
        <f t="shared" si="37"/>
        <v>0</v>
      </c>
      <c r="J142" s="125">
        <f t="shared" si="37"/>
        <v>0</v>
      </c>
      <c r="K142" s="125">
        <f>J142</f>
        <v>0</v>
      </c>
      <c r="L142" s="70"/>
      <c r="M142" s="100"/>
    </row>
    <row r="143" spans="2:30" x14ac:dyDescent="0.2">
      <c r="B143" s="69"/>
      <c r="C143" s="985"/>
      <c r="D143" s="985"/>
      <c r="E143" s="985"/>
      <c r="F143" s="123"/>
      <c r="G143" s="64"/>
      <c r="H143" s="64"/>
      <c r="I143" s="64"/>
      <c r="J143" s="64"/>
      <c r="K143" s="64"/>
      <c r="L143" s="70"/>
      <c r="M143" s="100"/>
      <c r="N143" s="630"/>
    </row>
    <row r="144" spans="2:30" x14ac:dyDescent="0.2">
      <c r="B144" s="69"/>
      <c r="C144" s="985"/>
      <c r="D144" s="987" t="s">
        <v>523</v>
      </c>
      <c r="E144" s="987"/>
      <c r="F144" s="123">
        <v>1</v>
      </c>
      <c r="G144" s="125">
        <v>0</v>
      </c>
      <c r="H144" s="125">
        <f t="shared" ref="H144:K146" si="38">+G144</f>
        <v>0</v>
      </c>
      <c r="I144" s="125">
        <f t="shared" si="38"/>
        <v>0</v>
      </c>
      <c r="J144" s="125">
        <f t="shared" si="38"/>
        <v>0</v>
      </c>
      <c r="K144" s="125">
        <f t="shared" si="38"/>
        <v>0</v>
      </c>
      <c r="L144" s="70"/>
      <c r="M144" s="100"/>
      <c r="N144" s="630"/>
    </row>
    <row r="145" spans="2:30" x14ac:dyDescent="0.2">
      <c r="B145" s="69"/>
      <c r="C145" s="985"/>
      <c r="D145" s="985"/>
      <c r="E145" s="985"/>
      <c r="F145" s="123">
        <v>2</v>
      </c>
      <c r="G145" s="125">
        <v>0</v>
      </c>
      <c r="H145" s="125">
        <f t="shared" si="38"/>
        <v>0</v>
      </c>
      <c r="I145" s="125">
        <f t="shared" si="38"/>
        <v>0</v>
      </c>
      <c r="J145" s="125">
        <f t="shared" si="38"/>
        <v>0</v>
      </c>
      <c r="K145" s="125">
        <f t="shared" si="38"/>
        <v>0</v>
      </c>
      <c r="L145" s="70"/>
      <c r="M145" s="100"/>
      <c r="N145" s="630"/>
    </row>
    <row r="146" spans="2:30" x14ac:dyDescent="0.2">
      <c r="B146" s="69"/>
      <c r="C146" s="985"/>
      <c r="D146" s="985"/>
      <c r="E146" s="985"/>
      <c r="F146" s="123">
        <v>3</v>
      </c>
      <c r="G146" s="125">
        <v>0</v>
      </c>
      <c r="H146" s="125">
        <f t="shared" si="38"/>
        <v>0</v>
      </c>
      <c r="I146" s="125">
        <f t="shared" si="38"/>
        <v>0</v>
      </c>
      <c r="J146" s="125">
        <f t="shared" si="38"/>
        <v>0</v>
      </c>
      <c r="K146" s="125">
        <f t="shared" si="38"/>
        <v>0</v>
      </c>
      <c r="L146" s="70"/>
      <c r="M146" s="100"/>
      <c r="N146" s="630"/>
      <c r="AB146" s="103"/>
      <c r="AC146" s="103"/>
      <c r="AD146" s="103"/>
    </row>
    <row r="147" spans="2:30" ht="12" customHeight="1" x14ac:dyDescent="0.2">
      <c r="B147" s="69"/>
      <c r="C147" s="985"/>
      <c r="D147" s="985"/>
      <c r="E147" s="985"/>
      <c r="F147" s="123"/>
      <c r="G147" s="64"/>
      <c r="H147" s="64"/>
      <c r="I147" s="64"/>
      <c r="J147" s="64"/>
      <c r="K147" s="64"/>
      <c r="L147" s="70"/>
      <c r="M147" s="100"/>
    </row>
    <row r="148" spans="2:30" ht="12" customHeight="1" x14ac:dyDescent="0.2">
      <c r="B148" s="69"/>
      <c r="C148" s="985"/>
      <c r="D148" s="987" t="s">
        <v>524</v>
      </c>
      <c r="E148" s="987"/>
      <c r="F148" s="123">
        <v>1</v>
      </c>
      <c r="G148" s="125">
        <v>0</v>
      </c>
      <c r="H148" s="125">
        <f t="shared" ref="H148:K148" si="39">G148</f>
        <v>0</v>
      </c>
      <c r="I148" s="125">
        <f t="shared" si="39"/>
        <v>0</v>
      </c>
      <c r="J148" s="125">
        <f t="shared" si="39"/>
        <v>0</v>
      </c>
      <c r="K148" s="125">
        <f t="shared" si="39"/>
        <v>0</v>
      </c>
      <c r="L148" s="70"/>
      <c r="M148" s="100"/>
    </row>
    <row r="149" spans="2:30" ht="12" customHeight="1" x14ac:dyDescent="0.2">
      <c r="B149" s="69"/>
      <c r="C149" s="985"/>
      <c r="D149" s="985"/>
      <c r="E149" s="985"/>
      <c r="F149" s="123">
        <v>2</v>
      </c>
      <c r="G149" s="125">
        <v>0</v>
      </c>
      <c r="H149" s="125">
        <f t="shared" ref="H149:J150" si="40">G149</f>
        <v>0</v>
      </c>
      <c r="I149" s="125">
        <f t="shared" si="40"/>
        <v>0</v>
      </c>
      <c r="J149" s="125">
        <f t="shared" si="40"/>
        <v>0</v>
      </c>
      <c r="K149" s="125">
        <f>J149</f>
        <v>0</v>
      </c>
      <c r="L149" s="70"/>
      <c r="M149" s="100"/>
    </row>
    <row r="150" spans="2:30" ht="12" customHeight="1" x14ac:dyDescent="0.2">
      <c r="B150" s="69"/>
      <c r="C150" s="985"/>
      <c r="D150" s="985"/>
      <c r="E150" s="985"/>
      <c r="F150" s="123">
        <v>3</v>
      </c>
      <c r="G150" s="125">
        <v>0</v>
      </c>
      <c r="H150" s="125">
        <f t="shared" si="40"/>
        <v>0</v>
      </c>
      <c r="I150" s="125">
        <f t="shared" si="40"/>
        <v>0</v>
      </c>
      <c r="J150" s="125">
        <f t="shared" si="40"/>
        <v>0</v>
      </c>
      <c r="K150" s="125">
        <f>J150</f>
        <v>0</v>
      </c>
      <c r="L150" s="70"/>
      <c r="M150" s="100"/>
      <c r="AA150" s="103"/>
    </row>
    <row r="151" spans="2:30" ht="12" customHeight="1" x14ac:dyDescent="0.2">
      <c r="B151" s="69"/>
      <c r="C151" s="985"/>
      <c r="D151" s="988"/>
      <c r="E151" s="985"/>
      <c r="F151" s="123"/>
      <c r="G151" s="64"/>
      <c r="H151" s="64"/>
      <c r="I151" s="64"/>
      <c r="J151" s="64"/>
      <c r="K151" s="64"/>
      <c r="L151" s="70"/>
      <c r="M151" s="100"/>
    </row>
    <row r="152" spans="2:30" ht="12" customHeight="1" x14ac:dyDescent="0.2">
      <c r="B152" s="69"/>
      <c r="C152" s="985"/>
      <c r="D152" s="987" t="s">
        <v>525</v>
      </c>
      <c r="E152" s="987"/>
      <c r="F152" s="123">
        <v>1</v>
      </c>
      <c r="G152" s="125">
        <v>0</v>
      </c>
      <c r="H152" s="125">
        <f t="shared" ref="H152:K152" si="41">G152</f>
        <v>0</v>
      </c>
      <c r="I152" s="125">
        <f t="shared" si="41"/>
        <v>0</v>
      </c>
      <c r="J152" s="125">
        <f t="shared" si="41"/>
        <v>0</v>
      </c>
      <c r="K152" s="125">
        <f t="shared" si="41"/>
        <v>0</v>
      </c>
      <c r="L152" s="70"/>
      <c r="M152" s="100"/>
      <c r="AA152" s="103"/>
    </row>
    <row r="153" spans="2:30" ht="12" customHeight="1" x14ac:dyDescent="0.2">
      <c r="B153" s="69"/>
      <c r="C153" s="985"/>
      <c r="D153" s="985"/>
      <c r="E153" s="985"/>
      <c r="F153" s="123">
        <v>2</v>
      </c>
      <c r="G153" s="125">
        <v>0</v>
      </c>
      <c r="H153" s="125">
        <f t="shared" ref="H153:J154" si="42">G153</f>
        <v>0</v>
      </c>
      <c r="I153" s="125">
        <f t="shared" si="42"/>
        <v>0</v>
      </c>
      <c r="J153" s="125">
        <f t="shared" si="42"/>
        <v>0</v>
      </c>
      <c r="K153" s="125">
        <f>J153</f>
        <v>0</v>
      </c>
      <c r="L153" s="70"/>
      <c r="M153" s="100"/>
    </row>
    <row r="154" spans="2:30" ht="12" customHeight="1" x14ac:dyDescent="0.2">
      <c r="B154" s="69"/>
      <c r="C154" s="985"/>
      <c r="D154" s="985"/>
      <c r="E154" s="985"/>
      <c r="F154" s="123">
        <v>3</v>
      </c>
      <c r="G154" s="125">
        <v>0</v>
      </c>
      <c r="H154" s="125">
        <f t="shared" si="42"/>
        <v>0</v>
      </c>
      <c r="I154" s="125">
        <f t="shared" si="42"/>
        <v>0</v>
      </c>
      <c r="J154" s="125">
        <f t="shared" si="42"/>
        <v>0</v>
      </c>
      <c r="K154" s="125">
        <f>J154</f>
        <v>0</v>
      </c>
      <c r="L154" s="70"/>
      <c r="M154" s="100"/>
    </row>
    <row r="155" spans="2:30" ht="12" customHeight="1" x14ac:dyDescent="0.2">
      <c r="B155" s="69"/>
      <c r="C155" s="985"/>
      <c r="D155" s="985"/>
      <c r="E155" s="985"/>
      <c r="F155" s="123"/>
      <c r="G155" s="64"/>
      <c r="H155" s="64"/>
      <c r="I155" s="64"/>
      <c r="J155" s="64"/>
      <c r="K155" s="64"/>
      <c r="L155" s="70"/>
      <c r="M155" s="100"/>
      <c r="AB155" s="103"/>
      <c r="AC155" s="103"/>
      <c r="AD155" s="103"/>
    </row>
    <row r="156" spans="2:30" ht="12" customHeight="1" x14ac:dyDescent="0.2">
      <c r="B156" s="69"/>
      <c r="C156" s="985"/>
      <c r="D156" s="987" t="s">
        <v>526</v>
      </c>
      <c r="E156" s="987"/>
      <c r="F156" s="123">
        <v>1</v>
      </c>
      <c r="G156" s="125">
        <v>0</v>
      </c>
      <c r="H156" s="125">
        <f t="shared" ref="H156:H158" si="43">+G156</f>
        <v>0</v>
      </c>
      <c r="I156" s="125">
        <f t="shared" ref="I156:K158" si="44">+H156</f>
        <v>0</v>
      </c>
      <c r="J156" s="125">
        <f t="shared" si="44"/>
        <v>0</v>
      </c>
      <c r="K156" s="125">
        <f t="shared" si="44"/>
        <v>0</v>
      </c>
      <c r="L156" s="70"/>
      <c r="M156" s="100"/>
    </row>
    <row r="157" spans="2:30" ht="12" customHeight="1" x14ac:dyDescent="0.2">
      <c r="B157" s="69"/>
      <c r="C157" s="985"/>
      <c r="D157" s="985"/>
      <c r="E157" s="985"/>
      <c r="F157" s="123">
        <v>2</v>
      </c>
      <c r="G157" s="125">
        <v>0</v>
      </c>
      <c r="H157" s="125">
        <f t="shared" si="43"/>
        <v>0</v>
      </c>
      <c r="I157" s="125">
        <f t="shared" si="44"/>
        <v>0</v>
      </c>
      <c r="J157" s="125">
        <f t="shared" si="44"/>
        <v>0</v>
      </c>
      <c r="K157" s="125">
        <f t="shared" si="44"/>
        <v>0</v>
      </c>
      <c r="L157" s="70"/>
      <c r="M157" s="100"/>
    </row>
    <row r="158" spans="2:30" ht="12.75" customHeight="1" x14ac:dyDescent="0.2">
      <c r="B158" s="69"/>
      <c r="C158" s="985"/>
      <c r="D158" s="985"/>
      <c r="E158" s="985"/>
      <c r="F158" s="123">
        <v>3</v>
      </c>
      <c r="G158" s="125">
        <v>0</v>
      </c>
      <c r="H158" s="125">
        <f t="shared" si="43"/>
        <v>0</v>
      </c>
      <c r="I158" s="125">
        <f t="shared" si="44"/>
        <v>0</v>
      </c>
      <c r="J158" s="125">
        <f t="shared" si="44"/>
        <v>0</v>
      </c>
      <c r="K158" s="125">
        <f t="shared" si="44"/>
        <v>0</v>
      </c>
      <c r="L158" s="70"/>
      <c r="M158" s="100"/>
    </row>
    <row r="159" spans="2:30" x14ac:dyDescent="0.2">
      <c r="B159" s="69"/>
      <c r="C159" s="985"/>
      <c r="D159" s="985"/>
      <c r="E159" s="985"/>
      <c r="F159" s="123"/>
      <c r="G159" s="64"/>
      <c r="H159" s="64"/>
      <c r="I159" s="64"/>
      <c r="J159" s="64"/>
      <c r="K159" s="64"/>
      <c r="L159" s="70"/>
      <c r="M159" s="100"/>
    </row>
    <row r="160" spans="2:30" x14ac:dyDescent="0.2">
      <c r="B160" s="69"/>
      <c r="C160" s="985"/>
      <c r="D160" s="987" t="s">
        <v>527</v>
      </c>
      <c r="E160" s="987"/>
      <c r="F160" s="123">
        <v>1</v>
      </c>
      <c r="G160" s="125">
        <v>0</v>
      </c>
      <c r="H160" s="125">
        <f t="shared" ref="H160:H162" si="45">+G160</f>
        <v>0</v>
      </c>
      <c r="I160" s="125">
        <f t="shared" ref="I160:K162" si="46">+H160</f>
        <v>0</v>
      </c>
      <c r="J160" s="125">
        <f t="shared" si="46"/>
        <v>0</v>
      </c>
      <c r="K160" s="125">
        <f t="shared" si="46"/>
        <v>0</v>
      </c>
      <c r="L160" s="70"/>
      <c r="M160" s="100"/>
      <c r="AB160" s="103"/>
      <c r="AC160" s="103"/>
      <c r="AD160" s="103"/>
    </row>
    <row r="161" spans="2:49" x14ac:dyDescent="0.2">
      <c r="B161" s="69"/>
      <c r="C161" s="985"/>
      <c r="D161" s="985"/>
      <c r="E161" s="985"/>
      <c r="F161" s="123">
        <v>2</v>
      </c>
      <c r="G161" s="125">
        <v>0</v>
      </c>
      <c r="H161" s="125">
        <f t="shared" si="45"/>
        <v>0</v>
      </c>
      <c r="I161" s="125">
        <f t="shared" si="46"/>
        <v>0</v>
      </c>
      <c r="J161" s="125">
        <f t="shared" si="46"/>
        <v>0</v>
      </c>
      <c r="K161" s="125">
        <f t="shared" si="46"/>
        <v>0</v>
      </c>
      <c r="L161" s="70"/>
      <c r="M161" s="100"/>
    </row>
    <row r="162" spans="2:49" x14ac:dyDescent="0.2">
      <c r="B162" s="69"/>
      <c r="C162" s="985"/>
      <c r="D162" s="985"/>
      <c r="E162" s="985"/>
      <c r="F162" s="123">
        <v>3</v>
      </c>
      <c r="G162" s="125">
        <v>0</v>
      </c>
      <c r="H162" s="125">
        <f t="shared" si="45"/>
        <v>0</v>
      </c>
      <c r="I162" s="125">
        <f t="shared" si="46"/>
        <v>0</v>
      </c>
      <c r="J162" s="125">
        <f t="shared" si="46"/>
        <v>0</v>
      </c>
      <c r="K162" s="125">
        <f t="shared" si="46"/>
        <v>0</v>
      </c>
      <c r="L162" s="70"/>
      <c r="M162" s="100"/>
    </row>
    <row r="163" spans="2:49" x14ac:dyDescent="0.2">
      <c r="B163" s="69"/>
      <c r="C163" s="985"/>
      <c r="D163" s="985"/>
      <c r="E163" s="985"/>
      <c r="F163" s="123"/>
      <c r="G163" s="64"/>
      <c r="H163" s="64"/>
      <c r="I163" s="64"/>
      <c r="J163" s="64"/>
      <c r="K163" s="64"/>
      <c r="L163" s="70"/>
      <c r="M163" s="100"/>
    </row>
    <row r="164" spans="2:49" x14ac:dyDescent="0.2">
      <c r="B164" s="69"/>
      <c r="C164" s="985"/>
      <c r="D164" s="987" t="s">
        <v>528</v>
      </c>
      <c r="E164" s="987"/>
      <c r="F164" s="123">
        <v>1</v>
      </c>
      <c r="G164" s="125">
        <v>0</v>
      </c>
      <c r="H164" s="125">
        <f t="shared" ref="H164:K164" si="47">G164</f>
        <v>0</v>
      </c>
      <c r="I164" s="125">
        <f t="shared" si="47"/>
        <v>0</v>
      </c>
      <c r="J164" s="125">
        <f t="shared" si="47"/>
        <v>0</v>
      </c>
      <c r="K164" s="125">
        <f t="shared" si="47"/>
        <v>0</v>
      </c>
      <c r="L164" s="70"/>
      <c r="M164" s="100"/>
      <c r="AA164" s="103"/>
    </row>
    <row r="165" spans="2:49" x14ac:dyDescent="0.2">
      <c r="B165" s="69"/>
      <c r="C165" s="985"/>
      <c r="D165" s="985"/>
      <c r="E165" s="985"/>
      <c r="F165" s="123">
        <v>2</v>
      </c>
      <c r="G165" s="125">
        <v>0</v>
      </c>
      <c r="H165" s="125">
        <f t="shared" ref="H165:J166" si="48">G165</f>
        <v>0</v>
      </c>
      <c r="I165" s="125">
        <f t="shared" si="48"/>
        <v>0</v>
      </c>
      <c r="J165" s="125">
        <f t="shared" si="48"/>
        <v>0</v>
      </c>
      <c r="K165" s="125">
        <f>J165</f>
        <v>0</v>
      </c>
      <c r="L165" s="70"/>
      <c r="M165" s="100"/>
      <c r="AB165" s="103"/>
      <c r="AC165" s="103"/>
      <c r="AD165" s="103"/>
    </row>
    <row r="166" spans="2:49" x14ac:dyDescent="0.2">
      <c r="B166" s="69"/>
      <c r="C166" s="985"/>
      <c r="D166" s="985"/>
      <c r="E166" s="985"/>
      <c r="F166" s="123">
        <v>3</v>
      </c>
      <c r="G166" s="125">
        <v>0</v>
      </c>
      <c r="H166" s="125">
        <f t="shared" si="48"/>
        <v>0</v>
      </c>
      <c r="I166" s="125">
        <f t="shared" si="48"/>
        <v>0</v>
      </c>
      <c r="J166" s="125">
        <f t="shared" si="48"/>
        <v>0</v>
      </c>
      <c r="K166" s="125">
        <f>J166</f>
        <v>0</v>
      </c>
      <c r="L166" s="70"/>
      <c r="M166" s="100"/>
    </row>
    <row r="167" spans="2:49" x14ac:dyDescent="0.2">
      <c r="B167" s="69"/>
      <c r="C167" s="985"/>
      <c r="D167" s="985"/>
      <c r="E167" s="985"/>
      <c r="F167" s="123"/>
      <c r="G167" s="64"/>
      <c r="H167" s="64"/>
      <c r="I167" s="64"/>
      <c r="J167" s="64"/>
      <c r="K167" s="64"/>
      <c r="L167" s="70"/>
      <c r="M167" s="100"/>
    </row>
    <row r="168" spans="2:49" x14ac:dyDescent="0.2">
      <c r="B168" s="69"/>
      <c r="C168" s="985"/>
      <c r="D168" s="987" t="s">
        <v>529</v>
      </c>
      <c r="E168" s="987"/>
      <c r="F168" s="123">
        <v>1</v>
      </c>
      <c r="G168" s="125">
        <v>0</v>
      </c>
      <c r="H168" s="125">
        <f t="shared" ref="H168:K168" si="49">G168</f>
        <v>0</v>
      </c>
      <c r="I168" s="125">
        <f t="shared" si="49"/>
        <v>0</v>
      </c>
      <c r="J168" s="125">
        <f t="shared" si="49"/>
        <v>0</v>
      </c>
      <c r="K168" s="125">
        <f t="shared" si="49"/>
        <v>0</v>
      </c>
      <c r="L168" s="70"/>
      <c r="M168" s="100"/>
    </row>
    <row r="169" spans="2:49" x14ac:dyDescent="0.2">
      <c r="B169" s="69"/>
      <c r="C169" s="985"/>
      <c r="D169" s="985"/>
      <c r="E169" s="985"/>
      <c r="F169" s="123">
        <v>2</v>
      </c>
      <c r="G169" s="125">
        <v>0</v>
      </c>
      <c r="H169" s="125">
        <f t="shared" ref="H169:K170" si="50">+G169</f>
        <v>0</v>
      </c>
      <c r="I169" s="125">
        <f t="shared" si="50"/>
        <v>0</v>
      </c>
      <c r="J169" s="125">
        <f t="shared" si="50"/>
        <v>0</v>
      </c>
      <c r="K169" s="125">
        <f t="shared" si="50"/>
        <v>0</v>
      </c>
      <c r="L169" s="70"/>
      <c r="M169" s="100"/>
    </row>
    <row r="170" spans="2:49" x14ac:dyDescent="0.2">
      <c r="B170" s="69"/>
      <c r="C170" s="985"/>
      <c r="D170" s="985"/>
      <c r="E170" s="985"/>
      <c r="F170" s="123">
        <v>3</v>
      </c>
      <c r="G170" s="125">
        <v>0</v>
      </c>
      <c r="H170" s="125">
        <f t="shared" si="50"/>
        <v>0</v>
      </c>
      <c r="I170" s="125">
        <f t="shared" si="50"/>
        <v>0</v>
      </c>
      <c r="J170" s="125">
        <f t="shared" si="50"/>
        <v>0</v>
      </c>
      <c r="K170" s="125">
        <f t="shared" si="50"/>
        <v>0</v>
      </c>
      <c r="L170" s="70"/>
      <c r="M170" s="100"/>
    </row>
    <row r="171" spans="2:49" x14ac:dyDescent="0.2">
      <c r="B171" s="69"/>
      <c r="C171" s="985"/>
      <c r="D171" s="985"/>
      <c r="E171" s="985"/>
      <c r="F171" s="123"/>
      <c r="G171" s="64"/>
      <c r="H171" s="64"/>
      <c r="I171" s="64"/>
      <c r="J171" s="64"/>
      <c r="K171" s="64"/>
      <c r="L171" s="70"/>
      <c r="M171" s="100"/>
      <c r="N171" s="495"/>
      <c r="O171" s="495"/>
      <c r="P171" s="495"/>
      <c r="Q171" s="495"/>
      <c r="R171" s="495"/>
      <c r="S171" s="495"/>
      <c r="T171" s="495"/>
      <c r="U171" s="495"/>
      <c r="V171" s="495"/>
      <c r="W171" s="495"/>
      <c r="X171" s="495"/>
      <c r="Y171" s="495"/>
      <c r="Z171" s="495"/>
      <c r="AA171" s="495"/>
      <c r="AB171" s="495"/>
      <c r="AC171" s="495"/>
      <c r="AD171" s="495"/>
      <c r="AE171" s="495"/>
    </row>
    <row r="172" spans="2:49" x14ac:dyDescent="0.2">
      <c r="B172" s="69"/>
      <c r="C172" s="985"/>
      <c r="D172" s="987" t="s">
        <v>422</v>
      </c>
      <c r="E172" s="987"/>
      <c r="F172" s="123">
        <v>1</v>
      </c>
      <c r="G172" s="125">
        <v>0</v>
      </c>
      <c r="H172" s="125">
        <f t="shared" ref="H172:H174" si="51">+G172</f>
        <v>0</v>
      </c>
      <c r="I172" s="125">
        <f t="shared" ref="I172:K174" si="52">+H172</f>
        <v>0</v>
      </c>
      <c r="J172" s="125">
        <f t="shared" si="52"/>
        <v>0</v>
      </c>
      <c r="K172" s="125">
        <f t="shared" si="52"/>
        <v>0</v>
      </c>
      <c r="L172" s="70"/>
      <c r="M172" s="486"/>
      <c r="N172" s="495"/>
      <c r="O172" s="495"/>
      <c r="P172" s="495"/>
      <c r="Q172" s="495"/>
      <c r="R172" s="495"/>
      <c r="S172" s="632"/>
      <c r="T172" s="632"/>
      <c r="U172" s="495"/>
      <c r="V172" s="633"/>
      <c r="W172" s="632"/>
      <c r="X172" s="632"/>
      <c r="Y172" s="632"/>
      <c r="Z172" s="632"/>
      <c r="AA172" s="632"/>
      <c r="AB172" s="632"/>
      <c r="AC172" s="495"/>
      <c r="AD172" s="495"/>
      <c r="AE172" s="495"/>
      <c r="AW172" s="105"/>
    </row>
    <row r="173" spans="2:49" x14ac:dyDescent="0.2">
      <c r="B173" s="69"/>
      <c r="C173" s="985"/>
      <c r="D173" s="985"/>
      <c r="E173" s="985"/>
      <c r="F173" s="123">
        <v>2</v>
      </c>
      <c r="G173" s="125">
        <v>0</v>
      </c>
      <c r="H173" s="125">
        <f t="shared" si="51"/>
        <v>0</v>
      </c>
      <c r="I173" s="125">
        <f t="shared" si="52"/>
        <v>0</v>
      </c>
      <c r="J173" s="125">
        <f t="shared" si="52"/>
        <v>0</v>
      </c>
      <c r="K173" s="125">
        <f t="shared" si="52"/>
        <v>0</v>
      </c>
      <c r="L173" s="70"/>
      <c r="M173" s="486"/>
      <c r="N173" s="495"/>
      <c r="O173" s="495"/>
      <c r="P173" s="495"/>
      <c r="Q173" s="495"/>
      <c r="R173" s="495"/>
      <c r="S173" s="632"/>
      <c r="T173" s="632"/>
      <c r="U173" s="495"/>
      <c r="V173" s="633"/>
      <c r="W173" s="632"/>
      <c r="X173" s="632"/>
      <c r="Y173" s="632"/>
      <c r="Z173" s="632"/>
      <c r="AA173" s="632"/>
      <c r="AB173" s="632"/>
      <c r="AC173" s="495"/>
      <c r="AD173" s="495"/>
      <c r="AE173" s="495"/>
    </row>
    <row r="174" spans="2:49" x14ac:dyDescent="0.2">
      <c r="B174" s="69"/>
      <c r="C174" s="985"/>
      <c r="D174" s="985"/>
      <c r="E174" s="985"/>
      <c r="F174" s="123">
        <v>3</v>
      </c>
      <c r="G174" s="125">
        <v>0</v>
      </c>
      <c r="H174" s="125">
        <f t="shared" si="51"/>
        <v>0</v>
      </c>
      <c r="I174" s="125">
        <f t="shared" si="52"/>
        <v>0</v>
      </c>
      <c r="J174" s="125">
        <f t="shared" si="52"/>
        <v>0</v>
      </c>
      <c r="K174" s="125">
        <f t="shared" si="52"/>
        <v>0</v>
      </c>
      <c r="L174" s="70"/>
      <c r="M174" s="486"/>
      <c r="N174" s="495"/>
      <c r="O174" s="495"/>
      <c r="P174" s="495"/>
      <c r="Q174" s="495"/>
      <c r="R174" s="495"/>
      <c r="S174" s="632"/>
      <c r="T174" s="632"/>
      <c r="U174" s="495"/>
      <c r="V174" s="633"/>
      <c r="W174" s="632"/>
      <c r="X174" s="632"/>
      <c r="Y174" s="632"/>
      <c r="Z174" s="632"/>
      <c r="AA174" s="632"/>
      <c r="AB174" s="632"/>
      <c r="AC174" s="495"/>
      <c r="AD174" s="495"/>
      <c r="AE174" s="495"/>
    </row>
    <row r="175" spans="2:49" x14ac:dyDescent="0.2">
      <c r="B175" s="69"/>
      <c r="C175" s="985"/>
      <c r="D175" s="985"/>
      <c r="E175" s="985"/>
      <c r="F175" s="123"/>
      <c r="G175" s="64"/>
      <c r="H175" s="64"/>
      <c r="I175" s="64"/>
      <c r="J175" s="64"/>
      <c r="K175" s="64"/>
      <c r="L175" s="70"/>
      <c r="M175" s="486"/>
      <c r="N175" s="495"/>
      <c r="O175" s="495"/>
      <c r="P175" s="495"/>
      <c r="Q175" s="495"/>
      <c r="R175" s="495"/>
      <c r="S175" s="632"/>
      <c r="T175" s="632"/>
      <c r="U175" s="495"/>
      <c r="V175" s="634"/>
      <c r="W175" s="634"/>
      <c r="X175" s="634"/>
      <c r="Y175" s="634"/>
      <c r="Z175" s="634"/>
      <c r="AA175" s="634"/>
      <c r="AB175" s="634"/>
      <c r="AC175" s="495"/>
      <c r="AD175" s="495"/>
      <c r="AE175" s="495"/>
    </row>
    <row r="176" spans="2:49" x14ac:dyDescent="0.2">
      <c r="B176" s="69"/>
      <c r="C176" s="985"/>
      <c r="D176" s="987" t="s">
        <v>423</v>
      </c>
      <c r="E176" s="987"/>
      <c r="F176" s="123">
        <v>1</v>
      </c>
      <c r="G176" s="125">
        <v>0</v>
      </c>
      <c r="H176" s="125">
        <f t="shared" ref="H176:H178" si="53">+G176</f>
        <v>0</v>
      </c>
      <c r="I176" s="125">
        <f t="shared" ref="I176:K178" si="54">+H176</f>
        <v>0</v>
      </c>
      <c r="J176" s="125">
        <f t="shared" si="54"/>
        <v>0</v>
      </c>
      <c r="K176" s="125">
        <f t="shared" si="54"/>
        <v>0</v>
      </c>
      <c r="L176" s="70"/>
      <c r="M176" s="486"/>
      <c r="N176" s="495"/>
      <c r="O176" s="495"/>
      <c r="P176" s="495"/>
      <c r="Q176" s="495"/>
      <c r="R176" s="495"/>
      <c r="S176" s="495"/>
      <c r="T176" s="495"/>
      <c r="U176" s="495"/>
      <c r="V176" s="495"/>
      <c r="W176" s="495"/>
      <c r="X176" s="495"/>
      <c r="Y176" s="495"/>
      <c r="Z176" s="495"/>
      <c r="AA176" s="495"/>
      <c r="AB176" s="495"/>
      <c r="AC176" s="495"/>
      <c r="AD176" s="495"/>
      <c r="AE176" s="495"/>
    </row>
    <row r="177" spans="2:31" x14ac:dyDescent="0.2">
      <c r="B177" s="69"/>
      <c r="C177" s="985"/>
      <c r="D177" s="985"/>
      <c r="E177" s="985"/>
      <c r="F177" s="123">
        <v>2</v>
      </c>
      <c r="G177" s="125">
        <v>0</v>
      </c>
      <c r="H177" s="125">
        <f t="shared" si="53"/>
        <v>0</v>
      </c>
      <c r="I177" s="125">
        <f t="shared" si="54"/>
        <v>0</v>
      </c>
      <c r="J177" s="125">
        <f t="shared" si="54"/>
        <v>0</v>
      </c>
      <c r="K177" s="125">
        <f t="shared" si="54"/>
        <v>0</v>
      </c>
      <c r="L177" s="70"/>
      <c r="M177" s="486"/>
    </row>
    <row r="178" spans="2:31" x14ac:dyDescent="0.2">
      <c r="B178" s="69"/>
      <c r="C178" s="985"/>
      <c r="D178" s="985"/>
      <c r="E178" s="985"/>
      <c r="F178" s="123">
        <v>3</v>
      </c>
      <c r="G178" s="125">
        <v>0</v>
      </c>
      <c r="H178" s="125">
        <f t="shared" si="53"/>
        <v>0</v>
      </c>
      <c r="I178" s="125">
        <f t="shared" si="54"/>
        <v>0</v>
      </c>
      <c r="J178" s="125">
        <f t="shared" si="54"/>
        <v>0</v>
      </c>
      <c r="K178" s="125">
        <f t="shared" si="54"/>
        <v>0</v>
      </c>
      <c r="L178" s="70"/>
      <c r="M178" s="486"/>
    </row>
    <row r="179" spans="2:31" x14ac:dyDescent="0.2">
      <c r="B179" s="69"/>
      <c r="C179" s="985"/>
      <c r="D179" s="985"/>
      <c r="E179" s="985"/>
      <c r="F179" s="123"/>
      <c r="G179" s="64"/>
      <c r="H179" s="64"/>
      <c r="I179" s="64"/>
      <c r="J179" s="64"/>
      <c r="K179" s="64"/>
      <c r="L179" s="70"/>
      <c r="M179" s="486"/>
      <c r="AE179" s="103"/>
    </row>
    <row r="180" spans="2:31" x14ac:dyDescent="0.2">
      <c r="B180" s="69"/>
      <c r="C180" s="985"/>
      <c r="D180" s="987" t="s">
        <v>424</v>
      </c>
      <c r="E180" s="987"/>
      <c r="F180" s="123">
        <v>1</v>
      </c>
      <c r="G180" s="125">
        <v>0</v>
      </c>
      <c r="H180" s="125">
        <f t="shared" ref="H180:H182" si="55">+G180</f>
        <v>0</v>
      </c>
      <c r="I180" s="125">
        <f t="shared" ref="I180:K182" si="56">+H180</f>
        <v>0</v>
      </c>
      <c r="J180" s="125">
        <f t="shared" si="56"/>
        <v>0</v>
      </c>
      <c r="K180" s="125">
        <f t="shared" si="56"/>
        <v>0</v>
      </c>
      <c r="L180" s="70"/>
      <c r="M180" s="486"/>
    </row>
    <row r="181" spans="2:31" x14ac:dyDescent="0.2">
      <c r="B181" s="69"/>
      <c r="C181" s="985"/>
      <c r="D181" s="985"/>
      <c r="E181" s="985"/>
      <c r="F181" s="123">
        <v>2</v>
      </c>
      <c r="G181" s="125">
        <v>0</v>
      </c>
      <c r="H181" s="125">
        <f t="shared" si="55"/>
        <v>0</v>
      </c>
      <c r="I181" s="125">
        <f t="shared" si="56"/>
        <v>0</v>
      </c>
      <c r="J181" s="125">
        <f t="shared" si="56"/>
        <v>0</v>
      </c>
      <c r="K181" s="125">
        <f t="shared" si="56"/>
        <v>0</v>
      </c>
      <c r="L181" s="70"/>
      <c r="M181" s="486"/>
    </row>
    <row r="182" spans="2:31" x14ac:dyDescent="0.2">
      <c r="B182" s="69"/>
      <c r="C182" s="985"/>
      <c r="D182" s="985"/>
      <c r="E182" s="985"/>
      <c r="F182" s="123">
        <v>3</v>
      </c>
      <c r="G182" s="125">
        <v>0</v>
      </c>
      <c r="H182" s="125">
        <f t="shared" si="55"/>
        <v>0</v>
      </c>
      <c r="I182" s="125">
        <f t="shared" si="56"/>
        <v>0</v>
      </c>
      <c r="J182" s="125">
        <f t="shared" si="56"/>
        <v>0</v>
      </c>
      <c r="K182" s="125">
        <f t="shared" si="56"/>
        <v>0</v>
      </c>
      <c r="L182" s="70"/>
      <c r="M182" s="486"/>
    </row>
    <row r="183" spans="2:31" x14ac:dyDescent="0.2">
      <c r="B183" s="69"/>
      <c r="C183" s="985"/>
      <c r="D183" s="985"/>
      <c r="E183" s="985"/>
      <c r="F183" s="123"/>
      <c r="G183" s="64"/>
      <c r="H183" s="64"/>
      <c r="I183" s="64"/>
      <c r="J183" s="64"/>
      <c r="K183" s="64"/>
      <c r="L183" s="70"/>
      <c r="M183" s="486"/>
      <c r="N183" s="103"/>
    </row>
    <row r="184" spans="2:31" x14ac:dyDescent="0.2">
      <c r="B184" s="69"/>
      <c r="C184" s="985"/>
      <c r="D184" s="987" t="s">
        <v>366</v>
      </c>
      <c r="E184" s="987"/>
      <c r="F184" s="123">
        <v>1</v>
      </c>
      <c r="G184" s="125">
        <v>0</v>
      </c>
      <c r="H184" s="125">
        <f t="shared" ref="H184:H186" si="57">+G184</f>
        <v>0</v>
      </c>
      <c r="I184" s="125">
        <f t="shared" ref="I184:K186" si="58">+H184</f>
        <v>0</v>
      </c>
      <c r="J184" s="125">
        <f t="shared" si="58"/>
        <v>0</v>
      </c>
      <c r="K184" s="125">
        <f t="shared" si="58"/>
        <v>0</v>
      </c>
      <c r="L184" s="70"/>
      <c r="M184" s="486"/>
    </row>
    <row r="185" spans="2:31" x14ac:dyDescent="0.2">
      <c r="B185" s="69"/>
      <c r="C185" s="985"/>
      <c r="D185" s="985"/>
      <c r="E185" s="985"/>
      <c r="F185" s="123">
        <v>2</v>
      </c>
      <c r="G185" s="125">
        <v>0</v>
      </c>
      <c r="H185" s="125">
        <f t="shared" si="57"/>
        <v>0</v>
      </c>
      <c r="I185" s="125">
        <f t="shared" si="58"/>
        <v>0</v>
      </c>
      <c r="J185" s="125">
        <f t="shared" si="58"/>
        <v>0</v>
      </c>
      <c r="K185" s="125">
        <f t="shared" si="58"/>
        <v>0</v>
      </c>
      <c r="L185" s="70"/>
      <c r="M185" s="486"/>
    </row>
    <row r="186" spans="2:31" x14ac:dyDescent="0.2">
      <c r="B186" s="69"/>
      <c r="C186" s="985"/>
      <c r="D186" s="985"/>
      <c r="E186" s="985"/>
      <c r="F186" s="123">
        <v>3</v>
      </c>
      <c r="G186" s="125">
        <v>0</v>
      </c>
      <c r="H186" s="125">
        <f t="shared" si="57"/>
        <v>0</v>
      </c>
      <c r="I186" s="125">
        <f t="shared" si="58"/>
        <v>0</v>
      </c>
      <c r="J186" s="125">
        <f t="shared" si="58"/>
        <v>0</v>
      </c>
      <c r="K186" s="125">
        <f t="shared" si="58"/>
        <v>0</v>
      </c>
      <c r="L186" s="70"/>
      <c r="M186" s="100"/>
    </row>
    <row r="187" spans="2:31" x14ac:dyDescent="0.2">
      <c r="B187" s="69"/>
      <c r="C187" s="985"/>
      <c r="D187" s="985"/>
      <c r="E187" s="985"/>
      <c r="F187" s="123"/>
      <c r="G187" s="64"/>
      <c r="H187" s="64"/>
      <c r="I187" s="64"/>
      <c r="J187" s="64"/>
      <c r="K187" s="64"/>
      <c r="L187" s="70"/>
      <c r="M187" s="100"/>
    </row>
    <row r="188" spans="2:31" x14ac:dyDescent="0.2">
      <c r="B188" s="69"/>
      <c r="C188" s="985"/>
      <c r="D188" s="987" t="s">
        <v>367</v>
      </c>
      <c r="E188" s="987"/>
      <c r="F188" s="123">
        <v>1</v>
      </c>
      <c r="G188" s="125">
        <v>0</v>
      </c>
      <c r="H188" s="125">
        <f t="shared" ref="H188:H190" si="59">+G188</f>
        <v>0</v>
      </c>
      <c r="I188" s="125">
        <f t="shared" ref="I188:K190" si="60">+H188</f>
        <v>0</v>
      </c>
      <c r="J188" s="125">
        <f t="shared" si="60"/>
        <v>0</v>
      </c>
      <c r="K188" s="125">
        <f t="shared" si="60"/>
        <v>0</v>
      </c>
      <c r="L188" s="70"/>
      <c r="M188" s="100"/>
    </row>
    <row r="189" spans="2:31" x14ac:dyDescent="0.2">
      <c r="B189" s="69"/>
      <c r="C189" s="985"/>
      <c r="D189" s="985"/>
      <c r="E189" s="985"/>
      <c r="F189" s="123">
        <v>2</v>
      </c>
      <c r="G189" s="125">
        <v>0</v>
      </c>
      <c r="H189" s="125">
        <f t="shared" si="59"/>
        <v>0</v>
      </c>
      <c r="I189" s="125">
        <f t="shared" si="60"/>
        <v>0</v>
      </c>
      <c r="J189" s="125">
        <f t="shared" si="60"/>
        <v>0</v>
      </c>
      <c r="K189" s="125">
        <f t="shared" si="60"/>
        <v>0</v>
      </c>
      <c r="L189" s="70"/>
      <c r="M189" s="100"/>
    </row>
    <row r="190" spans="2:31" x14ac:dyDescent="0.2">
      <c r="B190" s="69"/>
      <c r="C190" s="985"/>
      <c r="D190" s="985"/>
      <c r="E190" s="985"/>
      <c r="F190" s="123">
        <v>3</v>
      </c>
      <c r="G190" s="125">
        <v>0</v>
      </c>
      <c r="H190" s="125">
        <f t="shared" si="59"/>
        <v>0</v>
      </c>
      <c r="I190" s="125">
        <f t="shared" si="60"/>
        <v>0</v>
      </c>
      <c r="J190" s="125">
        <f t="shared" si="60"/>
        <v>0</v>
      </c>
      <c r="K190" s="125">
        <f t="shared" si="60"/>
        <v>0</v>
      </c>
      <c r="L190" s="70"/>
      <c r="M190" s="100"/>
    </row>
    <row r="191" spans="2:31" x14ac:dyDescent="0.2">
      <c r="B191" s="69"/>
      <c r="C191" s="985"/>
      <c r="D191" s="985"/>
      <c r="E191" s="985"/>
      <c r="F191" s="123"/>
      <c r="G191" s="64"/>
      <c r="H191" s="64"/>
      <c r="I191" s="64"/>
      <c r="J191" s="64"/>
      <c r="K191" s="64"/>
      <c r="L191" s="70"/>
      <c r="M191" s="100"/>
    </row>
    <row r="192" spans="2:31" x14ac:dyDescent="0.2">
      <c r="B192" s="69"/>
      <c r="C192" s="985"/>
      <c r="D192" s="987" t="s">
        <v>368</v>
      </c>
      <c r="E192" s="989"/>
      <c r="F192" s="123">
        <v>1</v>
      </c>
      <c r="G192" s="125">
        <v>0</v>
      </c>
      <c r="H192" s="125">
        <f t="shared" ref="H192:H194" si="61">+G192</f>
        <v>0</v>
      </c>
      <c r="I192" s="125">
        <f t="shared" ref="I192:K194" si="62">+H192</f>
        <v>0</v>
      </c>
      <c r="J192" s="125">
        <f t="shared" si="62"/>
        <v>0</v>
      </c>
      <c r="K192" s="125">
        <f t="shared" si="62"/>
        <v>0</v>
      </c>
      <c r="L192" s="70"/>
      <c r="M192" s="100"/>
    </row>
    <row r="193" spans="2:14" x14ac:dyDescent="0.2">
      <c r="B193" s="69"/>
      <c r="C193" s="985"/>
      <c r="D193" s="985"/>
      <c r="E193" s="985"/>
      <c r="F193" s="123">
        <v>2</v>
      </c>
      <c r="G193" s="125">
        <v>0</v>
      </c>
      <c r="H193" s="125">
        <f t="shared" si="61"/>
        <v>0</v>
      </c>
      <c r="I193" s="125">
        <f t="shared" si="62"/>
        <v>0</v>
      </c>
      <c r="J193" s="125">
        <f t="shared" si="62"/>
        <v>0</v>
      </c>
      <c r="K193" s="125">
        <f t="shared" si="62"/>
        <v>0</v>
      </c>
      <c r="L193" s="70"/>
      <c r="M193" s="100"/>
    </row>
    <row r="194" spans="2:14" x14ac:dyDescent="0.2">
      <c r="B194" s="69"/>
      <c r="C194" s="985"/>
      <c r="D194" s="985"/>
      <c r="E194" s="985"/>
      <c r="F194" s="123">
        <v>3</v>
      </c>
      <c r="G194" s="125">
        <v>0</v>
      </c>
      <c r="H194" s="125">
        <f t="shared" si="61"/>
        <v>0</v>
      </c>
      <c r="I194" s="125">
        <f t="shared" si="62"/>
        <v>0</v>
      </c>
      <c r="J194" s="125">
        <f t="shared" si="62"/>
        <v>0</v>
      </c>
      <c r="K194" s="125">
        <f t="shared" si="62"/>
        <v>0</v>
      </c>
      <c r="L194" s="70"/>
      <c r="M194" s="100"/>
    </row>
    <row r="195" spans="2:14" x14ac:dyDescent="0.2">
      <c r="B195" s="69"/>
      <c r="C195" s="985"/>
      <c r="D195" s="985"/>
      <c r="E195" s="985"/>
      <c r="F195" s="123"/>
      <c r="G195" s="64"/>
      <c r="H195" s="64"/>
      <c r="I195" s="64"/>
      <c r="J195" s="64"/>
      <c r="K195" s="64"/>
      <c r="L195" s="70"/>
      <c r="M195" s="100"/>
    </row>
    <row r="196" spans="2:14" x14ac:dyDescent="0.2">
      <c r="B196" s="69"/>
      <c r="C196" s="985"/>
      <c r="D196" s="987" t="s">
        <v>369</v>
      </c>
      <c r="E196" s="989"/>
      <c r="F196" s="123">
        <v>1</v>
      </c>
      <c r="G196" s="125">
        <v>0</v>
      </c>
      <c r="H196" s="125">
        <f t="shared" ref="H196:H198" si="63">+G196</f>
        <v>0</v>
      </c>
      <c r="I196" s="125">
        <f t="shared" ref="I196:K198" si="64">+H196</f>
        <v>0</v>
      </c>
      <c r="J196" s="125">
        <f t="shared" si="64"/>
        <v>0</v>
      </c>
      <c r="K196" s="125">
        <f t="shared" si="64"/>
        <v>0</v>
      </c>
      <c r="L196" s="70"/>
      <c r="M196" s="100"/>
    </row>
    <row r="197" spans="2:14" x14ac:dyDescent="0.2">
      <c r="B197" s="69"/>
      <c r="C197" s="985"/>
      <c r="D197" s="985"/>
      <c r="E197" s="985"/>
      <c r="F197" s="123">
        <v>2</v>
      </c>
      <c r="G197" s="125">
        <v>0</v>
      </c>
      <c r="H197" s="125">
        <f t="shared" si="63"/>
        <v>0</v>
      </c>
      <c r="I197" s="125">
        <f t="shared" si="64"/>
        <v>0</v>
      </c>
      <c r="J197" s="125">
        <f t="shared" si="64"/>
        <v>0</v>
      </c>
      <c r="K197" s="125">
        <f t="shared" si="64"/>
        <v>0</v>
      </c>
      <c r="L197" s="70"/>
      <c r="M197" s="100"/>
    </row>
    <row r="198" spans="2:14" x14ac:dyDescent="0.2">
      <c r="B198" s="69"/>
      <c r="C198" s="985"/>
      <c r="D198" s="985"/>
      <c r="E198" s="985"/>
      <c r="F198" s="123">
        <v>3</v>
      </c>
      <c r="G198" s="125">
        <v>0</v>
      </c>
      <c r="H198" s="125">
        <f t="shared" si="63"/>
        <v>0</v>
      </c>
      <c r="I198" s="125">
        <f t="shared" si="64"/>
        <v>0</v>
      </c>
      <c r="J198" s="125">
        <f t="shared" si="64"/>
        <v>0</v>
      </c>
      <c r="K198" s="125">
        <f t="shared" si="64"/>
        <v>0</v>
      </c>
      <c r="L198" s="70"/>
      <c r="M198" s="100"/>
    </row>
    <row r="199" spans="2:14" x14ac:dyDescent="0.2">
      <c r="B199" s="69"/>
      <c r="C199" s="985"/>
      <c r="D199" s="985"/>
      <c r="E199" s="985"/>
      <c r="F199" s="123"/>
      <c r="G199" s="64"/>
      <c r="H199" s="64"/>
      <c r="I199" s="64"/>
      <c r="J199" s="64"/>
      <c r="K199" s="64"/>
      <c r="L199" s="70"/>
      <c r="M199" s="100"/>
    </row>
    <row r="200" spans="2:14" x14ac:dyDescent="0.2">
      <c r="B200" s="69"/>
      <c r="C200" s="985"/>
      <c r="D200" s="987" t="s">
        <v>370</v>
      </c>
      <c r="E200" s="989"/>
      <c r="F200" s="123">
        <v>1</v>
      </c>
      <c r="G200" s="125">
        <v>0</v>
      </c>
      <c r="H200" s="125">
        <f t="shared" ref="H200:H202" si="65">+G200</f>
        <v>0</v>
      </c>
      <c r="I200" s="125">
        <f t="shared" ref="I200:K202" si="66">+H200</f>
        <v>0</v>
      </c>
      <c r="J200" s="125">
        <f t="shared" si="66"/>
        <v>0</v>
      </c>
      <c r="K200" s="125">
        <f t="shared" si="66"/>
        <v>0</v>
      </c>
      <c r="L200" s="70"/>
      <c r="M200" s="100"/>
    </row>
    <row r="201" spans="2:14" x14ac:dyDescent="0.2">
      <c r="B201" s="69"/>
      <c r="C201" s="985"/>
      <c r="D201" s="985"/>
      <c r="E201" s="985"/>
      <c r="F201" s="123">
        <v>2</v>
      </c>
      <c r="G201" s="125">
        <v>0</v>
      </c>
      <c r="H201" s="125">
        <f t="shared" si="65"/>
        <v>0</v>
      </c>
      <c r="I201" s="125">
        <f t="shared" si="66"/>
        <v>0</v>
      </c>
      <c r="J201" s="125">
        <f t="shared" si="66"/>
        <v>0</v>
      </c>
      <c r="K201" s="125">
        <f t="shared" si="66"/>
        <v>0</v>
      </c>
      <c r="L201" s="70"/>
      <c r="M201" s="100"/>
    </row>
    <row r="202" spans="2:14" x14ac:dyDescent="0.2">
      <c r="B202" s="69"/>
      <c r="C202" s="985"/>
      <c r="D202" s="985"/>
      <c r="E202" s="985"/>
      <c r="F202" s="123">
        <v>3</v>
      </c>
      <c r="G202" s="125">
        <v>0</v>
      </c>
      <c r="H202" s="125">
        <f t="shared" si="65"/>
        <v>0</v>
      </c>
      <c r="I202" s="125">
        <f t="shared" si="66"/>
        <v>0</v>
      </c>
      <c r="J202" s="125">
        <f t="shared" si="66"/>
        <v>0</v>
      </c>
      <c r="K202" s="125">
        <f t="shared" si="66"/>
        <v>0</v>
      </c>
      <c r="L202" s="70"/>
      <c r="M202" s="100"/>
    </row>
    <row r="203" spans="2:14" x14ac:dyDescent="0.2">
      <c r="B203" s="69"/>
      <c r="C203" s="985"/>
      <c r="D203" s="985"/>
      <c r="E203" s="985"/>
      <c r="F203" s="123"/>
      <c r="G203" s="64"/>
      <c r="H203" s="64"/>
      <c r="I203" s="64"/>
      <c r="J203" s="64"/>
      <c r="K203" s="64"/>
      <c r="L203" s="70"/>
      <c r="M203" s="100"/>
    </row>
    <row r="204" spans="2:14" x14ac:dyDescent="0.2">
      <c r="B204" s="69"/>
      <c r="C204" s="985"/>
      <c r="D204" s="987" t="s">
        <v>371</v>
      </c>
      <c r="E204" s="989"/>
      <c r="F204" s="123">
        <v>1</v>
      </c>
      <c r="G204" s="125">
        <v>0</v>
      </c>
      <c r="H204" s="125">
        <f t="shared" ref="H204:H206" si="67">+G204</f>
        <v>0</v>
      </c>
      <c r="I204" s="125">
        <f t="shared" ref="I204:K206" si="68">+H204</f>
        <v>0</v>
      </c>
      <c r="J204" s="125">
        <f t="shared" si="68"/>
        <v>0</v>
      </c>
      <c r="K204" s="125">
        <f t="shared" si="68"/>
        <v>0</v>
      </c>
      <c r="L204" s="70"/>
      <c r="M204" s="100"/>
      <c r="N204" s="105"/>
    </row>
    <row r="205" spans="2:14" x14ac:dyDescent="0.2">
      <c r="B205" s="69"/>
      <c r="C205" s="985"/>
      <c r="D205" s="985"/>
      <c r="E205" s="985"/>
      <c r="F205" s="123">
        <v>2</v>
      </c>
      <c r="G205" s="125">
        <v>0</v>
      </c>
      <c r="H205" s="125">
        <f t="shared" si="67"/>
        <v>0</v>
      </c>
      <c r="I205" s="125">
        <f t="shared" si="68"/>
        <v>0</v>
      </c>
      <c r="J205" s="125">
        <f t="shared" si="68"/>
        <v>0</v>
      </c>
      <c r="K205" s="125">
        <f t="shared" si="68"/>
        <v>0</v>
      </c>
      <c r="L205" s="70"/>
      <c r="M205" s="100"/>
    </row>
    <row r="206" spans="2:14" x14ac:dyDescent="0.2">
      <c r="B206" s="69"/>
      <c r="C206" s="985"/>
      <c r="D206" s="985"/>
      <c r="E206" s="985"/>
      <c r="F206" s="123">
        <v>3</v>
      </c>
      <c r="G206" s="125">
        <v>0</v>
      </c>
      <c r="H206" s="125">
        <f t="shared" si="67"/>
        <v>0</v>
      </c>
      <c r="I206" s="125">
        <f t="shared" si="68"/>
        <v>0</v>
      </c>
      <c r="J206" s="125">
        <f t="shared" si="68"/>
        <v>0</v>
      </c>
      <c r="K206" s="125">
        <f t="shared" si="68"/>
        <v>0</v>
      </c>
      <c r="L206" s="70"/>
      <c r="M206" s="486"/>
    </row>
    <row r="207" spans="2:14" x14ac:dyDescent="0.2">
      <c r="B207" s="69"/>
      <c r="C207" s="985"/>
      <c r="D207" s="985"/>
      <c r="E207" s="985"/>
      <c r="F207" s="123"/>
      <c r="G207" s="64"/>
      <c r="H207" s="64"/>
      <c r="I207" s="64"/>
      <c r="J207" s="64"/>
      <c r="K207" s="64"/>
      <c r="L207" s="70"/>
      <c r="M207" s="486"/>
    </row>
    <row r="208" spans="2:14" x14ac:dyDescent="0.2">
      <c r="B208" s="69"/>
      <c r="C208" s="985"/>
      <c r="D208" s="987" t="s">
        <v>372</v>
      </c>
      <c r="E208" s="989"/>
      <c r="F208" s="123">
        <v>1</v>
      </c>
      <c r="G208" s="125">
        <v>0</v>
      </c>
      <c r="H208" s="125">
        <f t="shared" ref="H208:H210" si="69">+G208</f>
        <v>0</v>
      </c>
      <c r="I208" s="125">
        <f t="shared" ref="I208:K210" si="70">+H208</f>
        <v>0</v>
      </c>
      <c r="J208" s="125">
        <f t="shared" si="70"/>
        <v>0</v>
      </c>
      <c r="K208" s="125">
        <f t="shared" si="70"/>
        <v>0</v>
      </c>
      <c r="L208" s="70"/>
      <c r="M208" s="486"/>
    </row>
    <row r="209" spans="2:13" x14ac:dyDescent="0.2">
      <c r="B209" s="69"/>
      <c r="C209" s="985"/>
      <c r="D209" s="985"/>
      <c r="E209" s="985"/>
      <c r="F209" s="123">
        <v>2</v>
      </c>
      <c r="G209" s="125">
        <v>0</v>
      </c>
      <c r="H209" s="125">
        <f t="shared" si="69"/>
        <v>0</v>
      </c>
      <c r="I209" s="125">
        <f t="shared" si="70"/>
        <v>0</v>
      </c>
      <c r="J209" s="125">
        <f t="shared" si="70"/>
        <v>0</v>
      </c>
      <c r="K209" s="125">
        <f t="shared" si="70"/>
        <v>0</v>
      </c>
      <c r="L209" s="70"/>
      <c r="M209" s="486"/>
    </row>
    <row r="210" spans="2:13" x14ac:dyDescent="0.2">
      <c r="B210" s="69"/>
      <c r="C210" s="985"/>
      <c r="D210" s="985"/>
      <c r="E210" s="985"/>
      <c r="F210" s="123">
        <v>3</v>
      </c>
      <c r="G210" s="125">
        <v>0</v>
      </c>
      <c r="H210" s="125">
        <f t="shared" si="69"/>
        <v>0</v>
      </c>
      <c r="I210" s="125">
        <f t="shared" si="70"/>
        <v>0</v>
      </c>
      <c r="J210" s="125">
        <f t="shared" si="70"/>
        <v>0</v>
      </c>
      <c r="K210" s="125">
        <f t="shared" si="70"/>
        <v>0</v>
      </c>
      <c r="L210" s="70"/>
      <c r="M210" s="486"/>
    </row>
    <row r="211" spans="2:13" x14ac:dyDescent="0.2">
      <c r="B211" s="69"/>
      <c r="C211" s="985"/>
      <c r="D211" s="985"/>
      <c r="E211" s="985"/>
      <c r="F211" s="123"/>
      <c r="G211" s="64"/>
      <c r="H211" s="64"/>
      <c r="I211" s="64"/>
      <c r="J211" s="64"/>
      <c r="K211" s="64"/>
      <c r="L211" s="70"/>
      <c r="M211" s="486"/>
    </row>
    <row r="212" spans="2:13" x14ac:dyDescent="0.2">
      <c r="B212" s="69"/>
      <c r="C212" s="985"/>
      <c r="D212" s="987" t="s">
        <v>373</v>
      </c>
      <c r="E212" s="989"/>
      <c r="F212" s="123">
        <v>1</v>
      </c>
      <c r="G212" s="125">
        <v>0</v>
      </c>
      <c r="H212" s="125">
        <f t="shared" ref="H212:H214" si="71">+G212</f>
        <v>0</v>
      </c>
      <c r="I212" s="125">
        <f t="shared" ref="I212:K214" si="72">+H212</f>
        <v>0</v>
      </c>
      <c r="J212" s="125">
        <f t="shared" si="72"/>
        <v>0</v>
      </c>
      <c r="K212" s="125">
        <f t="shared" si="72"/>
        <v>0</v>
      </c>
      <c r="L212" s="70"/>
      <c r="M212" s="486"/>
    </row>
    <row r="213" spans="2:13" x14ac:dyDescent="0.2">
      <c r="B213" s="69"/>
      <c r="C213" s="985"/>
      <c r="D213" s="985"/>
      <c r="E213" s="985"/>
      <c r="F213" s="123">
        <v>2</v>
      </c>
      <c r="G213" s="125">
        <v>0</v>
      </c>
      <c r="H213" s="125">
        <f t="shared" si="71"/>
        <v>0</v>
      </c>
      <c r="I213" s="125">
        <f t="shared" si="72"/>
        <v>0</v>
      </c>
      <c r="J213" s="125">
        <f t="shared" si="72"/>
        <v>0</v>
      </c>
      <c r="K213" s="125">
        <f t="shared" si="72"/>
        <v>0</v>
      </c>
      <c r="L213" s="70"/>
      <c r="M213" s="486"/>
    </row>
    <row r="214" spans="2:13" x14ac:dyDescent="0.2">
      <c r="B214" s="69"/>
      <c r="C214" s="985"/>
      <c r="D214" s="985"/>
      <c r="E214" s="985"/>
      <c r="F214" s="123">
        <v>3</v>
      </c>
      <c r="G214" s="125">
        <v>0</v>
      </c>
      <c r="H214" s="125">
        <f t="shared" si="71"/>
        <v>0</v>
      </c>
      <c r="I214" s="125">
        <f t="shared" si="72"/>
        <v>0</v>
      </c>
      <c r="J214" s="125">
        <f t="shared" si="72"/>
        <v>0</v>
      </c>
      <c r="K214" s="125">
        <f t="shared" si="72"/>
        <v>0</v>
      </c>
      <c r="L214" s="70"/>
      <c r="M214" s="486"/>
    </row>
    <row r="215" spans="2:13" x14ac:dyDescent="0.2">
      <c r="B215" s="69"/>
      <c r="C215" s="985"/>
      <c r="D215" s="988"/>
      <c r="E215" s="985"/>
      <c r="F215" s="123"/>
      <c r="G215" s="64"/>
      <c r="H215" s="64"/>
      <c r="I215" s="64"/>
      <c r="J215" s="64"/>
      <c r="K215" s="64"/>
      <c r="L215" s="70"/>
      <c r="M215" s="486"/>
    </row>
    <row r="216" spans="2:13" x14ac:dyDescent="0.2">
      <c r="B216" s="69"/>
      <c r="C216" s="985"/>
      <c r="D216" s="987" t="s">
        <v>374</v>
      </c>
      <c r="E216" s="989"/>
      <c r="F216" s="123">
        <v>1</v>
      </c>
      <c r="G216" s="125">
        <v>0</v>
      </c>
      <c r="H216" s="125">
        <f t="shared" ref="H216:H218" si="73">+G216</f>
        <v>0</v>
      </c>
      <c r="I216" s="125">
        <f t="shared" ref="I216:K218" si="74">+H216</f>
        <v>0</v>
      </c>
      <c r="J216" s="125">
        <f t="shared" si="74"/>
        <v>0</v>
      </c>
      <c r="K216" s="125">
        <f t="shared" si="74"/>
        <v>0</v>
      </c>
      <c r="L216" s="70"/>
      <c r="M216" s="486"/>
    </row>
    <row r="217" spans="2:13" x14ac:dyDescent="0.2">
      <c r="B217" s="69"/>
      <c r="C217" s="985"/>
      <c r="D217" s="988"/>
      <c r="E217" s="985"/>
      <c r="F217" s="123">
        <v>2</v>
      </c>
      <c r="G217" s="125">
        <v>0</v>
      </c>
      <c r="H217" s="125">
        <f t="shared" si="73"/>
        <v>0</v>
      </c>
      <c r="I217" s="125">
        <f t="shared" si="74"/>
        <v>0</v>
      </c>
      <c r="J217" s="125">
        <f t="shared" si="74"/>
        <v>0</v>
      </c>
      <c r="K217" s="125">
        <f t="shared" si="74"/>
        <v>0</v>
      </c>
      <c r="L217" s="70"/>
      <c r="M217" s="486"/>
    </row>
    <row r="218" spans="2:13" x14ac:dyDescent="0.2">
      <c r="B218" s="69"/>
      <c r="C218" s="985"/>
      <c r="D218" s="985"/>
      <c r="E218" s="985"/>
      <c r="F218" s="123">
        <v>3</v>
      </c>
      <c r="G218" s="125">
        <v>0</v>
      </c>
      <c r="H218" s="125">
        <f t="shared" si="73"/>
        <v>0</v>
      </c>
      <c r="I218" s="125">
        <f t="shared" si="74"/>
        <v>0</v>
      </c>
      <c r="J218" s="125">
        <f t="shared" si="74"/>
        <v>0</v>
      </c>
      <c r="K218" s="125">
        <f t="shared" si="74"/>
        <v>0</v>
      </c>
      <c r="L218" s="70"/>
      <c r="M218" s="486"/>
    </row>
    <row r="219" spans="2:13" x14ac:dyDescent="0.2">
      <c r="B219" s="69"/>
      <c r="C219" s="985"/>
      <c r="D219" s="985"/>
      <c r="E219" s="985"/>
      <c r="F219" s="123"/>
      <c r="G219" s="64"/>
      <c r="H219" s="64"/>
      <c r="I219" s="64"/>
      <c r="J219" s="64"/>
      <c r="K219" s="64"/>
      <c r="L219" s="70"/>
      <c r="M219" s="486"/>
    </row>
    <row r="220" spans="2:13" x14ac:dyDescent="0.2">
      <c r="B220" s="69"/>
      <c r="C220" s="985"/>
      <c r="D220" s="987" t="s">
        <v>375</v>
      </c>
      <c r="E220" s="989"/>
      <c r="F220" s="123">
        <v>1</v>
      </c>
      <c r="G220" s="125">
        <v>0</v>
      </c>
      <c r="H220" s="125">
        <f t="shared" ref="H220:H222" si="75">+G220</f>
        <v>0</v>
      </c>
      <c r="I220" s="125">
        <f t="shared" ref="I220:K222" si="76">+H220</f>
        <v>0</v>
      </c>
      <c r="J220" s="125">
        <f t="shared" si="76"/>
        <v>0</v>
      </c>
      <c r="K220" s="125">
        <f t="shared" si="76"/>
        <v>0</v>
      </c>
      <c r="L220" s="70"/>
      <c r="M220" s="486"/>
    </row>
    <row r="221" spans="2:13" x14ac:dyDescent="0.2">
      <c r="B221" s="69"/>
      <c r="C221" s="985"/>
      <c r="D221" s="985"/>
      <c r="E221" s="985"/>
      <c r="F221" s="123">
        <v>2</v>
      </c>
      <c r="G221" s="125">
        <v>0</v>
      </c>
      <c r="H221" s="125">
        <f t="shared" si="75"/>
        <v>0</v>
      </c>
      <c r="I221" s="125">
        <f t="shared" si="76"/>
        <v>0</v>
      </c>
      <c r="J221" s="125">
        <f t="shared" si="76"/>
        <v>0</v>
      </c>
      <c r="K221" s="125">
        <f t="shared" si="76"/>
        <v>0</v>
      </c>
      <c r="L221" s="70"/>
      <c r="M221" s="486"/>
    </row>
    <row r="222" spans="2:13" x14ac:dyDescent="0.2">
      <c r="B222" s="69"/>
      <c r="C222" s="985"/>
      <c r="D222" s="985"/>
      <c r="E222" s="985"/>
      <c r="F222" s="123">
        <v>3</v>
      </c>
      <c r="G222" s="125">
        <v>0</v>
      </c>
      <c r="H222" s="125">
        <f t="shared" si="75"/>
        <v>0</v>
      </c>
      <c r="I222" s="125">
        <f t="shared" si="76"/>
        <v>0</v>
      </c>
      <c r="J222" s="125">
        <f t="shared" si="76"/>
        <v>0</v>
      </c>
      <c r="K222" s="125">
        <f t="shared" si="76"/>
        <v>0</v>
      </c>
      <c r="L222" s="70"/>
      <c r="M222" s="486"/>
    </row>
    <row r="223" spans="2:13" x14ac:dyDescent="0.2">
      <c r="B223" s="69"/>
      <c r="C223" s="985"/>
      <c r="D223" s="985"/>
      <c r="E223" s="985"/>
      <c r="F223" s="123"/>
      <c r="G223" s="64"/>
      <c r="H223" s="64"/>
      <c r="I223" s="64"/>
      <c r="J223" s="64"/>
      <c r="K223" s="64"/>
      <c r="L223" s="70"/>
      <c r="M223" s="486"/>
    </row>
    <row r="224" spans="2:13" x14ac:dyDescent="0.2">
      <c r="B224" s="69"/>
      <c r="C224" s="985"/>
      <c r="D224" s="987" t="s">
        <v>376</v>
      </c>
      <c r="E224" s="989"/>
      <c r="F224" s="123">
        <v>1</v>
      </c>
      <c r="G224" s="125">
        <v>0</v>
      </c>
      <c r="H224" s="125">
        <f t="shared" ref="H224:H226" si="77">+G224</f>
        <v>0</v>
      </c>
      <c r="I224" s="125">
        <f t="shared" ref="I224:K226" si="78">+H224</f>
        <v>0</v>
      </c>
      <c r="J224" s="125">
        <f t="shared" si="78"/>
        <v>0</v>
      </c>
      <c r="K224" s="125">
        <f t="shared" si="78"/>
        <v>0</v>
      </c>
      <c r="L224" s="70"/>
      <c r="M224" s="486"/>
    </row>
    <row r="225" spans="2:14" x14ac:dyDescent="0.2">
      <c r="B225" s="69"/>
      <c r="C225" s="985"/>
      <c r="D225" s="985"/>
      <c r="E225" s="985"/>
      <c r="F225" s="123">
        <v>2</v>
      </c>
      <c r="G225" s="125">
        <v>0</v>
      </c>
      <c r="H225" s="125">
        <f t="shared" si="77"/>
        <v>0</v>
      </c>
      <c r="I225" s="125">
        <f t="shared" si="78"/>
        <v>0</v>
      </c>
      <c r="J225" s="125">
        <f t="shared" si="78"/>
        <v>0</v>
      </c>
      <c r="K225" s="125">
        <f t="shared" si="78"/>
        <v>0</v>
      </c>
      <c r="L225" s="70"/>
      <c r="M225" s="486"/>
    </row>
    <row r="226" spans="2:14" x14ac:dyDescent="0.2">
      <c r="B226" s="69"/>
      <c r="C226" s="985"/>
      <c r="D226" s="985"/>
      <c r="E226" s="985"/>
      <c r="F226" s="123">
        <v>3</v>
      </c>
      <c r="G226" s="125">
        <v>0</v>
      </c>
      <c r="H226" s="125">
        <f t="shared" si="77"/>
        <v>0</v>
      </c>
      <c r="I226" s="125">
        <f t="shared" si="78"/>
        <v>0</v>
      </c>
      <c r="J226" s="125">
        <f t="shared" si="78"/>
        <v>0</v>
      </c>
      <c r="K226" s="125">
        <f t="shared" si="78"/>
        <v>0</v>
      </c>
      <c r="L226" s="70"/>
      <c r="M226" s="486"/>
    </row>
    <row r="227" spans="2:14" x14ac:dyDescent="0.2">
      <c r="B227" s="69"/>
      <c r="C227" s="985"/>
      <c r="D227" s="985"/>
      <c r="E227" s="985"/>
      <c r="F227" s="123"/>
      <c r="G227" s="64"/>
      <c r="H227" s="64"/>
      <c r="I227" s="64"/>
      <c r="J227" s="64"/>
      <c r="K227" s="64"/>
      <c r="L227" s="70"/>
      <c r="M227" s="486"/>
    </row>
    <row r="228" spans="2:14" x14ac:dyDescent="0.2">
      <c r="B228" s="69"/>
      <c r="C228" s="985"/>
      <c r="D228" s="987" t="s">
        <v>377</v>
      </c>
      <c r="E228" s="989"/>
      <c r="F228" s="123">
        <v>1</v>
      </c>
      <c r="G228" s="125">
        <v>0</v>
      </c>
      <c r="H228" s="125">
        <f t="shared" ref="H228:J230" si="79">+G228</f>
        <v>0</v>
      </c>
      <c r="I228" s="125">
        <f>+H228</f>
        <v>0</v>
      </c>
      <c r="J228" s="125">
        <f t="shared" si="79"/>
        <v>0</v>
      </c>
      <c r="K228" s="125">
        <f t="shared" ref="K228:K230" si="80">+J228</f>
        <v>0</v>
      </c>
      <c r="L228" s="70"/>
      <c r="M228" s="486"/>
    </row>
    <row r="229" spans="2:14" x14ac:dyDescent="0.2">
      <c r="B229" s="69"/>
      <c r="C229" s="985"/>
      <c r="D229" s="985"/>
      <c r="E229" s="985"/>
      <c r="F229" s="123">
        <v>2</v>
      </c>
      <c r="G229" s="125">
        <v>0</v>
      </c>
      <c r="H229" s="125">
        <f t="shared" si="79"/>
        <v>0</v>
      </c>
      <c r="I229" s="125">
        <f>+H229</f>
        <v>0</v>
      </c>
      <c r="J229" s="125">
        <f t="shared" si="79"/>
        <v>0</v>
      </c>
      <c r="K229" s="125">
        <f t="shared" si="80"/>
        <v>0</v>
      </c>
      <c r="L229" s="70"/>
      <c r="M229" s="486"/>
    </row>
    <row r="230" spans="2:14" x14ac:dyDescent="0.2">
      <c r="B230" s="69"/>
      <c r="C230" s="985"/>
      <c r="D230" s="985"/>
      <c r="E230" s="985"/>
      <c r="F230" s="123">
        <v>3</v>
      </c>
      <c r="G230" s="125">
        <v>0</v>
      </c>
      <c r="H230" s="125">
        <f t="shared" si="79"/>
        <v>0</v>
      </c>
      <c r="I230" s="125">
        <f>+H230</f>
        <v>0</v>
      </c>
      <c r="J230" s="125">
        <f t="shared" si="79"/>
        <v>0</v>
      </c>
      <c r="K230" s="125">
        <f t="shared" si="80"/>
        <v>0</v>
      </c>
      <c r="L230" s="70"/>
      <c r="M230" s="486"/>
    </row>
    <row r="231" spans="2:14" x14ac:dyDescent="0.2">
      <c r="B231" s="69"/>
      <c r="C231" s="985"/>
      <c r="D231" s="985"/>
      <c r="E231" s="985"/>
      <c r="F231" s="123"/>
      <c r="G231" s="64"/>
      <c r="H231" s="64"/>
      <c r="I231" s="64"/>
      <c r="J231" s="64"/>
      <c r="K231" s="64"/>
      <c r="L231" s="70"/>
      <c r="M231" s="486"/>
    </row>
    <row r="232" spans="2:14" x14ac:dyDescent="0.2">
      <c r="B232" s="69"/>
      <c r="C232" s="985"/>
      <c r="D232" s="987" t="s">
        <v>378</v>
      </c>
      <c r="E232" s="989"/>
      <c r="F232" s="123">
        <v>1</v>
      </c>
      <c r="G232" s="125">
        <v>0</v>
      </c>
      <c r="H232" s="125">
        <f t="shared" ref="H232:J234" si="81">+G232</f>
        <v>0</v>
      </c>
      <c r="I232" s="125">
        <f>+H232</f>
        <v>0</v>
      </c>
      <c r="J232" s="125">
        <f t="shared" si="81"/>
        <v>0</v>
      </c>
      <c r="K232" s="125">
        <f t="shared" ref="K232:K234" si="82">+J232</f>
        <v>0</v>
      </c>
      <c r="L232" s="70"/>
      <c r="M232" s="486"/>
    </row>
    <row r="233" spans="2:14" x14ac:dyDescent="0.2">
      <c r="B233" s="69"/>
      <c r="C233" s="985"/>
      <c r="D233" s="985"/>
      <c r="E233" s="985"/>
      <c r="F233" s="123">
        <v>2</v>
      </c>
      <c r="G233" s="125">
        <v>0</v>
      </c>
      <c r="H233" s="125">
        <f t="shared" si="81"/>
        <v>0</v>
      </c>
      <c r="I233" s="125">
        <f>+H233</f>
        <v>0</v>
      </c>
      <c r="J233" s="125">
        <f t="shared" si="81"/>
        <v>0</v>
      </c>
      <c r="K233" s="125">
        <f t="shared" si="82"/>
        <v>0</v>
      </c>
      <c r="L233" s="70"/>
      <c r="M233" s="486"/>
      <c r="N233" s="630"/>
    </row>
    <row r="234" spans="2:14" x14ac:dyDescent="0.2">
      <c r="B234" s="69"/>
      <c r="C234" s="985"/>
      <c r="D234" s="985"/>
      <c r="E234" s="985"/>
      <c r="F234" s="123">
        <v>3</v>
      </c>
      <c r="G234" s="125">
        <v>0</v>
      </c>
      <c r="H234" s="125">
        <f t="shared" si="81"/>
        <v>0</v>
      </c>
      <c r="I234" s="125">
        <f>+H234</f>
        <v>0</v>
      </c>
      <c r="J234" s="125">
        <f t="shared" si="81"/>
        <v>0</v>
      </c>
      <c r="K234" s="125">
        <f t="shared" si="82"/>
        <v>0</v>
      </c>
      <c r="L234" s="70"/>
      <c r="M234" s="486"/>
      <c r="N234" s="630"/>
    </row>
    <row r="235" spans="2:14" x14ac:dyDescent="0.2">
      <c r="B235" s="69"/>
      <c r="C235" s="985"/>
      <c r="D235" s="985"/>
      <c r="E235" s="985"/>
      <c r="F235" s="123"/>
      <c r="G235" s="64"/>
      <c r="H235" s="64"/>
      <c r="I235" s="64"/>
      <c r="J235" s="64"/>
      <c r="K235" s="64"/>
      <c r="L235" s="70"/>
      <c r="M235" s="486"/>
      <c r="N235" s="630"/>
    </row>
    <row r="236" spans="2:14" x14ac:dyDescent="0.2">
      <c r="B236" s="69"/>
      <c r="C236" s="985"/>
      <c r="D236" s="987" t="s">
        <v>379</v>
      </c>
      <c r="E236" s="989"/>
      <c r="F236" s="123">
        <v>1</v>
      </c>
      <c r="G236" s="125">
        <v>0</v>
      </c>
      <c r="H236" s="125">
        <f t="shared" ref="H236:J238" si="83">+G236</f>
        <v>0</v>
      </c>
      <c r="I236" s="125">
        <f>+H236</f>
        <v>0</v>
      </c>
      <c r="J236" s="125">
        <f t="shared" si="83"/>
        <v>0</v>
      </c>
      <c r="K236" s="125">
        <f t="shared" ref="K236:K238" si="84">+J236</f>
        <v>0</v>
      </c>
      <c r="L236" s="70"/>
      <c r="M236" s="486"/>
      <c r="N236" s="630"/>
    </row>
    <row r="237" spans="2:14" x14ac:dyDescent="0.2">
      <c r="B237" s="69"/>
      <c r="C237" s="985"/>
      <c r="D237" s="985"/>
      <c r="E237" s="985"/>
      <c r="F237" s="123">
        <v>2</v>
      </c>
      <c r="G237" s="125">
        <v>0</v>
      </c>
      <c r="H237" s="125">
        <f t="shared" si="83"/>
        <v>0</v>
      </c>
      <c r="I237" s="125">
        <f>+H237</f>
        <v>0</v>
      </c>
      <c r="J237" s="125">
        <f t="shared" si="83"/>
        <v>0</v>
      </c>
      <c r="K237" s="125">
        <f t="shared" si="84"/>
        <v>0</v>
      </c>
      <c r="L237" s="70"/>
      <c r="M237" s="486"/>
      <c r="N237" s="630"/>
    </row>
    <row r="238" spans="2:14" x14ac:dyDescent="0.2">
      <c r="B238" s="69"/>
      <c r="C238" s="985"/>
      <c r="D238" s="985"/>
      <c r="E238" s="985"/>
      <c r="F238" s="123">
        <v>3</v>
      </c>
      <c r="G238" s="125">
        <v>0</v>
      </c>
      <c r="H238" s="125">
        <f t="shared" si="83"/>
        <v>0</v>
      </c>
      <c r="I238" s="125">
        <f>+H238</f>
        <v>0</v>
      </c>
      <c r="J238" s="125">
        <f t="shared" si="83"/>
        <v>0</v>
      </c>
      <c r="K238" s="125">
        <f t="shared" si="84"/>
        <v>0</v>
      </c>
      <c r="L238" s="70"/>
      <c r="M238" s="486"/>
    </row>
    <row r="239" spans="2:14" x14ac:dyDescent="0.2">
      <c r="B239" s="69"/>
      <c r="C239" s="985"/>
      <c r="D239" s="985"/>
      <c r="E239" s="985"/>
      <c r="F239" s="123"/>
      <c r="G239" s="64"/>
      <c r="H239" s="64"/>
      <c r="I239" s="64"/>
      <c r="J239" s="64"/>
      <c r="K239" s="64"/>
      <c r="L239" s="70"/>
      <c r="M239" s="486"/>
    </row>
    <row r="240" spans="2:14" x14ac:dyDescent="0.2">
      <c r="B240" s="69"/>
      <c r="C240" s="985"/>
      <c r="D240" s="987" t="s">
        <v>380</v>
      </c>
      <c r="E240" s="989"/>
      <c r="F240" s="123">
        <v>1</v>
      </c>
      <c r="G240" s="125">
        <v>0</v>
      </c>
      <c r="H240" s="125">
        <f t="shared" ref="H240:J242" si="85">+G240</f>
        <v>0</v>
      </c>
      <c r="I240" s="125">
        <f>+H240</f>
        <v>0</v>
      </c>
      <c r="J240" s="125">
        <f t="shared" si="85"/>
        <v>0</v>
      </c>
      <c r="K240" s="125">
        <f t="shared" ref="K240:K242" si="86">+J240</f>
        <v>0</v>
      </c>
      <c r="L240" s="70"/>
      <c r="M240" s="486"/>
    </row>
    <row r="241" spans="2:52" x14ac:dyDescent="0.2">
      <c r="B241" s="69"/>
      <c r="C241" s="985"/>
      <c r="D241" s="985"/>
      <c r="E241" s="985"/>
      <c r="F241" s="123">
        <v>2</v>
      </c>
      <c r="G241" s="125">
        <v>0</v>
      </c>
      <c r="H241" s="125">
        <f t="shared" si="85"/>
        <v>0</v>
      </c>
      <c r="I241" s="125">
        <f>+H241</f>
        <v>0</v>
      </c>
      <c r="J241" s="125">
        <f t="shared" si="85"/>
        <v>0</v>
      </c>
      <c r="K241" s="125">
        <f t="shared" si="86"/>
        <v>0</v>
      </c>
      <c r="L241" s="70"/>
      <c r="M241" s="486"/>
    </row>
    <row r="242" spans="2:52" x14ac:dyDescent="0.2">
      <c r="B242" s="69"/>
      <c r="C242" s="985"/>
      <c r="D242" s="985"/>
      <c r="E242" s="985"/>
      <c r="F242" s="123">
        <v>3</v>
      </c>
      <c r="G242" s="125">
        <v>0</v>
      </c>
      <c r="H242" s="125">
        <f t="shared" si="85"/>
        <v>0</v>
      </c>
      <c r="I242" s="125">
        <f>+H242</f>
        <v>0</v>
      </c>
      <c r="J242" s="125">
        <f t="shared" si="85"/>
        <v>0</v>
      </c>
      <c r="K242" s="125">
        <f t="shared" si="86"/>
        <v>0</v>
      </c>
      <c r="L242" s="70"/>
      <c r="M242" s="100"/>
    </row>
    <row r="243" spans="2:52" x14ac:dyDescent="0.2">
      <c r="B243" s="69"/>
      <c r="C243" s="985"/>
      <c r="D243" s="985"/>
      <c r="E243" s="985"/>
      <c r="F243" s="123"/>
      <c r="G243" s="64"/>
      <c r="H243" s="64"/>
      <c r="I243" s="64"/>
      <c r="J243" s="64"/>
      <c r="K243" s="64"/>
      <c r="L243" s="70"/>
      <c r="M243" s="100"/>
    </row>
    <row r="244" spans="2:52" x14ac:dyDescent="0.2">
      <c r="B244" s="69"/>
      <c r="C244" s="985"/>
      <c r="D244" s="987" t="s">
        <v>381</v>
      </c>
      <c r="E244" s="989"/>
      <c r="F244" s="123">
        <v>1</v>
      </c>
      <c r="G244" s="125">
        <v>0</v>
      </c>
      <c r="H244" s="125">
        <f t="shared" ref="H244:J246" si="87">+G244</f>
        <v>0</v>
      </c>
      <c r="I244" s="125">
        <f>+H244</f>
        <v>0</v>
      </c>
      <c r="J244" s="125">
        <f t="shared" si="87"/>
        <v>0</v>
      </c>
      <c r="K244" s="125">
        <f t="shared" ref="K244:K246" si="88">+J244</f>
        <v>0</v>
      </c>
      <c r="L244" s="70"/>
      <c r="M244" s="100"/>
    </row>
    <row r="245" spans="2:52" x14ac:dyDescent="0.2">
      <c r="B245" s="69"/>
      <c r="C245" s="985"/>
      <c r="D245" s="985"/>
      <c r="E245" s="985"/>
      <c r="F245" s="123">
        <v>2</v>
      </c>
      <c r="G245" s="125">
        <v>0</v>
      </c>
      <c r="H245" s="125">
        <f t="shared" si="87"/>
        <v>0</v>
      </c>
      <c r="I245" s="125">
        <f>+H245</f>
        <v>0</v>
      </c>
      <c r="J245" s="125">
        <f t="shared" si="87"/>
        <v>0</v>
      </c>
      <c r="K245" s="125">
        <f t="shared" si="88"/>
        <v>0</v>
      </c>
      <c r="L245" s="70"/>
      <c r="M245" s="100"/>
    </row>
    <row r="246" spans="2:52" x14ac:dyDescent="0.2">
      <c r="B246" s="69"/>
      <c r="C246" s="985"/>
      <c r="D246" s="985"/>
      <c r="E246" s="985"/>
      <c r="F246" s="123">
        <v>3</v>
      </c>
      <c r="G246" s="125">
        <v>0</v>
      </c>
      <c r="H246" s="125">
        <f t="shared" si="87"/>
        <v>0</v>
      </c>
      <c r="I246" s="125">
        <f>+H246</f>
        <v>0</v>
      </c>
      <c r="J246" s="125">
        <f t="shared" si="87"/>
        <v>0</v>
      </c>
      <c r="K246" s="125">
        <f t="shared" si="88"/>
        <v>0</v>
      </c>
      <c r="L246" s="70"/>
      <c r="M246" s="100"/>
    </row>
    <row r="247" spans="2:52" x14ac:dyDescent="0.2">
      <c r="B247" s="69"/>
      <c r="C247" s="985"/>
      <c r="D247" s="985"/>
      <c r="E247" s="985"/>
      <c r="F247" s="123"/>
      <c r="G247" s="64"/>
      <c r="H247" s="64"/>
      <c r="I247" s="64"/>
      <c r="J247" s="64"/>
      <c r="K247" s="64"/>
      <c r="L247" s="70"/>
      <c r="M247" s="100"/>
    </row>
    <row r="248" spans="2:52" x14ac:dyDescent="0.2">
      <c r="B248" s="72"/>
      <c r="C248" s="990"/>
      <c r="D248" s="990"/>
      <c r="E248" s="990"/>
      <c r="F248" s="984"/>
      <c r="G248" s="669">
        <f t="shared" ref="G248:K248" si="89">SUM(G108:G246)</f>
        <v>515</v>
      </c>
      <c r="H248" s="669">
        <f t="shared" si="89"/>
        <v>515</v>
      </c>
      <c r="I248" s="669">
        <f t="shared" si="89"/>
        <v>515</v>
      </c>
      <c r="J248" s="669">
        <f t="shared" si="89"/>
        <v>515</v>
      </c>
      <c r="K248" s="669">
        <f t="shared" si="89"/>
        <v>515</v>
      </c>
      <c r="L248" s="83"/>
      <c r="M248" s="100"/>
    </row>
    <row r="249" spans="2:52" x14ac:dyDescent="0.2">
      <c r="B249" s="69"/>
      <c r="C249" s="676"/>
      <c r="D249" s="676"/>
      <c r="E249" s="676"/>
      <c r="F249" s="676"/>
      <c r="G249" s="676"/>
      <c r="H249" s="676"/>
      <c r="I249" s="676"/>
      <c r="J249" s="676"/>
      <c r="K249" s="676"/>
      <c r="L249" s="70"/>
      <c r="M249" s="100"/>
    </row>
    <row r="250" spans="2:52" x14ac:dyDescent="0.2">
      <c r="B250" s="78"/>
      <c r="C250" s="540"/>
      <c r="D250" s="540"/>
      <c r="E250" s="540"/>
      <c r="F250" s="541"/>
      <c r="G250" s="541"/>
      <c r="H250" s="541"/>
      <c r="I250" s="541"/>
      <c r="J250" s="541"/>
      <c r="K250" s="541"/>
      <c r="L250" s="77"/>
      <c r="M250" s="100"/>
    </row>
    <row r="251" spans="2:52" ht="12" customHeight="1" x14ac:dyDescent="0.2">
      <c r="AZ251" s="103"/>
    </row>
    <row r="252" spans="2:52" ht="12" customHeight="1" x14ac:dyDescent="0.2"/>
    <row r="253" spans="2:52" ht="12" customHeight="1" x14ac:dyDescent="0.2"/>
    <row r="254" spans="2:52" ht="12" customHeight="1" x14ac:dyDescent="0.2"/>
    <row r="255" spans="2:52" ht="12" customHeight="1" x14ac:dyDescent="0.2"/>
    <row r="256" spans="2:52" ht="12" customHeight="1" x14ac:dyDescent="0.2"/>
    <row r="257" spans="2:34" ht="12" customHeight="1" x14ac:dyDescent="0.2"/>
    <row r="258" spans="2:34" ht="12" customHeight="1" x14ac:dyDescent="0.2"/>
    <row r="259" spans="2:34" ht="12" customHeight="1" x14ac:dyDescent="0.2"/>
    <row r="260" spans="2:34" ht="12" customHeight="1" x14ac:dyDescent="0.2"/>
    <row r="261" spans="2:34" ht="12" customHeight="1" x14ac:dyDescent="0.2"/>
    <row r="262" spans="2:34" ht="12" customHeight="1" x14ac:dyDescent="0.2"/>
    <row r="263" spans="2:34" ht="12" customHeight="1" x14ac:dyDescent="0.2">
      <c r="B263" s="103"/>
      <c r="C263" s="103"/>
      <c r="D263" s="103"/>
      <c r="E263" s="103"/>
      <c r="F263" s="104"/>
      <c r="G263" s="103"/>
      <c r="H263" s="103"/>
      <c r="I263" s="103"/>
      <c r="J263" s="103"/>
      <c r="K263" s="103"/>
      <c r="L263" s="103"/>
      <c r="M263" s="103"/>
      <c r="N263" s="103"/>
      <c r="O263" s="103"/>
      <c r="P263" s="105"/>
    </row>
    <row r="264" spans="2:34" ht="12" customHeight="1" x14ac:dyDescent="0.2"/>
    <row r="265" spans="2:34" ht="12" customHeight="1" x14ac:dyDescent="0.2"/>
    <row r="266" spans="2:34" ht="12" customHeight="1" x14ac:dyDescent="0.2"/>
    <row r="267" spans="2:34" ht="12" customHeight="1" x14ac:dyDescent="0.2"/>
    <row r="268" spans="2:34" ht="12" customHeight="1" x14ac:dyDescent="0.2">
      <c r="B268" s="103"/>
      <c r="C268" s="103"/>
      <c r="D268" s="103"/>
      <c r="E268" s="103"/>
      <c r="F268" s="104"/>
      <c r="G268" s="103"/>
      <c r="H268" s="103"/>
      <c r="I268" s="103"/>
      <c r="J268" s="103"/>
      <c r="K268" s="103"/>
      <c r="L268" s="103"/>
      <c r="M268" s="103"/>
      <c r="N268" s="103"/>
      <c r="O268" s="103"/>
    </row>
    <row r="269" spans="2:34" ht="12" customHeight="1" x14ac:dyDescent="0.2"/>
    <row r="270" spans="2:34" ht="12" customHeight="1" x14ac:dyDescent="0.2"/>
    <row r="271" spans="2:34" ht="12" customHeight="1" x14ac:dyDescent="0.2">
      <c r="AH271" s="103"/>
    </row>
    <row r="272" spans="2:34" ht="12" customHeight="1" x14ac:dyDescent="0.2">
      <c r="P272" s="103"/>
    </row>
    <row r="273" spans="2:34" ht="12" customHeight="1" x14ac:dyDescent="0.2">
      <c r="B273" s="103"/>
      <c r="C273" s="103"/>
      <c r="D273" s="103"/>
      <c r="E273" s="103"/>
      <c r="F273" s="104"/>
      <c r="G273" s="103"/>
      <c r="H273" s="103"/>
      <c r="I273" s="103"/>
      <c r="J273" s="103"/>
      <c r="K273" s="103"/>
      <c r="L273" s="103"/>
      <c r="M273" s="103"/>
      <c r="N273" s="103"/>
      <c r="O273" s="103"/>
    </row>
    <row r="274" spans="2:34" ht="12" customHeight="1" x14ac:dyDescent="0.2"/>
    <row r="275" spans="2:34" ht="12" customHeight="1" x14ac:dyDescent="0.2"/>
    <row r="276" spans="2:34" ht="12" customHeight="1" x14ac:dyDescent="0.2">
      <c r="AH276" s="103"/>
    </row>
    <row r="277" spans="2:34" ht="12" customHeight="1" x14ac:dyDescent="0.2"/>
    <row r="278" spans="2:34" ht="12" customHeight="1" x14ac:dyDescent="0.2">
      <c r="B278" s="103"/>
      <c r="C278" s="103"/>
      <c r="D278" s="103"/>
      <c r="E278" s="103"/>
      <c r="F278" s="104"/>
      <c r="G278" s="103"/>
      <c r="H278" s="103"/>
      <c r="I278" s="103"/>
      <c r="J278" s="103"/>
      <c r="K278" s="103"/>
      <c r="L278" s="103"/>
      <c r="M278" s="103"/>
      <c r="N278" s="103"/>
      <c r="O278" s="103"/>
    </row>
    <row r="279" spans="2:34" ht="12" customHeight="1" x14ac:dyDescent="0.2"/>
    <row r="280" spans="2:34" ht="12" customHeight="1" x14ac:dyDescent="0.2"/>
    <row r="281" spans="2:34" ht="12" customHeight="1" x14ac:dyDescent="0.2"/>
    <row r="282" spans="2:34" ht="12" customHeight="1" x14ac:dyDescent="0.2"/>
    <row r="283" spans="2:34" ht="12" customHeight="1" x14ac:dyDescent="0.2">
      <c r="B283" s="103"/>
      <c r="C283" s="103"/>
      <c r="D283" s="103"/>
      <c r="E283" s="103"/>
      <c r="F283" s="104"/>
      <c r="G283" s="103"/>
      <c r="H283" s="103"/>
      <c r="I283" s="103"/>
      <c r="J283" s="103"/>
      <c r="K283" s="103"/>
      <c r="L283" s="103"/>
      <c r="M283" s="103"/>
      <c r="N283" s="103"/>
      <c r="O283" s="103"/>
    </row>
    <row r="284" spans="2:34" ht="12" customHeight="1" x14ac:dyDescent="0.2"/>
    <row r="285" spans="2:34" ht="12" customHeight="1" x14ac:dyDescent="0.2"/>
    <row r="286" spans="2:34" ht="12" customHeight="1" x14ac:dyDescent="0.2"/>
    <row r="287" spans="2:34" ht="12" customHeight="1" x14ac:dyDescent="0.2"/>
    <row r="288" spans="2:34" ht="12" customHeight="1" x14ac:dyDescent="0.2"/>
    <row r="289" spans="1:34" ht="12" customHeight="1" x14ac:dyDescent="0.2">
      <c r="AH289" s="103"/>
    </row>
    <row r="290" spans="1:34" ht="12" customHeight="1" x14ac:dyDescent="0.2"/>
    <row r="291" spans="1:34" ht="12" customHeight="1" x14ac:dyDescent="0.2"/>
    <row r="292" spans="1:34" ht="12" customHeight="1" x14ac:dyDescent="0.2"/>
    <row r="293" spans="1:34" ht="12" customHeight="1" x14ac:dyDescent="0.2"/>
    <row r="294" spans="1:34" ht="12" customHeight="1" x14ac:dyDescent="0.2"/>
    <row r="295" spans="1:34" ht="12" customHeight="1" x14ac:dyDescent="0.2">
      <c r="AH295" s="103"/>
    </row>
    <row r="296" spans="1:34" ht="12" customHeight="1" x14ac:dyDescent="0.2">
      <c r="B296" s="103"/>
      <c r="C296" s="103"/>
      <c r="D296" s="103"/>
      <c r="E296" s="103"/>
      <c r="F296" s="104"/>
      <c r="G296" s="103"/>
      <c r="H296" s="103"/>
      <c r="I296" s="103"/>
      <c r="J296" s="103"/>
      <c r="K296" s="103"/>
      <c r="L296" s="103"/>
      <c r="M296" s="103"/>
      <c r="N296" s="103"/>
      <c r="O296" s="103"/>
    </row>
    <row r="297" spans="1:34" ht="12" customHeight="1" x14ac:dyDescent="0.2">
      <c r="Q297" s="103"/>
    </row>
    <row r="298" spans="1:34" ht="12" customHeight="1" x14ac:dyDescent="0.2"/>
    <row r="299" spans="1:34" ht="12" customHeight="1" x14ac:dyDescent="0.2">
      <c r="A299" s="105"/>
    </row>
    <row r="300" spans="1:34" ht="12" customHeight="1" x14ac:dyDescent="0.2"/>
    <row r="301" spans="1:34" ht="12" customHeight="1" x14ac:dyDescent="0.2">
      <c r="AH301" s="103"/>
    </row>
    <row r="302" spans="1:34" ht="12" customHeight="1" x14ac:dyDescent="0.2">
      <c r="B302" s="103"/>
      <c r="C302" s="103"/>
      <c r="D302" s="103"/>
      <c r="E302" s="103"/>
      <c r="F302" s="104"/>
      <c r="G302" s="103"/>
      <c r="H302" s="103"/>
      <c r="I302" s="103"/>
      <c r="J302" s="103"/>
      <c r="K302" s="103"/>
      <c r="L302" s="103"/>
      <c r="M302" s="103"/>
      <c r="N302" s="103"/>
      <c r="O302" s="103"/>
      <c r="Q302" s="103"/>
    </row>
    <row r="303" spans="1:34" ht="12" customHeight="1" x14ac:dyDescent="0.2"/>
    <row r="304" spans="1:34" ht="12" customHeight="1" x14ac:dyDescent="0.2"/>
    <row r="305" spans="2:34" ht="12" customHeight="1" x14ac:dyDescent="0.2"/>
    <row r="306" spans="2:34" ht="12" customHeight="1" x14ac:dyDescent="0.2"/>
    <row r="307" spans="2:34" ht="12" customHeight="1" x14ac:dyDescent="0.2">
      <c r="Q307" s="103"/>
      <c r="AH307" s="103"/>
    </row>
    <row r="308" spans="2:34" ht="12" customHeight="1" x14ac:dyDescent="0.2">
      <c r="B308" s="103"/>
      <c r="C308" s="103"/>
      <c r="D308" s="103"/>
      <c r="E308" s="103"/>
      <c r="F308" s="104"/>
      <c r="G308" s="103"/>
      <c r="H308" s="103"/>
      <c r="I308" s="103"/>
      <c r="J308" s="103"/>
      <c r="K308" s="103"/>
      <c r="L308" s="103"/>
      <c r="M308" s="103"/>
      <c r="N308" s="103"/>
      <c r="O308" s="103"/>
    </row>
    <row r="309" spans="2:34" ht="12" customHeight="1" x14ac:dyDescent="0.2"/>
    <row r="310" spans="2:34" ht="12" customHeight="1" x14ac:dyDescent="0.2"/>
    <row r="311" spans="2:34" ht="12" customHeight="1" x14ac:dyDescent="0.2"/>
    <row r="312" spans="2:34" ht="12" customHeight="1" x14ac:dyDescent="0.2">
      <c r="Q312" s="103"/>
    </row>
    <row r="313" spans="2:34" ht="12" customHeight="1" x14ac:dyDescent="0.2">
      <c r="AH313" s="103"/>
    </row>
    <row r="314" spans="2:34" ht="12" customHeight="1" x14ac:dyDescent="0.2">
      <c r="B314" s="103"/>
      <c r="C314" s="103"/>
      <c r="D314" s="103"/>
      <c r="E314" s="103"/>
      <c r="F314" s="104"/>
      <c r="G314" s="103"/>
      <c r="H314" s="103"/>
      <c r="I314" s="103"/>
      <c r="J314" s="103"/>
      <c r="K314" s="103"/>
      <c r="L314" s="103"/>
      <c r="M314" s="103"/>
      <c r="N314" s="103"/>
      <c r="O314" s="103"/>
    </row>
    <row r="315" spans="2:34" ht="12" customHeight="1" x14ac:dyDescent="0.2"/>
    <row r="316" spans="2:34" ht="12" customHeight="1" x14ac:dyDescent="0.2"/>
    <row r="317" spans="2:34" ht="12" customHeight="1" x14ac:dyDescent="0.2">
      <c r="Q317" s="103"/>
    </row>
    <row r="318" spans="2:34" ht="12" customHeight="1" x14ac:dyDescent="0.2"/>
    <row r="319" spans="2:34" ht="12" customHeight="1" x14ac:dyDescent="0.2">
      <c r="AH319" s="103"/>
    </row>
    <row r="320" spans="2:34" ht="12" customHeight="1" x14ac:dyDescent="0.2">
      <c r="B320" s="103"/>
      <c r="C320" s="103"/>
      <c r="D320" s="103"/>
      <c r="E320" s="103"/>
      <c r="F320" s="104"/>
      <c r="G320" s="103"/>
      <c r="H320" s="103"/>
      <c r="I320" s="103"/>
      <c r="J320" s="103"/>
      <c r="K320" s="103"/>
      <c r="L320" s="103"/>
      <c r="M320" s="103"/>
      <c r="N320" s="103"/>
      <c r="O320" s="103"/>
    </row>
    <row r="321" spans="2:34" ht="12" customHeight="1" x14ac:dyDescent="0.2"/>
    <row r="322" spans="2:34" ht="12" customHeight="1" x14ac:dyDescent="0.2"/>
    <row r="323" spans="2:34" ht="12" customHeight="1" x14ac:dyDescent="0.2"/>
    <row r="324" spans="2:34" ht="12" customHeight="1" x14ac:dyDescent="0.2"/>
    <row r="325" spans="2:34" ht="12" customHeight="1" x14ac:dyDescent="0.2"/>
    <row r="326" spans="2:34" ht="12" customHeight="1" x14ac:dyDescent="0.2">
      <c r="B326" s="103"/>
      <c r="C326" s="103"/>
      <c r="D326" s="103"/>
      <c r="E326" s="103"/>
      <c r="F326" s="104"/>
      <c r="G326" s="103"/>
      <c r="H326" s="103"/>
      <c r="I326" s="103"/>
      <c r="J326" s="103"/>
      <c r="K326" s="103"/>
      <c r="L326" s="103"/>
      <c r="M326" s="103"/>
      <c r="N326" s="103"/>
      <c r="O326" s="103"/>
    </row>
    <row r="327" spans="2:34" ht="12" customHeight="1" x14ac:dyDescent="0.2"/>
    <row r="328" spans="2:34" ht="12" customHeight="1" x14ac:dyDescent="0.2"/>
    <row r="329" spans="2:34" ht="12" customHeight="1" x14ac:dyDescent="0.2"/>
    <row r="330" spans="2:34" ht="12" customHeight="1" x14ac:dyDescent="0.2">
      <c r="Q330" s="103"/>
    </row>
    <row r="331" spans="2:34" ht="12" customHeight="1" x14ac:dyDescent="0.2"/>
    <row r="332" spans="2:34" ht="12" customHeight="1" x14ac:dyDescent="0.2">
      <c r="AH332" s="103"/>
    </row>
    <row r="333" spans="2:34" ht="12" customHeight="1" x14ac:dyDescent="0.2"/>
    <row r="334" spans="2:34" ht="12" customHeight="1" x14ac:dyDescent="0.2"/>
    <row r="335" spans="2:34" ht="12" customHeight="1" x14ac:dyDescent="0.2"/>
    <row r="336" spans="2:34" ht="12" customHeight="1" x14ac:dyDescent="0.2">
      <c r="Q336" s="103"/>
    </row>
    <row r="337" spans="1:34" ht="12" customHeight="1" x14ac:dyDescent="0.2"/>
    <row r="338" spans="1:34" ht="12" customHeight="1" x14ac:dyDescent="0.2">
      <c r="AH338" s="103"/>
    </row>
    <row r="339" spans="1:34" ht="12" customHeight="1" x14ac:dyDescent="0.2">
      <c r="B339" s="103"/>
      <c r="C339" s="103"/>
      <c r="D339" s="103"/>
      <c r="E339" s="103"/>
      <c r="F339" s="104"/>
      <c r="G339" s="103"/>
      <c r="H339" s="103"/>
      <c r="I339" s="103"/>
      <c r="J339" s="103"/>
      <c r="K339" s="103"/>
      <c r="L339" s="103"/>
      <c r="M339" s="103"/>
      <c r="N339" s="103"/>
      <c r="O339" s="103"/>
    </row>
    <row r="340" spans="1:34" ht="12" customHeight="1" x14ac:dyDescent="0.2"/>
    <row r="341" spans="1:34" ht="12" customHeight="1" x14ac:dyDescent="0.2"/>
    <row r="342" spans="1:34" ht="12" customHeight="1" x14ac:dyDescent="0.2">
      <c r="Q342" s="103"/>
    </row>
    <row r="343" spans="1:34" ht="12" customHeight="1" x14ac:dyDescent="0.2"/>
    <row r="344" spans="1:34" ht="12" customHeight="1" x14ac:dyDescent="0.2">
      <c r="AH344" s="103"/>
    </row>
    <row r="345" spans="1:34" ht="12" customHeight="1" x14ac:dyDescent="0.2">
      <c r="B345" s="103"/>
      <c r="C345" s="103"/>
      <c r="D345" s="103"/>
      <c r="E345" s="103"/>
      <c r="F345" s="104"/>
      <c r="G345" s="103"/>
      <c r="H345" s="103"/>
      <c r="I345" s="103"/>
      <c r="J345" s="103"/>
      <c r="K345" s="103"/>
      <c r="L345" s="103"/>
      <c r="M345" s="103"/>
      <c r="N345" s="103"/>
      <c r="O345" s="103"/>
    </row>
    <row r="346" spans="1:34" ht="12" customHeight="1" x14ac:dyDescent="0.2"/>
    <row r="347" spans="1:34" ht="12" customHeight="1" x14ac:dyDescent="0.2"/>
    <row r="348" spans="1:34" ht="12" customHeight="1" x14ac:dyDescent="0.2">
      <c r="Q348" s="103"/>
    </row>
    <row r="349" spans="1:34" ht="12" customHeight="1" x14ac:dyDescent="0.2"/>
    <row r="350" spans="1:34" ht="12" customHeight="1" x14ac:dyDescent="0.2">
      <c r="AH350" s="103"/>
    </row>
    <row r="351" spans="1:34" ht="12" customHeight="1" x14ac:dyDescent="0.2">
      <c r="A351" s="103"/>
      <c r="B351" s="103"/>
      <c r="C351" s="103"/>
      <c r="D351" s="103"/>
      <c r="E351" s="103"/>
      <c r="F351" s="104"/>
      <c r="G351" s="103"/>
      <c r="H351" s="103"/>
      <c r="I351" s="103"/>
      <c r="J351" s="103"/>
      <c r="K351" s="103"/>
      <c r="L351" s="103"/>
      <c r="M351" s="103"/>
      <c r="N351" s="103"/>
      <c r="O351" s="103"/>
    </row>
    <row r="352" spans="1:34" ht="12" customHeight="1" x14ac:dyDescent="0.2"/>
    <row r="353" spans="1:34" ht="12" customHeight="1" x14ac:dyDescent="0.2"/>
    <row r="354" spans="1:34" ht="12" customHeight="1" x14ac:dyDescent="0.2">
      <c r="Q354" s="103"/>
    </row>
    <row r="355" spans="1:34" ht="12" customHeight="1" x14ac:dyDescent="0.2"/>
    <row r="356" spans="1:34" ht="12" customHeight="1" x14ac:dyDescent="0.2">
      <c r="A356" s="103"/>
      <c r="AH356" s="103"/>
    </row>
    <row r="357" spans="1:34" ht="12" customHeight="1" x14ac:dyDescent="0.2">
      <c r="B357" s="103"/>
      <c r="C357" s="103"/>
      <c r="D357" s="103"/>
      <c r="E357" s="103"/>
      <c r="F357" s="104"/>
      <c r="G357" s="103"/>
      <c r="H357" s="103"/>
      <c r="I357" s="103"/>
      <c r="J357" s="103"/>
      <c r="K357" s="103"/>
      <c r="L357" s="103"/>
      <c r="M357" s="103"/>
      <c r="N357" s="103"/>
      <c r="O357" s="103"/>
    </row>
    <row r="358" spans="1:34" ht="12" customHeight="1" x14ac:dyDescent="0.2"/>
    <row r="359" spans="1:34" ht="12" customHeight="1" x14ac:dyDescent="0.2"/>
    <row r="360" spans="1:34" ht="12" customHeight="1" x14ac:dyDescent="0.2">
      <c r="Q360" s="103"/>
    </row>
    <row r="361" spans="1:34" ht="12" customHeight="1" x14ac:dyDescent="0.2">
      <c r="A361" s="103"/>
    </row>
    <row r="362" spans="1:34" ht="12" customHeight="1" x14ac:dyDescent="0.2">
      <c r="AH362" s="103"/>
    </row>
    <row r="363" spans="1:34" ht="12" customHeight="1" x14ac:dyDescent="0.2">
      <c r="B363" s="103"/>
      <c r="C363" s="103"/>
      <c r="D363" s="103"/>
      <c r="E363" s="103"/>
      <c r="F363" s="104"/>
      <c r="G363" s="103"/>
      <c r="H363" s="103"/>
      <c r="I363" s="103"/>
      <c r="J363" s="103"/>
      <c r="K363" s="103"/>
      <c r="L363" s="103"/>
      <c r="M363" s="103"/>
      <c r="N363" s="103"/>
      <c r="O363" s="103"/>
    </row>
    <row r="364" spans="1:34" ht="12" customHeight="1" x14ac:dyDescent="0.2"/>
    <row r="365" spans="1:34" ht="12" customHeight="1" x14ac:dyDescent="0.2"/>
    <row r="366" spans="1:34" ht="12" customHeight="1" x14ac:dyDescent="0.2">
      <c r="A366" s="103"/>
    </row>
    <row r="367" spans="1:34" ht="12" customHeight="1" x14ac:dyDescent="0.2"/>
    <row r="369" spans="1:34" x14ac:dyDescent="0.2">
      <c r="B369" s="103"/>
      <c r="C369" s="103"/>
      <c r="D369" s="103"/>
      <c r="E369" s="103"/>
      <c r="F369" s="104"/>
      <c r="G369" s="103"/>
      <c r="H369" s="103"/>
      <c r="I369" s="103"/>
      <c r="J369" s="103"/>
      <c r="K369" s="103"/>
      <c r="L369" s="103"/>
      <c r="M369" s="103"/>
      <c r="N369" s="103"/>
      <c r="O369" s="103"/>
    </row>
    <row r="371" spans="1:34" x14ac:dyDescent="0.2">
      <c r="A371" s="103"/>
    </row>
    <row r="373" spans="1:34" x14ac:dyDescent="0.2">
      <c r="Q373" s="103"/>
    </row>
    <row r="375" spans="1:34" s="105" customFormat="1" x14ac:dyDescent="0.2">
      <c r="A375" s="100"/>
      <c r="B375" s="100"/>
      <c r="C375" s="100"/>
      <c r="D375" s="100"/>
      <c r="E375" s="100"/>
      <c r="F375" s="102"/>
      <c r="G375" s="100"/>
      <c r="H375" s="102"/>
      <c r="I375" s="102"/>
      <c r="J375" s="102"/>
      <c r="K375" s="102"/>
      <c r="L375" s="102"/>
      <c r="M375" s="102"/>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row>
    <row r="379" spans="1:34" x14ac:dyDescent="0.2">
      <c r="Q379" s="103"/>
    </row>
    <row r="384" spans="1:34" x14ac:dyDescent="0.2">
      <c r="A384" s="103"/>
    </row>
    <row r="385" spans="1:17" x14ac:dyDescent="0.2">
      <c r="Q385" s="103"/>
    </row>
    <row r="390" spans="1:17" x14ac:dyDescent="0.2">
      <c r="A390" s="103"/>
    </row>
    <row r="391" spans="1:17" x14ac:dyDescent="0.2">
      <c r="Q391" s="103"/>
    </row>
    <row r="396" spans="1:17" x14ac:dyDescent="0.2">
      <c r="A396" s="103"/>
    </row>
    <row r="397" spans="1:17" x14ac:dyDescent="0.2">
      <c r="Q397" s="103"/>
    </row>
    <row r="402" spans="1:17" x14ac:dyDescent="0.2">
      <c r="A402" s="103"/>
    </row>
    <row r="403" spans="1:17" x14ac:dyDescent="0.2">
      <c r="Q403" s="103"/>
    </row>
    <row r="408" spans="1:17" x14ac:dyDescent="0.2">
      <c r="A408" s="103"/>
    </row>
    <row r="414" spans="1:17" x14ac:dyDescent="0.2">
      <c r="A414" s="103"/>
    </row>
    <row r="427" spans="1:34" s="103" customFormat="1" x14ac:dyDescent="0.2">
      <c r="B427" s="100"/>
      <c r="C427" s="100"/>
      <c r="D427" s="100"/>
      <c r="E427" s="100"/>
      <c r="F427" s="102"/>
      <c r="G427" s="100"/>
      <c r="H427" s="102"/>
      <c r="I427" s="102"/>
      <c r="J427" s="102"/>
      <c r="K427" s="102"/>
      <c r="L427" s="102"/>
      <c r="M427" s="102"/>
      <c r="N427" s="100"/>
      <c r="O427" s="100"/>
      <c r="P427" s="100"/>
      <c r="Q427" s="100"/>
      <c r="R427" s="100"/>
      <c r="S427" s="100"/>
      <c r="T427" s="100"/>
      <c r="U427" s="100"/>
      <c r="V427" s="100"/>
      <c r="W427" s="100"/>
      <c r="X427" s="100"/>
      <c r="Y427" s="100"/>
      <c r="Z427" s="100"/>
      <c r="AA427" s="100"/>
      <c r="AB427" s="100"/>
      <c r="AC427" s="100"/>
      <c r="AD427" s="100"/>
      <c r="AE427" s="100"/>
      <c r="AF427" s="100"/>
      <c r="AG427" s="100"/>
      <c r="AH427" s="100"/>
    </row>
    <row r="432" spans="1:34" s="103" customFormat="1" x14ac:dyDescent="0.2">
      <c r="A432" s="100"/>
      <c r="B432" s="100"/>
      <c r="C432" s="100"/>
      <c r="D432" s="100"/>
      <c r="E432" s="100"/>
      <c r="F432" s="102"/>
      <c r="G432" s="100"/>
      <c r="H432" s="102"/>
      <c r="I432" s="102"/>
      <c r="J432" s="102"/>
      <c r="K432" s="102"/>
      <c r="L432" s="102"/>
      <c r="M432" s="102"/>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row>
    <row r="433" spans="1:34" x14ac:dyDescent="0.2">
      <c r="A433" s="103"/>
    </row>
    <row r="437" spans="1:34" s="103" customFormat="1" x14ac:dyDescent="0.2">
      <c r="A437" s="100"/>
      <c r="B437" s="100"/>
      <c r="C437" s="100"/>
      <c r="D437" s="100"/>
      <c r="E437" s="100"/>
      <c r="F437" s="102"/>
      <c r="G437" s="100"/>
      <c r="H437" s="102"/>
      <c r="I437" s="102"/>
      <c r="J437" s="102"/>
      <c r="K437" s="102"/>
      <c r="L437" s="102"/>
      <c r="M437" s="102"/>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row>
    <row r="439" spans="1:34" x14ac:dyDescent="0.2">
      <c r="A439" s="103"/>
    </row>
    <row r="442" spans="1:34" s="103" customFormat="1" x14ac:dyDescent="0.2">
      <c r="A442" s="100"/>
      <c r="B442" s="100"/>
      <c r="C442" s="100"/>
      <c r="D442" s="100"/>
      <c r="E442" s="100"/>
      <c r="F442" s="102"/>
      <c r="G442" s="100"/>
      <c r="H442" s="102"/>
      <c r="I442" s="102"/>
      <c r="J442" s="102"/>
      <c r="K442" s="102"/>
      <c r="L442" s="102"/>
      <c r="M442" s="102"/>
      <c r="N442" s="100"/>
      <c r="O442" s="100"/>
      <c r="P442" s="100"/>
      <c r="Q442" s="100"/>
      <c r="R442" s="100"/>
      <c r="S442" s="100"/>
      <c r="T442" s="100"/>
      <c r="U442" s="100"/>
      <c r="V442" s="100"/>
      <c r="W442" s="100"/>
      <c r="X442" s="100"/>
      <c r="Y442" s="100"/>
      <c r="Z442" s="100"/>
      <c r="AA442" s="100"/>
      <c r="AB442" s="100"/>
      <c r="AC442" s="100"/>
      <c r="AD442" s="100"/>
      <c r="AE442" s="100"/>
      <c r="AF442" s="100"/>
      <c r="AG442" s="100"/>
      <c r="AH442" s="100"/>
    </row>
    <row r="445" spans="1:34" x14ac:dyDescent="0.2">
      <c r="A445" s="103"/>
    </row>
    <row r="447" spans="1:34" s="103" customFormat="1" x14ac:dyDescent="0.2">
      <c r="A447" s="100"/>
      <c r="B447" s="100"/>
      <c r="C447" s="100"/>
      <c r="D447" s="100"/>
      <c r="E447" s="100"/>
      <c r="F447" s="102"/>
      <c r="G447" s="100"/>
      <c r="H447" s="102"/>
      <c r="I447" s="102"/>
      <c r="J447" s="102"/>
      <c r="K447" s="102"/>
      <c r="L447" s="102"/>
      <c r="M447" s="102"/>
      <c r="N447" s="100"/>
      <c r="O447" s="100"/>
      <c r="P447" s="100"/>
      <c r="Q447" s="100"/>
      <c r="R447" s="100"/>
      <c r="S447" s="100"/>
      <c r="T447" s="100"/>
      <c r="U447" s="100"/>
      <c r="V447" s="100"/>
      <c r="W447" s="100"/>
      <c r="X447" s="100"/>
      <c r="Y447" s="100"/>
      <c r="Z447" s="100"/>
      <c r="AA447" s="100"/>
      <c r="AB447" s="100"/>
      <c r="AC447" s="100"/>
      <c r="AD447" s="100"/>
      <c r="AE447" s="100"/>
      <c r="AF447" s="100"/>
      <c r="AG447" s="100"/>
      <c r="AH447" s="100"/>
    </row>
    <row r="450" spans="1:34" x14ac:dyDescent="0.2">
      <c r="P450" s="105"/>
    </row>
    <row r="451" spans="1:34" x14ac:dyDescent="0.2">
      <c r="A451" s="103"/>
    </row>
    <row r="457" spans="1:34" x14ac:dyDescent="0.2">
      <c r="A457" s="103"/>
    </row>
    <row r="460" spans="1:34" s="103" customFormat="1" x14ac:dyDescent="0.2">
      <c r="A460" s="100"/>
      <c r="B460" s="100"/>
      <c r="C460" s="100"/>
      <c r="D460" s="100"/>
      <c r="E460" s="100"/>
      <c r="F460" s="102"/>
      <c r="G460" s="100"/>
      <c r="H460" s="102"/>
      <c r="I460" s="102"/>
      <c r="J460" s="102"/>
      <c r="K460" s="102"/>
      <c r="L460" s="102"/>
      <c r="M460" s="102"/>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row>
    <row r="466" spans="1:34" s="103" customFormat="1" x14ac:dyDescent="0.2">
      <c r="A466" s="100"/>
      <c r="B466" s="100"/>
      <c r="C466" s="100"/>
      <c r="D466" s="100"/>
      <c r="E466" s="100"/>
      <c r="F466" s="102"/>
      <c r="G466" s="100"/>
      <c r="H466" s="102"/>
      <c r="I466" s="102"/>
      <c r="J466" s="102"/>
      <c r="K466" s="102"/>
      <c r="L466" s="102"/>
      <c r="M466" s="102"/>
      <c r="N466" s="100"/>
      <c r="O466" s="100"/>
      <c r="P466" s="100"/>
      <c r="Q466" s="100"/>
      <c r="R466" s="100"/>
      <c r="S466" s="100"/>
      <c r="T466" s="100"/>
      <c r="U466" s="100"/>
      <c r="V466" s="100"/>
      <c r="W466" s="100"/>
      <c r="X466" s="100"/>
      <c r="Y466" s="100"/>
      <c r="Z466" s="100"/>
      <c r="AA466" s="100"/>
      <c r="AB466" s="100"/>
      <c r="AC466" s="100"/>
      <c r="AD466" s="100"/>
      <c r="AE466" s="100"/>
      <c r="AF466" s="100"/>
      <c r="AG466" s="100"/>
      <c r="AH466" s="100"/>
    </row>
    <row r="472" spans="1:34" s="103" customFormat="1" x14ac:dyDescent="0.2">
      <c r="A472" s="100"/>
      <c r="B472" s="100"/>
      <c r="C472" s="100"/>
      <c r="D472" s="100"/>
      <c r="E472" s="100"/>
      <c r="F472" s="102"/>
      <c r="G472" s="100"/>
      <c r="H472" s="102"/>
      <c r="I472" s="102"/>
      <c r="J472" s="102"/>
      <c r="K472" s="102"/>
      <c r="L472" s="102"/>
      <c r="M472" s="102"/>
      <c r="N472" s="100"/>
      <c r="O472" s="100"/>
      <c r="P472" s="100"/>
      <c r="Q472" s="100"/>
      <c r="R472" s="100"/>
      <c r="S472" s="100"/>
      <c r="T472" s="100"/>
      <c r="U472" s="100"/>
      <c r="V472" s="100"/>
      <c r="W472" s="100"/>
      <c r="X472" s="100"/>
      <c r="Y472" s="100"/>
      <c r="Z472" s="100"/>
      <c r="AA472" s="100"/>
      <c r="AB472" s="100"/>
      <c r="AC472" s="100"/>
      <c r="AD472" s="100"/>
      <c r="AE472" s="100"/>
      <c r="AF472" s="100"/>
      <c r="AG472" s="100"/>
      <c r="AH472" s="100"/>
    </row>
    <row r="478" spans="1:34" s="103" customFormat="1" x14ac:dyDescent="0.2">
      <c r="A478" s="100"/>
      <c r="B478" s="100"/>
      <c r="C478" s="100"/>
      <c r="D478" s="100"/>
      <c r="E478" s="100"/>
      <c r="F478" s="102"/>
      <c r="G478" s="100"/>
      <c r="H478" s="102"/>
      <c r="I478" s="102"/>
      <c r="J478" s="102"/>
      <c r="K478" s="102"/>
      <c r="L478" s="102"/>
      <c r="M478" s="102"/>
      <c r="N478" s="100"/>
      <c r="O478" s="100"/>
      <c r="P478" s="100"/>
      <c r="Q478" s="100"/>
      <c r="R478" s="100"/>
      <c r="S478" s="100"/>
      <c r="T478" s="100"/>
      <c r="U478" s="100"/>
      <c r="V478" s="100"/>
      <c r="W478" s="100"/>
      <c r="X478" s="100"/>
      <c r="Y478" s="100"/>
      <c r="Z478" s="100"/>
      <c r="AA478" s="100"/>
      <c r="AB478" s="100"/>
      <c r="AC478" s="100"/>
      <c r="AD478" s="100"/>
      <c r="AE478" s="100"/>
      <c r="AF478" s="100"/>
      <c r="AG478" s="100"/>
      <c r="AH478" s="100"/>
    </row>
    <row r="484" spans="1:34" s="103" customFormat="1" x14ac:dyDescent="0.2">
      <c r="A484" s="100"/>
      <c r="B484" s="100"/>
      <c r="C484" s="100"/>
      <c r="D484" s="100"/>
      <c r="E484" s="100"/>
      <c r="F484" s="102"/>
      <c r="G484" s="100"/>
      <c r="H484" s="102"/>
      <c r="I484" s="102"/>
      <c r="J484" s="102"/>
      <c r="K484" s="102"/>
      <c r="L484" s="102"/>
      <c r="M484" s="102"/>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row>
    <row r="490" spans="1:34" s="103" customFormat="1" x14ac:dyDescent="0.2">
      <c r="A490" s="100"/>
      <c r="B490" s="100"/>
      <c r="C490" s="100"/>
      <c r="D490" s="100"/>
      <c r="E490" s="100"/>
      <c r="F490" s="102"/>
      <c r="G490" s="100"/>
      <c r="H490" s="102"/>
      <c r="I490" s="102"/>
      <c r="J490" s="102"/>
      <c r="K490" s="102"/>
      <c r="L490" s="102"/>
      <c r="M490" s="102"/>
      <c r="N490" s="100"/>
      <c r="O490" s="100"/>
      <c r="P490" s="100"/>
      <c r="Q490" s="100"/>
      <c r="R490" s="100"/>
      <c r="S490" s="100"/>
      <c r="T490" s="100"/>
      <c r="U490" s="100"/>
      <c r="V490" s="100"/>
      <c r="W490" s="100"/>
      <c r="X490" s="100"/>
      <c r="Y490" s="100"/>
      <c r="Z490" s="100"/>
      <c r="AA490" s="100"/>
      <c r="AB490" s="100"/>
      <c r="AC490" s="100"/>
      <c r="AD490" s="100"/>
      <c r="AE490" s="100"/>
      <c r="AF490" s="100"/>
      <c r="AG490" s="100"/>
      <c r="AH490" s="100"/>
    </row>
    <row r="502" spans="1:34" x14ac:dyDescent="0.2">
      <c r="P502" s="103"/>
    </row>
    <row r="503" spans="1:34" s="103" customFormat="1" x14ac:dyDescent="0.2">
      <c r="A503" s="100"/>
      <c r="B503" s="100"/>
      <c r="C503" s="100"/>
      <c r="D503" s="100"/>
      <c r="E503" s="100"/>
      <c r="F503" s="102"/>
      <c r="G503" s="100"/>
      <c r="H503" s="102"/>
      <c r="I503" s="102"/>
      <c r="J503" s="102"/>
      <c r="K503" s="102"/>
      <c r="L503" s="102"/>
      <c r="M503" s="102"/>
      <c r="N503" s="100"/>
      <c r="O503" s="100"/>
      <c r="P503" s="100"/>
      <c r="Q503" s="100"/>
      <c r="R503" s="100"/>
      <c r="S503" s="100"/>
      <c r="T503" s="100"/>
      <c r="U503" s="100"/>
      <c r="V503" s="100"/>
      <c r="W503" s="100"/>
      <c r="X503" s="100"/>
      <c r="Y503" s="100"/>
      <c r="Z503" s="100"/>
      <c r="AA503" s="100"/>
      <c r="AB503" s="100"/>
      <c r="AC503" s="100"/>
      <c r="AD503" s="100"/>
      <c r="AE503" s="100"/>
      <c r="AF503" s="100"/>
      <c r="AG503" s="100"/>
      <c r="AH503" s="100"/>
    </row>
    <row r="507" spans="1:34" x14ac:dyDescent="0.2">
      <c r="P507" s="103"/>
    </row>
    <row r="509" spans="1:34" s="103" customFormat="1" x14ac:dyDescent="0.2">
      <c r="A509" s="100"/>
      <c r="B509" s="100"/>
      <c r="C509" s="100"/>
      <c r="D509" s="100"/>
      <c r="E509" s="100"/>
      <c r="F509" s="102"/>
      <c r="G509" s="100"/>
      <c r="H509" s="102"/>
      <c r="I509" s="102"/>
      <c r="J509" s="102"/>
      <c r="K509" s="102"/>
      <c r="L509" s="102"/>
      <c r="M509" s="102"/>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row>
    <row r="512" spans="1:34" x14ac:dyDescent="0.2">
      <c r="P512" s="103"/>
    </row>
    <row r="515" spans="1:34" s="103" customFormat="1" x14ac:dyDescent="0.2">
      <c r="A515" s="100"/>
      <c r="B515" s="100"/>
      <c r="C515" s="100"/>
      <c r="D515" s="100"/>
      <c r="E515" s="100"/>
      <c r="F515" s="102"/>
      <c r="G515" s="100"/>
      <c r="H515" s="102"/>
      <c r="I515" s="102"/>
      <c r="J515" s="102"/>
      <c r="K515" s="102"/>
      <c r="L515" s="102"/>
      <c r="M515" s="102"/>
      <c r="N515" s="100"/>
      <c r="O515" s="100"/>
      <c r="P515" s="100"/>
      <c r="Q515" s="100"/>
      <c r="R515" s="100"/>
      <c r="S515" s="100"/>
      <c r="T515" s="100"/>
      <c r="U515" s="100"/>
      <c r="V515" s="100"/>
      <c r="W515" s="100"/>
      <c r="X515" s="100"/>
      <c r="Y515" s="100"/>
      <c r="Z515" s="100"/>
      <c r="AA515" s="100"/>
      <c r="AB515" s="100"/>
      <c r="AC515" s="100"/>
      <c r="AD515" s="100"/>
      <c r="AE515" s="100"/>
      <c r="AF515" s="100"/>
      <c r="AG515" s="100"/>
      <c r="AH515" s="100"/>
    </row>
    <row r="517" spans="1:34" x14ac:dyDescent="0.2">
      <c r="P517" s="103"/>
    </row>
    <row r="521" spans="1:34" s="103" customFormat="1" x14ac:dyDescent="0.2">
      <c r="A521" s="100"/>
      <c r="B521" s="100"/>
      <c r="C521" s="100"/>
      <c r="D521" s="100"/>
      <c r="E521" s="100"/>
      <c r="F521" s="102"/>
      <c r="G521" s="100"/>
      <c r="H521" s="102"/>
      <c r="I521" s="102"/>
      <c r="J521" s="102"/>
      <c r="K521" s="102"/>
      <c r="L521" s="102"/>
      <c r="M521" s="102"/>
      <c r="N521" s="100"/>
      <c r="O521" s="100"/>
      <c r="P521" s="100"/>
      <c r="Q521" s="100"/>
      <c r="R521" s="100"/>
      <c r="S521" s="100"/>
      <c r="T521" s="100"/>
      <c r="U521" s="100"/>
      <c r="V521" s="100"/>
      <c r="W521" s="100"/>
      <c r="X521" s="100"/>
      <c r="Y521" s="100"/>
      <c r="Z521" s="100"/>
      <c r="AA521" s="100"/>
      <c r="AB521" s="100"/>
      <c r="AC521" s="100"/>
      <c r="AD521" s="100"/>
      <c r="AE521" s="100"/>
      <c r="AF521" s="100"/>
      <c r="AG521" s="100"/>
      <c r="AH521" s="100"/>
    </row>
    <row r="522" spans="1:34" x14ac:dyDescent="0.2">
      <c r="P522" s="103"/>
    </row>
    <row r="527" spans="1:34" s="103" customFormat="1" x14ac:dyDescent="0.2">
      <c r="A527" s="100"/>
      <c r="B527" s="100"/>
      <c r="C527" s="100"/>
      <c r="D527" s="100"/>
      <c r="E527" s="100"/>
      <c r="F527" s="102"/>
      <c r="G527" s="100"/>
      <c r="H527" s="102"/>
      <c r="I527" s="102"/>
      <c r="J527" s="102"/>
      <c r="K527" s="102"/>
      <c r="L527" s="102"/>
      <c r="M527" s="102"/>
      <c r="N527" s="100"/>
      <c r="O527" s="100"/>
      <c r="P527" s="100"/>
      <c r="Q527" s="100"/>
      <c r="R527" s="100"/>
      <c r="S527" s="100"/>
      <c r="T527" s="100"/>
      <c r="U527" s="100"/>
      <c r="V527" s="100"/>
      <c r="W527" s="100"/>
      <c r="X527" s="100"/>
      <c r="Y527" s="100"/>
      <c r="Z527" s="100"/>
      <c r="AA527" s="100"/>
      <c r="AB527" s="100"/>
      <c r="AC527" s="100"/>
      <c r="AD527" s="100"/>
      <c r="AE527" s="100"/>
      <c r="AF527" s="100"/>
      <c r="AG527" s="100"/>
      <c r="AH527" s="100"/>
    </row>
    <row r="533" spans="1:34" s="103" customFormat="1" x14ac:dyDescent="0.2">
      <c r="A533" s="100"/>
      <c r="B533" s="100"/>
      <c r="C533" s="100"/>
      <c r="D533" s="100"/>
      <c r="E533" s="100"/>
      <c r="F533" s="102"/>
      <c r="G533" s="100"/>
      <c r="H533" s="102"/>
      <c r="I533" s="102"/>
      <c r="J533" s="102"/>
      <c r="K533" s="102"/>
      <c r="L533" s="102"/>
      <c r="M533" s="102"/>
      <c r="N533" s="100"/>
      <c r="O533" s="100"/>
      <c r="P533" s="100"/>
      <c r="Q533" s="100"/>
      <c r="R533" s="100"/>
      <c r="S533" s="100"/>
      <c r="T533" s="100"/>
      <c r="U533" s="100"/>
      <c r="V533" s="100"/>
      <c r="W533" s="100"/>
      <c r="X533" s="100"/>
      <c r="Y533" s="100"/>
      <c r="Z533" s="100"/>
      <c r="AA533" s="100"/>
      <c r="AB533" s="100"/>
      <c r="AC533" s="100"/>
      <c r="AD533" s="100"/>
      <c r="AE533" s="100"/>
      <c r="AF533" s="100"/>
      <c r="AG533" s="100"/>
      <c r="AH533" s="100"/>
    </row>
    <row r="535" spans="1:34" x14ac:dyDescent="0.2">
      <c r="P535" s="103"/>
    </row>
    <row r="541" spans="1:34" x14ac:dyDescent="0.2">
      <c r="P541" s="103"/>
    </row>
    <row r="547" spans="16:16" x14ac:dyDescent="0.2">
      <c r="P547" s="103"/>
    </row>
    <row r="553" spans="16:16" x14ac:dyDescent="0.2">
      <c r="P553" s="103"/>
    </row>
    <row r="559" spans="16:16" x14ac:dyDescent="0.2">
      <c r="P559" s="103"/>
    </row>
    <row r="565" spans="16:16" x14ac:dyDescent="0.2">
      <c r="P565" s="103"/>
    </row>
    <row r="578" spans="16:16" x14ac:dyDescent="0.2">
      <c r="P578" s="103"/>
    </row>
    <row r="584" spans="16:16" x14ac:dyDescent="0.2">
      <c r="P584" s="103"/>
    </row>
    <row r="590" spans="16:16" x14ac:dyDescent="0.2">
      <c r="P590" s="103"/>
    </row>
    <row r="596" spans="16:16" x14ac:dyDescent="0.2">
      <c r="P596" s="103"/>
    </row>
    <row r="602" spans="16:16" x14ac:dyDescent="0.2">
      <c r="P602" s="103"/>
    </row>
    <row r="608" spans="16:16" x14ac:dyDescent="0.2">
      <c r="P608" s="103"/>
    </row>
  </sheetData>
  <sheetProtection algorithmName="SHA-512" hashValue="LLIU94wIwL3x7xzmV/SlLW9L5Ln07tHlprAAXPdF+O2CL1w5zRIrg6ejmk62QOH7VsrKEzSv0O8gllnA9kC48w==" saltValue="zDoSViYHEWNA2UKQ1k06AQ==" spinCount="100000" sheet="1" objects="1" scenarios="1"/>
  <phoneticPr fontId="0" type="noConversion"/>
  <printOptions gridLines="1"/>
  <pageMargins left="0.74803149606299213" right="0.74803149606299213" top="0.98425196850393704" bottom="0.98425196850393704" header="0.51181102362204722" footer="0.51181102362204722"/>
  <pageSetup paperSize="9" scale="59" orientation="portrait" r:id="rId1"/>
  <headerFooter alignWithMargins="0">
    <oddHeader>&amp;L&amp;"Arial,Vet"&amp;9&amp;F&amp;R&amp;"Arial,Vet"&amp;9&amp;A</oddHeader>
    <oddFooter>&amp;L&amp;"Arial,Vet"&amp;9be.keizer@wxs.nl&amp;C&amp;"Arial,Vet"&amp;9pagina &amp;P&amp;R&amp;"Arial,Vet"&amp;9&amp;D</oddFooter>
  </headerFooter>
  <rowBreaks count="6" manualBreakCount="6">
    <brk id="100" min="1" max="16" man="1"/>
    <brk id="172" min="14" max="26" man="1"/>
    <brk id="175" min="1" max="19" man="1"/>
    <brk id="250" min="1" max="13" man="1"/>
    <brk id="351" min="1" max="12" man="1"/>
    <brk id="429" min="1"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J336"/>
  <sheetViews>
    <sheetView zoomScale="82" zoomScaleNormal="82" zoomScaleSheetLayoutView="80" workbookViewId="0">
      <selection activeCell="B2" sqref="B2"/>
    </sheetView>
  </sheetViews>
  <sheetFormatPr defaultRowHeight="12.75" x14ac:dyDescent="0.2"/>
  <cols>
    <col min="1" max="1" width="2.28515625" style="100" customWidth="1"/>
    <col min="2" max="2" width="2.7109375" style="100" customWidth="1"/>
    <col min="3" max="3" width="4.5703125" style="101" customWidth="1"/>
    <col min="4" max="4" width="27.7109375" style="101" customWidth="1"/>
    <col min="5" max="6" width="7.7109375" style="100" customWidth="1"/>
    <col min="7" max="12" width="8.7109375" style="102" customWidth="1"/>
    <col min="13" max="13" width="1.7109375" style="102" customWidth="1"/>
    <col min="14" max="18" width="12.7109375" style="100" customWidth="1"/>
    <col min="19" max="19" width="12.7109375" style="100" hidden="1" customWidth="1"/>
    <col min="20" max="20" width="3" style="100" customWidth="1"/>
    <col min="21" max="21" width="2.85546875" style="100" customWidth="1"/>
    <col min="22" max="22" width="2.85546875" style="102" hidden="1" customWidth="1"/>
    <col min="23" max="24" width="12.7109375" style="102" customWidth="1"/>
    <col min="25" max="25" width="12.7109375" style="100" customWidth="1"/>
    <col min="26" max="27" width="14.140625" style="100" customWidth="1"/>
    <col min="28" max="28" width="14.140625" style="100" hidden="1" customWidth="1"/>
    <col min="29" max="29" width="2.7109375" style="100" customWidth="1"/>
    <col min="30" max="30" width="3" style="100" customWidth="1"/>
    <col min="31" max="31" width="2.7109375" style="100" customWidth="1"/>
    <col min="32" max="32" width="2.7109375" style="676" customWidth="1"/>
    <col min="33" max="35" width="12.7109375" style="676" customWidth="1"/>
    <col min="36" max="37" width="12.85546875" style="676" customWidth="1"/>
    <col min="38" max="41" width="12.7109375" style="676" customWidth="1"/>
    <col min="42" max="43" width="2.7109375" style="676" customWidth="1"/>
    <col min="44" max="44" width="12.7109375" style="676" customWidth="1"/>
    <col min="45" max="45" width="12.85546875" style="676" customWidth="1"/>
    <col min="46" max="52" width="12.7109375" style="676" customWidth="1"/>
    <col min="53" max="53" width="2.85546875" style="676" customWidth="1"/>
    <col min="54" max="54" width="12.7109375" style="676" customWidth="1"/>
    <col min="55" max="56" width="12.85546875" style="100" customWidth="1"/>
    <col min="57" max="16384" width="9.140625" style="100"/>
  </cols>
  <sheetData>
    <row r="2" spans="2:54" x14ac:dyDescent="0.2">
      <c r="B2" s="522"/>
      <c r="C2" s="729"/>
      <c r="D2" s="729"/>
      <c r="E2" s="504"/>
      <c r="F2" s="504"/>
      <c r="G2" s="730"/>
      <c r="H2" s="730"/>
      <c r="I2" s="730"/>
      <c r="J2" s="730"/>
      <c r="K2" s="730"/>
      <c r="L2" s="730"/>
      <c r="M2" s="730"/>
      <c r="N2" s="504"/>
      <c r="O2" s="504"/>
      <c r="P2" s="504"/>
      <c r="Q2" s="504"/>
      <c r="R2" s="504"/>
      <c r="S2" s="504"/>
      <c r="T2" s="504"/>
      <c r="U2" s="507"/>
      <c r="V2" s="632"/>
      <c r="W2" s="495"/>
      <c r="X2" s="495"/>
      <c r="Y2" s="495"/>
      <c r="Z2" s="495"/>
      <c r="AA2" s="495"/>
      <c r="AB2" s="495"/>
      <c r="AC2" s="495"/>
      <c r="AD2" s="676"/>
      <c r="AE2" s="676"/>
      <c r="BA2" s="495"/>
      <c r="BB2" s="100"/>
    </row>
    <row r="3" spans="2:54" x14ac:dyDescent="0.2">
      <c r="B3" s="681"/>
      <c r="C3" s="712"/>
      <c r="D3" s="712"/>
      <c r="E3" s="495"/>
      <c r="F3" s="495"/>
      <c r="G3" s="632"/>
      <c r="H3" s="632"/>
      <c r="I3" s="632"/>
      <c r="J3" s="632"/>
      <c r="K3" s="632"/>
      <c r="L3" s="632"/>
      <c r="M3" s="632"/>
      <c r="N3" s="495"/>
      <c r="O3" s="495"/>
      <c r="P3" s="495"/>
      <c r="Q3" s="495"/>
      <c r="R3" s="495"/>
      <c r="S3" s="495"/>
      <c r="T3" s="495"/>
      <c r="U3" s="529"/>
      <c r="V3" s="632"/>
      <c r="W3" s="495"/>
      <c r="X3" s="495"/>
      <c r="Y3" s="495"/>
      <c r="Z3" s="495"/>
      <c r="AA3" s="495"/>
      <c r="AB3" s="495"/>
      <c r="AC3" s="495"/>
      <c r="AD3" s="676"/>
      <c r="AE3" s="676"/>
      <c r="BA3" s="495"/>
      <c r="BB3" s="100"/>
    </row>
    <row r="4" spans="2:54" ht="18.75" x14ac:dyDescent="0.3">
      <c r="B4" s="681"/>
      <c r="C4" s="712"/>
      <c r="D4" s="754" t="str">
        <f>'geg ll'!C5</f>
        <v>Voorbeeld SWV VO Alkmaar</v>
      </c>
      <c r="E4" s="495"/>
      <c r="F4" s="495"/>
      <c r="G4" s="632"/>
      <c r="H4" s="632"/>
      <c r="I4" s="632"/>
      <c r="J4" s="632"/>
      <c r="K4" s="632"/>
      <c r="L4" s="632"/>
      <c r="M4" s="632"/>
      <c r="N4" s="495"/>
      <c r="O4" s="495"/>
      <c r="P4" s="495"/>
      <c r="Q4" s="495"/>
      <c r="R4" s="495"/>
      <c r="S4" s="495"/>
      <c r="T4" s="495"/>
      <c r="U4" s="529"/>
      <c r="V4" s="632"/>
      <c r="W4" s="495"/>
      <c r="X4" s="495"/>
      <c r="Y4" s="495"/>
      <c r="Z4" s="495"/>
      <c r="AA4" s="495"/>
      <c r="AB4" s="495"/>
      <c r="AC4" s="495"/>
      <c r="AD4" s="676"/>
      <c r="AE4" s="676"/>
      <c r="BA4" s="495"/>
      <c r="BB4" s="100"/>
    </row>
    <row r="5" spans="2:54" x14ac:dyDescent="0.2">
      <c r="B5" s="681"/>
      <c r="C5" s="712"/>
      <c r="D5" s="712"/>
      <c r="E5" s="495"/>
      <c r="F5" s="495"/>
      <c r="G5" s="632"/>
      <c r="H5" s="632"/>
      <c r="I5" s="632"/>
      <c r="J5" s="632"/>
      <c r="K5" s="632"/>
      <c r="L5" s="632"/>
      <c r="M5" s="632"/>
      <c r="N5" s="495"/>
      <c r="O5" s="495"/>
      <c r="P5" s="495"/>
      <c r="Q5" s="495"/>
      <c r="R5" s="495"/>
      <c r="S5" s="495"/>
      <c r="T5" s="495"/>
      <c r="U5" s="529"/>
      <c r="V5" s="632"/>
      <c r="W5" s="495"/>
      <c r="X5" s="495"/>
      <c r="Y5" s="495"/>
      <c r="Z5" s="495"/>
      <c r="AA5" s="495"/>
      <c r="AB5" s="495"/>
      <c r="AC5" s="495"/>
      <c r="AD5" s="676"/>
      <c r="AE5" s="676"/>
      <c r="BA5" s="495"/>
      <c r="BB5" s="100"/>
    </row>
    <row r="6" spans="2:54" ht="18.75" x14ac:dyDescent="0.3">
      <c r="B6" s="681"/>
      <c r="C6" s="712"/>
      <c r="D6" s="754" t="s">
        <v>408</v>
      </c>
      <c r="E6" s="495"/>
      <c r="F6" s="495"/>
      <c r="G6" s="632"/>
      <c r="H6" s="632"/>
      <c r="I6" s="632"/>
      <c r="J6" s="632"/>
      <c r="K6" s="632"/>
      <c r="L6" s="632"/>
      <c r="M6" s="632"/>
      <c r="N6" s="495"/>
      <c r="O6" s="495"/>
      <c r="P6" s="495"/>
      <c r="Q6" s="495"/>
      <c r="R6" s="495"/>
      <c r="S6" s="495"/>
      <c r="T6" s="495"/>
      <c r="U6" s="529"/>
      <c r="V6" s="632"/>
      <c r="W6" s="495"/>
      <c r="X6" s="495"/>
      <c r="Y6" s="495"/>
      <c r="Z6" s="495"/>
      <c r="AA6" s="495"/>
      <c r="AB6" s="495"/>
      <c r="AC6" s="495"/>
      <c r="AD6" s="676"/>
      <c r="AE6" s="676"/>
      <c r="BA6" s="495"/>
      <c r="BB6" s="100"/>
    </row>
    <row r="7" spans="2:54" x14ac:dyDescent="0.2">
      <c r="B7" s="681"/>
      <c r="C7" s="712"/>
      <c r="D7" s="712"/>
      <c r="E7" s="495"/>
      <c r="F7" s="495"/>
      <c r="G7" s="632"/>
      <c r="H7" s="632"/>
      <c r="I7" s="632"/>
      <c r="J7" s="632"/>
      <c r="K7" s="632"/>
      <c r="L7" s="632"/>
      <c r="M7" s="632"/>
      <c r="N7" s="495"/>
      <c r="O7" s="495"/>
      <c r="P7" s="495"/>
      <c r="Q7" s="495"/>
      <c r="R7" s="495"/>
      <c r="S7" s="495"/>
      <c r="T7" s="495"/>
      <c r="U7" s="529"/>
      <c r="V7" s="632"/>
      <c r="W7" s="495"/>
      <c r="X7" s="495"/>
      <c r="Y7" s="495"/>
      <c r="Z7" s="495"/>
      <c r="AA7" s="495"/>
      <c r="AB7" s="495"/>
      <c r="AC7" s="495"/>
      <c r="AD7" s="676"/>
      <c r="AE7" s="676"/>
      <c r="BA7" s="495"/>
      <c r="BB7" s="100"/>
    </row>
    <row r="8" spans="2:54" x14ac:dyDescent="0.2">
      <c r="B8" s="681"/>
      <c r="C8" s="712"/>
      <c r="D8" s="755" t="s">
        <v>232</v>
      </c>
      <c r="E8" s="756"/>
      <c r="F8" s="756"/>
      <c r="G8" s="757"/>
      <c r="H8" s="757"/>
      <c r="I8" s="757"/>
      <c r="J8" s="757"/>
      <c r="K8" s="757"/>
      <c r="L8" s="757"/>
      <c r="M8" s="757"/>
      <c r="N8" s="760">
        <f t="shared" ref="N8:S8" si="0">+N34</f>
        <v>2023</v>
      </c>
      <c r="O8" s="760">
        <f t="shared" si="0"/>
        <v>2024</v>
      </c>
      <c r="P8" s="760">
        <f t="shared" si="0"/>
        <v>2025</v>
      </c>
      <c r="Q8" s="760">
        <f t="shared" si="0"/>
        <v>2026</v>
      </c>
      <c r="R8" s="760">
        <f t="shared" si="0"/>
        <v>2027</v>
      </c>
      <c r="S8" s="760">
        <f t="shared" si="0"/>
        <v>2025</v>
      </c>
      <c r="T8" s="495"/>
      <c r="U8" s="735"/>
      <c r="V8" s="495"/>
      <c r="W8" s="495"/>
      <c r="X8" s="495"/>
      <c r="Y8" s="495"/>
      <c r="Z8" s="495"/>
      <c r="AA8" s="495"/>
      <c r="AB8" s="495"/>
      <c r="AC8" s="676"/>
      <c r="AD8" s="676"/>
      <c r="AE8" s="676"/>
      <c r="AZ8" s="495"/>
      <c r="BA8" s="100"/>
      <c r="BB8" s="100"/>
    </row>
    <row r="9" spans="2:54" x14ac:dyDescent="0.2">
      <c r="B9" s="681"/>
      <c r="C9" s="712"/>
      <c r="D9" s="755"/>
      <c r="E9" s="756"/>
      <c r="F9" s="756"/>
      <c r="G9" s="757"/>
      <c r="H9" s="757"/>
      <c r="I9" s="757"/>
      <c r="J9" s="757"/>
      <c r="K9" s="757"/>
      <c r="L9" s="757"/>
      <c r="M9" s="757"/>
      <c r="N9" s="759"/>
      <c r="O9" s="759"/>
      <c r="P9" s="759"/>
      <c r="Q9" s="759"/>
      <c r="R9" s="759"/>
      <c r="S9" s="759"/>
      <c r="T9" s="495"/>
      <c r="U9" s="735"/>
      <c r="V9" s="495"/>
      <c r="W9" s="495"/>
      <c r="X9" s="495"/>
      <c r="Y9" s="495"/>
      <c r="Z9" s="495"/>
      <c r="AA9" s="495"/>
      <c r="AB9" s="495"/>
      <c r="AC9" s="676"/>
      <c r="AD9" s="676"/>
      <c r="AE9" s="676"/>
      <c r="AZ9" s="495"/>
      <c r="BA9" s="100"/>
      <c r="BB9" s="100"/>
    </row>
    <row r="10" spans="2:54" x14ac:dyDescent="0.2">
      <c r="B10" s="681"/>
      <c r="C10" s="712"/>
      <c r="D10" s="758" t="s">
        <v>626</v>
      </c>
      <c r="E10" s="756"/>
      <c r="F10" s="756"/>
      <c r="G10" s="757"/>
      <c r="H10" s="757"/>
      <c r="I10" s="757"/>
      <c r="J10" s="757"/>
      <c r="K10" s="757"/>
      <c r="L10" s="757"/>
      <c r="M10" s="757"/>
      <c r="N10" s="734">
        <f>+bekost!I17</f>
        <v>8978458.0733670201</v>
      </c>
      <c r="O10" s="734">
        <f>+bekost!J17</f>
        <v>8978458.0733670201</v>
      </c>
      <c r="P10" s="734">
        <f>+bekost!K17</f>
        <v>8978458.0733670201</v>
      </c>
      <c r="Q10" s="734">
        <f>+bekost!L17</f>
        <v>8978458.0733670201</v>
      </c>
      <c r="R10" s="734">
        <f>+bekost!M17</f>
        <v>8978458.0733670201</v>
      </c>
      <c r="S10" s="734" t="e">
        <f>+bekost!#REF!</f>
        <v>#REF!</v>
      </c>
      <c r="T10" s="495"/>
      <c r="U10" s="735"/>
      <c r="V10" s="495"/>
      <c r="W10" s="495"/>
      <c r="X10" s="495"/>
      <c r="Y10" s="495"/>
      <c r="Z10" s="495"/>
      <c r="AA10" s="495"/>
      <c r="AB10" s="495"/>
      <c r="AC10" s="676"/>
      <c r="AD10" s="676"/>
      <c r="AE10" s="676"/>
      <c r="AZ10" s="495"/>
      <c r="BA10" s="100"/>
      <c r="BB10" s="100"/>
    </row>
    <row r="11" spans="2:54" x14ac:dyDescent="0.2">
      <c r="B11" s="681"/>
      <c r="C11" s="712"/>
      <c r="D11" s="758" t="s">
        <v>642</v>
      </c>
      <c r="E11" s="756"/>
      <c r="F11" s="756"/>
      <c r="G11" s="757"/>
      <c r="H11" s="757"/>
      <c r="I11" s="757"/>
      <c r="J11" s="757"/>
      <c r="K11" s="757"/>
      <c r="L11" s="757"/>
      <c r="M11" s="757"/>
      <c r="N11" s="734">
        <f t="shared" ref="N11:S11" si="1">+N36</f>
        <v>0</v>
      </c>
      <c r="O11" s="734">
        <f t="shared" si="1"/>
        <v>0</v>
      </c>
      <c r="P11" s="734">
        <f t="shared" si="1"/>
        <v>0</v>
      </c>
      <c r="Q11" s="734">
        <f t="shared" si="1"/>
        <v>0</v>
      </c>
      <c r="R11" s="734">
        <f t="shared" si="1"/>
        <v>0</v>
      </c>
      <c r="S11" s="734">
        <f t="shared" si="1"/>
        <v>0</v>
      </c>
      <c r="T11" s="495"/>
      <c r="U11" s="735"/>
      <c r="V11" s="495"/>
      <c r="W11" s="495"/>
      <c r="X11" s="495"/>
      <c r="Y11" s="495"/>
      <c r="Z11" s="495"/>
      <c r="AA11" s="495"/>
      <c r="AB11" s="495"/>
      <c r="AC11" s="676"/>
      <c r="AD11" s="676"/>
      <c r="AE11" s="676"/>
      <c r="AZ11" s="495"/>
      <c r="BA11" s="100"/>
      <c r="BB11" s="100"/>
    </row>
    <row r="12" spans="2:54" x14ac:dyDescent="0.2">
      <c r="B12" s="681"/>
      <c r="C12" s="712"/>
      <c r="D12" s="758"/>
      <c r="E12" s="756"/>
      <c r="F12" s="756"/>
      <c r="G12" s="757"/>
      <c r="H12" s="757"/>
      <c r="I12" s="757"/>
      <c r="J12" s="955" t="s">
        <v>530</v>
      </c>
      <c r="K12" s="757"/>
      <c r="L12" s="757"/>
      <c r="M12" s="757"/>
      <c r="N12" s="736">
        <f t="shared" ref="N12:R12" si="2">N10-N11</f>
        <v>8978458.0733670201</v>
      </c>
      <c r="O12" s="736">
        <f t="shared" si="2"/>
        <v>8978458.0733670201</v>
      </c>
      <c r="P12" s="736">
        <f t="shared" si="2"/>
        <v>8978458.0733670201</v>
      </c>
      <c r="Q12" s="736">
        <f t="shared" si="2"/>
        <v>8978458.0733670201</v>
      </c>
      <c r="R12" s="736">
        <f t="shared" si="2"/>
        <v>8978458.0733670201</v>
      </c>
      <c r="S12" s="736" t="e">
        <f>S10-S11</f>
        <v>#REF!</v>
      </c>
      <c r="T12" s="495"/>
      <c r="U12" s="735"/>
      <c r="V12" s="495"/>
      <c r="W12" s="495"/>
      <c r="X12" s="495"/>
      <c r="Y12" s="495"/>
      <c r="Z12" s="495"/>
      <c r="AA12" s="495"/>
      <c r="AB12" s="495"/>
      <c r="AC12" s="676"/>
      <c r="AD12" s="676"/>
      <c r="AE12" s="676"/>
      <c r="AZ12" s="495"/>
      <c r="BA12" s="100"/>
      <c r="BB12" s="100"/>
    </row>
    <row r="13" spans="2:54" x14ac:dyDescent="0.2">
      <c r="B13" s="681"/>
      <c r="C13" s="712"/>
      <c r="D13" s="758" t="s">
        <v>627</v>
      </c>
      <c r="E13" s="756"/>
      <c r="F13" s="756"/>
      <c r="G13" s="757"/>
      <c r="H13" s="757"/>
      <c r="I13" s="757"/>
      <c r="J13" s="757"/>
      <c r="K13" s="757"/>
      <c r="L13" s="757"/>
      <c r="M13" s="757"/>
      <c r="N13" s="736">
        <f>+bekost!I18</f>
        <v>-369344.13062382728</v>
      </c>
      <c r="O13" s="736">
        <f>+bekost!J18</f>
        <v>-369344.13062382728</v>
      </c>
      <c r="P13" s="736">
        <f>+bekost!K18</f>
        <v>-369344.13062382728</v>
      </c>
      <c r="Q13" s="736">
        <f>+bekost!L18</f>
        <v>-369344.13062382728</v>
      </c>
      <c r="R13" s="736">
        <f>+bekost!M18</f>
        <v>-369344.13062382728</v>
      </c>
      <c r="S13" s="736" t="e">
        <f>+bekost!#REF!</f>
        <v>#REF!</v>
      </c>
      <c r="T13" s="495"/>
      <c r="U13" s="735"/>
      <c r="V13" s="495"/>
      <c r="W13" s="495"/>
      <c r="X13" s="495"/>
      <c r="Y13" s="495"/>
      <c r="Z13" s="495"/>
      <c r="AA13" s="495"/>
      <c r="AB13" s="495"/>
      <c r="AC13" s="676"/>
      <c r="AD13" s="676"/>
      <c r="AE13" s="676"/>
      <c r="AZ13" s="495"/>
      <c r="BA13" s="100"/>
      <c r="BB13" s="100"/>
    </row>
    <row r="14" spans="2:54" x14ac:dyDescent="0.2">
      <c r="B14" s="681"/>
      <c r="C14" s="712"/>
      <c r="D14" s="758" t="s">
        <v>628</v>
      </c>
      <c r="E14" s="756"/>
      <c r="F14" s="756"/>
      <c r="G14" s="757"/>
      <c r="H14" s="757"/>
      <c r="I14" s="757"/>
      <c r="J14" s="757"/>
      <c r="K14" s="757"/>
      <c r="L14" s="757"/>
      <c r="M14" s="757"/>
      <c r="N14" s="734">
        <f t="shared" ref="N14:S14" si="3">+N37</f>
        <v>2355179.48</v>
      </c>
      <c r="O14" s="734">
        <f t="shared" si="3"/>
        <v>2355179.48</v>
      </c>
      <c r="P14" s="734">
        <f t="shared" si="3"/>
        <v>2355179.48</v>
      </c>
      <c r="Q14" s="734">
        <f t="shared" si="3"/>
        <v>2355179.48</v>
      </c>
      <c r="R14" s="734">
        <f t="shared" si="3"/>
        <v>2355179.48</v>
      </c>
      <c r="S14" s="734">
        <f t="shared" si="3"/>
        <v>2355179.48</v>
      </c>
      <c r="T14" s="495"/>
      <c r="U14" s="735"/>
      <c r="V14" s="495"/>
      <c r="W14" s="495"/>
      <c r="X14" s="495"/>
      <c r="Y14" s="495"/>
      <c r="Z14" s="495"/>
      <c r="AA14" s="495"/>
      <c r="AB14" s="495"/>
      <c r="AC14" s="676"/>
      <c r="AD14" s="676"/>
      <c r="AE14" s="676"/>
      <c r="AZ14" s="495"/>
      <c r="BA14" s="100"/>
      <c r="BB14" s="100"/>
    </row>
    <row r="15" spans="2:54" x14ac:dyDescent="0.2">
      <c r="B15" s="681"/>
      <c r="C15" s="712"/>
      <c r="D15" s="712"/>
      <c r="E15" s="495"/>
      <c r="F15" s="495"/>
      <c r="G15" s="632"/>
      <c r="H15" s="632"/>
      <c r="I15" s="632"/>
      <c r="J15" s="955" t="s">
        <v>531</v>
      </c>
      <c r="K15" s="632"/>
      <c r="L15" s="632"/>
      <c r="M15" s="632"/>
      <c r="N15" s="736">
        <f t="shared" ref="N15:R15" si="4">N13-N14</f>
        <v>-2724523.6106238272</v>
      </c>
      <c r="O15" s="736">
        <f t="shared" si="4"/>
        <v>-2724523.6106238272</v>
      </c>
      <c r="P15" s="736">
        <f t="shared" si="4"/>
        <v>-2724523.6106238272</v>
      </c>
      <c r="Q15" s="736">
        <f t="shared" si="4"/>
        <v>-2724523.6106238272</v>
      </c>
      <c r="R15" s="736">
        <f t="shared" si="4"/>
        <v>-2724523.6106238272</v>
      </c>
      <c r="S15" s="736" t="e">
        <f>S13-S14</f>
        <v>#REF!</v>
      </c>
      <c r="T15" s="495"/>
      <c r="U15" s="735"/>
      <c r="V15" s="495"/>
      <c r="W15" s="495"/>
      <c r="X15" s="495"/>
      <c r="Y15" s="495"/>
      <c r="Z15" s="495"/>
      <c r="AA15" s="495"/>
      <c r="AB15" s="495"/>
      <c r="AC15" s="676"/>
      <c r="AD15" s="676"/>
      <c r="AE15" s="676"/>
      <c r="AZ15" s="495"/>
      <c r="BA15" s="100"/>
      <c r="BB15" s="100"/>
    </row>
    <row r="16" spans="2:54" x14ac:dyDescent="0.2">
      <c r="B16" s="681"/>
      <c r="C16" s="712"/>
      <c r="D16" s="712"/>
      <c r="E16" s="495"/>
      <c r="F16" s="495"/>
      <c r="G16" s="632"/>
      <c r="H16" s="632"/>
      <c r="I16" s="632"/>
      <c r="J16" s="632"/>
      <c r="K16" s="632"/>
      <c r="L16" s="632"/>
      <c r="M16" s="632"/>
      <c r="N16" s="495"/>
      <c r="O16" s="495"/>
      <c r="P16" s="495"/>
      <c r="Q16" s="495"/>
      <c r="R16" s="495"/>
      <c r="S16" s="495"/>
      <c r="T16" s="495"/>
      <c r="U16" s="735"/>
      <c r="V16" s="495"/>
      <c r="W16" s="495"/>
      <c r="X16" s="495"/>
      <c r="Y16" s="495"/>
      <c r="Z16" s="495"/>
      <c r="AA16" s="495"/>
      <c r="AB16" s="495"/>
      <c r="AC16" s="676"/>
      <c r="AD16" s="676"/>
      <c r="AE16" s="676"/>
      <c r="AZ16" s="495"/>
      <c r="BA16" s="100"/>
      <c r="BB16" s="100"/>
    </row>
    <row r="17" spans="2:54" x14ac:dyDescent="0.2">
      <c r="B17" s="681"/>
      <c r="C17" s="712"/>
      <c r="D17" s="758" t="s">
        <v>629</v>
      </c>
      <c r="E17" s="495"/>
      <c r="F17" s="495"/>
      <c r="G17" s="632"/>
      <c r="H17" s="632"/>
      <c r="I17" s="632"/>
      <c r="J17" s="632"/>
      <c r="K17" s="632"/>
      <c r="L17" s="632"/>
      <c r="M17" s="632"/>
      <c r="N17" s="734">
        <f t="shared" ref="N17:S18" si="5">+N10+N13</f>
        <v>8609113.9427431934</v>
      </c>
      <c r="O17" s="734">
        <f t="shared" si="5"/>
        <v>8609113.9427431934</v>
      </c>
      <c r="P17" s="734">
        <f t="shared" si="5"/>
        <v>8609113.9427431934</v>
      </c>
      <c r="Q17" s="734">
        <f t="shared" si="5"/>
        <v>8609113.9427431934</v>
      </c>
      <c r="R17" s="734">
        <f t="shared" si="5"/>
        <v>8609113.9427431934</v>
      </c>
      <c r="S17" s="734" t="e">
        <f t="shared" si="5"/>
        <v>#REF!</v>
      </c>
      <c r="T17" s="495"/>
      <c r="U17" s="766"/>
      <c r="V17" s="495"/>
      <c r="W17" s="495"/>
      <c r="X17" s="495"/>
      <c r="Y17" s="495"/>
      <c r="Z17" s="495"/>
      <c r="AA17" s="495"/>
      <c r="AB17" s="495"/>
      <c r="AC17" s="676"/>
      <c r="AD17" s="676"/>
      <c r="AE17" s="676"/>
      <c r="AZ17" s="495"/>
      <c r="BA17" s="100"/>
      <c r="BB17" s="100"/>
    </row>
    <row r="18" spans="2:54" x14ac:dyDescent="0.2">
      <c r="B18" s="681"/>
      <c r="C18" s="712"/>
      <c r="D18" s="758" t="s">
        <v>630</v>
      </c>
      <c r="E18" s="495"/>
      <c r="F18" s="495"/>
      <c r="G18" s="768"/>
      <c r="H18" s="632"/>
      <c r="I18" s="632"/>
      <c r="J18" s="632"/>
      <c r="K18" s="632"/>
      <c r="L18" s="632"/>
      <c r="M18" s="632"/>
      <c r="N18" s="734">
        <f t="shared" si="5"/>
        <v>2355179.48</v>
      </c>
      <c r="O18" s="734">
        <f t="shared" si="5"/>
        <v>2355179.48</v>
      </c>
      <c r="P18" s="734">
        <f t="shared" si="5"/>
        <v>2355179.48</v>
      </c>
      <c r="Q18" s="734">
        <f t="shared" si="5"/>
        <v>2355179.48</v>
      </c>
      <c r="R18" s="734">
        <f t="shared" si="5"/>
        <v>2355179.48</v>
      </c>
      <c r="S18" s="734">
        <f t="shared" si="5"/>
        <v>2355179.48</v>
      </c>
      <c r="T18" s="495"/>
      <c r="U18" s="766"/>
      <c r="V18" s="495"/>
      <c r="W18" s="495"/>
      <c r="X18" s="495"/>
      <c r="Y18" s="495"/>
      <c r="Z18" s="495"/>
      <c r="AA18" s="495"/>
      <c r="AB18" s="495"/>
      <c r="AC18" s="676"/>
      <c r="AD18" s="676"/>
      <c r="AE18" s="676"/>
      <c r="AZ18" s="495"/>
      <c r="BA18" s="100"/>
      <c r="BB18" s="100"/>
    </row>
    <row r="19" spans="2:54" x14ac:dyDescent="0.2">
      <c r="B19" s="681"/>
      <c r="C19" s="712"/>
      <c r="D19" s="712" t="s">
        <v>418</v>
      </c>
      <c r="E19" s="495"/>
      <c r="F19" s="495"/>
      <c r="G19" s="632"/>
      <c r="H19" s="632"/>
      <c r="I19" s="632"/>
      <c r="J19" s="632"/>
      <c r="K19" s="632"/>
      <c r="L19" s="632"/>
      <c r="M19" s="632"/>
      <c r="N19" s="776">
        <f t="shared" ref="N19:R19" si="6">+N17-N18</f>
        <v>6253934.4627431929</v>
      </c>
      <c r="O19" s="776">
        <f t="shared" si="6"/>
        <v>6253934.4627431929</v>
      </c>
      <c r="P19" s="776">
        <f t="shared" si="6"/>
        <v>6253934.4627431929</v>
      </c>
      <c r="Q19" s="776">
        <f t="shared" si="6"/>
        <v>6253934.4627431929</v>
      </c>
      <c r="R19" s="776">
        <f t="shared" si="6"/>
        <v>6253934.4627431929</v>
      </c>
      <c r="S19" s="776" t="e">
        <f>+S17-S18</f>
        <v>#REF!</v>
      </c>
      <c r="T19" s="495"/>
      <c r="U19" s="766"/>
      <c r="V19" s="495"/>
      <c r="W19" s="495"/>
      <c r="X19" s="495"/>
      <c r="Y19" s="495"/>
      <c r="Z19" s="495"/>
      <c r="AA19" s="495"/>
      <c r="AB19" s="495"/>
      <c r="AC19" s="676"/>
      <c r="AD19" s="676"/>
      <c r="AE19" s="676"/>
      <c r="AZ19" s="495"/>
      <c r="BA19" s="100"/>
      <c r="BB19" s="100"/>
    </row>
    <row r="20" spans="2:54" x14ac:dyDescent="0.2">
      <c r="B20" s="681"/>
      <c r="C20" s="712"/>
      <c r="D20" s="712" t="s">
        <v>415</v>
      </c>
      <c r="E20" s="495"/>
      <c r="F20" s="495"/>
      <c r="G20" s="632"/>
      <c r="H20" s="632"/>
      <c r="I20" s="632"/>
      <c r="J20" s="632"/>
      <c r="K20" s="632"/>
      <c r="L20" s="632"/>
      <c r="M20" s="632"/>
      <c r="N20" s="734">
        <f>+bekost!I15</f>
        <v>1589166.2150000001</v>
      </c>
      <c r="O20" s="734">
        <f>+bekost!J15</f>
        <v>1589166.2150000001</v>
      </c>
      <c r="P20" s="734">
        <f>+bekost!K15</f>
        <v>1589166.2150000001</v>
      </c>
      <c r="Q20" s="734">
        <f>+bekost!L15</f>
        <v>1589166.2150000001</v>
      </c>
      <c r="R20" s="734">
        <f>+bekost!M15</f>
        <v>1589166.2150000001</v>
      </c>
      <c r="S20" s="734" t="e">
        <f>+bekost!#REF!</f>
        <v>#REF!</v>
      </c>
      <c r="T20" s="495"/>
      <c r="U20" s="766"/>
      <c r="V20" s="495"/>
      <c r="W20" s="495"/>
      <c r="X20" s="495"/>
      <c r="Y20" s="495"/>
      <c r="Z20" s="495"/>
      <c r="AA20" s="495"/>
      <c r="AB20" s="495"/>
      <c r="AC20" s="676"/>
      <c r="AD20" s="676"/>
      <c r="AE20" s="676"/>
      <c r="AZ20" s="495"/>
      <c r="BA20" s="100"/>
      <c r="BB20" s="100"/>
    </row>
    <row r="21" spans="2:54" x14ac:dyDescent="0.2">
      <c r="B21" s="681"/>
      <c r="C21" s="712"/>
      <c r="D21" s="712" t="s">
        <v>416</v>
      </c>
      <c r="E21" s="495"/>
      <c r="F21" s="495"/>
      <c r="G21" s="632"/>
      <c r="H21" s="632"/>
      <c r="I21" s="767"/>
      <c r="J21" s="632"/>
      <c r="K21" s="632"/>
      <c r="L21" s="632"/>
      <c r="M21" s="632"/>
      <c r="N21" s="777">
        <f t="shared" ref="N21:R21" si="7">IF((N20+N19)&lt;0,N20+N19,0)</f>
        <v>0</v>
      </c>
      <c r="O21" s="777">
        <f t="shared" si="7"/>
        <v>0</v>
      </c>
      <c r="P21" s="777">
        <f t="shared" si="7"/>
        <v>0</v>
      </c>
      <c r="Q21" s="777">
        <f t="shared" si="7"/>
        <v>0</v>
      </c>
      <c r="R21" s="777">
        <f t="shared" si="7"/>
        <v>0</v>
      </c>
      <c r="S21" s="777" t="e">
        <f>IF((S20+S19)&lt;0,S20+S19,0)</f>
        <v>#REF!</v>
      </c>
      <c r="T21" s="495"/>
      <c r="U21" s="766"/>
      <c r="V21" s="495"/>
      <c r="W21" s="495"/>
      <c r="X21" s="495"/>
      <c r="Y21" s="495"/>
      <c r="Z21" s="495"/>
      <c r="AA21" s="495"/>
      <c r="AB21" s="495"/>
      <c r="AC21" s="676"/>
      <c r="AD21" s="676"/>
      <c r="AE21" s="676"/>
      <c r="AZ21" s="495"/>
      <c r="BA21" s="100"/>
      <c r="BB21" s="100"/>
    </row>
    <row r="22" spans="2:54" x14ac:dyDescent="0.2">
      <c r="B22" s="681"/>
      <c r="C22" s="712"/>
      <c r="D22" s="712" t="s">
        <v>417</v>
      </c>
      <c r="E22" s="495"/>
      <c r="F22" s="495"/>
      <c r="G22" s="632"/>
      <c r="H22" s="632"/>
      <c r="I22" s="767"/>
      <c r="J22" s="632"/>
      <c r="K22" s="632"/>
      <c r="L22" s="632"/>
      <c r="M22" s="632"/>
      <c r="N22" s="778">
        <f>-N21/'geg ll'!G80</f>
        <v>0</v>
      </c>
      <c r="O22" s="778">
        <f>-O21/'geg ll'!H80</f>
        <v>0</v>
      </c>
      <c r="P22" s="778">
        <f>-P21/'geg ll'!I80</f>
        <v>0</v>
      </c>
      <c r="Q22" s="778">
        <f>-Q21/'geg ll'!J80</f>
        <v>0</v>
      </c>
      <c r="R22" s="778">
        <f>-R21/'geg ll'!K80</f>
        <v>0</v>
      </c>
      <c r="S22" s="778" t="e">
        <f>-S21/'geg ll'!#REF!</f>
        <v>#REF!</v>
      </c>
      <c r="T22" s="495"/>
      <c r="U22" s="766"/>
      <c r="V22" s="495"/>
      <c r="W22" s="495"/>
      <c r="X22" s="495"/>
      <c r="Y22" s="495"/>
      <c r="Z22" s="495"/>
      <c r="AA22" s="495"/>
      <c r="AB22" s="495"/>
      <c r="AC22" s="676"/>
      <c r="AD22" s="676"/>
      <c r="AE22" s="676"/>
      <c r="AZ22" s="495"/>
      <c r="BA22" s="100"/>
      <c r="BB22" s="100"/>
    </row>
    <row r="23" spans="2:54" x14ac:dyDescent="0.2">
      <c r="B23" s="681"/>
      <c r="C23" s="712"/>
      <c r="D23" s="712"/>
      <c r="E23" s="495"/>
      <c r="F23" s="495"/>
      <c r="G23" s="632"/>
      <c r="H23" s="632"/>
      <c r="I23" s="632"/>
      <c r="J23" s="632"/>
      <c r="K23" s="632"/>
      <c r="L23" s="632"/>
      <c r="M23" s="632"/>
      <c r="N23" s="910"/>
      <c r="O23" s="910"/>
      <c r="P23" s="910"/>
      <c r="Q23" s="910"/>
      <c r="R23" s="910"/>
      <c r="S23" s="910"/>
      <c r="T23" s="495"/>
      <c r="U23" s="766"/>
      <c r="V23" s="495"/>
      <c r="W23" s="495"/>
      <c r="X23" s="495"/>
      <c r="Y23" s="495"/>
      <c r="Z23" s="495"/>
      <c r="AA23" s="495"/>
      <c r="AB23" s="495"/>
      <c r="AC23" s="676"/>
      <c r="AD23" s="676"/>
      <c r="AE23" s="676"/>
      <c r="AZ23" s="495"/>
      <c r="BA23" s="100"/>
      <c r="BB23" s="100"/>
    </row>
    <row r="24" spans="2:54" x14ac:dyDescent="0.2">
      <c r="B24" s="681"/>
      <c r="C24" s="712"/>
      <c r="D24" s="712"/>
      <c r="E24" s="495"/>
      <c r="F24" s="495"/>
      <c r="G24" s="632"/>
      <c r="H24" s="632"/>
      <c r="I24" s="632"/>
      <c r="J24" s="956" t="s">
        <v>544</v>
      </c>
      <c r="K24" s="632"/>
      <c r="L24" s="632"/>
      <c r="M24" s="632"/>
      <c r="N24" s="957">
        <f>N19+N20-N21</f>
        <v>7843100.6777431928</v>
      </c>
      <c r="O24" s="957">
        <f t="shared" ref="O24:R24" si="8">O19+O20-O21</f>
        <v>7843100.6777431928</v>
      </c>
      <c r="P24" s="957">
        <f t="shared" si="8"/>
        <v>7843100.6777431928</v>
      </c>
      <c r="Q24" s="957">
        <f t="shared" si="8"/>
        <v>7843100.6777431928</v>
      </c>
      <c r="R24" s="957">
        <f t="shared" si="8"/>
        <v>7843100.6777431928</v>
      </c>
      <c r="S24" s="957" t="e">
        <f>S19+S20-S21+#REF!+#REF!-#REF!</f>
        <v>#REF!</v>
      </c>
      <c r="T24" s="495"/>
      <c r="U24" s="735"/>
      <c r="V24" s="495"/>
      <c r="W24" s="495"/>
      <c r="X24" s="495"/>
      <c r="Y24" s="495"/>
      <c r="Z24" s="495"/>
      <c r="AA24" s="495"/>
      <c r="AB24" s="495"/>
      <c r="AC24" s="676"/>
      <c r="AD24" s="676"/>
      <c r="AE24" s="676"/>
      <c r="AZ24" s="495"/>
      <c r="BA24" s="100"/>
      <c r="BB24" s="100"/>
    </row>
    <row r="25" spans="2:54" x14ac:dyDescent="0.2">
      <c r="B25" s="681"/>
      <c r="C25" s="712"/>
      <c r="D25" s="712"/>
      <c r="E25" s="495"/>
      <c r="F25" s="495"/>
      <c r="G25" s="632"/>
      <c r="H25" s="632"/>
      <c r="I25" s="632"/>
      <c r="J25" s="632"/>
      <c r="K25" s="632"/>
      <c r="L25" s="632"/>
      <c r="M25" s="632"/>
      <c r="N25" s="495"/>
      <c r="O25" s="495"/>
      <c r="P25" s="495"/>
      <c r="Q25" s="495"/>
      <c r="R25" s="495"/>
      <c r="S25" s="495"/>
      <c r="T25" s="495"/>
      <c r="U25" s="735"/>
      <c r="V25" s="495"/>
      <c r="W25" s="495"/>
      <c r="X25" s="495"/>
      <c r="Y25" s="495"/>
      <c r="Z25" s="495"/>
      <c r="AA25" s="495"/>
      <c r="AB25" s="495"/>
      <c r="AC25" s="676"/>
      <c r="AD25" s="676"/>
      <c r="AE25" s="676"/>
      <c r="AZ25" s="495"/>
      <c r="BA25" s="100"/>
      <c r="BB25" s="100"/>
    </row>
    <row r="26" spans="2:54" x14ac:dyDescent="0.2">
      <c r="B26" s="681"/>
      <c r="C26" s="712"/>
      <c r="D26" s="670" t="s">
        <v>505</v>
      </c>
      <c r="E26" s="495"/>
      <c r="F26" s="495"/>
      <c r="G26" s="632"/>
      <c r="H26" s="632"/>
      <c r="I26" s="632"/>
      <c r="J26" s="632"/>
      <c r="K26" s="632"/>
      <c r="L26" s="632"/>
      <c r="M26" s="632"/>
      <c r="N26" s="911">
        <f>N22</f>
        <v>0</v>
      </c>
      <c r="O26" s="911">
        <f t="shared" ref="O26:R26" si="9">O22</f>
        <v>0</v>
      </c>
      <c r="P26" s="911">
        <f t="shared" si="9"/>
        <v>0</v>
      </c>
      <c r="Q26" s="911">
        <f t="shared" si="9"/>
        <v>0</v>
      </c>
      <c r="R26" s="911">
        <f t="shared" si="9"/>
        <v>0</v>
      </c>
      <c r="S26" s="911" t="e">
        <f>S22+#REF!</f>
        <v>#REF!</v>
      </c>
      <c r="T26" s="495"/>
      <c r="U26" s="735"/>
      <c r="V26" s="495"/>
      <c r="W26" s="495"/>
      <c r="X26" s="495"/>
      <c r="Y26" s="495"/>
      <c r="Z26" s="495"/>
      <c r="AA26" s="495"/>
      <c r="AB26" s="495"/>
      <c r="AC26" s="676"/>
      <c r="AD26" s="676"/>
      <c r="AE26" s="676"/>
      <c r="AZ26" s="495"/>
      <c r="BA26" s="100"/>
      <c r="BB26" s="100"/>
    </row>
    <row r="27" spans="2:54" x14ac:dyDescent="0.2">
      <c r="B27" s="681"/>
      <c r="C27" s="712"/>
      <c r="D27" s="902" t="s">
        <v>506</v>
      </c>
      <c r="E27" s="495"/>
      <c r="F27" s="495"/>
      <c r="G27" s="632"/>
      <c r="H27" s="632"/>
      <c r="I27" s="632"/>
      <c r="J27" s="632"/>
      <c r="K27" s="632"/>
      <c r="L27" s="632"/>
      <c r="M27" s="632"/>
      <c r="N27" s="495"/>
      <c r="O27" s="495"/>
      <c r="P27" s="495"/>
      <c r="Q27" s="495"/>
      <c r="R27" s="495"/>
      <c r="S27" s="495"/>
      <c r="T27" s="495"/>
      <c r="U27" s="735"/>
      <c r="V27" s="495"/>
      <c r="W27" s="495"/>
      <c r="X27" s="495"/>
      <c r="Y27" s="495"/>
      <c r="Z27" s="495"/>
      <c r="AA27" s="495"/>
      <c r="AB27" s="495"/>
      <c r="AC27" s="676"/>
      <c r="AD27" s="676"/>
      <c r="AE27" s="676"/>
      <c r="AZ27" s="495"/>
      <c r="BA27" s="100"/>
      <c r="BB27" s="100"/>
    </row>
    <row r="28" spans="2:54" x14ac:dyDescent="0.2">
      <c r="B28" s="681"/>
      <c r="C28" s="712"/>
      <c r="D28" s="712"/>
      <c r="E28" s="495"/>
      <c r="F28" s="495"/>
      <c r="G28" s="632"/>
      <c r="H28" s="632"/>
      <c r="I28" s="632"/>
      <c r="J28" s="632"/>
      <c r="K28" s="632"/>
      <c r="L28" s="632"/>
      <c r="M28" s="632"/>
      <c r="N28" s="495"/>
      <c r="O28" s="495"/>
      <c r="P28" s="495"/>
      <c r="Q28" s="495"/>
      <c r="R28" s="495"/>
      <c r="S28" s="495"/>
      <c r="T28" s="495"/>
      <c r="U28" s="735"/>
      <c r="V28" s="495"/>
      <c r="W28" s="495"/>
      <c r="X28" s="495"/>
      <c r="Y28" s="495"/>
      <c r="Z28" s="495"/>
      <c r="AA28" s="495"/>
      <c r="AB28" s="495"/>
      <c r="AC28" s="676"/>
      <c r="AD28" s="676"/>
      <c r="AE28" s="676"/>
      <c r="AZ28" s="495"/>
      <c r="BA28" s="100"/>
      <c r="BB28" s="100"/>
    </row>
    <row r="29" spans="2:54" x14ac:dyDescent="0.2">
      <c r="B29" s="731"/>
      <c r="C29" s="732"/>
      <c r="D29" s="732"/>
      <c r="E29" s="533"/>
      <c r="F29" s="533"/>
      <c r="G29" s="733"/>
      <c r="H29" s="733"/>
      <c r="I29" s="733"/>
      <c r="J29" s="733"/>
      <c r="K29" s="733"/>
      <c r="L29" s="1015"/>
      <c r="M29" s="733"/>
      <c r="N29" s="533"/>
      <c r="O29" s="533"/>
      <c r="P29" s="533"/>
      <c r="Q29" s="533"/>
      <c r="R29" s="533"/>
      <c r="S29" s="533"/>
      <c r="T29" s="533"/>
      <c r="U29" s="534"/>
      <c r="V29" s="632"/>
      <c r="W29" s="495"/>
      <c r="X29" s="495"/>
      <c r="Y29" s="495"/>
      <c r="Z29" s="495"/>
      <c r="AA29" s="495"/>
      <c r="AB29" s="495"/>
      <c r="AC29" s="495"/>
      <c r="AD29" s="676"/>
      <c r="AE29" s="676"/>
      <c r="BA29" s="495"/>
      <c r="BB29" s="100"/>
    </row>
    <row r="30" spans="2:54" x14ac:dyDescent="0.2">
      <c r="B30" s="65"/>
      <c r="C30" s="110"/>
      <c r="D30" s="110"/>
      <c r="E30" s="66"/>
      <c r="F30" s="66"/>
      <c r="G30" s="67"/>
      <c r="H30" s="67"/>
      <c r="I30" s="67"/>
      <c r="J30" s="67"/>
      <c r="K30" s="67"/>
      <c r="L30" s="716"/>
      <c r="M30" s="67"/>
      <c r="N30" s="66"/>
      <c r="O30" s="66"/>
      <c r="P30" s="66"/>
      <c r="Q30" s="66"/>
      <c r="R30" s="715"/>
      <c r="S30" s="715"/>
      <c r="T30" s="67"/>
      <c r="U30" s="904"/>
      <c r="V30" s="676"/>
      <c r="W30" s="676"/>
      <c r="X30" s="676"/>
      <c r="Y30" s="676"/>
      <c r="Z30" s="676"/>
      <c r="AA30" s="676"/>
      <c r="AB30" s="676"/>
      <c r="AC30" s="676"/>
      <c r="AD30" s="676"/>
      <c r="AE30" s="676"/>
      <c r="AI30" s="100"/>
      <c r="AJ30" s="100"/>
      <c r="AK30" s="100"/>
      <c r="AL30" s="100"/>
      <c r="AM30" s="100"/>
      <c r="AN30" s="100"/>
      <c r="AO30" s="100"/>
      <c r="AP30" s="100"/>
      <c r="AQ30" s="100"/>
      <c r="AR30" s="100"/>
      <c r="AS30" s="100"/>
      <c r="AT30" s="100"/>
      <c r="AU30" s="100"/>
      <c r="AV30" s="100"/>
      <c r="AW30" s="100"/>
      <c r="AX30" s="100"/>
      <c r="AY30" s="100"/>
      <c r="AZ30" s="100"/>
      <c r="BA30" s="100"/>
      <c r="BB30" s="100"/>
    </row>
    <row r="31" spans="2:54" s="10" customFormat="1" ht="18.75" x14ac:dyDescent="0.3">
      <c r="B31" s="717"/>
      <c r="C31" s="80"/>
      <c r="D31" s="52"/>
      <c r="E31" s="52"/>
      <c r="F31" s="52"/>
      <c r="G31" s="79"/>
      <c r="H31" s="79"/>
      <c r="I31" s="79"/>
      <c r="J31" s="79"/>
      <c r="K31" s="79"/>
      <c r="L31" s="79"/>
      <c r="M31" s="79"/>
      <c r="N31" s="52"/>
      <c r="O31" s="52"/>
      <c r="P31" s="52"/>
      <c r="Q31" s="52"/>
      <c r="R31" s="52"/>
      <c r="S31" s="52"/>
      <c r="T31" s="79"/>
      <c r="U31" s="905"/>
      <c r="V31" s="676"/>
      <c r="W31" s="676"/>
      <c r="X31" s="676"/>
      <c r="Y31" s="676"/>
      <c r="Z31" s="676"/>
      <c r="AA31" s="676"/>
      <c r="AB31" s="676"/>
      <c r="AC31" s="676"/>
      <c r="AD31" s="676"/>
      <c r="AE31" s="676"/>
      <c r="AF31" s="676"/>
      <c r="AG31" s="676"/>
      <c r="AH31" s="676"/>
    </row>
    <row r="32" spans="2:54" x14ac:dyDescent="0.2">
      <c r="B32" s="704"/>
      <c r="C32" s="107"/>
      <c r="D32" s="114"/>
      <c r="E32" s="115"/>
      <c r="F32" s="115"/>
      <c r="G32" s="116"/>
      <c r="H32" s="116"/>
      <c r="I32" s="116"/>
      <c r="J32" s="116"/>
      <c r="K32" s="116"/>
      <c r="L32" s="116"/>
      <c r="M32" s="116"/>
      <c r="N32" s="117"/>
      <c r="O32" s="117"/>
      <c r="P32" s="117"/>
      <c r="Q32" s="117"/>
      <c r="R32" s="117"/>
      <c r="S32" s="117"/>
      <c r="T32" s="116"/>
      <c r="U32" s="740"/>
      <c r="V32" s="676"/>
      <c r="W32" s="676"/>
      <c r="X32" s="676"/>
      <c r="Y32" s="676"/>
      <c r="Z32" s="676"/>
      <c r="AA32" s="676"/>
      <c r="AB32" s="676"/>
      <c r="AC32" s="676"/>
      <c r="AD32" s="676"/>
      <c r="AE32" s="676"/>
      <c r="AI32" s="100"/>
      <c r="AJ32" s="100"/>
      <c r="AK32" s="100"/>
      <c r="AL32" s="100"/>
      <c r="AM32" s="100"/>
      <c r="AN32" s="100"/>
      <c r="AO32" s="100"/>
      <c r="AP32" s="100"/>
      <c r="AQ32" s="100"/>
      <c r="AR32" s="100"/>
      <c r="AS32" s="100"/>
      <c r="AT32" s="100"/>
      <c r="AU32" s="100"/>
      <c r="AV32" s="100"/>
      <c r="AW32" s="100"/>
      <c r="AX32" s="100"/>
      <c r="AY32" s="100"/>
      <c r="AZ32" s="100"/>
      <c r="BA32" s="100"/>
      <c r="BB32" s="100"/>
    </row>
    <row r="33" spans="2:34" s="11" customFormat="1" x14ac:dyDescent="0.2">
      <c r="B33" s="719"/>
      <c r="C33" s="57"/>
      <c r="D33" s="118"/>
      <c r="E33" s="99"/>
      <c r="F33" s="99"/>
      <c r="G33" s="87" t="s">
        <v>365</v>
      </c>
      <c r="H33" s="119"/>
      <c r="I33" s="119"/>
      <c r="J33" s="119"/>
      <c r="K33" s="119"/>
      <c r="L33" s="119"/>
      <c r="M33" s="119"/>
      <c r="N33" s="99"/>
      <c r="O33" s="99"/>
      <c r="P33" s="99"/>
      <c r="Q33" s="99"/>
      <c r="R33" s="99"/>
      <c r="S33" s="99"/>
      <c r="T33" s="119"/>
      <c r="U33" s="741"/>
      <c r="V33" s="676"/>
      <c r="W33" s="676"/>
      <c r="X33" s="676"/>
      <c r="Y33" s="676"/>
      <c r="Z33" s="676"/>
      <c r="AA33" s="676"/>
      <c r="AB33" s="676"/>
      <c r="AC33" s="676"/>
      <c r="AD33" s="676"/>
      <c r="AE33" s="676"/>
      <c r="AF33" s="676"/>
      <c r="AG33" s="676"/>
      <c r="AH33" s="676"/>
    </row>
    <row r="34" spans="2:34" s="12" customFormat="1" x14ac:dyDescent="0.2">
      <c r="B34" s="720"/>
      <c r="C34" s="47"/>
      <c r="D34" s="120"/>
      <c r="E34" s="115"/>
      <c r="F34" s="115"/>
      <c r="G34" s="753">
        <v>2022</v>
      </c>
      <c r="H34" s="753">
        <f>G34+1</f>
        <v>2023</v>
      </c>
      <c r="I34" s="753">
        <f t="shared" ref="I34:L34" si="10">H34+1</f>
        <v>2024</v>
      </c>
      <c r="J34" s="753">
        <f t="shared" si="10"/>
        <v>2025</v>
      </c>
      <c r="K34" s="753">
        <f t="shared" si="10"/>
        <v>2026</v>
      </c>
      <c r="L34" s="753">
        <f t="shared" si="10"/>
        <v>2027</v>
      </c>
      <c r="M34" s="120"/>
      <c r="N34" s="753">
        <v>2023</v>
      </c>
      <c r="O34" s="753">
        <f>N34+1</f>
        <v>2024</v>
      </c>
      <c r="P34" s="753">
        <f t="shared" ref="P34:R34" si="11">O34+1</f>
        <v>2025</v>
      </c>
      <c r="Q34" s="753">
        <f t="shared" si="11"/>
        <v>2026</v>
      </c>
      <c r="R34" s="753">
        <f t="shared" si="11"/>
        <v>2027</v>
      </c>
      <c r="S34" s="753">
        <f>+tab!E4</f>
        <v>2025</v>
      </c>
      <c r="T34" s="738"/>
      <c r="U34" s="714"/>
      <c r="V34" s="676"/>
      <c r="W34" s="676"/>
      <c r="X34" s="676"/>
      <c r="Y34" s="676"/>
      <c r="Z34" s="676"/>
      <c r="AA34" s="676"/>
      <c r="AB34" s="676"/>
      <c r="AC34" s="676"/>
      <c r="AD34" s="676"/>
      <c r="AE34" s="676"/>
      <c r="AF34" s="676"/>
      <c r="AG34" s="676"/>
      <c r="AH34" s="676"/>
    </row>
    <row r="35" spans="2:34" s="102" customFormat="1" x14ac:dyDescent="0.2">
      <c r="B35" s="721"/>
      <c r="C35" s="107"/>
      <c r="D35" s="121"/>
      <c r="E35" s="117"/>
      <c r="F35" s="117"/>
      <c r="G35" s="116"/>
      <c r="H35" s="116"/>
      <c r="I35" s="116"/>
      <c r="J35" s="116"/>
      <c r="K35" s="116"/>
      <c r="L35" s="116"/>
      <c r="M35" s="116"/>
      <c r="N35" s="116"/>
      <c r="O35" s="116"/>
      <c r="P35" s="116"/>
      <c r="Q35" s="116"/>
      <c r="R35" s="116"/>
      <c r="S35" s="116"/>
      <c r="T35" s="116"/>
      <c r="U35" s="728"/>
      <c r="V35" s="676"/>
      <c r="W35" s="676"/>
      <c r="X35" s="676"/>
      <c r="Y35" s="676"/>
      <c r="Z35" s="676"/>
      <c r="AA35" s="676"/>
      <c r="AB35" s="676"/>
      <c r="AC35" s="676"/>
      <c r="AD35" s="676"/>
      <c r="AE35" s="676"/>
      <c r="AF35" s="676"/>
      <c r="AG35" s="676"/>
      <c r="AH35" s="676"/>
    </row>
    <row r="36" spans="2:34" s="102" customFormat="1" x14ac:dyDescent="0.2">
      <c r="B36" s="721"/>
      <c r="C36" s="489"/>
      <c r="D36" s="488" t="s">
        <v>360</v>
      </c>
      <c r="E36" s="491"/>
      <c r="F36" s="491"/>
      <c r="G36" s="743">
        <v>0</v>
      </c>
      <c r="H36" s="743">
        <f t="shared" ref="H36:K37" si="12">+H41+H43+H45+H47+H49+H51+H53+H55+H57+H59+H61+H63+H65+H67+H69+H71+H73+H75+H77+H79</f>
        <v>0</v>
      </c>
      <c r="I36" s="743">
        <f t="shared" si="12"/>
        <v>0</v>
      </c>
      <c r="J36" s="743">
        <f t="shared" si="12"/>
        <v>0</v>
      </c>
      <c r="K36" s="743">
        <f t="shared" si="12"/>
        <v>0</v>
      </c>
      <c r="L36" s="743">
        <f>+L41+L43+L45+L47+L49+L51+L53+L55+L57+L59+L61+L63+L65+L67+L69+L71+L73+L75+L77+L79</f>
        <v>0</v>
      </c>
      <c r="M36" s="737"/>
      <c r="N36" s="492">
        <f t="shared" ref="N36:R37" si="13">+N41+N43+N45+N47+N49+N51+N53+N55+N57+N59+N61+N63+N65+N67+N69+N71+N73+N75+N77+N79</f>
        <v>0</v>
      </c>
      <c r="O36" s="492">
        <f t="shared" si="13"/>
        <v>0</v>
      </c>
      <c r="P36" s="492">
        <f t="shared" si="13"/>
        <v>0</v>
      </c>
      <c r="Q36" s="492">
        <f t="shared" si="13"/>
        <v>0</v>
      </c>
      <c r="R36" s="492">
        <f t="shared" si="13"/>
        <v>0</v>
      </c>
      <c r="S36" s="492">
        <f>+S41+S43+S45+S47+S49+S51+S53+S55+S57+S59+S61+S63+S65+S67+S69+S71+S73+S75+S77+S79</f>
        <v>0</v>
      </c>
      <c r="T36" s="739"/>
      <c r="U36" s="763"/>
      <c r="V36" s="676"/>
      <c r="W36" s="676"/>
      <c r="X36" s="676"/>
      <c r="Y36" s="676"/>
      <c r="Z36" s="676"/>
      <c r="AA36" s="676"/>
      <c r="AB36" s="676"/>
      <c r="AC36" s="676"/>
      <c r="AD36" s="676"/>
      <c r="AE36" s="676"/>
      <c r="AF36" s="676"/>
      <c r="AG36" s="676"/>
      <c r="AH36" s="676"/>
    </row>
    <row r="37" spans="2:34" s="102" customFormat="1" x14ac:dyDescent="0.2">
      <c r="B37" s="721"/>
      <c r="C37" s="489"/>
      <c r="D37" s="488" t="s">
        <v>361</v>
      </c>
      <c r="E37" s="491"/>
      <c r="F37" s="491"/>
      <c r="G37" s="743">
        <v>454</v>
      </c>
      <c r="H37" s="743">
        <f t="shared" si="12"/>
        <v>454</v>
      </c>
      <c r="I37" s="743">
        <f t="shared" si="12"/>
        <v>454</v>
      </c>
      <c r="J37" s="743">
        <f t="shared" si="12"/>
        <v>454</v>
      </c>
      <c r="K37" s="743">
        <f t="shared" si="12"/>
        <v>454</v>
      </c>
      <c r="L37" s="743">
        <f>+L42+L44+L46+L48+L50+L52+L54+L56+L58+L60+L62+L64+L66+L68+L70+L72+L74+L76+L78+L80</f>
        <v>454</v>
      </c>
      <c r="M37" s="490"/>
      <c r="N37" s="492">
        <f t="shared" si="13"/>
        <v>2355179.48</v>
      </c>
      <c r="O37" s="492">
        <f t="shared" si="13"/>
        <v>2355179.48</v>
      </c>
      <c r="P37" s="492">
        <f t="shared" si="13"/>
        <v>2355179.48</v>
      </c>
      <c r="Q37" s="492">
        <f t="shared" si="13"/>
        <v>2355179.48</v>
      </c>
      <c r="R37" s="492">
        <f t="shared" si="13"/>
        <v>2355179.48</v>
      </c>
      <c r="S37" s="492">
        <f>+S42+S44+S46+S48+S50+S52+S54+S56+S58+S60+S62+S64+S66+S68+S70+S72+S74+S76+S78+S80</f>
        <v>2355179.48</v>
      </c>
      <c r="T37" s="490"/>
      <c r="U37" s="763"/>
      <c r="V37" s="676"/>
      <c r="W37" s="676"/>
      <c r="X37" s="676"/>
      <c r="Y37" s="676"/>
      <c r="Z37" s="676"/>
      <c r="AA37" s="676"/>
      <c r="AB37" s="676"/>
      <c r="AC37" s="676"/>
      <c r="AD37" s="676"/>
      <c r="AE37" s="676"/>
      <c r="AF37" s="676"/>
      <c r="AG37" s="676"/>
      <c r="AH37" s="676"/>
    </row>
    <row r="38" spans="2:34" s="102" customFormat="1" x14ac:dyDescent="0.2">
      <c r="B38" s="721"/>
      <c r="C38" s="489"/>
      <c r="D38" s="488" t="s">
        <v>364</v>
      </c>
      <c r="E38" s="491"/>
      <c r="F38" s="491"/>
      <c r="G38" s="743">
        <f>SUM(G36:G37)</f>
        <v>454</v>
      </c>
      <c r="H38" s="743">
        <f t="shared" ref="H38:K38" si="14">H142</f>
        <v>454</v>
      </c>
      <c r="I38" s="743">
        <f t="shared" si="14"/>
        <v>454</v>
      </c>
      <c r="J38" s="743">
        <f t="shared" si="14"/>
        <v>454</v>
      </c>
      <c r="K38" s="743">
        <f t="shared" si="14"/>
        <v>454</v>
      </c>
      <c r="L38" s="743">
        <f>L142</f>
        <v>454</v>
      </c>
      <c r="M38" s="490"/>
      <c r="N38" s="674">
        <f t="shared" ref="N38:R38" si="15">+N142</f>
        <v>2355179</v>
      </c>
      <c r="O38" s="674">
        <f t="shared" si="15"/>
        <v>2355179</v>
      </c>
      <c r="P38" s="674">
        <f t="shared" si="15"/>
        <v>2355179</v>
      </c>
      <c r="Q38" s="674">
        <f t="shared" si="15"/>
        <v>2355179</v>
      </c>
      <c r="R38" s="674">
        <f t="shared" si="15"/>
        <v>2355179</v>
      </c>
      <c r="S38" s="674">
        <f>+S142</f>
        <v>2355179</v>
      </c>
      <c r="T38" s="490"/>
      <c r="U38" s="763"/>
      <c r="V38" s="676"/>
      <c r="W38" s="676"/>
      <c r="X38" s="676"/>
      <c r="Y38" s="676"/>
      <c r="Z38" s="676"/>
      <c r="AA38" s="676"/>
      <c r="AB38" s="676"/>
      <c r="AC38" s="676"/>
      <c r="AD38" s="676"/>
      <c r="AE38" s="676"/>
      <c r="AF38" s="676"/>
      <c r="AG38" s="676"/>
      <c r="AH38" s="676"/>
    </row>
    <row r="39" spans="2:34" s="102" customFormat="1" x14ac:dyDescent="0.2">
      <c r="B39" s="721"/>
      <c r="C39" s="107"/>
      <c r="D39" s="128"/>
      <c r="E39" s="117"/>
      <c r="F39" s="117"/>
      <c r="G39" s="116"/>
      <c r="H39" s="116"/>
      <c r="I39" s="116"/>
      <c r="J39" s="116"/>
      <c r="K39" s="116"/>
      <c r="L39" s="116"/>
      <c r="M39" s="116"/>
      <c r="N39" s="116"/>
      <c r="O39" s="116"/>
      <c r="P39" s="116"/>
      <c r="Q39" s="116"/>
      <c r="R39" s="116"/>
      <c r="S39" s="116"/>
      <c r="T39" s="116"/>
      <c r="U39" s="728"/>
      <c r="V39" s="676"/>
      <c r="W39" s="676"/>
      <c r="X39" s="676"/>
      <c r="Y39" s="676"/>
      <c r="Z39" s="676"/>
      <c r="AA39" s="676"/>
      <c r="AB39" s="676"/>
      <c r="AC39" s="676"/>
      <c r="AD39" s="676"/>
      <c r="AE39" s="676"/>
      <c r="AF39" s="676"/>
      <c r="AG39" s="676"/>
      <c r="AH39" s="676"/>
    </row>
    <row r="40" spans="2:34" s="102" customFormat="1" ht="15.75" x14ac:dyDescent="0.25">
      <c r="B40" s="721"/>
      <c r="C40" s="907"/>
      <c r="D40" s="907" t="s">
        <v>362</v>
      </c>
      <c r="E40" s="908" t="s">
        <v>363</v>
      </c>
      <c r="F40" s="908"/>
      <c r="G40" s="977"/>
      <c r="H40" s="977" t="s">
        <v>421</v>
      </c>
      <c r="I40" s="897"/>
      <c r="J40" s="897"/>
      <c r="K40" s="897"/>
      <c r="L40" s="897"/>
      <c r="M40" s="903"/>
      <c r="N40" s="897"/>
      <c r="O40" s="897"/>
      <c r="P40" s="897"/>
      <c r="Q40" s="897"/>
      <c r="R40" s="967"/>
      <c r="S40" s="967"/>
      <c r="T40" s="903"/>
      <c r="U40" s="735"/>
      <c r="V40" s="676"/>
      <c r="W40" s="676"/>
      <c r="X40" s="676"/>
      <c r="Y40" s="676"/>
      <c r="Z40" s="676"/>
      <c r="AA40" s="676"/>
      <c r="AB40" s="676"/>
      <c r="AC40" s="676"/>
      <c r="AD40" s="676"/>
      <c r="AE40" s="676"/>
      <c r="AF40" s="676"/>
      <c r="AG40" s="676"/>
      <c r="AH40" s="676"/>
    </row>
    <row r="41" spans="2:34" s="102" customFormat="1" x14ac:dyDescent="0.2">
      <c r="B41" s="721"/>
      <c r="C41" s="64">
        <v>1</v>
      </c>
      <c r="D41" s="124" t="s">
        <v>425</v>
      </c>
      <c r="E41" s="667" t="s">
        <v>223</v>
      </c>
      <c r="F41" s="708" t="s">
        <v>358</v>
      </c>
      <c r="G41" s="744">
        <v>0</v>
      </c>
      <c r="H41" s="744">
        <v>0</v>
      </c>
      <c r="I41" s="744">
        <f t="shared" ref="I41:J41" si="16">H41</f>
        <v>0</v>
      </c>
      <c r="J41" s="744">
        <f t="shared" si="16"/>
        <v>0</v>
      </c>
      <c r="K41" s="744">
        <f t="shared" ref="K41:L48" si="17">J41</f>
        <v>0</v>
      </c>
      <c r="L41" s="744">
        <f t="shared" si="17"/>
        <v>0</v>
      </c>
      <c r="M41" s="84"/>
      <c r="N41" s="61">
        <v>0</v>
      </c>
      <c r="O41" s="61">
        <f>+H41*tab!C$10</f>
        <v>0</v>
      </c>
      <c r="P41" s="61">
        <f>+I41*tab!D$10</f>
        <v>0</v>
      </c>
      <c r="Q41" s="61">
        <f>+J41*tab!E$10</f>
        <v>0</v>
      </c>
      <c r="R41" s="61">
        <f>+K41*tab!F$10</f>
        <v>0</v>
      </c>
      <c r="S41" s="61">
        <f>+L41*tab!D$10</f>
        <v>0</v>
      </c>
      <c r="T41" s="84"/>
      <c r="U41" s="761"/>
      <c r="V41" s="676"/>
      <c r="W41" s="676"/>
      <c r="X41" s="676"/>
      <c r="Y41" s="676"/>
      <c r="Z41" s="676"/>
      <c r="AA41" s="676"/>
      <c r="AB41" s="676"/>
      <c r="AC41" s="676"/>
      <c r="AD41" s="676"/>
      <c r="AE41" s="676"/>
      <c r="AF41" s="676"/>
      <c r="AG41" s="676"/>
      <c r="AH41" s="676"/>
    </row>
    <row r="42" spans="2:34" s="102" customFormat="1" x14ac:dyDescent="0.2">
      <c r="B42" s="721"/>
      <c r="C42" s="64"/>
      <c r="D42" s="722"/>
      <c r="E42" s="833"/>
      <c r="F42" s="708" t="s">
        <v>359</v>
      </c>
      <c r="G42" s="744">
        <v>454</v>
      </c>
      <c r="H42" s="744">
        <v>454</v>
      </c>
      <c r="I42" s="744">
        <v>454</v>
      </c>
      <c r="J42" s="744">
        <v>454</v>
      </c>
      <c r="K42" s="744">
        <v>454</v>
      </c>
      <c r="L42" s="744">
        <v>454</v>
      </c>
      <c r="M42" s="84"/>
      <c r="N42" s="61">
        <f>+G42*tab!C$9</f>
        <v>2355179.48</v>
      </c>
      <c r="O42" s="61">
        <f>+H42*tab!D$9</f>
        <v>2355179.48</v>
      </c>
      <c r="P42" s="61">
        <f>+I42*tab!E$9</f>
        <v>2355179.48</v>
      </c>
      <c r="Q42" s="61">
        <f>+J42*tab!F$9</f>
        <v>2355179.48</v>
      </c>
      <c r="R42" s="61">
        <f>+K42*tab!G$9</f>
        <v>2355179.48</v>
      </c>
      <c r="S42" s="61">
        <f>+L42*tab!D$10</f>
        <v>2355179.48</v>
      </c>
      <c r="T42" s="84"/>
      <c r="U42" s="761"/>
      <c r="V42" s="676"/>
      <c r="W42" s="676"/>
      <c r="X42" s="676"/>
      <c r="Y42" s="676"/>
      <c r="Z42" s="676"/>
      <c r="AA42" s="676"/>
      <c r="AB42" s="676"/>
      <c r="AC42" s="676"/>
      <c r="AD42" s="676"/>
      <c r="AE42" s="676"/>
      <c r="AF42" s="676"/>
      <c r="AG42" s="676"/>
      <c r="AH42" s="676"/>
    </row>
    <row r="43" spans="2:34" s="102" customFormat="1" x14ac:dyDescent="0.2">
      <c r="B43" s="721"/>
      <c r="C43" s="64">
        <v>2</v>
      </c>
      <c r="D43" s="124" t="s">
        <v>426</v>
      </c>
      <c r="E43" s="667" t="s">
        <v>223</v>
      </c>
      <c r="F43" s="708" t="s">
        <v>358</v>
      </c>
      <c r="G43" s="744">
        <v>0</v>
      </c>
      <c r="H43" s="744">
        <f t="shared" ref="H43:J48" si="18">G43</f>
        <v>0</v>
      </c>
      <c r="I43" s="744">
        <f t="shared" si="18"/>
        <v>0</v>
      </c>
      <c r="J43" s="744">
        <f t="shared" si="18"/>
        <v>0</v>
      </c>
      <c r="K43" s="744">
        <f t="shared" si="17"/>
        <v>0</v>
      </c>
      <c r="L43" s="744">
        <f t="shared" si="17"/>
        <v>0</v>
      </c>
      <c r="M43" s="84"/>
      <c r="N43" s="61">
        <v>0</v>
      </c>
      <c r="O43" s="61">
        <v>0</v>
      </c>
      <c r="P43" s="61">
        <v>0</v>
      </c>
      <c r="Q43" s="61">
        <v>0</v>
      </c>
      <c r="R43" s="61">
        <v>0</v>
      </c>
      <c r="S43" s="61">
        <f>+L43*tab!D$10</f>
        <v>0</v>
      </c>
      <c r="T43" s="84"/>
      <c r="U43" s="761"/>
      <c r="V43" s="676"/>
      <c r="W43" s="676"/>
      <c r="X43" s="676"/>
      <c r="Y43" s="676"/>
      <c r="Z43" s="676"/>
      <c r="AA43" s="676"/>
      <c r="AB43" s="676"/>
      <c r="AC43" s="676"/>
      <c r="AD43" s="676"/>
      <c r="AE43" s="676"/>
      <c r="AF43" s="676"/>
      <c r="AG43" s="676"/>
      <c r="AH43" s="676"/>
    </row>
    <row r="44" spans="2:34" s="102" customFormat="1" x14ac:dyDescent="0.2">
      <c r="B44" s="721"/>
      <c r="C44" s="64"/>
      <c r="D44" s="722"/>
      <c r="E44" s="833"/>
      <c r="F44" s="708" t="s">
        <v>359</v>
      </c>
      <c r="G44" s="744">
        <v>0</v>
      </c>
      <c r="H44" s="744">
        <f t="shared" si="18"/>
        <v>0</v>
      </c>
      <c r="I44" s="744">
        <f t="shared" si="18"/>
        <v>0</v>
      </c>
      <c r="J44" s="744">
        <f t="shared" si="18"/>
        <v>0</v>
      </c>
      <c r="K44" s="744">
        <f t="shared" si="17"/>
        <v>0</v>
      </c>
      <c r="L44" s="744">
        <f t="shared" si="17"/>
        <v>0</v>
      </c>
      <c r="M44" s="84"/>
      <c r="N44" s="61">
        <v>0</v>
      </c>
      <c r="O44" s="61">
        <v>0</v>
      </c>
      <c r="P44" s="61">
        <v>0</v>
      </c>
      <c r="Q44" s="61">
        <v>0</v>
      </c>
      <c r="R44" s="61">
        <v>0</v>
      </c>
      <c r="S44" s="61">
        <f>+L44*tab!D$10</f>
        <v>0</v>
      </c>
      <c r="T44" s="84"/>
      <c r="U44" s="761"/>
      <c r="V44" s="676"/>
      <c r="W44" s="676"/>
      <c r="X44" s="676"/>
      <c r="Y44" s="676"/>
      <c r="Z44" s="676"/>
      <c r="AA44" s="676"/>
      <c r="AB44" s="676"/>
      <c r="AC44" s="676"/>
      <c r="AD44" s="676"/>
      <c r="AE44" s="676"/>
      <c r="AF44" s="676"/>
      <c r="AG44" s="676"/>
      <c r="AH44" s="676"/>
    </row>
    <row r="45" spans="2:34" s="102" customFormat="1" x14ac:dyDescent="0.2">
      <c r="B45" s="721"/>
      <c r="C45" s="64">
        <v>3</v>
      </c>
      <c r="D45" s="124" t="s">
        <v>427</v>
      </c>
      <c r="E45" s="667" t="s">
        <v>223</v>
      </c>
      <c r="F45" s="708" t="s">
        <v>358</v>
      </c>
      <c r="G45" s="744">
        <v>0</v>
      </c>
      <c r="H45" s="744">
        <f t="shared" si="18"/>
        <v>0</v>
      </c>
      <c r="I45" s="744">
        <f t="shared" si="18"/>
        <v>0</v>
      </c>
      <c r="J45" s="744">
        <f t="shared" si="18"/>
        <v>0</v>
      </c>
      <c r="K45" s="744">
        <f t="shared" si="17"/>
        <v>0</v>
      </c>
      <c r="L45" s="744">
        <f t="shared" si="17"/>
        <v>0</v>
      </c>
      <c r="M45" s="84"/>
      <c r="N45" s="61">
        <v>0</v>
      </c>
      <c r="O45" s="61">
        <v>0</v>
      </c>
      <c r="P45" s="61">
        <v>0</v>
      </c>
      <c r="Q45" s="61">
        <v>0</v>
      </c>
      <c r="R45" s="61">
        <v>0</v>
      </c>
      <c r="S45" s="61">
        <f>+L45*tab!D$10</f>
        <v>0</v>
      </c>
      <c r="T45" s="84"/>
      <c r="U45" s="761"/>
      <c r="V45" s="676"/>
      <c r="W45" s="676"/>
      <c r="X45" s="676"/>
      <c r="Y45" s="676"/>
      <c r="Z45" s="676"/>
      <c r="AA45" s="676"/>
      <c r="AB45" s="676"/>
      <c r="AC45" s="676"/>
      <c r="AD45" s="676"/>
      <c r="AE45" s="676"/>
      <c r="AF45" s="676"/>
      <c r="AG45" s="676"/>
      <c r="AH45" s="676"/>
    </row>
    <row r="46" spans="2:34" s="102" customFormat="1" x14ac:dyDescent="0.2">
      <c r="B46" s="721"/>
      <c r="C46" s="64"/>
      <c r="D46" s="722"/>
      <c r="E46" s="833"/>
      <c r="F46" s="708" t="s">
        <v>359</v>
      </c>
      <c r="G46" s="744">
        <v>0</v>
      </c>
      <c r="H46" s="744">
        <f t="shared" si="18"/>
        <v>0</v>
      </c>
      <c r="I46" s="744">
        <f t="shared" si="18"/>
        <v>0</v>
      </c>
      <c r="J46" s="744">
        <f t="shared" si="18"/>
        <v>0</v>
      </c>
      <c r="K46" s="744">
        <f t="shared" si="17"/>
        <v>0</v>
      </c>
      <c r="L46" s="744">
        <f t="shared" si="17"/>
        <v>0</v>
      </c>
      <c r="M46" s="84"/>
      <c r="N46" s="61">
        <v>0</v>
      </c>
      <c r="O46" s="61">
        <v>0</v>
      </c>
      <c r="P46" s="61">
        <v>0</v>
      </c>
      <c r="Q46" s="61">
        <v>0</v>
      </c>
      <c r="R46" s="61">
        <v>0</v>
      </c>
      <c r="S46" s="61">
        <f>+L46*tab!D$10</f>
        <v>0</v>
      </c>
      <c r="T46" s="84"/>
      <c r="U46" s="761"/>
      <c r="V46" s="676"/>
      <c r="W46" s="676"/>
      <c r="X46" s="676"/>
      <c r="Y46" s="676"/>
      <c r="Z46" s="676"/>
      <c r="AA46" s="676"/>
      <c r="AB46" s="676"/>
      <c r="AC46" s="676"/>
      <c r="AD46" s="676"/>
      <c r="AE46" s="676"/>
      <c r="AF46" s="676"/>
      <c r="AG46" s="676"/>
      <c r="AH46" s="676"/>
    </row>
    <row r="47" spans="2:34" s="102" customFormat="1" x14ac:dyDescent="0.2">
      <c r="B47" s="721"/>
      <c r="C47" s="64">
        <v>4</v>
      </c>
      <c r="D47" s="124" t="s">
        <v>428</v>
      </c>
      <c r="E47" s="667" t="s">
        <v>223</v>
      </c>
      <c r="F47" s="708" t="s">
        <v>358</v>
      </c>
      <c r="G47" s="744">
        <v>0</v>
      </c>
      <c r="H47" s="744">
        <f t="shared" si="18"/>
        <v>0</v>
      </c>
      <c r="I47" s="744">
        <f t="shared" si="18"/>
        <v>0</v>
      </c>
      <c r="J47" s="744">
        <f t="shared" si="18"/>
        <v>0</v>
      </c>
      <c r="K47" s="744">
        <f t="shared" si="17"/>
        <v>0</v>
      </c>
      <c r="L47" s="744">
        <f t="shared" si="17"/>
        <v>0</v>
      </c>
      <c r="M47" s="84"/>
      <c r="N47" s="61">
        <v>0</v>
      </c>
      <c r="O47" s="61">
        <v>0</v>
      </c>
      <c r="P47" s="61">
        <v>0</v>
      </c>
      <c r="Q47" s="61">
        <v>0</v>
      </c>
      <c r="R47" s="61">
        <v>0</v>
      </c>
      <c r="S47" s="61">
        <f>+L47*tab!D$10</f>
        <v>0</v>
      </c>
      <c r="T47" s="84"/>
      <c r="U47" s="761"/>
      <c r="V47" s="676"/>
      <c r="W47" s="676"/>
      <c r="X47" s="676"/>
      <c r="Y47" s="676"/>
      <c r="Z47" s="676"/>
      <c r="AA47" s="676"/>
      <c r="AB47" s="676"/>
      <c r="AC47" s="676"/>
      <c r="AD47" s="676"/>
      <c r="AE47" s="676"/>
      <c r="AF47" s="676"/>
      <c r="AG47" s="676"/>
      <c r="AH47" s="676"/>
    </row>
    <row r="48" spans="2:34" s="102" customFormat="1" x14ac:dyDescent="0.2">
      <c r="B48" s="721"/>
      <c r="C48" s="64"/>
      <c r="D48" s="722"/>
      <c r="E48" s="833"/>
      <c r="F48" s="708" t="s">
        <v>359</v>
      </c>
      <c r="G48" s="744">
        <v>0</v>
      </c>
      <c r="H48" s="744">
        <f>G48</f>
        <v>0</v>
      </c>
      <c r="I48" s="744">
        <f t="shared" si="18"/>
        <v>0</v>
      </c>
      <c r="J48" s="744">
        <f t="shared" si="18"/>
        <v>0</v>
      </c>
      <c r="K48" s="744">
        <f t="shared" si="17"/>
        <v>0</v>
      </c>
      <c r="L48" s="744">
        <f t="shared" si="17"/>
        <v>0</v>
      </c>
      <c r="M48" s="84"/>
      <c r="N48" s="61">
        <v>0</v>
      </c>
      <c r="O48" s="61">
        <v>0</v>
      </c>
      <c r="P48" s="61">
        <v>0</v>
      </c>
      <c r="Q48" s="61">
        <v>0</v>
      </c>
      <c r="R48" s="61">
        <v>0</v>
      </c>
      <c r="S48" s="61">
        <f>+L48*tab!D$10</f>
        <v>0</v>
      </c>
      <c r="T48" s="84"/>
      <c r="U48" s="761"/>
      <c r="V48" s="676"/>
      <c r="W48" s="676"/>
      <c r="X48" s="676"/>
      <c r="Y48" s="676"/>
      <c r="Z48" s="676"/>
      <c r="AA48" s="676"/>
      <c r="AB48" s="676"/>
      <c r="AC48" s="676"/>
      <c r="AD48" s="676"/>
      <c r="AE48" s="676"/>
      <c r="AF48" s="676"/>
      <c r="AG48" s="676"/>
      <c r="AH48" s="676"/>
    </row>
    <row r="49" spans="2:34" s="102" customFormat="1" x14ac:dyDescent="0.2">
      <c r="B49" s="721"/>
      <c r="C49" s="64">
        <v>5</v>
      </c>
      <c r="D49" s="124" t="s">
        <v>429</v>
      </c>
      <c r="E49" s="667" t="s">
        <v>223</v>
      </c>
      <c r="F49" s="708" t="s">
        <v>358</v>
      </c>
      <c r="G49" s="744">
        <v>0</v>
      </c>
      <c r="H49" s="744">
        <f t="shared" ref="H49:J57" si="19">+G49</f>
        <v>0</v>
      </c>
      <c r="I49" s="744">
        <f t="shared" si="19"/>
        <v>0</v>
      </c>
      <c r="J49" s="744">
        <f t="shared" si="19"/>
        <v>0</v>
      </c>
      <c r="K49" s="744">
        <f t="shared" ref="K49:L57" si="20">+J49</f>
        <v>0</v>
      </c>
      <c r="L49" s="744">
        <f t="shared" si="20"/>
        <v>0</v>
      </c>
      <c r="M49" s="84"/>
      <c r="N49" s="61">
        <v>0</v>
      </c>
      <c r="O49" s="61">
        <v>0</v>
      </c>
      <c r="P49" s="61">
        <v>0</v>
      </c>
      <c r="Q49" s="61">
        <v>0</v>
      </c>
      <c r="R49" s="61">
        <v>0</v>
      </c>
      <c r="S49" s="61">
        <f>+L49*tab!D$10</f>
        <v>0</v>
      </c>
      <c r="T49" s="84"/>
      <c r="U49" s="761"/>
      <c r="V49" s="676"/>
      <c r="W49" s="676"/>
      <c r="X49" s="676"/>
      <c r="Y49" s="676"/>
      <c r="Z49" s="676"/>
      <c r="AA49" s="676"/>
      <c r="AB49" s="676"/>
      <c r="AC49" s="676"/>
      <c r="AD49" s="676"/>
      <c r="AE49" s="676"/>
      <c r="AF49" s="676"/>
      <c r="AG49" s="676"/>
      <c r="AH49" s="676"/>
    </row>
    <row r="50" spans="2:34" s="102" customFormat="1" x14ac:dyDescent="0.2">
      <c r="B50" s="721"/>
      <c r="C50" s="64"/>
      <c r="D50" s="722"/>
      <c r="E50" s="833"/>
      <c r="F50" s="708" t="s">
        <v>359</v>
      </c>
      <c r="G50" s="744">
        <v>0</v>
      </c>
      <c r="H50" s="744">
        <f t="shared" si="19"/>
        <v>0</v>
      </c>
      <c r="I50" s="744">
        <f t="shared" si="19"/>
        <v>0</v>
      </c>
      <c r="J50" s="744">
        <f t="shared" si="19"/>
        <v>0</v>
      </c>
      <c r="K50" s="744">
        <f t="shared" si="20"/>
        <v>0</v>
      </c>
      <c r="L50" s="744">
        <f t="shared" si="20"/>
        <v>0</v>
      </c>
      <c r="M50" s="84"/>
      <c r="N50" s="61">
        <v>0</v>
      </c>
      <c r="O50" s="61">
        <v>0</v>
      </c>
      <c r="P50" s="61">
        <v>0</v>
      </c>
      <c r="Q50" s="61">
        <v>0</v>
      </c>
      <c r="R50" s="61">
        <v>0</v>
      </c>
      <c r="S50" s="61">
        <f>+L50*tab!D$10</f>
        <v>0</v>
      </c>
      <c r="T50" s="84"/>
      <c r="U50" s="761"/>
      <c r="V50" s="676"/>
      <c r="W50" s="676"/>
      <c r="X50" s="676"/>
      <c r="Y50" s="676"/>
      <c r="Z50" s="676"/>
      <c r="AA50" s="676"/>
      <c r="AB50" s="676"/>
      <c r="AC50" s="676"/>
      <c r="AD50" s="676"/>
      <c r="AE50" s="676"/>
      <c r="AF50" s="676"/>
      <c r="AG50" s="676"/>
      <c r="AH50" s="676"/>
    </row>
    <row r="51" spans="2:34" s="102" customFormat="1" x14ac:dyDescent="0.2">
      <c r="B51" s="721"/>
      <c r="C51" s="64">
        <v>6</v>
      </c>
      <c r="D51" s="124" t="s">
        <v>430</v>
      </c>
      <c r="E51" s="667" t="s">
        <v>223</v>
      </c>
      <c r="F51" s="708" t="s">
        <v>358</v>
      </c>
      <c r="G51" s="744">
        <v>0</v>
      </c>
      <c r="H51" s="744">
        <f t="shared" si="19"/>
        <v>0</v>
      </c>
      <c r="I51" s="744">
        <f t="shared" si="19"/>
        <v>0</v>
      </c>
      <c r="J51" s="744">
        <f t="shared" si="19"/>
        <v>0</v>
      </c>
      <c r="K51" s="744">
        <f t="shared" si="20"/>
        <v>0</v>
      </c>
      <c r="L51" s="744">
        <f t="shared" si="20"/>
        <v>0</v>
      </c>
      <c r="M51" s="84"/>
      <c r="N51" s="61">
        <v>0</v>
      </c>
      <c r="O51" s="61">
        <v>0</v>
      </c>
      <c r="P51" s="61">
        <v>0</v>
      </c>
      <c r="Q51" s="61">
        <v>0</v>
      </c>
      <c r="R51" s="61">
        <v>0</v>
      </c>
      <c r="S51" s="61">
        <f>+L51*tab!D$10</f>
        <v>0</v>
      </c>
      <c r="T51" s="84"/>
      <c r="U51" s="761"/>
      <c r="V51" s="676"/>
      <c r="W51" s="676"/>
      <c r="X51" s="676"/>
      <c r="Y51" s="676"/>
      <c r="Z51" s="676"/>
      <c r="AA51" s="676"/>
      <c r="AB51" s="676"/>
      <c r="AC51" s="676"/>
      <c r="AD51" s="676"/>
      <c r="AE51" s="676"/>
      <c r="AF51" s="676"/>
      <c r="AG51" s="676"/>
      <c r="AH51" s="676"/>
    </row>
    <row r="52" spans="2:34" s="102" customFormat="1" x14ac:dyDescent="0.2">
      <c r="B52" s="721"/>
      <c r="C52" s="64"/>
      <c r="D52" s="722"/>
      <c r="E52" s="833"/>
      <c r="F52" s="708" t="s">
        <v>359</v>
      </c>
      <c r="G52" s="744">
        <v>0</v>
      </c>
      <c r="H52" s="744">
        <f t="shared" si="19"/>
        <v>0</v>
      </c>
      <c r="I52" s="744">
        <f t="shared" si="19"/>
        <v>0</v>
      </c>
      <c r="J52" s="744">
        <f t="shared" si="19"/>
        <v>0</v>
      </c>
      <c r="K52" s="744">
        <f t="shared" si="20"/>
        <v>0</v>
      </c>
      <c r="L52" s="744">
        <f t="shared" si="20"/>
        <v>0</v>
      </c>
      <c r="M52" s="84"/>
      <c r="N52" s="61">
        <v>0</v>
      </c>
      <c r="O52" s="61">
        <v>0</v>
      </c>
      <c r="P52" s="61">
        <v>0</v>
      </c>
      <c r="Q52" s="61">
        <v>0</v>
      </c>
      <c r="R52" s="61">
        <v>0</v>
      </c>
      <c r="S52" s="61">
        <f>+L52*tab!D$10</f>
        <v>0</v>
      </c>
      <c r="T52" s="84"/>
      <c r="U52" s="761"/>
      <c r="V52" s="676"/>
      <c r="W52" s="676"/>
      <c r="X52" s="676"/>
      <c r="Y52" s="676"/>
      <c r="Z52" s="676"/>
      <c r="AA52" s="676"/>
      <c r="AB52" s="676"/>
      <c r="AC52" s="676"/>
      <c r="AD52" s="676"/>
      <c r="AE52" s="676"/>
      <c r="AF52" s="676"/>
      <c r="AG52" s="676"/>
      <c r="AH52" s="676"/>
    </row>
    <row r="53" spans="2:34" s="102" customFormat="1" x14ac:dyDescent="0.2">
      <c r="B53" s="721"/>
      <c r="C53" s="64">
        <v>7</v>
      </c>
      <c r="D53" s="124" t="s">
        <v>431</v>
      </c>
      <c r="E53" s="667" t="s">
        <v>223</v>
      </c>
      <c r="F53" s="708" t="s">
        <v>358</v>
      </c>
      <c r="G53" s="744">
        <v>0</v>
      </c>
      <c r="H53" s="744">
        <f t="shared" si="19"/>
        <v>0</v>
      </c>
      <c r="I53" s="744">
        <f t="shared" si="19"/>
        <v>0</v>
      </c>
      <c r="J53" s="744">
        <f t="shared" si="19"/>
        <v>0</v>
      </c>
      <c r="K53" s="744">
        <f t="shared" si="20"/>
        <v>0</v>
      </c>
      <c r="L53" s="744">
        <f t="shared" si="20"/>
        <v>0</v>
      </c>
      <c r="M53" s="84"/>
      <c r="N53" s="61">
        <v>0</v>
      </c>
      <c r="O53" s="61">
        <v>0</v>
      </c>
      <c r="P53" s="61">
        <v>0</v>
      </c>
      <c r="Q53" s="61">
        <v>0</v>
      </c>
      <c r="R53" s="61">
        <v>0</v>
      </c>
      <c r="S53" s="61">
        <f>+L53*tab!D$10</f>
        <v>0</v>
      </c>
      <c r="T53" s="84"/>
      <c r="U53" s="761"/>
      <c r="V53" s="676"/>
      <c r="W53" s="676"/>
      <c r="X53" s="676"/>
      <c r="Y53" s="676"/>
      <c r="Z53" s="676"/>
      <c r="AA53" s="676"/>
      <c r="AB53" s="676"/>
      <c r="AC53" s="676"/>
      <c r="AD53" s="676"/>
      <c r="AE53" s="676"/>
      <c r="AF53" s="676"/>
      <c r="AG53" s="676"/>
      <c r="AH53" s="676"/>
    </row>
    <row r="54" spans="2:34" s="102" customFormat="1" x14ac:dyDescent="0.2">
      <c r="B54" s="721"/>
      <c r="C54" s="64"/>
      <c r="D54" s="722"/>
      <c r="E54" s="833"/>
      <c r="F54" s="708" t="s">
        <v>359</v>
      </c>
      <c r="G54" s="744">
        <v>0</v>
      </c>
      <c r="H54" s="744">
        <f t="shared" si="19"/>
        <v>0</v>
      </c>
      <c r="I54" s="744">
        <f t="shared" si="19"/>
        <v>0</v>
      </c>
      <c r="J54" s="744">
        <f t="shared" si="19"/>
        <v>0</v>
      </c>
      <c r="K54" s="744">
        <f t="shared" si="20"/>
        <v>0</v>
      </c>
      <c r="L54" s="744">
        <f t="shared" si="20"/>
        <v>0</v>
      </c>
      <c r="M54" s="84"/>
      <c r="N54" s="61">
        <v>0</v>
      </c>
      <c r="O54" s="61">
        <v>0</v>
      </c>
      <c r="P54" s="61">
        <v>0</v>
      </c>
      <c r="Q54" s="61">
        <v>0</v>
      </c>
      <c r="R54" s="61">
        <v>0</v>
      </c>
      <c r="S54" s="61">
        <f>+L54*tab!D$10</f>
        <v>0</v>
      </c>
      <c r="T54" s="84"/>
      <c r="U54" s="761"/>
      <c r="V54" s="676"/>
      <c r="W54" s="676"/>
      <c r="X54" s="676"/>
      <c r="Y54" s="676"/>
      <c r="Z54" s="676"/>
      <c r="AA54" s="676"/>
      <c r="AB54" s="676"/>
      <c r="AC54" s="676"/>
      <c r="AD54" s="676"/>
      <c r="AE54" s="676"/>
      <c r="AF54" s="676"/>
      <c r="AG54" s="676"/>
      <c r="AH54" s="676"/>
    </row>
    <row r="55" spans="2:34" s="102" customFormat="1" x14ac:dyDescent="0.2">
      <c r="B55" s="721"/>
      <c r="C55" s="64">
        <v>8</v>
      </c>
      <c r="D55" s="124" t="s">
        <v>432</v>
      </c>
      <c r="E55" s="667" t="s">
        <v>223</v>
      </c>
      <c r="F55" s="708" t="s">
        <v>358</v>
      </c>
      <c r="G55" s="744">
        <v>0</v>
      </c>
      <c r="H55" s="744">
        <f t="shared" si="19"/>
        <v>0</v>
      </c>
      <c r="I55" s="744">
        <f t="shared" si="19"/>
        <v>0</v>
      </c>
      <c r="J55" s="744">
        <f t="shared" si="19"/>
        <v>0</v>
      </c>
      <c r="K55" s="744">
        <f t="shared" si="20"/>
        <v>0</v>
      </c>
      <c r="L55" s="744">
        <f t="shared" si="20"/>
        <v>0</v>
      </c>
      <c r="M55" s="84"/>
      <c r="N55" s="61">
        <v>0</v>
      </c>
      <c r="O55" s="61">
        <v>0</v>
      </c>
      <c r="P55" s="61">
        <v>0</v>
      </c>
      <c r="Q55" s="61">
        <v>0</v>
      </c>
      <c r="R55" s="61">
        <v>0</v>
      </c>
      <c r="S55" s="61">
        <f>+L55*tab!D$10</f>
        <v>0</v>
      </c>
      <c r="T55" s="84"/>
      <c r="U55" s="761"/>
      <c r="V55" s="676"/>
      <c r="W55" s="676"/>
      <c r="X55" s="676"/>
      <c r="Y55" s="676"/>
      <c r="Z55" s="676"/>
      <c r="AA55" s="676"/>
      <c r="AB55" s="676"/>
      <c r="AC55" s="676"/>
      <c r="AD55" s="676"/>
      <c r="AE55" s="676"/>
      <c r="AF55" s="676"/>
      <c r="AG55" s="676"/>
      <c r="AH55" s="676"/>
    </row>
    <row r="56" spans="2:34" s="102" customFormat="1" x14ac:dyDescent="0.2">
      <c r="B56" s="721"/>
      <c r="C56" s="64"/>
      <c r="D56" s="722"/>
      <c r="E56" s="833"/>
      <c r="F56" s="708" t="s">
        <v>359</v>
      </c>
      <c r="G56" s="744">
        <v>0</v>
      </c>
      <c r="H56" s="744">
        <f t="shared" si="19"/>
        <v>0</v>
      </c>
      <c r="I56" s="744">
        <f t="shared" si="19"/>
        <v>0</v>
      </c>
      <c r="J56" s="744">
        <f t="shared" si="19"/>
        <v>0</v>
      </c>
      <c r="K56" s="744">
        <f t="shared" si="20"/>
        <v>0</v>
      </c>
      <c r="L56" s="744">
        <f t="shared" si="20"/>
        <v>0</v>
      </c>
      <c r="M56" s="84"/>
      <c r="N56" s="61">
        <v>0</v>
      </c>
      <c r="O56" s="61">
        <v>0</v>
      </c>
      <c r="P56" s="61">
        <v>0</v>
      </c>
      <c r="Q56" s="61">
        <v>0</v>
      </c>
      <c r="R56" s="61">
        <v>0</v>
      </c>
      <c r="S56" s="61">
        <f>+L56*tab!D$10</f>
        <v>0</v>
      </c>
      <c r="T56" s="84"/>
      <c r="U56" s="761"/>
      <c r="V56" s="676"/>
      <c r="W56" s="676"/>
      <c r="X56" s="676"/>
      <c r="Y56" s="676"/>
      <c r="Z56" s="676"/>
      <c r="AA56" s="676"/>
      <c r="AB56" s="676"/>
      <c r="AC56" s="676"/>
      <c r="AD56" s="676"/>
      <c r="AE56" s="676"/>
      <c r="AF56" s="676"/>
      <c r="AG56" s="676"/>
      <c r="AH56" s="676"/>
    </row>
    <row r="57" spans="2:34" s="102" customFormat="1" x14ac:dyDescent="0.2">
      <c r="B57" s="721"/>
      <c r="C57" s="64">
        <v>9</v>
      </c>
      <c r="D57" s="124" t="s">
        <v>433</v>
      </c>
      <c r="E57" s="667" t="s">
        <v>223</v>
      </c>
      <c r="F57" s="708" t="s">
        <v>358</v>
      </c>
      <c r="G57" s="744">
        <v>0</v>
      </c>
      <c r="H57" s="744">
        <f t="shared" si="19"/>
        <v>0</v>
      </c>
      <c r="I57" s="744">
        <f t="shared" si="19"/>
        <v>0</v>
      </c>
      <c r="J57" s="744">
        <f t="shared" si="19"/>
        <v>0</v>
      </c>
      <c r="K57" s="744">
        <f t="shared" si="20"/>
        <v>0</v>
      </c>
      <c r="L57" s="744">
        <f t="shared" si="20"/>
        <v>0</v>
      </c>
      <c r="M57" s="84"/>
      <c r="N57" s="61">
        <v>0</v>
      </c>
      <c r="O57" s="61">
        <v>0</v>
      </c>
      <c r="P57" s="61">
        <v>0</v>
      </c>
      <c r="Q57" s="61">
        <v>0</v>
      </c>
      <c r="R57" s="61">
        <v>0</v>
      </c>
      <c r="S57" s="61">
        <f>+L57*tab!D$10</f>
        <v>0</v>
      </c>
      <c r="T57" s="84"/>
      <c r="U57" s="761"/>
      <c r="V57" s="676"/>
      <c r="W57" s="676"/>
      <c r="X57" s="676"/>
      <c r="Y57" s="676"/>
      <c r="Z57" s="676"/>
      <c r="AA57" s="676"/>
      <c r="AB57" s="676"/>
      <c r="AC57" s="676"/>
      <c r="AD57" s="676"/>
      <c r="AE57" s="676"/>
      <c r="AF57" s="676"/>
      <c r="AG57" s="676"/>
      <c r="AH57" s="676"/>
    </row>
    <row r="58" spans="2:34" s="102" customFormat="1" x14ac:dyDescent="0.2">
      <c r="B58" s="721"/>
      <c r="C58" s="64"/>
      <c r="D58" s="722"/>
      <c r="E58" s="833"/>
      <c r="F58" s="708" t="s">
        <v>359</v>
      </c>
      <c r="G58" s="744">
        <v>0</v>
      </c>
      <c r="H58" s="745">
        <f t="shared" ref="H58:J81" si="21">G58</f>
        <v>0</v>
      </c>
      <c r="I58" s="745">
        <f t="shared" si="21"/>
        <v>0</v>
      </c>
      <c r="J58" s="745">
        <f t="shared" si="21"/>
        <v>0</v>
      </c>
      <c r="K58" s="745">
        <f t="shared" ref="K58:L121" si="22">J58</f>
        <v>0</v>
      </c>
      <c r="L58" s="745">
        <f t="shared" si="22"/>
        <v>0</v>
      </c>
      <c r="M58" s="84"/>
      <c r="N58" s="61">
        <v>0</v>
      </c>
      <c r="O58" s="61">
        <v>0</v>
      </c>
      <c r="P58" s="61">
        <v>0</v>
      </c>
      <c r="Q58" s="61">
        <v>0</v>
      </c>
      <c r="R58" s="61">
        <v>0</v>
      </c>
      <c r="S58" s="61">
        <f>+L58*tab!D$10</f>
        <v>0</v>
      </c>
      <c r="T58" s="84"/>
      <c r="U58" s="761"/>
      <c r="V58" s="676"/>
      <c r="W58" s="676"/>
      <c r="X58" s="676"/>
      <c r="Y58" s="676"/>
      <c r="Z58" s="676"/>
      <c r="AA58" s="676"/>
      <c r="AB58" s="676"/>
      <c r="AC58" s="676"/>
      <c r="AD58" s="676"/>
      <c r="AE58" s="676"/>
      <c r="AF58" s="676"/>
      <c r="AG58" s="676"/>
      <c r="AH58" s="676"/>
    </row>
    <row r="59" spans="2:34" s="102" customFormat="1" x14ac:dyDescent="0.2">
      <c r="B59" s="721"/>
      <c r="C59" s="64">
        <v>10</v>
      </c>
      <c r="D59" s="124" t="s">
        <v>434</v>
      </c>
      <c r="E59" s="667" t="s">
        <v>223</v>
      </c>
      <c r="F59" s="708" t="s">
        <v>358</v>
      </c>
      <c r="G59" s="744">
        <v>0</v>
      </c>
      <c r="H59" s="745">
        <f t="shared" si="21"/>
        <v>0</v>
      </c>
      <c r="I59" s="745">
        <f t="shared" si="21"/>
        <v>0</v>
      </c>
      <c r="J59" s="745">
        <f t="shared" si="21"/>
        <v>0</v>
      </c>
      <c r="K59" s="745">
        <f t="shared" si="22"/>
        <v>0</v>
      </c>
      <c r="L59" s="745">
        <f t="shared" si="22"/>
        <v>0</v>
      </c>
      <c r="M59" s="84"/>
      <c r="N59" s="61">
        <v>0</v>
      </c>
      <c r="O59" s="61">
        <v>0</v>
      </c>
      <c r="P59" s="61">
        <v>0</v>
      </c>
      <c r="Q59" s="61">
        <v>0</v>
      </c>
      <c r="R59" s="61">
        <v>0</v>
      </c>
      <c r="S59" s="61">
        <f>+L59*tab!D$10</f>
        <v>0</v>
      </c>
      <c r="T59" s="84"/>
      <c r="U59" s="761"/>
      <c r="V59" s="676"/>
      <c r="W59" s="676"/>
      <c r="X59" s="676"/>
      <c r="Y59" s="676"/>
      <c r="Z59" s="676"/>
      <c r="AA59" s="676"/>
      <c r="AB59" s="676"/>
      <c r="AC59" s="676"/>
      <c r="AD59" s="676"/>
      <c r="AE59" s="676"/>
      <c r="AF59" s="676"/>
      <c r="AG59" s="676"/>
      <c r="AH59" s="676"/>
    </row>
    <row r="60" spans="2:34" s="102" customFormat="1" x14ac:dyDescent="0.2">
      <c r="B60" s="721"/>
      <c r="C60" s="64"/>
      <c r="D60" s="722"/>
      <c r="E60" s="833"/>
      <c r="F60" s="708" t="s">
        <v>359</v>
      </c>
      <c r="G60" s="744">
        <v>0</v>
      </c>
      <c r="H60" s="745">
        <f t="shared" si="21"/>
        <v>0</v>
      </c>
      <c r="I60" s="745">
        <f t="shared" si="21"/>
        <v>0</v>
      </c>
      <c r="J60" s="745">
        <f t="shared" si="21"/>
        <v>0</v>
      </c>
      <c r="K60" s="745">
        <f t="shared" si="22"/>
        <v>0</v>
      </c>
      <c r="L60" s="745">
        <f t="shared" si="22"/>
        <v>0</v>
      </c>
      <c r="M60" s="84"/>
      <c r="N60" s="61">
        <v>0</v>
      </c>
      <c r="O60" s="61">
        <v>0</v>
      </c>
      <c r="P60" s="61">
        <v>0</v>
      </c>
      <c r="Q60" s="61">
        <v>0</v>
      </c>
      <c r="R60" s="61">
        <v>0</v>
      </c>
      <c r="S60" s="61">
        <f>+L60*tab!D$10</f>
        <v>0</v>
      </c>
      <c r="T60" s="84"/>
      <c r="U60" s="761"/>
      <c r="V60" s="676"/>
      <c r="W60" s="676"/>
      <c r="X60" s="676"/>
      <c r="Y60" s="676"/>
      <c r="Z60" s="676"/>
      <c r="AA60" s="676"/>
      <c r="AB60" s="676"/>
      <c r="AC60" s="676"/>
      <c r="AD60" s="676"/>
      <c r="AE60" s="676"/>
      <c r="AF60" s="676"/>
      <c r="AG60" s="676"/>
      <c r="AH60" s="676"/>
    </row>
    <row r="61" spans="2:34" s="102" customFormat="1" x14ac:dyDescent="0.2">
      <c r="B61" s="721"/>
      <c r="C61" s="64">
        <v>11</v>
      </c>
      <c r="D61" s="124" t="s">
        <v>435</v>
      </c>
      <c r="E61" s="667" t="s">
        <v>223</v>
      </c>
      <c r="F61" s="708" t="s">
        <v>358</v>
      </c>
      <c r="G61" s="744">
        <v>0</v>
      </c>
      <c r="H61" s="745">
        <f t="shared" si="21"/>
        <v>0</v>
      </c>
      <c r="I61" s="745">
        <f t="shared" si="21"/>
        <v>0</v>
      </c>
      <c r="J61" s="745">
        <f t="shared" si="21"/>
        <v>0</v>
      </c>
      <c r="K61" s="745">
        <f t="shared" si="22"/>
        <v>0</v>
      </c>
      <c r="L61" s="745">
        <f t="shared" si="22"/>
        <v>0</v>
      </c>
      <c r="M61" s="84"/>
      <c r="N61" s="61">
        <v>0</v>
      </c>
      <c r="O61" s="61">
        <v>0</v>
      </c>
      <c r="P61" s="61">
        <v>0</v>
      </c>
      <c r="Q61" s="61">
        <v>0</v>
      </c>
      <c r="R61" s="61">
        <v>0</v>
      </c>
      <c r="S61" s="61">
        <f>+L61*tab!D$10</f>
        <v>0</v>
      </c>
      <c r="T61" s="84"/>
      <c r="U61" s="761"/>
      <c r="V61" s="676"/>
      <c r="W61" s="676"/>
      <c r="X61" s="676"/>
      <c r="Y61" s="676"/>
      <c r="Z61" s="676"/>
      <c r="AA61" s="676"/>
      <c r="AB61" s="676"/>
      <c r="AC61" s="676"/>
      <c r="AD61" s="676"/>
      <c r="AE61" s="676"/>
      <c r="AF61" s="676"/>
      <c r="AG61" s="676"/>
      <c r="AH61" s="676"/>
    </row>
    <row r="62" spans="2:34" s="102" customFormat="1" x14ac:dyDescent="0.2">
      <c r="B62" s="721"/>
      <c r="C62" s="64"/>
      <c r="D62" s="722"/>
      <c r="E62" s="833"/>
      <c r="F62" s="708" t="s">
        <v>359</v>
      </c>
      <c r="G62" s="744">
        <v>0</v>
      </c>
      <c r="H62" s="745">
        <f t="shared" si="21"/>
        <v>0</v>
      </c>
      <c r="I62" s="745">
        <f t="shared" si="21"/>
        <v>0</v>
      </c>
      <c r="J62" s="745">
        <f t="shared" si="21"/>
        <v>0</v>
      </c>
      <c r="K62" s="745">
        <f t="shared" si="22"/>
        <v>0</v>
      </c>
      <c r="L62" s="745">
        <f t="shared" si="22"/>
        <v>0</v>
      </c>
      <c r="M62" s="84"/>
      <c r="N62" s="61">
        <v>0</v>
      </c>
      <c r="O62" s="61">
        <v>0</v>
      </c>
      <c r="P62" s="61">
        <v>0</v>
      </c>
      <c r="Q62" s="61">
        <v>0</v>
      </c>
      <c r="R62" s="61">
        <v>0</v>
      </c>
      <c r="S62" s="61">
        <f>+L62*tab!D$10</f>
        <v>0</v>
      </c>
      <c r="T62" s="84"/>
      <c r="U62" s="761"/>
      <c r="V62" s="676"/>
      <c r="W62" s="676"/>
      <c r="X62" s="676"/>
      <c r="Y62" s="676"/>
      <c r="Z62" s="676"/>
      <c r="AA62" s="676"/>
      <c r="AB62" s="676"/>
      <c r="AC62" s="676"/>
      <c r="AD62" s="676"/>
      <c r="AE62" s="676"/>
      <c r="AF62" s="676"/>
      <c r="AG62" s="676"/>
      <c r="AH62" s="676"/>
    </row>
    <row r="63" spans="2:34" s="102" customFormat="1" x14ac:dyDescent="0.2">
      <c r="B63" s="721"/>
      <c r="C63" s="64">
        <v>12</v>
      </c>
      <c r="D63" s="124" t="s">
        <v>436</v>
      </c>
      <c r="E63" s="667" t="s">
        <v>223</v>
      </c>
      <c r="F63" s="708" t="s">
        <v>358</v>
      </c>
      <c r="G63" s="744">
        <v>0</v>
      </c>
      <c r="H63" s="745">
        <f t="shared" si="21"/>
        <v>0</v>
      </c>
      <c r="I63" s="745">
        <f t="shared" si="21"/>
        <v>0</v>
      </c>
      <c r="J63" s="745">
        <f t="shared" si="21"/>
        <v>0</v>
      </c>
      <c r="K63" s="745">
        <f t="shared" si="22"/>
        <v>0</v>
      </c>
      <c r="L63" s="745">
        <f t="shared" si="22"/>
        <v>0</v>
      </c>
      <c r="M63" s="84"/>
      <c r="N63" s="61">
        <v>0</v>
      </c>
      <c r="O63" s="61">
        <v>0</v>
      </c>
      <c r="P63" s="61">
        <v>0</v>
      </c>
      <c r="Q63" s="61">
        <v>0</v>
      </c>
      <c r="R63" s="61">
        <v>0</v>
      </c>
      <c r="S63" s="61">
        <f>+L63*tab!D$10</f>
        <v>0</v>
      </c>
      <c r="T63" s="84"/>
      <c r="U63" s="761"/>
      <c r="V63" s="676"/>
      <c r="W63" s="676"/>
      <c r="X63" s="676"/>
      <c r="Y63" s="676"/>
      <c r="Z63" s="676"/>
      <c r="AA63" s="676"/>
      <c r="AB63" s="676"/>
      <c r="AC63" s="676"/>
      <c r="AD63" s="676"/>
      <c r="AE63" s="676"/>
      <c r="AF63" s="676"/>
      <c r="AG63" s="676"/>
      <c r="AH63" s="676"/>
    </row>
    <row r="64" spans="2:34" s="102" customFormat="1" x14ac:dyDescent="0.2">
      <c r="B64" s="721"/>
      <c r="C64" s="64"/>
      <c r="D64" s="722"/>
      <c r="E64" s="833"/>
      <c r="F64" s="708" t="s">
        <v>359</v>
      </c>
      <c r="G64" s="744">
        <v>0</v>
      </c>
      <c r="H64" s="745">
        <f t="shared" si="21"/>
        <v>0</v>
      </c>
      <c r="I64" s="745">
        <f t="shared" si="21"/>
        <v>0</v>
      </c>
      <c r="J64" s="745">
        <f t="shared" si="21"/>
        <v>0</v>
      </c>
      <c r="K64" s="745">
        <f t="shared" si="22"/>
        <v>0</v>
      </c>
      <c r="L64" s="745">
        <f t="shared" si="22"/>
        <v>0</v>
      </c>
      <c r="M64" s="84"/>
      <c r="N64" s="61">
        <v>0</v>
      </c>
      <c r="O64" s="61">
        <v>0</v>
      </c>
      <c r="P64" s="61">
        <v>0</v>
      </c>
      <c r="Q64" s="61">
        <v>0</v>
      </c>
      <c r="R64" s="61">
        <v>0</v>
      </c>
      <c r="S64" s="61">
        <f>+L64*tab!D$10</f>
        <v>0</v>
      </c>
      <c r="T64" s="84"/>
      <c r="U64" s="761"/>
      <c r="V64" s="676"/>
      <c r="W64" s="676"/>
      <c r="X64" s="676"/>
      <c r="Y64" s="676"/>
      <c r="Z64" s="676"/>
      <c r="AA64" s="676"/>
      <c r="AB64" s="676"/>
      <c r="AC64" s="676"/>
      <c r="AD64" s="676"/>
      <c r="AE64" s="676"/>
      <c r="AF64" s="676"/>
      <c r="AG64" s="676"/>
      <c r="AH64" s="676"/>
    </row>
    <row r="65" spans="2:34" s="102" customFormat="1" x14ac:dyDescent="0.2">
      <c r="B65" s="721"/>
      <c r="C65" s="64">
        <v>13</v>
      </c>
      <c r="D65" s="124" t="s">
        <v>437</v>
      </c>
      <c r="E65" s="667" t="s">
        <v>223</v>
      </c>
      <c r="F65" s="708" t="s">
        <v>358</v>
      </c>
      <c r="G65" s="744">
        <v>0</v>
      </c>
      <c r="H65" s="745">
        <f t="shared" si="21"/>
        <v>0</v>
      </c>
      <c r="I65" s="745">
        <f t="shared" si="21"/>
        <v>0</v>
      </c>
      <c r="J65" s="745">
        <f t="shared" si="21"/>
        <v>0</v>
      </c>
      <c r="K65" s="745">
        <f t="shared" si="22"/>
        <v>0</v>
      </c>
      <c r="L65" s="745">
        <f t="shared" si="22"/>
        <v>0</v>
      </c>
      <c r="M65" s="84"/>
      <c r="N65" s="61">
        <v>0</v>
      </c>
      <c r="O65" s="61">
        <v>0</v>
      </c>
      <c r="P65" s="61">
        <v>0</v>
      </c>
      <c r="Q65" s="61">
        <v>0</v>
      </c>
      <c r="R65" s="61">
        <v>0</v>
      </c>
      <c r="S65" s="61">
        <f>+L65*tab!D$10</f>
        <v>0</v>
      </c>
      <c r="T65" s="84"/>
      <c r="U65" s="761"/>
      <c r="V65" s="676"/>
      <c r="W65" s="676"/>
      <c r="X65" s="676"/>
      <c r="Y65" s="676"/>
      <c r="Z65" s="676"/>
      <c r="AA65" s="676"/>
      <c r="AB65" s="676"/>
      <c r="AC65" s="676"/>
      <c r="AD65" s="676"/>
      <c r="AE65" s="676"/>
      <c r="AF65" s="676"/>
      <c r="AG65" s="676"/>
      <c r="AH65" s="676"/>
    </row>
    <row r="66" spans="2:34" s="102" customFormat="1" x14ac:dyDescent="0.2">
      <c r="B66" s="721"/>
      <c r="C66" s="64"/>
      <c r="D66" s="722"/>
      <c r="E66" s="949"/>
      <c r="F66" s="708" t="s">
        <v>359</v>
      </c>
      <c r="G66" s="744">
        <v>0</v>
      </c>
      <c r="H66" s="745">
        <f t="shared" si="21"/>
        <v>0</v>
      </c>
      <c r="I66" s="745">
        <f t="shared" si="21"/>
        <v>0</v>
      </c>
      <c r="J66" s="745">
        <f t="shared" si="21"/>
        <v>0</v>
      </c>
      <c r="K66" s="745">
        <f t="shared" si="22"/>
        <v>0</v>
      </c>
      <c r="L66" s="745">
        <f t="shared" si="22"/>
        <v>0</v>
      </c>
      <c r="M66" s="84"/>
      <c r="N66" s="61">
        <v>0</v>
      </c>
      <c r="O66" s="61">
        <v>0</v>
      </c>
      <c r="P66" s="61">
        <v>0</v>
      </c>
      <c r="Q66" s="61">
        <v>0</v>
      </c>
      <c r="R66" s="61">
        <v>0</v>
      </c>
      <c r="S66" s="61">
        <f>+L66*tab!D$10</f>
        <v>0</v>
      </c>
      <c r="T66" s="84"/>
      <c r="U66" s="761"/>
      <c r="V66" s="676"/>
      <c r="W66" s="676"/>
      <c r="X66" s="676"/>
      <c r="Y66" s="676"/>
      <c r="Z66" s="676"/>
      <c r="AA66" s="676"/>
      <c r="AB66" s="676"/>
      <c r="AC66" s="676"/>
      <c r="AD66" s="676"/>
      <c r="AE66" s="676"/>
      <c r="AF66" s="676"/>
      <c r="AG66" s="676"/>
      <c r="AH66" s="676"/>
    </row>
    <row r="67" spans="2:34" s="102" customFormat="1" x14ac:dyDescent="0.2">
      <c r="B67" s="721"/>
      <c r="C67" s="64">
        <v>14</v>
      </c>
      <c r="D67" s="124" t="s">
        <v>438</v>
      </c>
      <c r="E67" s="667" t="s">
        <v>223</v>
      </c>
      <c r="F67" s="708" t="s">
        <v>358</v>
      </c>
      <c r="G67" s="744">
        <v>0</v>
      </c>
      <c r="H67" s="745">
        <f t="shared" si="21"/>
        <v>0</v>
      </c>
      <c r="I67" s="745">
        <f t="shared" si="21"/>
        <v>0</v>
      </c>
      <c r="J67" s="745">
        <f t="shared" si="21"/>
        <v>0</v>
      </c>
      <c r="K67" s="745">
        <f t="shared" si="22"/>
        <v>0</v>
      </c>
      <c r="L67" s="745">
        <f t="shared" si="22"/>
        <v>0</v>
      </c>
      <c r="M67" s="84"/>
      <c r="N67" s="61">
        <v>0</v>
      </c>
      <c r="O67" s="61">
        <v>0</v>
      </c>
      <c r="P67" s="61">
        <v>0</v>
      </c>
      <c r="Q67" s="61">
        <v>0</v>
      </c>
      <c r="R67" s="61">
        <v>0</v>
      </c>
      <c r="S67" s="61">
        <f>+L67*tab!D$10</f>
        <v>0</v>
      </c>
      <c r="T67" s="84"/>
      <c r="U67" s="761"/>
      <c r="V67" s="676"/>
      <c r="W67" s="676"/>
      <c r="X67" s="676"/>
      <c r="Y67" s="676"/>
      <c r="Z67" s="676"/>
      <c r="AA67" s="676"/>
      <c r="AB67" s="676"/>
      <c r="AC67" s="676"/>
      <c r="AD67" s="676"/>
      <c r="AE67" s="676"/>
      <c r="AF67" s="676"/>
      <c r="AG67" s="676"/>
      <c r="AH67" s="676"/>
    </row>
    <row r="68" spans="2:34" s="102" customFormat="1" x14ac:dyDescent="0.2">
      <c r="B68" s="721"/>
      <c r="C68" s="64"/>
      <c r="D68" s="722"/>
      <c r="E68" s="949"/>
      <c r="F68" s="708" t="s">
        <v>359</v>
      </c>
      <c r="G68" s="744">
        <v>0</v>
      </c>
      <c r="H68" s="745">
        <f t="shared" si="21"/>
        <v>0</v>
      </c>
      <c r="I68" s="745">
        <f t="shared" si="21"/>
        <v>0</v>
      </c>
      <c r="J68" s="745">
        <f t="shared" si="21"/>
        <v>0</v>
      </c>
      <c r="K68" s="745">
        <f t="shared" si="22"/>
        <v>0</v>
      </c>
      <c r="L68" s="745">
        <f t="shared" si="22"/>
        <v>0</v>
      </c>
      <c r="M68" s="84"/>
      <c r="N68" s="61">
        <v>0</v>
      </c>
      <c r="O68" s="61">
        <v>0</v>
      </c>
      <c r="P68" s="61">
        <v>0</v>
      </c>
      <c r="Q68" s="61">
        <v>0</v>
      </c>
      <c r="R68" s="61">
        <v>0</v>
      </c>
      <c r="S68" s="61">
        <f>+L68*tab!D$10</f>
        <v>0</v>
      </c>
      <c r="T68" s="84"/>
      <c r="U68" s="761"/>
      <c r="V68" s="676"/>
      <c r="W68" s="676"/>
      <c r="X68" s="676"/>
      <c r="Y68" s="676"/>
      <c r="Z68" s="676"/>
      <c r="AA68" s="676"/>
      <c r="AB68" s="676"/>
      <c r="AC68" s="676"/>
      <c r="AD68" s="676"/>
      <c r="AE68" s="676"/>
      <c r="AF68" s="676"/>
      <c r="AG68" s="676"/>
      <c r="AH68" s="676"/>
    </row>
    <row r="69" spans="2:34" s="102" customFormat="1" x14ac:dyDescent="0.2">
      <c r="B69" s="721"/>
      <c r="C69" s="64">
        <v>15</v>
      </c>
      <c r="D69" s="124" t="s">
        <v>439</v>
      </c>
      <c r="E69" s="667" t="s">
        <v>223</v>
      </c>
      <c r="F69" s="708" t="s">
        <v>358</v>
      </c>
      <c r="G69" s="744">
        <v>0</v>
      </c>
      <c r="H69" s="745">
        <f t="shared" si="21"/>
        <v>0</v>
      </c>
      <c r="I69" s="745">
        <f t="shared" si="21"/>
        <v>0</v>
      </c>
      <c r="J69" s="745">
        <f t="shared" si="21"/>
        <v>0</v>
      </c>
      <c r="K69" s="745">
        <f t="shared" si="22"/>
        <v>0</v>
      </c>
      <c r="L69" s="745">
        <f t="shared" si="22"/>
        <v>0</v>
      </c>
      <c r="M69" s="84"/>
      <c r="N69" s="61">
        <v>0</v>
      </c>
      <c r="O69" s="61">
        <v>0</v>
      </c>
      <c r="P69" s="61">
        <v>0</v>
      </c>
      <c r="Q69" s="61">
        <v>0</v>
      </c>
      <c r="R69" s="61">
        <v>0</v>
      </c>
      <c r="S69" s="61">
        <f>+L69*tab!D$10</f>
        <v>0</v>
      </c>
      <c r="T69" s="84"/>
      <c r="U69" s="761"/>
      <c r="V69" s="676"/>
      <c r="W69" s="676"/>
      <c r="X69" s="676"/>
      <c r="Y69" s="676"/>
      <c r="Z69" s="676"/>
      <c r="AA69" s="676"/>
      <c r="AB69" s="676"/>
      <c r="AC69" s="676"/>
      <c r="AD69" s="676"/>
      <c r="AE69" s="676"/>
      <c r="AF69" s="676"/>
      <c r="AG69" s="676"/>
      <c r="AH69" s="676"/>
    </row>
    <row r="70" spans="2:34" s="102" customFormat="1" x14ac:dyDescent="0.2">
      <c r="B70" s="721"/>
      <c r="C70" s="64"/>
      <c r="D70" s="722"/>
      <c r="E70" s="949"/>
      <c r="F70" s="708" t="s">
        <v>359</v>
      </c>
      <c r="G70" s="744">
        <v>0</v>
      </c>
      <c r="H70" s="745">
        <f t="shared" si="21"/>
        <v>0</v>
      </c>
      <c r="I70" s="745">
        <f t="shared" si="21"/>
        <v>0</v>
      </c>
      <c r="J70" s="745">
        <f t="shared" si="21"/>
        <v>0</v>
      </c>
      <c r="K70" s="745">
        <f t="shared" si="22"/>
        <v>0</v>
      </c>
      <c r="L70" s="745">
        <f t="shared" si="22"/>
        <v>0</v>
      </c>
      <c r="M70" s="84"/>
      <c r="N70" s="61">
        <v>0</v>
      </c>
      <c r="O70" s="61">
        <v>0</v>
      </c>
      <c r="P70" s="61">
        <v>0</v>
      </c>
      <c r="Q70" s="61">
        <v>0</v>
      </c>
      <c r="R70" s="61">
        <v>0</v>
      </c>
      <c r="S70" s="61">
        <f>+L70*tab!D$10</f>
        <v>0</v>
      </c>
      <c r="T70" s="84"/>
      <c r="U70" s="761"/>
      <c r="V70" s="676"/>
      <c r="W70" s="676"/>
      <c r="X70" s="676"/>
      <c r="Y70" s="676"/>
      <c r="Z70" s="676"/>
      <c r="AA70" s="676"/>
      <c r="AB70" s="676"/>
      <c r="AC70" s="676"/>
      <c r="AD70" s="676"/>
      <c r="AE70" s="676"/>
      <c r="AF70" s="676"/>
      <c r="AG70" s="676"/>
      <c r="AH70" s="676"/>
    </row>
    <row r="71" spans="2:34" s="102" customFormat="1" x14ac:dyDescent="0.2">
      <c r="B71" s="721"/>
      <c r="C71" s="64">
        <v>16</v>
      </c>
      <c r="D71" s="124" t="s">
        <v>440</v>
      </c>
      <c r="E71" s="667" t="s">
        <v>223</v>
      </c>
      <c r="F71" s="708" t="s">
        <v>358</v>
      </c>
      <c r="G71" s="744">
        <v>0</v>
      </c>
      <c r="H71" s="745">
        <f t="shared" si="21"/>
        <v>0</v>
      </c>
      <c r="I71" s="745">
        <f t="shared" si="21"/>
        <v>0</v>
      </c>
      <c r="J71" s="745">
        <f t="shared" si="21"/>
        <v>0</v>
      </c>
      <c r="K71" s="745">
        <f t="shared" si="22"/>
        <v>0</v>
      </c>
      <c r="L71" s="745">
        <f t="shared" si="22"/>
        <v>0</v>
      </c>
      <c r="M71" s="84"/>
      <c r="N71" s="61">
        <v>0</v>
      </c>
      <c r="O71" s="61">
        <v>0</v>
      </c>
      <c r="P71" s="61">
        <v>0</v>
      </c>
      <c r="Q71" s="61">
        <v>0</v>
      </c>
      <c r="R71" s="61">
        <v>0</v>
      </c>
      <c r="S71" s="61">
        <f>+L71*tab!D$10</f>
        <v>0</v>
      </c>
      <c r="T71" s="84"/>
      <c r="U71" s="761"/>
      <c r="V71" s="676"/>
      <c r="W71" s="676"/>
      <c r="X71" s="676"/>
      <c r="Y71" s="676"/>
      <c r="Z71" s="676"/>
      <c r="AA71" s="676"/>
      <c r="AB71" s="676"/>
      <c r="AC71" s="676"/>
      <c r="AD71" s="676"/>
      <c r="AE71" s="676"/>
      <c r="AF71" s="676"/>
      <c r="AG71" s="676"/>
      <c r="AH71" s="676"/>
    </row>
    <row r="72" spans="2:34" s="102" customFormat="1" x14ac:dyDescent="0.2">
      <c r="B72" s="721"/>
      <c r="C72" s="64"/>
      <c r="D72" s="722"/>
      <c r="E72" s="949"/>
      <c r="F72" s="708" t="s">
        <v>359</v>
      </c>
      <c r="G72" s="744">
        <v>0</v>
      </c>
      <c r="H72" s="745">
        <f t="shared" si="21"/>
        <v>0</v>
      </c>
      <c r="I72" s="745">
        <f t="shared" si="21"/>
        <v>0</v>
      </c>
      <c r="J72" s="745">
        <f t="shared" si="21"/>
        <v>0</v>
      </c>
      <c r="K72" s="745">
        <f t="shared" si="22"/>
        <v>0</v>
      </c>
      <c r="L72" s="745">
        <f t="shared" si="22"/>
        <v>0</v>
      </c>
      <c r="M72" s="84"/>
      <c r="N72" s="61">
        <v>0</v>
      </c>
      <c r="O72" s="61">
        <v>0</v>
      </c>
      <c r="P72" s="61">
        <v>0</v>
      </c>
      <c r="Q72" s="61">
        <v>0</v>
      </c>
      <c r="R72" s="61">
        <v>0</v>
      </c>
      <c r="S72" s="61">
        <f>+L72*tab!D$10</f>
        <v>0</v>
      </c>
      <c r="T72" s="84"/>
      <c r="U72" s="761"/>
      <c r="V72" s="676"/>
      <c r="W72" s="676"/>
      <c r="X72" s="676"/>
      <c r="Y72" s="676"/>
      <c r="Z72" s="676"/>
      <c r="AA72" s="676"/>
      <c r="AB72" s="676"/>
      <c r="AC72" s="676"/>
      <c r="AD72" s="676"/>
      <c r="AE72" s="676"/>
      <c r="AF72" s="676"/>
      <c r="AG72" s="676"/>
      <c r="AH72" s="676"/>
    </row>
    <row r="73" spans="2:34" s="102" customFormat="1" x14ac:dyDescent="0.2">
      <c r="B73" s="721"/>
      <c r="C73" s="64">
        <v>17</v>
      </c>
      <c r="D73" s="124" t="s">
        <v>441</v>
      </c>
      <c r="E73" s="667" t="s">
        <v>223</v>
      </c>
      <c r="F73" s="708" t="s">
        <v>358</v>
      </c>
      <c r="G73" s="744">
        <v>0</v>
      </c>
      <c r="H73" s="745">
        <f t="shared" si="21"/>
        <v>0</v>
      </c>
      <c r="I73" s="745">
        <f t="shared" si="21"/>
        <v>0</v>
      </c>
      <c r="J73" s="745">
        <f t="shared" si="21"/>
        <v>0</v>
      </c>
      <c r="K73" s="745">
        <f t="shared" si="22"/>
        <v>0</v>
      </c>
      <c r="L73" s="745">
        <f t="shared" si="22"/>
        <v>0</v>
      </c>
      <c r="M73" s="84"/>
      <c r="N73" s="61">
        <v>0</v>
      </c>
      <c r="O73" s="61">
        <v>0</v>
      </c>
      <c r="P73" s="61">
        <v>0</v>
      </c>
      <c r="Q73" s="61">
        <v>0</v>
      </c>
      <c r="R73" s="61">
        <v>0</v>
      </c>
      <c r="S73" s="61">
        <f>+L73*tab!D$10</f>
        <v>0</v>
      </c>
      <c r="T73" s="84"/>
      <c r="U73" s="761"/>
      <c r="V73" s="676"/>
      <c r="W73" s="676"/>
      <c r="X73" s="676"/>
      <c r="Y73" s="676"/>
      <c r="Z73" s="676"/>
      <c r="AA73" s="676"/>
      <c r="AB73" s="676"/>
      <c r="AC73" s="676"/>
      <c r="AD73" s="676"/>
      <c r="AE73" s="676"/>
      <c r="AF73" s="676"/>
      <c r="AG73" s="676"/>
      <c r="AH73" s="676"/>
    </row>
    <row r="74" spans="2:34" s="102" customFormat="1" x14ac:dyDescent="0.2">
      <c r="B74" s="721"/>
      <c r="C74" s="64"/>
      <c r="D74" s="722"/>
      <c r="E74" s="949"/>
      <c r="F74" s="708" t="s">
        <v>359</v>
      </c>
      <c r="G74" s="744">
        <v>0</v>
      </c>
      <c r="H74" s="745">
        <f t="shared" si="21"/>
        <v>0</v>
      </c>
      <c r="I74" s="745">
        <f t="shared" si="21"/>
        <v>0</v>
      </c>
      <c r="J74" s="745">
        <f t="shared" si="21"/>
        <v>0</v>
      </c>
      <c r="K74" s="745">
        <f t="shared" si="22"/>
        <v>0</v>
      </c>
      <c r="L74" s="745">
        <f t="shared" si="22"/>
        <v>0</v>
      </c>
      <c r="M74" s="84"/>
      <c r="N74" s="61">
        <v>0</v>
      </c>
      <c r="O74" s="61">
        <v>0</v>
      </c>
      <c r="P74" s="61">
        <v>0</v>
      </c>
      <c r="Q74" s="61">
        <v>0</v>
      </c>
      <c r="R74" s="61">
        <v>0</v>
      </c>
      <c r="S74" s="61">
        <f>+L74*tab!D$10</f>
        <v>0</v>
      </c>
      <c r="T74" s="84"/>
      <c r="U74" s="761"/>
      <c r="V74" s="676"/>
      <c r="W74" s="676"/>
      <c r="X74" s="676"/>
      <c r="Y74" s="676"/>
      <c r="Z74" s="676"/>
      <c r="AA74" s="676"/>
      <c r="AB74" s="676"/>
      <c r="AC74" s="676"/>
      <c r="AD74" s="676"/>
      <c r="AE74" s="676"/>
      <c r="AF74" s="676"/>
      <c r="AG74" s="676"/>
      <c r="AH74" s="676"/>
    </row>
    <row r="75" spans="2:34" s="102" customFormat="1" x14ac:dyDescent="0.2">
      <c r="B75" s="721"/>
      <c r="C75" s="64">
        <v>18</v>
      </c>
      <c r="D75" s="124" t="s">
        <v>442</v>
      </c>
      <c r="E75" s="667" t="s">
        <v>223</v>
      </c>
      <c r="F75" s="708" t="s">
        <v>358</v>
      </c>
      <c r="G75" s="744">
        <v>0</v>
      </c>
      <c r="H75" s="745">
        <f t="shared" si="21"/>
        <v>0</v>
      </c>
      <c r="I75" s="745">
        <f t="shared" si="21"/>
        <v>0</v>
      </c>
      <c r="J75" s="745">
        <f t="shared" si="21"/>
        <v>0</v>
      </c>
      <c r="K75" s="745">
        <f t="shared" si="22"/>
        <v>0</v>
      </c>
      <c r="L75" s="745">
        <f t="shared" si="22"/>
        <v>0</v>
      </c>
      <c r="M75" s="84"/>
      <c r="N75" s="61">
        <v>0</v>
      </c>
      <c r="O75" s="61">
        <v>0</v>
      </c>
      <c r="P75" s="61">
        <v>0</v>
      </c>
      <c r="Q75" s="61">
        <v>0</v>
      </c>
      <c r="R75" s="61">
        <v>0</v>
      </c>
      <c r="S75" s="61">
        <f>+L75*tab!D$10</f>
        <v>0</v>
      </c>
      <c r="T75" s="84"/>
      <c r="U75" s="761"/>
      <c r="V75" s="676"/>
      <c r="W75" s="676"/>
      <c r="X75" s="676"/>
      <c r="Y75" s="676"/>
      <c r="Z75" s="676"/>
      <c r="AA75" s="676"/>
      <c r="AB75" s="676"/>
      <c r="AC75" s="676"/>
      <c r="AD75" s="676"/>
      <c r="AE75" s="676"/>
      <c r="AF75" s="676"/>
      <c r="AG75" s="676"/>
      <c r="AH75" s="676"/>
    </row>
    <row r="76" spans="2:34" s="102" customFormat="1" x14ac:dyDescent="0.2">
      <c r="B76" s="721"/>
      <c r="C76" s="64"/>
      <c r="D76" s="722"/>
      <c r="E76" s="949"/>
      <c r="F76" s="708" t="s">
        <v>359</v>
      </c>
      <c r="G76" s="744">
        <v>0</v>
      </c>
      <c r="H76" s="745">
        <f t="shared" si="21"/>
        <v>0</v>
      </c>
      <c r="I76" s="745">
        <f t="shared" si="21"/>
        <v>0</v>
      </c>
      <c r="J76" s="745">
        <f t="shared" si="21"/>
        <v>0</v>
      </c>
      <c r="K76" s="745">
        <f t="shared" si="22"/>
        <v>0</v>
      </c>
      <c r="L76" s="745">
        <f t="shared" si="22"/>
        <v>0</v>
      </c>
      <c r="M76" s="84"/>
      <c r="N76" s="61">
        <v>0</v>
      </c>
      <c r="O76" s="61">
        <v>0</v>
      </c>
      <c r="P76" s="61">
        <v>0</v>
      </c>
      <c r="Q76" s="61">
        <v>0</v>
      </c>
      <c r="R76" s="61">
        <v>0</v>
      </c>
      <c r="S76" s="61">
        <f>+L76*tab!D$10</f>
        <v>0</v>
      </c>
      <c r="T76" s="84"/>
      <c r="U76" s="761"/>
      <c r="V76" s="676"/>
      <c r="W76" s="676"/>
      <c r="X76" s="676"/>
      <c r="Y76" s="676"/>
      <c r="Z76" s="676"/>
      <c r="AA76" s="676"/>
      <c r="AB76" s="676"/>
      <c r="AC76" s="676"/>
      <c r="AD76" s="676"/>
      <c r="AE76" s="676"/>
      <c r="AF76" s="676"/>
      <c r="AG76" s="676"/>
      <c r="AH76" s="676"/>
    </row>
    <row r="77" spans="2:34" s="102" customFormat="1" x14ac:dyDescent="0.2">
      <c r="B77" s="721"/>
      <c r="C77" s="64">
        <v>19</v>
      </c>
      <c r="D77" s="124" t="s">
        <v>443</v>
      </c>
      <c r="E77" s="667" t="s">
        <v>223</v>
      </c>
      <c r="F77" s="708" t="s">
        <v>358</v>
      </c>
      <c r="G77" s="744">
        <v>0</v>
      </c>
      <c r="H77" s="745">
        <f t="shared" si="21"/>
        <v>0</v>
      </c>
      <c r="I77" s="745">
        <f t="shared" si="21"/>
        <v>0</v>
      </c>
      <c r="J77" s="745">
        <f t="shared" si="21"/>
        <v>0</v>
      </c>
      <c r="K77" s="745">
        <f t="shared" si="22"/>
        <v>0</v>
      </c>
      <c r="L77" s="745">
        <f t="shared" si="22"/>
        <v>0</v>
      </c>
      <c r="M77" s="84"/>
      <c r="N77" s="61">
        <v>0</v>
      </c>
      <c r="O77" s="61">
        <v>0</v>
      </c>
      <c r="P77" s="61">
        <v>0</v>
      </c>
      <c r="Q77" s="61">
        <v>0</v>
      </c>
      <c r="R77" s="61">
        <v>0</v>
      </c>
      <c r="S77" s="61">
        <f>+L77*tab!D$10</f>
        <v>0</v>
      </c>
      <c r="T77" s="84"/>
      <c r="U77" s="761"/>
      <c r="V77" s="676"/>
      <c r="W77" s="676"/>
      <c r="X77" s="676"/>
      <c r="Y77" s="676"/>
      <c r="Z77" s="676"/>
      <c r="AA77" s="676"/>
      <c r="AB77" s="676"/>
      <c r="AC77" s="676"/>
      <c r="AD77" s="676"/>
      <c r="AE77" s="676"/>
      <c r="AF77" s="676"/>
      <c r="AG77" s="676"/>
      <c r="AH77" s="676"/>
    </row>
    <row r="78" spans="2:34" s="102" customFormat="1" x14ac:dyDescent="0.2">
      <c r="B78" s="721"/>
      <c r="C78" s="64"/>
      <c r="D78" s="722"/>
      <c r="E78" s="949"/>
      <c r="F78" s="708" t="s">
        <v>359</v>
      </c>
      <c r="G78" s="744">
        <v>0</v>
      </c>
      <c r="H78" s="745">
        <f t="shared" si="21"/>
        <v>0</v>
      </c>
      <c r="I78" s="745">
        <f t="shared" si="21"/>
        <v>0</v>
      </c>
      <c r="J78" s="745">
        <f t="shared" si="21"/>
        <v>0</v>
      </c>
      <c r="K78" s="745">
        <f t="shared" si="22"/>
        <v>0</v>
      </c>
      <c r="L78" s="745">
        <f t="shared" si="22"/>
        <v>0</v>
      </c>
      <c r="M78" s="84"/>
      <c r="N78" s="61">
        <v>0</v>
      </c>
      <c r="O78" s="61">
        <v>0</v>
      </c>
      <c r="P78" s="61">
        <v>0</v>
      </c>
      <c r="Q78" s="61">
        <v>0</v>
      </c>
      <c r="R78" s="61">
        <v>0</v>
      </c>
      <c r="S78" s="61">
        <f>+L78*tab!D$10</f>
        <v>0</v>
      </c>
      <c r="T78" s="84"/>
      <c r="U78" s="761"/>
      <c r="V78" s="676"/>
      <c r="W78" s="676"/>
      <c r="X78" s="676"/>
      <c r="Y78" s="676"/>
      <c r="Z78" s="676"/>
      <c r="AA78" s="676"/>
      <c r="AB78" s="676"/>
      <c r="AC78" s="676"/>
      <c r="AD78" s="676"/>
      <c r="AE78" s="676"/>
      <c r="AF78" s="676"/>
      <c r="AG78" s="676"/>
      <c r="AH78" s="676"/>
    </row>
    <row r="79" spans="2:34" s="102" customFormat="1" x14ac:dyDescent="0.2">
      <c r="B79" s="721"/>
      <c r="C79" s="64">
        <v>20</v>
      </c>
      <c r="D79" s="124" t="s">
        <v>444</v>
      </c>
      <c r="E79" s="667" t="s">
        <v>223</v>
      </c>
      <c r="F79" s="708" t="s">
        <v>358</v>
      </c>
      <c r="G79" s="744">
        <v>0</v>
      </c>
      <c r="H79" s="745">
        <f t="shared" si="21"/>
        <v>0</v>
      </c>
      <c r="I79" s="745">
        <f t="shared" si="21"/>
        <v>0</v>
      </c>
      <c r="J79" s="745">
        <f t="shared" si="21"/>
        <v>0</v>
      </c>
      <c r="K79" s="745">
        <f t="shared" si="22"/>
        <v>0</v>
      </c>
      <c r="L79" s="745">
        <f t="shared" si="22"/>
        <v>0</v>
      </c>
      <c r="M79" s="84"/>
      <c r="N79" s="61">
        <v>0</v>
      </c>
      <c r="O79" s="61">
        <v>0</v>
      </c>
      <c r="P79" s="61">
        <v>0</v>
      </c>
      <c r="Q79" s="61">
        <v>0</v>
      </c>
      <c r="R79" s="61">
        <v>0</v>
      </c>
      <c r="S79" s="61">
        <f>+L79*tab!D$10</f>
        <v>0</v>
      </c>
      <c r="T79" s="84"/>
      <c r="U79" s="761"/>
      <c r="V79" s="676"/>
      <c r="W79" s="676"/>
      <c r="X79" s="676"/>
      <c r="Y79" s="676"/>
      <c r="Z79" s="676"/>
      <c r="AA79" s="676"/>
      <c r="AB79" s="676"/>
      <c r="AC79" s="676"/>
      <c r="AD79" s="676"/>
      <c r="AE79" s="676"/>
      <c r="AF79" s="676"/>
      <c r="AG79" s="676"/>
      <c r="AH79" s="676"/>
    </row>
    <row r="80" spans="2:34" s="102" customFormat="1" x14ac:dyDescent="0.2">
      <c r="B80" s="721"/>
      <c r="C80" s="64"/>
      <c r="D80" s="722"/>
      <c r="E80" s="949"/>
      <c r="F80" s="708" t="s">
        <v>359</v>
      </c>
      <c r="G80" s="744">
        <v>0</v>
      </c>
      <c r="H80" s="745">
        <f t="shared" si="21"/>
        <v>0</v>
      </c>
      <c r="I80" s="745">
        <f t="shared" si="21"/>
        <v>0</v>
      </c>
      <c r="J80" s="745">
        <f t="shared" si="21"/>
        <v>0</v>
      </c>
      <c r="K80" s="745">
        <f t="shared" si="22"/>
        <v>0</v>
      </c>
      <c r="L80" s="745">
        <f t="shared" si="22"/>
        <v>0</v>
      </c>
      <c r="M80" s="84"/>
      <c r="N80" s="61">
        <v>0</v>
      </c>
      <c r="O80" s="61">
        <v>0</v>
      </c>
      <c r="P80" s="61">
        <v>0</v>
      </c>
      <c r="Q80" s="61">
        <v>0</v>
      </c>
      <c r="R80" s="61">
        <v>0</v>
      </c>
      <c r="S80" s="61">
        <f>+L80*tab!D$10</f>
        <v>0</v>
      </c>
      <c r="T80" s="84"/>
      <c r="U80" s="761"/>
      <c r="V80" s="676"/>
      <c r="W80" s="676"/>
      <c r="X80" s="676"/>
      <c r="Y80" s="676"/>
      <c r="Z80" s="676"/>
      <c r="AA80" s="676"/>
      <c r="AB80" s="676"/>
      <c r="AC80" s="676"/>
      <c r="AD80" s="676"/>
      <c r="AE80" s="676"/>
      <c r="AF80" s="676"/>
      <c r="AG80" s="676"/>
      <c r="AH80" s="676"/>
    </row>
    <row r="81" spans="2:34" s="102" customFormat="1" x14ac:dyDescent="0.2">
      <c r="B81" s="721"/>
      <c r="C81" s="64">
        <v>21</v>
      </c>
      <c r="D81" s="124" t="s">
        <v>445</v>
      </c>
      <c r="E81" s="667" t="s">
        <v>223</v>
      </c>
      <c r="F81" s="708" t="s">
        <v>358</v>
      </c>
      <c r="G81" s="744">
        <v>0</v>
      </c>
      <c r="H81" s="745">
        <f t="shared" si="21"/>
        <v>0</v>
      </c>
      <c r="I81" s="745">
        <f t="shared" si="21"/>
        <v>0</v>
      </c>
      <c r="J81" s="745">
        <f t="shared" si="21"/>
        <v>0</v>
      </c>
      <c r="K81" s="745">
        <f t="shared" si="22"/>
        <v>0</v>
      </c>
      <c r="L81" s="745">
        <f t="shared" si="22"/>
        <v>0</v>
      </c>
      <c r="M81" s="84"/>
      <c r="N81" s="61">
        <v>0</v>
      </c>
      <c r="O81" s="61">
        <v>0</v>
      </c>
      <c r="P81" s="61">
        <v>0</v>
      </c>
      <c r="Q81" s="61">
        <v>0</v>
      </c>
      <c r="R81" s="61">
        <v>0</v>
      </c>
      <c r="S81" s="61">
        <f>+L81*tab!D$10</f>
        <v>0</v>
      </c>
      <c r="T81" s="84"/>
      <c r="U81" s="761"/>
      <c r="V81" s="676"/>
      <c r="W81" s="676"/>
      <c r="X81" s="676"/>
      <c r="Y81" s="676"/>
      <c r="Z81" s="676"/>
      <c r="AA81" s="676"/>
      <c r="AB81" s="676"/>
      <c r="AC81" s="676"/>
      <c r="AD81" s="676"/>
      <c r="AE81" s="676"/>
      <c r="AF81" s="676"/>
      <c r="AG81" s="676"/>
      <c r="AH81" s="676"/>
    </row>
    <row r="82" spans="2:34" s="102" customFormat="1" x14ac:dyDescent="0.2">
      <c r="B82" s="721"/>
      <c r="C82" s="64"/>
      <c r="D82" s="722"/>
      <c r="E82" s="949"/>
      <c r="F82" s="708" t="s">
        <v>359</v>
      </c>
      <c r="G82" s="744">
        <v>0</v>
      </c>
      <c r="H82" s="745">
        <f t="shared" ref="H82:H100" si="23">G82</f>
        <v>0</v>
      </c>
      <c r="I82" s="745">
        <f t="shared" ref="I82:I100" si="24">H82</f>
        <v>0</v>
      </c>
      <c r="J82" s="745">
        <f t="shared" ref="J82:J100" si="25">I82</f>
        <v>0</v>
      </c>
      <c r="K82" s="745">
        <f t="shared" si="22"/>
        <v>0</v>
      </c>
      <c r="L82" s="745">
        <f t="shared" si="22"/>
        <v>0</v>
      </c>
      <c r="M82" s="84"/>
      <c r="N82" s="61">
        <v>0</v>
      </c>
      <c r="O82" s="61">
        <v>0</v>
      </c>
      <c r="P82" s="61">
        <v>0</v>
      </c>
      <c r="Q82" s="61">
        <v>0</v>
      </c>
      <c r="R82" s="61">
        <v>0</v>
      </c>
      <c r="S82" s="61">
        <f>+L82*tab!D$10</f>
        <v>0</v>
      </c>
      <c r="T82" s="84"/>
      <c r="U82" s="761"/>
      <c r="V82" s="676"/>
      <c r="W82" s="676"/>
      <c r="X82" s="676"/>
      <c r="Y82" s="676"/>
      <c r="Z82" s="676"/>
      <c r="AA82" s="676"/>
      <c r="AB82" s="676"/>
      <c r="AC82" s="676"/>
      <c r="AD82" s="676"/>
      <c r="AE82" s="676"/>
      <c r="AF82" s="676"/>
      <c r="AG82" s="676"/>
      <c r="AH82" s="676"/>
    </row>
    <row r="83" spans="2:34" s="102" customFormat="1" x14ac:dyDescent="0.2">
      <c r="B83" s="721"/>
      <c r="C83" s="64">
        <v>22</v>
      </c>
      <c r="D83" s="124" t="s">
        <v>446</v>
      </c>
      <c r="E83" s="667" t="s">
        <v>223</v>
      </c>
      <c r="F83" s="708" t="s">
        <v>358</v>
      </c>
      <c r="G83" s="744">
        <v>0</v>
      </c>
      <c r="H83" s="745">
        <f t="shared" si="23"/>
        <v>0</v>
      </c>
      <c r="I83" s="745">
        <f t="shared" si="24"/>
        <v>0</v>
      </c>
      <c r="J83" s="745">
        <f t="shared" si="25"/>
        <v>0</v>
      </c>
      <c r="K83" s="745">
        <f t="shared" si="22"/>
        <v>0</v>
      </c>
      <c r="L83" s="745">
        <f t="shared" si="22"/>
        <v>0</v>
      </c>
      <c r="M83" s="84"/>
      <c r="N83" s="61">
        <v>0</v>
      </c>
      <c r="O83" s="61">
        <v>0</v>
      </c>
      <c r="P83" s="61">
        <v>0</v>
      </c>
      <c r="Q83" s="61">
        <v>0</v>
      </c>
      <c r="R83" s="61">
        <v>0</v>
      </c>
      <c r="S83" s="61">
        <f>+L83*tab!D$10</f>
        <v>0</v>
      </c>
      <c r="T83" s="84"/>
      <c r="U83" s="761"/>
      <c r="V83" s="676"/>
      <c r="W83" s="676"/>
      <c r="X83" s="676"/>
      <c r="Y83" s="676"/>
      <c r="Z83" s="676"/>
      <c r="AA83" s="676"/>
      <c r="AB83" s="676"/>
      <c r="AC83" s="676"/>
      <c r="AD83" s="676"/>
      <c r="AE83" s="676"/>
      <c r="AF83" s="676"/>
      <c r="AG83" s="676"/>
      <c r="AH83" s="676"/>
    </row>
    <row r="84" spans="2:34" s="102" customFormat="1" x14ac:dyDescent="0.2">
      <c r="B84" s="721"/>
      <c r="C84" s="64"/>
      <c r="D84" s="722"/>
      <c r="E84" s="949"/>
      <c r="F84" s="708" t="s">
        <v>359</v>
      </c>
      <c r="G84" s="744">
        <v>0</v>
      </c>
      <c r="H84" s="745">
        <f t="shared" si="23"/>
        <v>0</v>
      </c>
      <c r="I84" s="745">
        <f t="shared" si="24"/>
        <v>0</v>
      </c>
      <c r="J84" s="745">
        <f t="shared" si="25"/>
        <v>0</v>
      </c>
      <c r="K84" s="745">
        <f t="shared" si="22"/>
        <v>0</v>
      </c>
      <c r="L84" s="745">
        <f t="shared" si="22"/>
        <v>0</v>
      </c>
      <c r="M84" s="84"/>
      <c r="N84" s="61">
        <v>0</v>
      </c>
      <c r="O84" s="61">
        <v>0</v>
      </c>
      <c r="P84" s="61">
        <v>0</v>
      </c>
      <c r="Q84" s="61">
        <v>0</v>
      </c>
      <c r="R84" s="61">
        <v>0</v>
      </c>
      <c r="S84" s="61">
        <f>+L84*tab!D$10</f>
        <v>0</v>
      </c>
      <c r="T84" s="84"/>
      <c r="U84" s="761"/>
      <c r="V84" s="676"/>
      <c r="W84" s="676"/>
      <c r="X84" s="676"/>
      <c r="Y84" s="676"/>
      <c r="Z84" s="676"/>
      <c r="AA84" s="676"/>
      <c r="AB84" s="676"/>
      <c r="AC84" s="676"/>
      <c r="AD84" s="676"/>
      <c r="AE84" s="676"/>
      <c r="AF84" s="676"/>
      <c r="AG84" s="676"/>
      <c r="AH84" s="676"/>
    </row>
    <row r="85" spans="2:34" s="102" customFormat="1" x14ac:dyDescent="0.2">
      <c r="B85" s="721"/>
      <c r="C85" s="64">
        <v>23</v>
      </c>
      <c r="D85" s="124" t="s">
        <v>447</v>
      </c>
      <c r="E85" s="667" t="s">
        <v>223</v>
      </c>
      <c r="F85" s="708" t="s">
        <v>358</v>
      </c>
      <c r="G85" s="744">
        <v>0</v>
      </c>
      <c r="H85" s="745">
        <f t="shared" si="23"/>
        <v>0</v>
      </c>
      <c r="I85" s="745">
        <f t="shared" si="24"/>
        <v>0</v>
      </c>
      <c r="J85" s="745">
        <f t="shared" si="25"/>
        <v>0</v>
      </c>
      <c r="K85" s="745">
        <f t="shared" si="22"/>
        <v>0</v>
      </c>
      <c r="L85" s="745">
        <f t="shared" si="22"/>
        <v>0</v>
      </c>
      <c r="M85" s="84"/>
      <c r="N85" s="61">
        <v>0</v>
      </c>
      <c r="O85" s="61">
        <v>0</v>
      </c>
      <c r="P85" s="61">
        <v>0</v>
      </c>
      <c r="Q85" s="61">
        <v>0</v>
      </c>
      <c r="R85" s="61">
        <v>0</v>
      </c>
      <c r="S85" s="61">
        <f>+L85*tab!D$10</f>
        <v>0</v>
      </c>
      <c r="T85" s="84"/>
      <c r="U85" s="761"/>
      <c r="V85" s="676"/>
      <c r="W85" s="676"/>
      <c r="X85" s="676"/>
      <c r="Y85" s="676"/>
      <c r="Z85" s="676"/>
      <c r="AA85" s="676"/>
      <c r="AB85" s="676"/>
      <c r="AC85" s="676"/>
      <c r="AD85" s="676"/>
      <c r="AE85" s="676"/>
      <c r="AF85" s="676"/>
      <c r="AG85" s="676"/>
      <c r="AH85" s="676"/>
    </row>
    <row r="86" spans="2:34" s="102" customFormat="1" x14ac:dyDescent="0.2">
      <c r="B86" s="721"/>
      <c r="C86" s="64"/>
      <c r="D86" s="722"/>
      <c r="E86" s="949"/>
      <c r="F86" s="708" t="s">
        <v>359</v>
      </c>
      <c r="G86" s="744">
        <v>0</v>
      </c>
      <c r="H86" s="745">
        <f t="shared" si="23"/>
        <v>0</v>
      </c>
      <c r="I86" s="745">
        <f t="shared" si="24"/>
        <v>0</v>
      </c>
      <c r="J86" s="745">
        <f t="shared" si="25"/>
        <v>0</v>
      </c>
      <c r="K86" s="745">
        <f t="shared" si="22"/>
        <v>0</v>
      </c>
      <c r="L86" s="745">
        <f t="shared" si="22"/>
        <v>0</v>
      </c>
      <c r="M86" s="84"/>
      <c r="N86" s="61">
        <v>0</v>
      </c>
      <c r="O86" s="61">
        <v>0</v>
      </c>
      <c r="P86" s="61">
        <v>0</v>
      </c>
      <c r="Q86" s="61">
        <v>0</v>
      </c>
      <c r="R86" s="61">
        <v>0</v>
      </c>
      <c r="S86" s="61">
        <f>+L86*tab!D$10</f>
        <v>0</v>
      </c>
      <c r="T86" s="84"/>
      <c r="U86" s="761"/>
      <c r="V86" s="676"/>
      <c r="W86" s="676"/>
      <c r="X86" s="676"/>
      <c r="Y86" s="676"/>
      <c r="Z86" s="676"/>
      <c r="AA86" s="676"/>
      <c r="AB86" s="676"/>
      <c r="AC86" s="676"/>
      <c r="AD86" s="676"/>
      <c r="AE86" s="676"/>
      <c r="AF86" s="676"/>
      <c r="AG86" s="676"/>
      <c r="AH86" s="676"/>
    </row>
    <row r="87" spans="2:34" s="102" customFormat="1" x14ac:dyDescent="0.2">
      <c r="B87" s="721"/>
      <c r="C87" s="64">
        <v>24</v>
      </c>
      <c r="D87" s="124" t="s">
        <v>319</v>
      </c>
      <c r="E87" s="667" t="s">
        <v>223</v>
      </c>
      <c r="F87" s="708" t="s">
        <v>358</v>
      </c>
      <c r="G87" s="744">
        <v>0</v>
      </c>
      <c r="H87" s="745">
        <f t="shared" si="23"/>
        <v>0</v>
      </c>
      <c r="I87" s="745">
        <f t="shared" si="24"/>
        <v>0</v>
      </c>
      <c r="J87" s="745">
        <f t="shared" si="25"/>
        <v>0</v>
      </c>
      <c r="K87" s="745">
        <f t="shared" si="22"/>
        <v>0</v>
      </c>
      <c r="L87" s="745">
        <f t="shared" si="22"/>
        <v>0</v>
      </c>
      <c r="M87" s="84"/>
      <c r="N87" s="61">
        <v>0</v>
      </c>
      <c r="O87" s="61">
        <v>0</v>
      </c>
      <c r="P87" s="61">
        <v>0</v>
      </c>
      <c r="Q87" s="61">
        <v>0</v>
      </c>
      <c r="R87" s="61">
        <v>0</v>
      </c>
      <c r="S87" s="61">
        <f>+L87*tab!D$10</f>
        <v>0</v>
      </c>
      <c r="T87" s="84"/>
      <c r="U87" s="761"/>
      <c r="V87" s="676"/>
      <c r="W87" s="676"/>
      <c r="X87" s="676"/>
      <c r="Y87" s="676"/>
      <c r="Z87" s="676"/>
      <c r="AA87" s="676"/>
      <c r="AB87" s="676"/>
      <c r="AC87" s="676"/>
      <c r="AD87" s="676"/>
      <c r="AE87" s="676"/>
      <c r="AF87" s="676"/>
      <c r="AG87" s="676"/>
      <c r="AH87" s="676"/>
    </row>
    <row r="88" spans="2:34" s="102" customFormat="1" x14ac:dyDescent="0.2">
      <c r="B88" s="721"/>
      <c r="C88" s="64"/>
      <c r="D88" s="722"/>
      <c r="E88" s="949"/>
      <c r="F88" s="708" t="s">
        <v>359</v>
      </c>
      <c r="G88" s="744">
        <v>0</v>
      </c>
      <c r="H88" s="745">
        <f t="shared" si="23"/>
        <v>0</v>
      </c>
      <c r="I88" s="745">
        <f t="shared" si="24"/>
        <v>0</v>
      </c>
      <c r="J88" s="745">
        <f t="shared" si="25"/>
        <v>0</v>
      </c>
      <c r="K88" s="745">
        <f t="shared" si="22"/>
        <v>0</v>
      </c>
      <c r="L88" s="745">
        <f t="shared" si="22"/>
        <v>0</v>
      </c>
      <c r="M88" s="84"/>
      <c r="N88" s="61">
        <v>0</v>
      </c>
      <c r="O88" s="61">
        <v>0</v>
      </c>
      <c r="P88" s="61">
        <v>0</v>
      </c>
      <c r="Q88" s="61">
        <v>0</v>
      </c>
      <c r="R88" s="61">
        <v>0</v>
      </c>
      <c r="S88" s="61">
        <f>+L88*tab!D$10</f>
        <v>0</v>
      </c>
      <c r="T88" s="84"/>
      <c r="U88" s="761"/>
      <c r="V88" s="676"/>
      <c r="W88" s="676"/>
      <c r="X88" s="676"/>
      <c r="Y88" s="676"/>
      <c r="Z88" s="676"/>
      <c r="AA88" s="676"/>
      <c r="AB88" s="676"/>
      <c r="AC88" s="676"/>
      <c r="AD88" s="676"/>
      <c r="AE88" s="676"/>
      <c r="AF88" s="676"/>
      <c r="AG88" s="676"/>
      <c r="AH88" s="676"/>
    </row>
    <row r="89" spans="2:34" s="102" customFormat="1" x14ac:dyDescent="0.2">
      <c r="B89" s="721"/>
      <c r="C89" s="64">
        <v>25</v>
      </c>
      <c r="D89" s="124" t="s">
        <v>320</v>
      </c>
      <c r="E89" s="667" t="s">
        <v>223</v>
      </c>
      <c r="F89" s="708" t="s">
        <v>358</v>
      </c>
      <c r="G89" s="744">
        <v>0</v>
      </c>
      <c r="H89" s="745">
        <f t="shared" si="23"/>
        <v>0</v>
      </c>
      <c r="I89" s="745">
        <f t="shared" si="24"/>
        <v>0</v>
      </c>
      <c r="J89" s="745">
        <f t="shared" si="25"/>
        <v>0</v>
      </c>
      <c r="K89" s="745">
        <f t="shared" si="22"/>
        <v>0</v>
      </c>
      <c r="L89" s="745">
        <f t="shared" si="22"/>
        <v>0</v>
      </c>
      <c r="M89" s="84"/>
      <c r="N89" s="61">
        <v>0</v>
      </c>
      <c r="O89" s="61">
        <v>0</v>
      </c>
      <c r="P89" s="61">
        <v>0</v>
      </c>
      <c r="Q89" s="61">
        <v>0</v>
      </c>
      <c r="R89" s="61">
        <v>0</v>
      </c>
      <c r="S89" s="61">
        <f>+L89*tab!D$10</f>
        <v>0</v>
      </c>
      <c r="T89" s="84"/>
      <c r="U89" s="761"/>
      <c r="V89" s="676"/>
      <c r="W89" s="676"/>
      <c r="X89" s="676"/>
      <c r="Y89" s="676"/>
      <c r="Z89" s="676"/>
      <c r="AA89" s="676"/>
      <c r="AB89" s="676"/>
      <c r="AC89" s="676"/>
      <c r="AD89" s="676"/>
      <c r="AE89" s="676"/>
      <c r="AF89" s="676"/>
      <c r="AG89" s="676"/>
      <c r="AH89" s="676"/>
    </row>
    <row r="90" spans="2:34" s="102" customFormat="1" x14ac:dyDescent="0.2">
      <c r="B90" s="721"/>
      <c r="C90" s="64"/>
      <c r="D90" s="722"/>
      <c r="E90" s="949"/>
      <c r="F90" s="708" t="s">
        <v>359</v>
      </c>
      <c r="G90" s="744">
        <v>0</v>
      </c>
      <c r="H90" s="745">
        <f t="shared" si="23"/>
        <v>0</v>
      </c>
      <c r="I90" s="745">
        <f t="shared" si="24"/>
        <v>0</v>
      </c>
      <c r="J90" s="745">
        <f t="shared" si="25"/>
        <v>0</v>
      </c>
      <c r="K90" s="745">
        <f t="shared" si="22"/>
        <v>0</v>
      </c>
      <c r="L90" s="745">
        <f t="shared" si="22"/>
        <v>0</v>
      </c>
      <c r="M90" s="84"/>
      <c r="N90" s="61">
        <v>0</v>
      </c>
      <c r="O90" s="61">
        <v>0</v>
      </c>
      <c r="P90" s="61">
        <v>0</v>
      </c>
      <c r="Q90" s="61">
        <v>0</v>
      </c>
      <c r="R90" s="61">
        <v>0</v>
      </c>
      <c r="S90" s="61">
        <f>+L90*tab!D$10</f>
        <v>0</v>
      </c>
      <c r="T90" s="84"/>
      <c r="U90" s="761"/>
      <c r="V90" s="676"/>
      <c r="W90" s="676"/>
      <c r="X90" s="676"/>
      <c r="Y90" s="676"/>
      <c r="Z90" s="676"/>
      <c r="AA90" s="676"/>
      <c r="AB90" s="676"/>
      <c r="AC90" s="676"/>
      <c r="AD90" s="676"/>
      <c r="AE90" s="676"/>
      <c r="AF90" s="676"/>
      <c r="AG90" s="676"/>
      <c r="AH90" s="676"/>
    </row>
    <row r="91" spans="2:34" s="102" customFormat="1" x14ac:dyDescent="0.2">
      <c r="B91" s="721"/>
      <c r="C91" s="64">
        <v>26</v>
      </c>
      <c r="D91" s="124" t="s">
        <v>321</v>
      </c>
      <c r="E91" s="667" t="s">
        <v>223</v>
      </c>
      <c r="F91" s="708" t="s">
        <v>358</v>
      </c>
      <c r="G91" s="744">
        <v>0</v>
      </c>
      <c r="H91" s="745">
        <f t="shared" si="23"/>
        <v>0</v>
      </c>
      <c r="I91" s="745">
        <f t="shared" si="24"/>
        <v>0</v>
      </c>
      <c r="J91" s="745">
        <f t="shared" si="25"/>
        <v>0</v>
      </c>
      <c r="K91" s="745">
        <f t="shared" si="22"/>
        <v>0</v>
      </c>
      <c r="L91" s="745">
        <f t="shared" si="22"/>
        <v>0</v>
      </c>
      <c r="M91" s="84"/>
      <c r="N91" s="61">
        <v>0</v>
      </c>
      <c r="O91" s="61">
        <v>0</v>
      </c>
      <c r="P91" s="61">
        <v>0</v>
      </c>
      <c r="Q91" s="61">
        <v>0</v>
      </c>
      <c r="R91" s="61">
        <v>0</v>
      </c>
      <c r="S91" s="61">
        <f>+L91*tab!D$10</f>
        <v>0</v>
      </c>
      <c r="T91" s="84"/>
      <c r="U91" s="761"/>
      <c r="V91" s="676"/>
      <c r="W91" s="676"/>
      <c r="X91" s="676"/>
      <c r="Y91" s="676"/>
      <c r="Z91" s="676"/>
      <c r="AA91" s="676"/>
      <c r="AB91" s="676"/>
      <c r="AC91" s="676"/>
      <c r="AD91" s="676"/>
      <c r="AE91" s="676"/>
      <c r="AF91" s="676"/>
      <c r="AG91" s="676"/>
      <c r="AH91" s="676"/>
    </row>
    <row r="92" spans="2:34" s="102" customFormat="1" x14ac:dyDescent="0.2">
      <c r="B92" s="721"/>
      <c r="C92" s="64"/>
      <c r="D92" s="722"/>
      <c r="E92" s="949"/>
      <c r="F92" s="708" t="s">
        <v>359</v>
      </c>
      <c r="G92" s="744">
        <v>0</v>
      </c>
      <c r="H92" s="745">
        <f t="shared" si="23"/>
        <v>0</v>
      </c>
      <c r="I92" s="745">
        <f t="shared" si="24"/>
        <v>0</v>
      </c>
      <c r="J92" s="745">
        <f t="shared" si="25"/>
        <v>0</v>
      </c>
      <c r="K92" s="745">
        <f t="shared" si="22"/>
        <v>0</v>
      </c>
      <c r="L92" s="745">
        <f t="shared" si="22"/>
        <v>0</v>
      </c>
      <c r="M92" s="84"/>
      <c r="N92" s="61">
        <v>0</v>
      </c>
      <c r="O92" s="61">
        <v>0</v>
      </c>
      <c r="P92" s="61">
        <v>0</v>
      </c>
      <c r="Q92" s="61">
        <v>0</v>
      </c>
      <c r="R92" s="61">
        <v>0</v>
      </c>
      <c r="S92" s="61">
        <f>+L92*tab!D$10</f>
        <v>0</v>
      </c>
      <c r="T92" s="84"/>
      <c r="U92" s="761"/>
      <c r="V92" s="676"/>
      <c r="W92" s="676"/>
      <c r="X92" s="676"/>
      <c r="Y92" s="676"/>
      <c r="Z92" s="676"/>
      <c r="AA92" s="676"/>
      <c r="AB92" s="676"/>
      <c r="AC92" s="676"/>
      <c r="AD92" s="676"/>
      <c r="AE92" s="676"/>
      <c r="AF92" s="676"/>
      <c r="AG92" s="676"/>
      <c r="AH92" s="676"/>
    </row>
    <row r="93" spans="2:34" s="102" customFormat="1" x14ac:dyDescent="0.2">
      <c r="B93" s="721"/>
      <c r="C93" s="64">
        <v>27</v>
      </c>
      <c r="D93" s="124" t="s">
        <v>256</v>
      </c>
      <c r="E93" s="667" t="s">
        <v>223</v>
      </c>
      <c r="F93" s="708" t="s">
        <v>358</v>
      </c>
      <c r="G93" s="744">
        <v>0</v>
      </c>
      <c r="H93" s="745">
        <f t="shared" si="23"/>
        <v>0</v>
      </c>
      <c r="I93" s="745">
        <f t="shared" si="24"/>
        <v>0</v>
      </c>
      <c r="J93" s="745">
        <f t="shared" si="25"/>
        <v>0</v>
      </c>
      <c r="K93" s="745">
        <f t="shared" si="22"/>
        <v>0</v>
      </c>
      <c r="L93" s="745">
        <f t="shared" si="22"/>
        <v>0</v>
      </c>
      <c r="M93" s="84"/>
      <c r="N93" s="61">
        <v>0</v>
      </c>
      <c r="O93" s="61">
        <v>0</v>
      </c>
      <c r="P93" s="61">
        <v>0</v>
      </c>
      <c r="Q93" s="61">
        <v>0</v>
      </c>
      <c r="R93" s="61">
        <v>0</v>
      </c>
      <c r="S93" s="61">
        <f>+L93*tab!D$10</f>
        <v>0</v>
      </c>
      <c r="T93" s="84"/>
      <c r="U93" s="761"/>
      <c r="V93" s="676"/>
      <c r="W93" s="676"/>
      <c r="X93" s="676"/>
      <c r="Y93" s="676"/>
      <c r="Z93" s="676"/>
      <c r="AA93" s="676"/>
      <c r="AB93" s="676"/>
      <c r="AC93" s="676"/>
      <c r="AD93" s="676"/>
      <c r="AE93" s="676"/>
      <c r="AF93" s="676"/>
      <c r="AG93" s="676"/>
      <c r="AH93" s="676"/>
    </row>
    <row r="94" spans="2:34" s="102" customFormat="1" x14ac:dyDescent="0.2">
      <c r="B94" s="721"/>
      <c r="C94" s="64"/>
      <c r="D94" s="722"/>
      <c r="E94" s="949"/>
      <c r="F94" s="708" t="s">
        <v>359</v>
      </c>
      <c r="G94" s="744">
        <v>0</v>
      </c>
      <c r="H94" s="745">
        <f t="shared" si="23"/>
        <v>0</v>
      </c>
      <c r="I94" s="745">
        <f t="shared" si="24"/>
        <v>0</v>
      </c>
      <c r="J94" s="745">
        <f t="shared" si="25"/>
        <v>0</v>
      </c>
      <c r="K94" s="745">
        <f t="shared" si="22"/>
        <v>0</v>
      </c>
      <c r="L94" s="745">
        <f t="shared" si="22"/>
        <v>0</v>
      </c>
      <c r="M94" s="84"/>
      <c r="N94" s="61">
        <v>0</v>
      </c>
      <c r="O94" s="61">
        <v>0</v>
      </c>
      <c r="P94" s="61">
        <v>0</v>
      </c>
      <c r="Q94" s="61">
        <v>0</v>
      </c>
      <c r="R94" s="61">
        <v>0</v>
      </c>
      <c r="S94" s="61">
        <f>+L94*tab!D$10</f>
        <v>0</v>
      </c>
      <c r="T94" s="84"/>
      <c r="U94" s="761"/>
      <c r="V94" s="676"/>
      <c r="W94" s="676"/>
      <c r="X94" s="676"/>
      <c r="Y94" s="676"/>
      <c r="Z94" s="676"/>
      <c r="AA94" s="676"/>
      <c r="AB94" s="676"/>
      <c r="AC94" s="676"/>
      <c r="AD94" s="676"/>
      <c r="AE94" s="676"/>
      <c r="AF94" s="676"/>
      <c r="AG94" s="676"/>
      <c r="AH94" s="676"/>
    </row>
    <row r="95" spans="2:34" s="102" customFormat="1" x14ac:dyDescent="0.2">
      <c r="B95" s="721"/>
      <c r="C95" s="64">
        <v>28</v>
      </c>
      <c r="D95" s="124" t="s">
        <v>257</v>
      </c>
      <c r="E95" s="667" t="s">
        <v>223</v>
      </c>
      <c r="F95" s="708" t="s">
        <v>358</v>
      </c>
      <c r="G95" s="744">
        <v>0</v>
      </c>
      <c r="H95" s="745">
        <f t="shared" si="23"/>
        <v>0</v>
      </c>
      <c r="I95" s="745">
        <f t="shared" si="24"/>
        <v>0</v>
      </c>
      <c r="J95" s="745">
        <f t="shared" si="25"/>
        <v>0</v>
      </c>
      <c r="K95" s="745">
        <f t="shared" si="22"/>
        <v>0</v>
      </c>
      <c r="L95" s="745">
        <f t="shared" si="22"/>
        <v>0</v>
      </c>
      <c r="M95" s="84"/>
      <c r="N95" s="61">
        <v>0</v>
      </c>
      <c r="O95" s="61">
        <v>0</v>
      </c>
      <c r="P95" s="61">
        <v>0</v>
      </c>
      <c r="Q95" s="61">
        <v>0</v>
      </c>
      <c r="R95" s="61">
        <v>0</v>
      </c>
      <c r="S95" s="61">
        <f>+L95*tab!D$10</f>
        <v>0</v>
      </c>
      <c r="T95" s="84"/>
      <c r="U95" s="761"/>
      <c r="V95" s="676"/>
      <c r="W95" s="676"/>
      <c r="X95" s="676"/>
      <c r="Y95" s="676"/>
      <c r="Z95" s="676"/>
      <c r="AA95" s="676"/>
      <c r="AB95" s="676"/>
      <c r="AC95" s="676"/>
      <c r="AD95" s="676"/>
      <c r="AE95" s="676"/>
      <c r="AF95" s="676"/>
      <c r="AG95" s="676"/>
      <c r="AH95" s="676"/>
    </row>
    <row r="96" spans="2:34" s="102" customFormat="1" x14ac:dyDescent="0.2">
      <c r="B96" s="721"/>
      <c r="C96" s="64"/>
      <c r="D96" s="722"/>
      <c r="E96" s="949"/>
      <c r="F96" s="708" t="s">
        <v>359</v>
      </c>
      <c r="G96" s="744">
        <v>0</v>
      </c>
      <c r="H96" s="745">
        <f t="shared" si="23"/>
        <v>0</v>
      </c>
      <c r="I96" s="745">
        <f t="shared" si="24"/>
        <v>0</v>
      </c>
      <c r="J96" s="745">
        <f t="shared" si="25"/>
        <v>0</v>
      </c>
      <c r="K96" s="745">
        <f t="shared" si="22"/>
        <v>0</v>
      </c>
      <c r="L96" s="745">
        <f t="shared" si="22"/>
        <v>0</v>
      </c>
      <c r="M96" s="84"/>
      <c r="N96" s="61">
        <v>0</v>
      </c>
      <c r="O96" s="61">
        <v>0</v>
      </c>
      <c r="P96" s="61">
        <v>0</v>
      </c>
      <c r="Q96" s="61">
        <v>0</v>
      </c>
      <c r="R96" s="61">
        <v>0</v>
      </c>
      <c r="S96" s="61">
        <f>+L96*tab!D$10</f>
        <v>0</v>
      </c>
      <c r="T96" s="84"/>
      <c r="U96" s="761"/>
      <c r="V96" s="676"/>
      <c r="W96" s="676"/>
      <c r="X96" s="676"/>
      <c r="Y96" s="676"/>
      <c r="Z96" s="676"/>
      <c r="AA96" s="676"/>
      <c r="AB96" s="676"/>
      <c r="AC96" s="676"/>
      <c r="AD96" s="676"/>
      <c r="AE96" s="676"/>
      <c r="AF96" s="676"/>
      <c r="AG96" s="676"/>
      <c r="AH96" s="676"/>
    </row>
    <row r="97" spans="2:34" s="102" customFormat="1" x14ac:dyDescent="0.2">
      <c r="B97" s="721"/>
      <c r="C97" s="64">
        <v>29</v>
      </c>
      <c r="D97" s="124" t="s">
        <v>258</v>
      </c>
      <c r="E97" s="667" t="s">
        <v>223</v>
      </c>
      <c r="F97" s="708" t="s">
        <v>358</v>
      </c>
      <c r="G97" s="744">
        <v>0</v>
      </c>
      <c r="H97" s="745">
        <f t="shared" si="23"/>
        <v>0</v>
      </c>
      <c r="I97" s="745">
        <f t="shared" si="24"/>
        <v>0</v>
      </c>
      <c r="J97" s="745">
        <f t="shared" si="25"/>
        <v>0</v>
      </c>
      <c r="K97" s="745">
        <f t="shared" si="22"/>
        <v>0</v>
      </c>
      <c r="L97" s="745">
        <f t="shared" si="22"/>
        <v>0</v>
      </c>
      <c r="M97" s="84"/>
      <c r="N97" s="61">
        <v>0</v>
      </c>
      <c r="O97" s="61">
        <v>0</v>
      </c>
      <c r="P97" s="61">
        <v>0</v>
      </c>
      <c r="Q97" s="61">
        <v>0</v>
      </c>
      <c r="R97" s="61">
        <v>0</v>
      </c>
      <c r="S97" s="61">
        <f>+L97*tab!D$10</f>
        <v>0</v>
      </c>
      <c r="T97" s="84"/>
      <c r="U97" s="761"/>
      <c r="V97" s="676"/>
      <c r="W97" s="676"/>
      <c r="X97" s="676"/>
      <c r="Y97" s="676"/>
      <c r="Z97" s="676"/>
      <c r="AA97" s="676"/>
      <c r="AB97" s="676"/>
      <c r="AC97" s="676"/>
      <c r="AD97" s="676"/>
      <c r="AE97" s="676"/>
      <c r="AF97" s="676"/>
      <c r="AG97" s="676"/>
      <c r="AH97" s="676"/>
    </row>
    <row r="98" spans="2:34" s="102" customFormat="1" x14ac:dyDescent="0.2">
      <c r="B98" s="721"/>
      <c r="C98" s="64"/>
      <c r="D98" s="722"/>
      <c r="E98" s="949"/>
      <c r="F98" s="708" t="s">
        <v>359</v>
      </c>
      <c r="G98" s="744">
        <v>0</v>
      </c>
      <c r="H98" s="745">
        <f t="shared" si="23"/>
        <v>0</v>
      </c>
      <c r="I98" s="745">
        <f t="shared" si="24"/>
        <v>0</v>
      </c>
      <c r="J98" s="745">
        <f t="shared" si="25"/>
        <v>0</v>
      </c>
      <c r="K98" s="745">
        <f t="shared" si="22"/>
        <v>0</v>
      </c>
      <c r="L98" s="745">
        <f t="shared" si="22"/>
        <v>0</v>
      </c>
      <c r="M98" s="84"/>
      <c r="N98" s="61">
        <v>0</v>
      </c>
      <c r="O98" s="61">
        <v>0</v>
      </c>
      <c r="P98" s="61">
        <v>0</v>
      </c>
      <c r="Q98" s="61">
        <v>0</v>
      </c>
      <c r="R98" s="61">
        <v>0</v>
      </c>
      <c r="S98" s="61">
        <f>+L98*tab!D$10</f>
        <v>0</v>
      </c>
      <c r="T98" s="84"/>
      <c r="U98" s="761"/>
      <c r="V98" s="676"/>
      <c r="W98" s="676"/>
      <c r="X98" s="676"/>
      <c r="Y98" s="676"/>
      <c r="Z98" s="676"/>
      <c r="AA98" s="676"/>
      <c r="AB98" s="676"/>
      <c r="AC98" s="676"/>
      <c r="AD98" s="676"/>
      <c r="AE98" s="676"/>
      <c r="AF98" s="676"/>
      <c r="AG98" s="676"/>
      <c r="AH98" s="676"/>
    </row>
    <row r="99" spans="2:34" s="102" customFormat="1" x14ac:dyDescent="0.2">
      <c r="B99" s="721"/>
      <c r="C99" s="64">
        <v>30</v>
      </c>
      <c r="D99" s="724" t="s">
        <v>259</v>
      </c>
      <c r="E99" s="725" t="s">
        <v>223</v>
      </c>
      <c r="F99" s="708" t="s">
        <v>358</v>
      </c>
      <c r="G99" s="744">
        <v>0</v>
      </c>
      <c r="H99" s="746">
        <f t="shared" si="23"/>
        <v>0</v>
      </c>
      <c r="I99" s="746">
        <f t="shared" si="24"/>
        <v>0</v>
      </c>
      <c r="J99" s="746">
        <f t="shared" si="25"/>
        <v>0</v>
      </c>
      <c r="K99" s="746">
        <f t="shared" si="22"/>
        <v>0</v>
      </c>
      <c r="L99" s="746">
        <f t="shared" si="22"/>
        <v>0</v>
      </c>
      <c r="M99" s="400"/>
      <c r="N99" s="61">
        <v>0</v>
      </c>
      <c r="O99" s="61">
        <v>0</v>
      </c>
      <c r="P99" s="61">
        <v>0</v>
      </c>
      <c r="Q99" s="61">
        <v>0</v>
      </c>
      <c r="R99" s="61">
        <v>0</v>
      </c>
      <c r="S99" s="61">
        <f>+L99*tab!D$10</f>
        <v>0</v>
      </c>
      <c r="T99" s="400"/>
      <c r="U99" s="761"/>
      <c r="V99" s="676"/>
      <c r="W99" s="676"/>
      <c r="X99" s="676"/>
      <c r="Y99" s="676"/>
      <c r="Z99" s="676"/>
      <c r="AA99" s="676"/>
      <c r="AB99" s="676"/>
      <c r="AC99" s="676"/>
      <c r="AD99" s="676"/>
      <c r="AE99" s="676"/>
      <c r="AF99" s="676"/>
      <c r="AG99" s="676"/>
      <c r="AH99" s="676"/>
    </row>
    <row r="100" spans="2:34" s="102" customFormat="1" x14ac:dyDescent="0.2">
      <c r="B100" s="721"/>
      <c r="C100" s="62"/>
      <c r="D100" s="722"/>
      <c r="E100" s="496"/>
      <c r="F100" s="726" t="s">
        <v>359</v>
      </c>
      <c r="G100" s="744">
        <v>0</v>
      </c>
      <c r="H100" s="745">
        <f t="shared" si="23"/>
        <v>0</v>
      </c>
      <c r="I100" s="745">
        <f t="shared" si="24"/>
        <v>0</v>
      </c>
      <c r="J100" s="745">
        <f t="shared" si="25"/>
        <v>0</v>
      </c>
      <c r="K100" s="745">
        <f t="shared" si="22"/>
        <v>0</v>
      </c>
      <c r="L100" s="745">
        <f t="shared" si="22"/>
        <v>0</v>
      </c>
      <c r="M100" s="84"/>
      <c r="N100" s="61">
        <v>0</v>
      </c>
      <c r="O100" s="61">
        <v>0</v>
      </c>
      <c r="P100" s="61">
        <v>0</v>
      </c>
      <c r="Q100" s="61">
        <v>0</v>
      </c>
      <c r="R100" s="61">
        <v>0</v>
      </c>
      <c r="S100" s="61">
        <f>+L100*tab!D$10</f>
        <v>0</v>
      </c>
      <c r="T100" s="84"/>
      <c r="U100" s="761"/>
      <c r="V100" s="676"/>
      <c r="W100" s="676"/>
      <c r="X100" s="676"/>
      <c r="Y100" s="676"/>
      <c r="Z100" s="676"/>
      <c r="AA100" s="676"/>
      <c r="AB100" s="676"/>
      <c r="AC100" s="676"/>
      <c r="AD100" s="676"/>
      <c r="AE100" s="676"/>
      <c r="AF100" s="676"/>
      <c r="AG100" s="676"/>
      <c r="AH100" s="676"/>
    </row>
    <row r="101" spans="2:34" s="102" customFormat="1" x14ac:dyDescent="0.2">
      <c r="B101" s="721"/>
      <c r="C101" s="102">
        <v>31</v>
      </c>
      <c r="D101" s="124" t="s">
        <v>386</v>
      </c>
      <c r="E101" s="417" t="s">
        <v>223</v>
      </c>
      <c r="F101" s="726" t="s">
        <v>358</v>
      </c>
      <c r="G101" s="744">
        <v>0</v>
      </c>
      <c r="H101" s="745">
        <f t="shared" ref="H101:H140" si="26">G101</f>
        <v>0</v>
      </c>
      <c r="I101" s="745">
        <f t="shared" ref="I101:I140" si="27">H101</f>
        <v>0</v>
      </c>
      <c r="J101" s="745">
        <f t="shared" ref="J101:J140" si="28">I101</f>
        <v>0</v>
      </c>
      <c r="K101" s="745">
        <f t="shared" si="22"/>
        <v>0</v>
      </c>
      <c r="L101" s="745">
        <f t="shared" si="22"/>
        <v>0</v>
      </c>
      <c r="M101" s="84"/>
      <c r="N101" s="61">
        <v>0</v>
      </c>
      <c r="O101" s="61">
        <v>0</v>
      </c>
      <c r="P101" s="61">
        <v>0</v>
      </c>
      <c r="Q101" s="61">
        <v>0</v>
      </c>
      <c r="R101" s="61">
        <v>0</v>
      </c>
      <c r="S101" s="61">
        <f>+L101*tab!D$10</f>
        <v>0</v>
      </c>
      <c r="T101" s="84"/>
      <c r="U101" s="761"/>
      <c r="V101" s="676"/>
      <c r="W101" s="676"/>
      <c r="X101" s="676"/>
      <c r="Y101" s="676"/>
      <c r="Z101" s="676"/>
      <c r="AA101" s="676"/>
      <c r="AB101" s="676"/>
      <c r="AC101" s="676"/>
      <c r="AD101" s="676"/>
      <c r="AE101" s="676"/>
      <c r="AF101" s="676"/>
      <c r="AG101" s="676"/>
      <c r="AH101" s="676"/>
    </row>
    <row r="102" spans="2:34" s="102" customFormat="1" x14ac:dyDescent="0.2">
      <c r="B102" s="721"/>
      <c r="D102" s="722"/>
      <c r="E102" s="496"/>
      <c r="F102" s="726" t="s">
        <v>359</v>
      </c>
      <c r="G102" s="744">
        <v>0</v>
      </c>
      <c r="H102" s="745">
        <f t="shared" si="26"/>
        <v>0</v>
      </c>
      <c r="I102" s="745">
        <f t="shared" si="27"/>
        <v>0</v>
      </c>
      <c r="J102" s="745">
        <f t="shared" si="28"/>
        <v>0</v>
      </c>
      <c r="K102" s="745">
        <f t="shared" si="22"/>
        <v>0</v>
      </c>
      <c r="L102" s="745">
        <f t="shared" si="22"/>
        <v>0</v>
      </c>
      <c r="M102" s="84"/>
      <c r="N102" s="61">
        <v>0</v>
      </c>
      <c r="O102" s="61">
        <v>0</v>
      </c>
      <c r="P102" s="61">
        <v>0</v>
      </c>
      <c r="Q102" s="61">
        <v>0</v>
      </c>
      <c r="R102" s="61">
        <v>0</v>
      </c>
      <c r="S102" s="61">
        <f>+L102*tab!D$10</f>
        <v>0</v>
      </c>
      <c r="T102" s="84"/>
      <c r="U102" s="761"/>
      <c r="V102" s="676"/>
      <c r="W102" s="676"/>
      <c r="X102" s="676"/>
      <c r="Y102" s="676"/>
      <c r="Z102" s="676"/>
      <c r="AA102" s="676"/>
      <c r="AB102" s="676"/>
      <c r="AC102" s="676"/>
      <c r="AD102" s="676"/>
      <c r="AE102" s="676"/>
      <c r="AF102" s="676"/>
      <c r="AG102" s="676"/>
      <c r="AH102" s="676"/>
    </row>
    <row r="103" spans="2:34" s="102" customFormat="1" x14ac:dyDescent="0.2">
      <c r="B103" s="721"/>
      <c r="C103" s="102">
        <v>32</v>
      </c>
      <c r="D103" s="124" t="s">
        <v>387</v>
      </c>
      <c r="E103" s="417" t="s">
        <v>223</v>
      </c>
      <c r="F103" s="726" t="s">
        <v>358</v>
      </c>
      <c r="G103" s="744">
        <v>0</v>
      </c>
      <c r="H103" s="745">
        <f t="shared" si="26"/>
        <v>0</v>
      </c>
      <c r="I103" s="745">
        <f t="shared" si="27"/>
        <v>0</v>
      </c>
      <c r="J103" s="745">
        <f t="shared" si="28"/>
        <v>0</v>
      </c>
      <c r="K103" s="745">
        <f t="shared" si="22"/>
        <v>0</v>
      </c>
      <c r="L103" s="745">
        <f t="shared" si="22"/>
        <v>0</v>
      </c>
      <c r="M103" s="84"/>
      <c r="N103" s="61">
        <v>0</v>
      </c>
      <c r="O103" s="61">
        <v>0</v>
      </c>
      <c r="P103" s="61">
        <v>0</v>
      </c>
      <c r="Q103" s="61">
        <v>0</v>
      </c>
      <c r="R103" s="61">
        <v>0</v>
      </c>
      <c r="S103" s="61">
        <f>+L103*tab!D$10</f>
        <v>0</v>
      </c>
      <c r="T103" s="84"/>
      <c r="U103" s="761"/>
      <c r="V103" s="676"/>
      <c r="W103" s="676"/>
      <c r="X103" s="676"/>
      <c r="Y103" s="676"/>
      <c r="Z103" s="676"/>
      <c r="AA103" s="676"/>
      <c r="AB103" s="676"/>
      <c r="AC103" s="676"/>
      <c r="AD103" s="676"/>
      <c r="AE103" s="676"/>
      <c r="AF103" s="676"/>
      <c r="AG103" s="676"/>
      <c r="AH103" s="676"/>
    </row>
    <row r="104" spans="2:34" s="102" customFormat="1" x14ac:dyDescent="0.2">
      <c r="B104" s="721"/>
      <c r="D104" s="722"/>
      <c r="E104" s="496"/>
      <c r="F104" s="726" t="s">
        <v>359</v>
      </c>
      <c r="G104" s="744">
        <v>0</v>
      </c>
      <c r="H104" s="745">
        <f t="shared" si="26"/>
        <v>0</v>
      </c>
      <c r="I104" s="745">
        <f t="shared" si="27"/>
        <v>0</v>
      </c>
      <c r="J104" s="745">
        <f t="shared" si="28"/>
        <v>0</v>
      </c>
      <c r="K104" s="745">
        <f t="shared" si="22"/>
        <v>0</v>
      </c>
      <c r="L104" s="745">
        <f t="shared" si="22"/>
        <v>0</v>
      </c>
      <c r="M104" s="84"/>
      <c r="N104" s="61">
        <v>0</v>
      </c>
      <c r="O104" s="61">
        <v>0</v>
      </c>
      <c r="P104" s="61">
        <v>0</v>
      </c>
      <c r="Q104" s="61">
        <v>0</v>
      </c>
      <c r="R104" s="61">
        <v>0</v>
      </c>
      <c r="S104" s="61">
        <f>+L104*tab!D$10</f>
        <v>0</v>
      </c>
      <c r="T104" s="84"/>
      <c r="U104" s="761"/>
      <c r="V104" s="676"/>
      <c r="W104" s="676"/>
      <c r="X104" s="676"/>
      <c r="Y104" s="676"/>
      <c r="Z104" s="676"/>
      <c r="AA104" s="676"/>
      <c r="AB104" s="676"/>
      <c r="AC104" s="676"/>
      <c r="AD104" s="676"/>
      <c r="AE104" s="676"/>
      <c r="AF104" s="676"/>
      <c r="AG104" s="676"/>
      <c r="AH104" s="676"/>
    </row>
    <row r="105" spans="2:34" s="102" customFormat="1" x14ac:dyDescent="0.2">
      <c r="B105" s="721"/>
      <c r="C105" s="102">
        <v>33</v>
      </c>
      <c r="D105" s="124" t="s">
        <v>388</v>
      </c>
      <c r="E105" s="417" t="s">
        <v>223</v>
      </c>
      <c r="F105" s="726" t="s">
        <v>358</v>
      </c>
      <c r="G105" s="744">
        <v>0</v>
      </c>
      <c r="H105" s="745">
        <f t="shared" si="26"/>
        <v>0</v>
      </c>
      <c r="I105" s="745">
        <f t="shared" si="27"/>
        <v>0</v>
      </c>
      <c r="J105" s="745">
        <f t="shared" si="28"/>
        <v>0</v>
      </c>
      <c r="K105" s="745">
        <f t="shared" si="22"/>
        <v>0</v>
      </c>
      <c r="L105" s="745">
        <f t="shared" si="22"/>
        <v>0</v>
      </c>
      <c r="M105" s="84"/>
      <c r="N105" s="61">
        <v>0</v>
      </c>
      <c r="O105" s="61">
        <v>0</v>
      </c>
      <c r="P105" s="61">
        <v>0</v>
      </c>
      <c r="Q105" s="61">
        <v>0</v>
      </c>
      <c r="R105" s="61">
        <v>0</v>
      </c>
      <c r="S105" s="61">
        <f>+L105*tab!D$10</f>
        <v>0</v>
      </c>
      <c r="T105" s="84"/>
      <c r="U105" s="761"/>
      <c r="V105" s="676"/>
      <c r="W105" s="676"/>
      <c r="X105" s="676"/>
      <c r="Y105" s="676"/>
      <c r="Z105" s="676"/>
      <c r="AA105" s="676"/>
      <c r="AB105" s="676"/>
      <c r="AC105" s="676"/>
      <c r="AD105" s="676"/>
      <c r="AE105" s="676"/>
      <c r="AF105" s="676"/>
      <c r="AG105" s="676"/>
      <c r="AH105" s="676"/>
    </row>
    <row r="106" spans="2:34" s="102" customFormat="1" x14ac:dyDescent="0.2">
      <c r="B106" s="721"/>
      <c r="D106" s="722"/>
      <c r="E106" s="496"/>
      <c r="F106" s="726" t="s">
        <v>359</v>
      </c>
      <c r="G106" s="744">
        <v>0</v>
      </c>
      <c r="H106" s="745">
        <f t="shared" si="26"/>
        <v>0</v>
      </c>
      <c r="I106" s="745">
        <f t="shared" si="27"/>
        <v>0</v>
      </c>
      <c r="J106" s="745">
        <f t="shared" si="28"/>
        <v>0</v>
      </c>
      <c r="K106" s="745">
        <f t="shared" si="22"/>
        <v>0</v>
      </c>
      <c r="L106" s="745">
        <f t="shared" si="22"/>
        <v>0</v>
      </c>
      <c r="M106" s="84"/>
      <c r="N106" s="61">
        <v>0</v>
      </c>
      <c r="O106" s="61">
        <v>0</v>
      </c>
      <c r="P106" s="61">
        <v>0</v>
      </c>
      <c r="Q106" s="61">
        <v>0</v>
      </c>
      <c r="R106" s="61">
        <v>0</v>
      </c>
      <c r="S106" s="61">
        <f>+L106*tab!D$10</f>
        <v>0</v>
      </c>
      <c r="T106" s="84"/>
      <c r="U106" s="761"/>
      <c r="V106" s="676"/>
      <c r="W106" s="676"/>
      <c r="X106" s="676"/>
      <c r="Y106" s="676"/>
      <c r="Z106" s="676"/>
      <c r="AA106" s="676"/>
      <c r="AB106" s="676"/>
      <c r="AC106" s="676"/>
      <c r="AD106" s="676"/>
      <c r="AE106" s="676"/>
      <c r="AF106" s="676"/>
      <c r="AG106" s="676"/>
      <c r="AH106" s="676"/>
    </row>
    <row r="107" spans="2:34" s="102" customFormat="1" x14ac:dyDescent="0.2">
      <c r="B107" s="721"/>
      <c r="C107" s="102">
        <v>34</v>
      </c>
      <c r="D107" s="124" t="s">
        <v>389</v>
      </c>
      <c r="E107" s="417" t="s">
        <v>223</v>
      </c>
      <c r="F107" s="726" t="s">
        <v>358</v>
      </c>
      <c r="G107" s="744">
        <v>0</v>
      </c>
      <c r="H107" s="745">
        <f t="shared" si="26"/>
        <v>0</v>
      </c>
      <c r="I107" s="745">
        <f t="shared" si="27"/>
        <v>0</v>
      </c>
      <c r="J107" s="745">
        <f t="shared" si="28"/>
        <v>0</v>
      </c>
      <c r="K107" s="745">
        <f t="shared" si="22"/>
        <v>0</v>
      </c>
      <c r="L107" s="745">
        <f t="shared" si="22"/>
        <v>0</v>
      </c>
      <c r="M107" s="84"/>
      <c r="N107" s="61">
        <v>0</v>
      </c>
      <c r="O107" s="61">
        <v>0</v>
      </c>
      <c r="P107" s="61">
        <v>0</v>
      </c>
      <c r="Q107" s="61">
        <v>0</v>
      </c>
      <c r="R107" s="61">
        <v>0</v>
      </c>
      <c r="S107" s="61">
        <f>+L107*tab!D$10</f>
        <v>0</v>
      </c>
      <c r="T107" s="84"/>
      <c r="U107" s="761"/>
      <c r="V107" s="676"/>
      <c r="W107" s="676"/>
      <c r="X107" s="676"/>
      <c r="Y107" s="676"/>
      <c r="Z107" s="676"/>
      <c r="AA107" s="676"/>
      <c r="AB107" s="676"/>
      <c r="AC107" s="676"/>
      <c r="AD107" s="676"/>
      <c r="AE107" s="676"/>
      <c r="AF107" s="676"/>
      <c r="AG107" s="676"/>
      <c r="AH107" s="676"/>
    </row>
    <row r="108" spans="2:34" s="102" customFormat="1" x14ac:dyDescent="0.2">
      <c r="B108" s="721"/>
      <c r="D108" s="722"/>
      <c r="E108" s="496"/>
      <c r="F108" s="726" t="s">
        <v>359</v>
      </c>
      <c r="G108" s="744">
        <v>0</v>
      </c>
      <c r="H108" s="745">
        <f t="shared" si="26"/>
        <v>0</v>
      </c>
      <c r="I108" s="745">
        <f t="shared" si="27"/>
        <v>0</v>
      </c>
      <c r="J108" s="745">
        <f t="shared" si="28"/>
        <v>0</v>
      </c>
      <c r="K108" s="745">
        <f t="shared" si="22"/>
        <v>0</v>
      </c>
      <c r="L108" s="745">
        <f t="shared" si="22"/>
        <v>0</v>
      </c>
      <c r="M108" s="84"/>
      <c r="N108" s="61">
        <v>0</v>
      </c>
      <c r="O108" s="61">
        <v>0</v>
      </c>
      <c r="P108" s="61">
        <v>0</v>
      </c>
      <c r="Q108" s="61">
        <v>0</v>
      </c>
      <c r="R108" s="61">
        <v>0</v>
      </c>
      <c r="S108" s="61">
        <f>+L108*tab!D$10</f>
        <v>0</v>
      </c>
      <c r="T108" s="84"/>
      <c r="U108" s="761"/>
      <c r="V108" s="676"/>
      <c r="W108" s="676"/>
      <c r="X108" s="676"/>
      <c r="Y108" s="676"/>
      <c r="Z108" s="676"/>
      <c r="AA108" s="676"/>
      <c r="AB108" s="676"/>
      <c r="AC108" s="676"/>
      <c r="AD108" s="676"/>
      <c r="AE108" s="676"/>
      <c r="AF108" s="676"/>
      <c r="AG108" s="676"/>
      <c r="AH108" s="676"/>
    </row>
    <row r="109" spans="2:34" s="102" customFormat="1" x14ac:dyDescent="0.2">
      <c r="B109" s="721"/>
      <c r="C109" s="102">
        <v>35</v>
      </c>
      <c r="D109" s="124" t="s">
        <v>390</v>
      </c>
      <c r="E109" s="417" t="s">
        <v>223</v>
      </c>
      <c r="F109" s="726" t="s">
        <v>358</v>
      </c>
      <c r="G109" s="744">
        <v>0</v>
      </c>
      <c r="H109" s="745">
        <f t="shared" si="26"/>
        <v>0</v>
      </c>
      <c r="I109" s="745">
        <f t="shared" si="27"/>
        <v>0</v>
      </c>
      <c r="J109" s="745">
        <f t="shared" si="28"/>
        <v>0</v>
      </c>
      <c r="K109" s="745">
        <f t="shared" si="22"/>
        <v>0</v>
      </c>
      <c r="L109" s="745">
        <f t="shared" si="22"/>
        <v>0</v>
      </c>
      <c r="M109" s="84"/>
      <c r="N109" s="61">
        <v>0</v>
      </c>
      <c r="O109" s="61">
        <v>0</v>
      </c>
      <c r="P109" s="61">
        <v>0</v>
      </c>
      <c r="Q109" s="61">
        <v>0</v>
      </c>
      <c r="R109" s="61">
        <v>0</v>
      </c>
      <c r="S109" s="61">
        <f>+L109*tab!D$10</f>
        <v>0</v>
      </c>
      <c r="T109" s="84"/>
      <c r="U109" s="761"/>
      <c r="V109" s="676"/>
      <c r="W109" s="676"/>
      <c r="X109" s="676"/>
      <c r="Y109" s="676"/>
      <c r="Z109" s="676"/>
      <c r="AA109" s="676"/>
      <c r="AB109" s="676"/>
      <c r="AC109" s="676"/>
      <c r="AD109" s="676"/>
      <c r="AE109" s="676"/>
      <c r="AF109" s="676"/>
      <c r="AG109" s="676"/>
      <c r="AH109" s="676"/>
    </row>
    <row r="110" spans="2:34" s="102" customFormat="1" x14ac:dyDescent="0.2">
      <c r="B110" s="721"/>
      <c r="D110" s="722"/>
      <c r="E110" s="496"/>
      <c r="F110" s="726" t="s">
        <v>359</v>
      </c>
      <c r="G110" s="744">
        <v>0</v>
      </c>
      <c r="H110" s="745">
        <f t="shared" si="26"/>
        <v>0</v>
      </c>
      <c r="I110" s="745">
        <f t="shared" si="27"/>
        <v>0</v>
      </c>
      <c r="J110" s="745">
        <f t="shared" si="28"/>
        <v>0</v>
      </c>
      <c r="K110" s="745">
        <f t="shared" si="22"/>
        <v>0</v>
      </c>
      <c r="L110" s="745">
        <f t="shared" si="22"/>
        <v>0</v>
      </c>
      <c r="M110" s="84"/>
      <c r="N110" s="61">
        <v>0</v>
      </c>
      <c r="O110" s="61">
        <v>0</v>
      </c>
      <c r="P110" s="61">
        <v>0</v>
      </c>
      <c r="Q110" s="61">
        <v>0</v>
      </c>
      <c r="R110" s="61">
        <v>0</v>
      </c>
      <c r="S110" s="61">
        <f>+L110*tab!D$10</f>
        <v>0</v>
      </c>
      <c r="T110" s="84"/>
      <c r="U110" s="761"/>
      <c r="V110" s="676"/>
      <c r="W110" s="676"/>
      <c r="X110" s="676"/>
      <c r="Y110" s="676"/>
      <c r="Z110" s="676"/>
      <c r="AA110" s="676"/>
      <c r="AB110" s="676"/>
      <c r="AC110" s="676"/>
      <c r="AD110" s="676"/>
      <c r="AE110" s="676"/>
      <c r="AF110" s="676"/>
      <c r="AG110" s="676"/>
      <c r="AH110" s="676"/>
    </row>
    <row r="111" spans="2:34" s="102" customFormat="1" x14ac:dyDescent="0.2">
      <c r="B111" s="721"/>
      <c r="C111" s="102">
        <v>36</v>
      </c>
      <c r="D111" s="124" t="s">
        <v>391</v>
      </c>
      <c r="E111" s="417" t="s">
        <v>223</v>
      </c>
      <c r="F111" s="726" t="s">
        <v>358</v>
      </c>
      <c r="G111" s="744">
        <v>0</v>
      </c>
      <c r="H111" s="745">
        <f t="shared" si="26"/>
        <v>0</v>
      </c>
      <c r="I111" s="745">
        <f t="shared" si="27"/>
        <v>0</v>
      </c>
      <c r="J111" s="745">
        <f t="shared" si="28"/>
        <v>0</v>
      </c>
      <c r="K111" s="745">
        <f t="shared" si="22"/>
        <v>0</v>
      </c>
      <c r="L111" s="745">
        <f t="shared" si="22"/>
        <v>0</v>
      </c>
      <c r="M111" s="84"/>
      <c r="N111" s="61">
        <v>0</v>
      </c>
      <c r="O111" s="61">
        <v>0</v>
      </c>
      <c r="P111" s="61">
        <v>0</v>
      </c>
      <c r="Q111" s="61">
        <v>0</v>
      </c>
      <c r="R111" s="61">
        <v>0</v>
      </c>
      <c r="S111" s="61">
        <f>+L111*tab!D$10</f>
        <v>0</v>
      </c>
      <c r="T111" s="84"/>
      <c r="U111" s="761"/>
      <c r="V111" s="676"/>
      <c r="W111" s="676"/>
      <c r="X111" s="676"/>
      <c r="Y111" s="676"/>
      <c r="Z111" s="676"/>
      <c r="AA111" s="676"/>
      <c r="AB111" s="676"/>
      <c r="AC111" s="676"/>
      <c r="AD111" s="676"/>
      <c r="AE111" s="676"/>
      <c r="AF111" s="676"/>
      <c r="AG111" s="676"/>
      <c r="AH111" s="676"/>
    </row>
    <row r="112" spans="2:34" s="102" customFormat="1" x14ac:dyDescent="0.2">
      <c r="B112" s="721"/>
      <c r="D112" s="722"/>
      <c r="E112" s="496"/>
      <c r="F112" s="726" t="s">
        <v>359</v>
      </c>
      <c r="G112" s="744">
        <v>0</v>
      </c>
      <c r="H112" s="745">
        <f t="shared" si="26"/>
        <v>0</v>
      </c>
      <c r="I112" s="745">
        <f t="shared" si="27"/>
        <v>0</v>
      </c>
      <c r="J112" s="745">
        <f t="shared" si="28"/>
        <v>0</v>
      </c>
      <c r="K112" s="745">
        <f t="shared" si="22"/>
        <v>0</v>
      </c>
      <c r="L112" s="745">
        <f t="shared" si="22"/>
        <v>0</v>
      </c>
      <c r="M112" s="84"/>
      <c r="N112" s="61">
        <v>0</v>
      </c>
      <c r="O112" s="61">
        <v>0</v>
      </c>
      <c r="P112" s="61">
        <v>0</v>
      </c>
      <c r="Q112" s="61">
        <v>0</v>
      </c>
      <c r="R112" s="61">
        <v>0</v>
      </c>
      <c r="S112" s="61">
        <f>+L112*tab!D$10</f>
        <v>0</v>
      </c>
      <c r="T112" s="84"/>
      <c r="U112" s="761"/>
      <c r="V112" s="676"/>
      <c r="W112" s="676"/>
      <c r="X112" s="676"/>
      <c r="Y112" s="676"/>
      <c r="Z112" s="676"/>
      <c r="AA112" s="676"/>
      <c r="AB112" s="676"/>
      <c r="AC112" s="676"/>
      <c r="AD112" s="676"/>
      <c r="AE112" s="676"/>
      <c r="AF112" s="676"/>
      <c r="AG112" s="676"/>
      <c r="AH112" s="676"/>
    </row>
    <row r="113" spans="2:34" s="102" customFormat="1" x14ac:dyDescent="0.2">
      <c r="B113" s="721"/>
      <c r="C113" s="102">
        <v>37</v>
      </c>
      <c r="D113" s="124" t="s">
        <v>392</v>
      </c>
      <c r="E113" s="417" t="s">
        <v>223</v>
      </c>
      <c r="F113" s="726" t="s">
        <v>358</v>
      </c>
      <c r="G113" s="744">
        <v>0</v>
      </c>
      <c r="H113" s="745">
        <f t="shared" si="26"/>
        <v>0</v>
      </c>
      <c r="I113" s="745">
        <f t="shared" si="27"/>
        <v>0</v>
      </c>
      <c r="J113" s="745">
        <f t="shared" si="28"/>
        <v>0</v>
      </c>
      <c r="K113" s="745">
        <f t="shared" si="22"/>
        <v>0</v>
      </c>
      <c r="L113" s="745">
        <f t="shared" si="22"/>
        <v>0</v>
      </c>
      <c r="M113" s="84"/>
      <c r="N113" s="61">
        <v>0</v>
      </c>
      <c r="O113" s="61">
        <v>0</v>
      </c>
      <c r="P113" s="61">
        <v>0</v>
      </c>
      <c r="Q113" s="61">
        <v>0</v>
      </c>
      <c r="R113" s="61">
        <v>0</v>
      </c>
      <c r="S113" s="61">
        <f>+L113*tab!D$10</f>
        <v>0</v>
      </c>
      <c r="T113" s="84"/>
      <c r="U113" s="761"/>
      <c r="V113" s="676"/>
      <c r="W113" s="676"/>
      <c r="X113" s="676"/>
      <c r="Y113" s="676"/>
      <c r="Z113" s="676"/>
      <c r="AA113" s="676"/>
      <c r="AB113" s="676"/>
      <c r="AC113" s="676"/>
      <c r="AD113" s="676"/>
      <c r="AE113" s="676"/>
      <c r="AF113" s="676"/>
      <c r="AG113" s="676"/>
      <c r="AH113" s="676"/>
    </row>
    <row r="114" spans="2:34" s="102" customFormat="1" x14ac:dyDescent="0.2">
      <c r="B114" s="721"/>
      <c r="D114" s="722"/>
      <c r="E114" s="496"/>
      <c r="F114" s="726" t="s">
        <v>359</v>
      </c>
      <c r="G114" s="744">
        <v>0</v>
      </c>
      <c r="H114" s="745">
        <f t="shared" si="26"/>
        <v>0</v>
      </c>
      <c r="I114" s="745">
        <f t="shared" si="27"/>
        <v>0</v>
      </c>
      <c r="J114" s="745">
        <f t="shared" si="28"/>
        <v>0</v>
      </c>
      <c r="K114" s="745">
        <f t="shared" si="22"/>
        <v>0</v>
      </c>
      <c r="L114" s="745">
        <f t="shared" si="22"/>
        <v>0</v>
      </c>
      <c r="M114" s="84"/>
      <c r="N114" s="61">
        <v>0</v>
      </c>
      <c r="O114" s="61">
        <v>0</v>
      </c>
      <c r="P114" s="61">
        <v>0</v>
      </c>
      <c r="Q114" s="61">
        <v>0</v>
      </c>
      <c r="R114" s="61">
        <v>0</v>
      </c>
      <c r="S114" s="61">
        <f>+L114*tab!D$10</f>
        <v>0</v>
      </c>
      <c r="T114" s="84"/>
      <c r="U114" s="761"/>
      <c r="V114" s="676"/>
      <c r="W114" s="676"/>
      <c r="X114" s="676"/>
      <c r="Y114" s="676"/>
      <c r="Z114" s="676"/>
      <c r="AA114" s="676"/>
      <c r="AB114" s="676"/>
      <c r="AC114" s="676"/>
      <c r="AD114" s="676"/>
      <c r="AE114" s="676"/>
      <c r="AF114" s="676"/>
      <c r="AG114" s="676"/>
      <c r="AH114" s="676"/>
    </row>
    <row r="115" spans="2:34" s="102" customFormat="1" x14ac:dyDescent="0.2">
      <c r="B115" s="721"/>
      <c r="C115" s="102">
        <v>38</v>
      </c>
      <c r="D115" s="124" t="s">
        <v>393</v>
      </c>
      <c r="E115" s="417" t="s">
        <v>223</v>
      </c>
      <c r="F115" s="726" t="s">
        <v>358</v>
      </c>
      <c r="G115" s="744">
        <v>0</v>
      </c>
      <c r="H115" s="745">
        <f t="shared" si="26"/>
        <v>0</v>
      </c>
      <c r="I115" s="745">
        <f t="shared" si="27"/>
        <v>0</v>
      </c>
      <c r="J115" s="745">
        <f t="shared" si="28"/>
        <v>0</v>
      </c>
      <c r="K115" s="745">
        <f t="shared" si="22"/>
        <v>0</v>
      </c>
      <c r="L115" s="745">
        <f t="shared" si="22"/>
        <v>0</v>
      </c>
      <c r="M115" s="84"/>
      <c r="N115" s="61">
        <v>0</v>
      </c>
      <c r="O115" s="61">
        <v>0</v>
      </c>
      <c r="P115" s="61">
        <v>0</v>
      </c>
      <c r="Q115" s="61">
        <v>0</v>
      </c>
      <c r="R115" s="61">
        <v>0</v>
      </c>
      <c r="S115" s="61">
        <f>+L115*tab!D$10</f>
        <v>0</v>
      </c>
      <c r="T115" s="84"/>
      <c r="U115" s="761"/>
      <c r="V115" s="676"/>
      <c r="W115" s="676"/>
      <c r="X115" s="676"/>
      <c r="Y115" s="676"/>
      <c r="Z115" s="676"/>
      <c r="AA115" s="676"/>
      <c r="AB115" s="676"/>
      <c r="AC115" s="676"/>
      <c r="AD115" s="676"/>
      <c r="AE115" s="676"/>
      <c r="AF115" s="676"/>
      <c r="AG115" s="676"/>
      <c r="AH115" s="676"/>
    </row>
    <row r="116" spans="2:34" s="102" customFormat="1" x14ac:dyDescent="0.2">
      <c r="B116" s="721"/>
      <c r="D116" s="722"/>
      <c r="E116" s="496"/>
      <c r="F116" s="726" t="s">
        <v>359</v>
      </c>
      <c r="G116" s="744">
        <v>0</v>
      </c>
      <c r="H116" s="745">
        <f t="shared" si="26"/>
        <v>0</v>
      </c>
      <c r="I116" s="745">
        <f t="shared" si="27"/>
        <v>0</v>
      </c>
      <c r="J116" s="745">
        <f t="shared" si="28"/>
        <v>0</v>
      </c>
      <c r="K116" s="745">
        <f t="shared" si="22"/>
        <v>0</v>
      </c>
      <c r="L116" s="745">
        <f t="shared" si="22"/>
        <v>0</v>
      </c>
      <c r="M116" s="84"/>
      <c r="N116" s="61">
        <v>0</v>
      </c>
      <c r="O116" s="61">
        <v>0</v>
      </c>
      <c r="P116" s="61">
        <v>0</v>
      </c>
      <c r="Q116" s="61">
        <v>0</v>
      </c>
      <c r="R116" s="61">
        <v>0</v>
      </c>
      <c r="S116" s="61">
        <f>+L116*tab!D$10</f>
        <v>0</v>
      </c>
      <c r="T116" s="84"/>
      <c r="U116" s="761"/>
      <c r="V116" s="676"/>
      <c r="W116" s="676"/>
      <c r="X116" s="676"/>
      <c r="Y116" s="676"/>
      <c r="Z116" s="676"/>
      <c r="AA116" s="676"/>
      <c r="AB116" s="676"/>
      <c r="AC116" s="676"/>
      <c r="AD116" s="676"/>
      <c r="AE116" s="676"/>
      <c r="AF116" s="676"/>
      <c r="AG116" s="676"/>
      <c r="AH116" s="676"/>
    </row>
    <row r="117" spans="2:34" s="102" customFormat="1" x14ac:dyDescent="0.2">
      <c r="B117" s="721"/>
      <c r="C117" s="102">
        <v>39</v>
      </c>
      <c r="D117" s="124" t="s">
        <v>394</v>
      </c>
      <c r="E117" s="417" t="s">
        <v>223</v>
      </c>
      <c r="F117" s="726" t="s">
        <v>358</v>
      </c>
      <c r="G117" s="744">
        <v>0</v>
      </c>
      <c r="H117" s="745">
        <f t="shared" si="26"/>
        <v>0</v>
      </c>
      <c r="I117" s="745">
        <f t="shared" si="27"/>
        <v>0</v>
      </c>
      <c r="J117" s="745">
        <f t="shared" si="28"/>
        <v>0</v>
      </c>
      <c r="K117" s="745">
        <f t="shared" si="22"/>
        <v>0</v>
      </c>
      <c r="L117" s="745">
        <f t="shared" si="22"/>
        <v>0</v>
      </c>
      <c r="M117" s="84"/>
      <c r="N117" s="61">
        <v>0</v>
      </c>
      <c r="O117" s="61">
        <v>0</v>
      </c>
      <c r="P117" s="61">
        <v>0</v>
      </c>
      <c r="Q117" s="61">
        <v>0</v>
      </c>
      <c r="R117" s="61">
        <v>0</v>
      </c>
      <c r="S117" s="61">
        <f>+L117*tab!D$10</f>
        <v>0</v>
      </c>
      <c r="T117" s="84"/>
      <c r="U117" s="761"/>
      <c r="V117" s="676"/>
      <c r="W117" s="676"/>
      <c r="X117" s="676"/>
      <c r="Y117" s="676"/>
      <c r="Z117" s="676"/>
      <c r="AA117" s="676"/>
      <c r="AB117" s="676"/>
      <c r="AC117" s="676"/>
      <c r="AD117" s="676"/>
      <c r="AE117" s="676"/>
      <c r="AF117" s="676"/>
      <c r="AG117" s="676"/>
      <c r="AH117" s="676"/>
    </row>
    <row r="118" spans="2:34" s="102" customFormat="1" x14ac:dyDescent="0.2">
      <c r="B118" s="721"/>
      <c r="D118" s="722"/>
      <c r="E118" s="496"/>
      <c r="F118" s="726" t="s">
        <v>359</v>
      </c>
      <c r="G118" s="744">
        <v>0</v>
      </c>
      <c r="H118" s="745">
        <f t="shared" si="26"/>
        <v>0</v>
      </c>
      <c r="I118" s="745">
        <f t="shared" si="27"/>
        <v>0</v>
      </c>
      <c r="J118" s="745">
        <f t="shared" si="28"/>
        <v>0</v>
      </c>
      <c r="K118" s="745">
        <f t="shared" si="22"/>
        <v>0</v>
      </c>
      <c r="L118" s="745">
        <f t="shared" si="22"/>
        <v>0</v>
      </c>
      <c r="M118" s="84"/>
      <c r="N118" s="61">
        <v>0</v>
      </c>
      <c r="O118" s="61">
        <v>0</v>
      </c>
      <c r="P118" s="61">
        <v>0</v>
      </c>
      <c r="Q118" s="61">
        <v>0</v>
      </c>
      <c r="R118" s="61">
        <v>0</v>
      </c>
      <c r="S118" s="61">
        <f>+L118*tab!D$10</f>
        <v>0</v>
      </c>
      <c r="T118" s="84"/>
      <c r="U118" s="761"/>
      <c r="V118" s="676"/>
      <c r="W118" s="676"/>
      <c r="X118" s="676"/>
      <c r="Y118" s="676"/>
      <c r="Z118" s="676"/>
      <c r="AA118" s="676"/>
      <c r="AB118" s="676"/>
      <c r="AC118" s="676"/>
      <c r="AD118" s="676"/>
      <c r="AE118" s="676"/>
      <c r="AF118" s="676"/>
      <c r="AG118" s="676"/>
      <c r="AH118" s="676"/>
    </row>
    <row r="119" spans="2:34" s="102" customFormat="1" x14ac:dyDescent="0.2">
      <c r="B119" s="721"/>
      <c r="C119" s="102">
        <v>40</v>
      </c>
      <c r="D119" s="124" t="s">
        <v>395</v>
      </c>
      <c r="E119" s="417" t="s">
        <v>223</v>
      </c>
      <c r="F119" s="726" t="s">
        <v>358</v>
      </c>
      <c r="G119" s="744">
        <v>0</v>
      </c>
      <c r="H119" s="745">
        <f t="shared" si="26"/>
        <v>0</v>
      </c>
      <c r="I119" s="745">
        <f t="shared" si="27"/>
        <v>0</v>
      </c>
      <c r="J119" s="745">
        <f t="shared" si="28"/>
        <v>0</v>
      </c>
      <c r="K119" s="745">
        <f t="shared" si="22"/>
        <v>0</v>
      </c>
      <c r="L119" s="745">
        <f t="shared" si="22"/>
        <v>0</v>
      </c>
      <c r="M119" s="84"/>
      <c r="N119" s="61">
        <v>0</v>
      </c>
      <c r="O119" s="61">
        <v>0</v>
      </c>
      <c r="P119" s="61">
        <v>0</v>
      </c>
      <c r="Q119" s="61">
        <v>0</v>
      </c>
      <c r="R119" s="61">
        <v>0</v>
      </c>
      <c r="S119" s="61">
        <f>+L119*tab!D$10</f>
        <v>0</v>
      </c>
      <c r="T119" s="84"/>
      <c r="U119" s="761"/>
      <c r="V119" s="676"/>
      <c r="W119" s="676"/>
      <c r="X119" s="676"/>
      <c r="Y119" s="676"/>
      <c r="Z119" s="676"/>
      <c r="AA119" s="676"/>
      <c r="AB119" s="676"/>
      <c r="AC119" s="676"/>
      <c r="AD119" s="676"/>
      <c r="AE119" s="676"/>
      <c r="AF119" s="676"/>
      <c r="AG119" s="676"/>
      <c r="AH119" s="676"/>
    </row>
    <row r="120" spans="2:34" s="102" customFormat="1" x14ac:dyDescent="0.2">
      <c r="B120" s="721"/>
      <c r="D120" s="722"/>
      <c r="E120" s="496"/>
      <c r="F120" s="726" t="s">
        <v>359</v>
      </c>
      <c r="G120" s="744">
        <v>0</v>
      </c>
      <c r="H120" s="745">
        <f t="shared" si="26"/>
        <v>0</v>
      </c>
      <c r="I120" s="745">
        <f t="shared" si="27"/>
        <v>0</v>
      </c>
      <c r="J120" s="745">
        <f t="shared" si="28"/>
        <v>0</v>
      </c>
      <c r="K120" s="745">
        <f t="shared" si="22"/>
        <v>0</v>
      </c>
      <c r="L120" s="745">
        <f t="shared" si="22"/>
        <v>0</v>
      </c>
      <c r="M120" s="84"/>
      <c r="N120" s="61">
        <v>0</v>
      </c>
      <c r="O120" s="61">
        <v>0</v>
      </c>
      <c r="P120" s="61">
        <v>0</v>
      </c>
      <c r="Q120" s="61">
        <v>0</v>
      </c>
      <c r="R120" s="61">
        <v>0</v>
      </c>
      <c r="S120" s="61">
        <f>+L120*tab!D$10</f>
        <v>0</v>
      </c>
      <c r="T120" s="84"/>
      <c r="U120" s="761"/>
      <c r="V120" s="676"/>
      <c r="W120" s="676"/>
      <c r="X120" s="676"/>
      <c r="Y120" s="676"/>
      <c r="Z120" s="676"/>
      <c r="AA120" s="676"/>
      <c r="AB120" s="676"/>
      <c r="AC120" s="676"/>
      <c r="AD120" s="676"/>
      <c r="AE120" s="676"/>
      <c r="AF120" s="676"/>
      <c r="AG120" s="676"/>
      <c r="AH120" s="676"/>
    </row>
    <row r="121" spans="2:34" s="102" customFormat="1" x14ac:dyDescent="0.2">
      <c r="B121" s="721"/>
      <c r="C121" s="102">
        <v>41</v>
      </c>
      <c r="D121" s="124" t="s">
        <v>396</v>
      </c>
      <c r="E121" s="417" t="s">
        <v>223</v>
      </c>
      <c r="F121" s="726" t="s">
        <v>358</v>
      </c>
      <c r="G121" s="744">
        <v>0</v>
      </c>
      <c r="H121" s="745">
        <f t="shared" si="26"/>
        <v>0</v>
      </c>
      <c r="I121" s="745">
        <f t="shared" si="27"/>
        <v>0</v>
      </c>
      <c r="J121" s="745">
        <f t="shared" si="28"/>
        <v>0</v>
      </c>
      <c r="K121" s="745">
        <f t="shared" si="22"/>
        <v>0</v>
      </c>
      <c r="L121" s="745">
        <f t="shared" si="22"/>
        <v>0</v>
      </c>
      <c r="M121" s="84"/>
      <c r="N121" s="61">
        <v>0</v>
      </c>
      <c r="O121" s="61">
        <v>0</v>
      </c>
      <c r="P121" s="61">
        <v>0</v>
      </c>
      <c r="Q121" s="61">
        <v>0</v>
      </c>
      <c r="R121" s="61">
        <v>0</v>
      </c>
      <c r="S121" s="61">
        <f>+L121*tab!D$10</f>
        <v>0</v>
      </c>
      <c r="T121" s="84"/>
      <c r="U121" s="761"/>
      <c r="V121" s="676"/>
      <c r="W121" s="676"/>
      <c r="X121" s="676"/>
      <c r="Y121" s="676"/>
      <c r="Z121" s="676"/>
      <c r="AA121" s="676"/>
      <c r="AB121" s="676"/>
      <c r="AC121" s="676"/>
      <c r="AD121" s="676"/>
      <c r="AE121" s="676"/>
      <c r="AF121" s="676"/>
      <c r="AG121" s="676"/>
      <c r="AH121" s="676"/>
    </row>
    <row r="122" spans="2:34" s="102" customFormat="1" x14ac:dyDescent="0.2">
      <c r="B122" s="721"/>
      <c r="D122" s="722"/>
      <c r="E122" s="496"/>
      <c r="F122" s="726" t="s">
        <v>359</v>
      </c>
      <c r="G122" s="744">
        <v>0</v>
      </c>
      <c r="H122" s="745">
        <f t="shared" si="26"/>
        <v>0</v>
      </c>
      <c r="I122" s="745">
        <f t="shared" si="27"/>
        <v>0</v>
      </c>
      <c r="J122" s="745">
        <f t="shared" si="28"/>
        <v>0</v>
      </c>
      <c r="K122" s="745">
        <f t="shared" ref="K122:L140" si="29">J122</f>
        <v>0</v>
      </c>
      <c r="L122" s="745">
        <f t="shared" si="29"/>
        <v>0</v>
      </c>
      <c r="M122" s="84"/>
      <c r="N122" s="61">
        <v>0</v>
      </c>
      <c r="O122" s="61">
        <v>0</v>
      </c>
      <c r="P122" s="61">
        <v>0</v>
      </c>
      <c r="Q122" s="61">
        <v>0</v>
      </c>
      <c r="R122" s="61">
        <v>0</v>
      </c>
      <c r="S122" s="61">
        <f>+L122*tab!D$10</f>
        <v>0</v>
      </c>
      <c r="T122" s="84"/>
      <c r="U122" s="761"/>
      <c r="V122" s="676"/>
      <c r="W122" s="676"/>
      <c r="X122" s="676"/>
      <c r="Y122" s="676"/>
      <c r="Z122" s="676"/>
      <c r="AA122" s="676"/>
      <c r="AB122" s="676"/>
      <c r="AC122" s="676"/>
      <c r="AD122" s="676"/>
      <c r="AE122" s="676"/>
      <c r="AF122" s="676"/>
      <c r="AG122" s="676"/>
      <c r="AH122" s="676"/>
    </row>
    <row r="123" spans="2:34" s="102" customFormat="1" x14ac:dyDescent="0.2">
      <c r="B123" s="721"/>
      <c r="C123" s="102">
        <v>42</v>
      </c>
      <c r="D123" s="124" t="s">
        <v>397</v>
      </c>
      <c r="E123" s="417" t="s">
        <v>223</v>
      </c>
      <c r="F123" s="726" t="s">
        <v>358</v>
      </c>
      <c r="G123" s="744">
        <v>0</v>
      </c>
      <c r="H123" s="745">
        <f t="shared" si="26"/>
        <v>0</v>
      </c>
      <c r="I123" s="745">
        <f t="shared" si="27"/>
        <v>0</v>
      </c>
      <c r="J123" s="745">
        <f t="shared" si="28"/>
        <v>0</v>
      </c>
      <c r="K123" s="745">
        <f t="shared" si="29"/>
        <v>0</v>
      </c>
      <c r="L123" s="745">
        <f t="shared" si="29"/>
        <v>0</v>
      </c>
      <c r="M123" s="84"/>
      <c r="N123" s="61">
        <v>0</v>
      </c>
      <c r="O123" s="61">
        <v>0</v>
      </c>
      <c r="P123" s="61">
        <v>0</v>
      </c>
      <c r="Q123" s="61">
        <v>0</v>
      </c>
      <c r="R123" s="61">
        <v>0</v>
      </c>
      <c r="S123" s="61">
        <f>+L123*tab!D$10</f>
        <v>0</v>
      </c>
      <c r="T123" s="84"/>
      <c r="U123" s="761"/>
      <c r="V123" s="676"/>
      <c r="W123" s="676"/>
      <c r="X123" s="676"/>
      <c r="Y123" s="676"/>
      <c r="Z123" s="676"/>
      <c r="AA123" s="676"/>
      <c r="AB123" s="676"/>
      <c r="AC123" s="676"/>
      <c r="AD123" s="676"/>
      <c r="AE123" s="676"/>
      <c r="AF123" s="676"/>
      <c r="AG123" s="676"/>
      <c r="AH123" s="676"/>
    </row>
    <row r="124" spans="2:34" s="102" customFormat="1" x14ac:dyDescent="0.2">
      <c r="B124" s="721"/>
      <c r="D124" s="722"/>
      <c r="E124" s="496"/>
      <c r="F124" s="726" t="s">
        <v>359</v>
      </c>
      <c r="G124" s="744">
        <v>0</v>
      </c>
      <c r="H124" s="745">
        <f t="shared" si="26"/>
        <v>0</v>
      </c>
      <c r="I124" s="745">
        <f t="shared" si="27"/>
        <v>0</v>
      </c>
      <c r="J124" s="745">
        <f t="shared" si="28"/>
        <v>0</v>
      </c>
      <c r="K124" s="745">
        <f t="shared" si="29"/>
        <v>0</v>
      </c>
      <c r="L124" s="745">
        <f t="shared" si="29"/>
        <v>0</v>
      </c>
      <c r="M124" s="84"/>
      <c r="N124" s="61">
        <v>0</v>
      </c>
      <c r="O124" s="61">
        <v>0</v>
      </c>
      <c r="P124" s="61">
        <v>0</v>
      </c>
      <c r="Q124" s="61">
        <v>0</v>
      </c>
      <c r="R124" s="61">
        <v>0</v>
      </c>
      <c r="S124" s="61">
        <f>+L124*tab!D$10</f>
        <v>0</v>
      </c>
      <c r="T124" s="84"/>
      <c r="U124" s="761"/>
      <c r="V124" s="676"/>
      <c r="W124" s="676"/>
      <c r="X124" s="676"/>
      <c r="Y124" s="676"/>
      <c r="Z124" s="676"/>
      <c r="AA124" s="676"/>
      <c r="AB124" s="676"/>
      <c r="AC124" s="676"/>
      <c r="AD124" s="676"/>
      <c r="AE124" s="676"/>
      <c r="AF124" s="676"/>
      <c r="AG124" s="676"/>
      <c r="AH124" s="676"/>
    </row>
    <row r="125" spans="2:34" s="102" customFormat="1" x14ac:dyDescent="0.2">
      <c r="B125" s="721"/>
      <c r="C125" s="102">
        <v>43</v>
      </c>
      <c r="D125" s="124" t="s">
        <v>398</v>
      </c>
      <c r="E125" s="417" t="s">
        <v>223</v>
      </c>
      <c r="F125" s="726" t="s">
        <v>358</v>
      </c>
      <c r="G125" s="744">
        <v>0</v>
      </c>
      <c r="H125" s="745">
        <f t="shared" si="26"/>
        <v>0</v>
      </c>
      <c r="I125" s="745">
        <f t="shared" si="27"/>
        <v>0</v>
      </c>
      <c r="J125" s="745">
        <f t="shared" si="28"/>
        <v>0</v>
      </c>
      <c r="K125" s="745">
        <f t="shared" si="29"/>
        <v>0</v>
      </c>
      <c r="L125" s="745">
        <f t="shared" si="29"/>
        <v>0</v>
      </c>
      <c r="M125" s="84"/>
      <c r="N125" s="61">
        <v>0</v>
      </c>
      <c r="O125" s="61">
        <v>0</v>
      </c>
      <c r="P125" s="61">
        <v>0</v>
      </c>
      <c r="Q125" s="61">
        <v>0</v>
      </c>
      <c r="R125" s="61">
        <v>0</v>
      </c>
      <c r="S125" s="61">
        <f>+L125*tab!D$10</f>
        <v>0</v>
      </c>
      <c r="T125" s="84"/>
      <c r="U125" s="761"/>
      <c r="V125" s="676"/>
      <c r="W125" s="676"/>
      <c r="X125" s="676"/>
      <c r="Y125" s="676"/>
      <c r="Z125" s="676"/>
      <c r="AA125" s="676"/>
      <c r="AB125" s="676"/>
      <c r="AC125" s="676"/>
      <c r="AD125" s="676"/>
      <c r="AE125" s="676"/>
      <c r="AF125" s="676"/>
      <c r="AG125" s="676"/>
      <c r="AH125" s="676"/>
    </row>
    <row r="126" spans="2:34" s="102" customFormat="1" x14ac:dyDescent="0.2">
      <c r="B126" s="721"/>
      <c r="D126" s="722"/>
      <c r="E126" s="496"/>
      <c r="F126" s="726" t="s">
        <v>359</v>
      </c>
      <c r="G126" s="744">
        <v>0</v>
      </c>
      <c r="H126" s="745">
        <f t="shared" si="26"/>
        <v>0</v>
      </c>
      <c r="I126" s="745">
        <f t="shared" si="27"/>
        <v>0</v>
      </c>
      <c r="J126" s="745">
        <f t="shared" si="28"/>
        <v>0</v>
      </c>
      <c r="K126" s="745">
        <f t="shared" si="29"/>
        <v>0</v>
      </c>
      <c r="L126" s="745">
        <f t="shared" si="29"/>
        <v>0</v>
      </c>
      <c r="M126" s="84"/>
      <c r="N126" s="61">
        <v>0</v>
      </c>
      <c r="O126" s="61">
        <v>0</v>
      </c>
      <c r="P126" s="61">
        <v>0</v>
      </c>
      <c r="Q126" s="61">
        <v>0</v>
      </c>
      <c r="R126" s="61">
        <v>0</v>
      </c>
      <c r="S126" s="61">
        <f>+L126*tab!D$10</f>
        <v>0</v>
      </c>
      <c r="T126" s="84"/>
      <c r="U126" s="761"/>
      <c r="V126" s="676"/>
      <c r="W126" s="676"/>
      <c r="X126" s="676"/>
      <c r="Y126" s="676"/>
      <c r="Z126" s="676"/>
      <c r="AA126" s="676"/>
      <c r="AB126" s="676"/>
      <c r="AC126" s="676"/>
      <c r="AD126" s="676"/>
      <c r="AE126" s="676"/>
      <c r="AF126" s="676"/>
      <c r="AG126" s="676"/>
      <c r="AH126" s="676"/>
    </row>
    <row r="127" spans="2:34" s="102" customFormat="1" x14ac:dyDescent="0.2">
      <c r="B127" s="721"/>
      <c r="C127" s="102">
        <v>44</v>
      </c>
      <c r="D127" s="124" t="s">
        <v>399</v>
      </c>
      <c r="E127" s="417" t="s">
        <v>223</v>
      </c>
      <c r="F127" s="726" t="s">
        <v>358</v>
      </c>
      <c r="G127" s="744">
        <v>0</v>
      </c>
      <c r="H127" s="745">
        <f t="shared" si="26"/>
        <v>0</v>
      </c>
      <c r="I127" s="745">
        <f t="shared" si="27"/>
        <v>0</v>
      </c>
      <c r="J127" s="745">
        <f t="shared" si="28"/>
        <v>0</v>
      </c>
      <c r="K127" s="745">
        <f t="shared" si="29"/>
        <v>0</v>
      </c>
      <c r="L127" s="745">
        <f t="shared" si="29"/>
        <v>0</v>
      </c>
      <c r="M127" s="84"/>
      <c r="N127" s="61">
        <v>0</v>
      </c>
      <c r="O127" s="61">
        <v>0</v>
      </c>
      <c r="P127" s="61">
        <v>0</v>
      </c>
      <c r="Q127" s="61">
        <v>0</v>
      </c>
      <c r="R127" s="61">
        <v>0</v>
      </c>
      <c r="S127" s="61">
        <f>+L127*tab!D$10</f>
        <v>0</v>
      </c>
      <c r="T127" s="84"/>
      <c r="U127" s="761"/>
      <c r="V127" s="676"/>
      <c r="W127" s="676"/>
      <c r="X127" s="676"/>
      <c r="Y127" s="676"/>
      <c r="Z127" s="676"/>
      <c r="AA127" s="676"/>
      <c r="AB127" s="676"/>
      <c r="AC127" s="676"/>
      <c r="AD127" s="676"/>
      <c r="AE127" s="676"/>
      <c r="AF127" s="676"/>
      <c r="AG127" s="676"/>
      <c r="AH127" s="676"/>
    </row>
    <row r="128" spans="2:34" s="102" customFormat="1" x14ac:dyDescent="0.2">
      <c r="B128" s="721"/>
      <c r="D128" s="722"/>
      <c r="E128" s="496"/>
      <c r="F128" s="726" t="s">
        <v>359</v>
      </c>
      <c r="G128" s="744">
        <v>0</v>
      </c>
      <c r="H128" s="745">
        <f t="shared" si="26"/>
        <v>0</v>
      </c>
      <c r="I128" s="745">
        <f t="shared" si="27"/>
        <v>0</v>
      </c>
      <c r="J128" s="745">
        <f t="shared" si="28"/>
        <v>0</v>
      </c>
      <c r="K128" s="745">
        <f t="shared" si="29"/>
        <v>0</v>
      </c>
      <c r="L128" s="745">
        <f t="shared" si="29"/>
        <v>0</v>
      </c>
      <c r="M128" s="84"/>
      <c r="N128" s="61">
        <v>0</v>
      </c>
      <c r="O128" s="61">
        <v>0</v>
      </c>
      <c r="P128" s="61">
        <v>0</v>
      </c>
      <c r="Q128" s="61">
        <v>0</v>
      </c>
      <c r="R128" s="61">
        <v>0</v>
      </c>
      <c r="S128" s="61">
        <f>+L128*tab!D$10</f>
        <v>0</v>
      </c>
      <c r="T128" s="84"/>
      <c r="U128" s="761"/>
      <c r="V128" s="676"/>
      <c r="W128" s="676"/>
      <c r="X128" s="676"/>
      <c r="Y128" s="676"/>
      <c r="Z128" s="676"/>
      <c r="AA128" s="676"/>
      <c r="AB128" s="676"/>
      <c r="AC128" s="676"/>
      <c r="AD128" s="676"/>
      <c r="AE128" s="676"/>
      <c r="AF128" s="676"/>
      <c r="AG128" s="676"/>
      <c r="AH128" s="676"/>
    </row>
    <row r="129" spans="2:54" s="102" customFormat="1" x14ac:dyDescent="0.2">
      <c r="B129" s="721"/>
      <c r="C129" s="102">
        <v>45</v>
      </c>
      <c r="D129" s="124" t="s">
        <v>400</v>
      </c>
      <c r="E129" s="417" t="s">
        <v>223</v>
      </c>
      <c r="F129" s="726" t="s">
        <v>358</v>
      </c>
      <c r="G129" s="744">
        <v>0</v>
      </c>
      <c r="H129" s="745">
        <f t="shared" si="26"/>
        <v>0</v>
      </c>
      <c r="I129" s="745">
        <f t="shared" si="27"/>
        <v>0</v>
      </c>
      <c r="J129" s="745">
        <f t="shared" si="28"/>
        <v>0</v>
      </c>
      <c r="K129" s="745">
        <f t="shared" si="29"/>
        <v>0</v>
      </c>
      <c r="L129" s="745">
        <f t="shared" si="29"/>
        <v>0</v>
      </c>
      <c r="M129" s="84"/>
      <c r="N129" s="61">
        <v>0</v>
      </c>
      <c r="O129" s="61">
        <v>0</v>
      </c>
      <c r="P129" s="61">
        <v>0</v>
      </c>
      <c r="Q129" s="61">
        <v>0</v>
      </c>
      <c r="R129" s="61">
        <v>0</v>
      </c>
      <c r="S129" s="61">
        <f>+L129*tab!D$10</f>
        <v>0</v>
      </c>
      <c r="T129" s="84"/>
      <c r="U129" s="761"/>
      <c r="V129" s="676"/>
      <c r="W129" s="676"/>
      <c r="X129" s="676"/>
      <c r="Y129" s="676"/>
      <c r="Z129" s="676"/>
      <c r="AA129" s="676"/>
      <c r="AB129" s="676"/>
      <c r="AC129" s="676"/>
      <c r="AD129" s="676"/>
      <c r="AE129" s="676"/>
      <c r="AF129" s="676"/>
      <c r="AG129" s="676"/>
      <c r="AH129" s="676"/>
    </row>
    <row r="130" spans="2:54" s="102" customFormat="1" x14ac:dyDescent="0.2">
      <c r="B130" s="721"/>
      <c r="D130" s="722"/>
      <c r="E130" s="496"/>
      <c r="F130" s="726" t="s">
        <v>359</v>
      </c>
      <c r="G130" s="744">
        <v>0</v>
      </c>
      <c r="H130" s="745">
        <f t="shared" si="26"/>
        <v>0</v>
      </c>
      <c r="I130" s="745">
        <f t="shared" si="27"/>
        <v>0</v>
      </c>
      <c r="J130" s="745">
        <f t="shared" si="28"/>
        <v>0</v>
      </c>
      <c r="K130" s="745">
        <f t="shared" si="29"/>
        <v>0</v>
      </c>
      <c r="L130" s="745">
        <f t="shared" si="29"/>
        <v>0</v>
      </c>
      <c r="M130" s="84"/>
      <c r="N130" s="61">
        <v>0</v>
      </c>
      <c r="O130" s="61">
        <v>0</v>
      </c>
      <c r="P130" s="61">
        <v>0</v>
      </c>
      <c r="Q130" s="61">
        <v>0</v>
      </c>
      <c r="R130" s="61">
        <v>0</v>
      </c>
      <c r="S130" s="61">
        <f>+L130*tab!D$10</f>
        <v>0</v>
      </c>
      <c r="T130" s="84"/>
      <c r="U130" s="761"/>
      <c r="V130" s="676"/>
      <c r="W130" s="676"/>
      <c r="X130" s="676"/>
      <c r="Y130" s="676"/>
      <c r="Z130" s="676"/>
      <c r="AA130" s="676"/>
      <c r="AB130" s="676"/>
      <c r="AC130" s="676"/>
      <c r="AD130" s="676"/>
      <c r="AE130" s="676"/>
      <c r="AF130" s="676"/>
      <c r="AG130" s="676"/>
      <c r="AH130" s="676"/>
    </row>
    <row r="131" spans="2:54" s="102" customFormat="1" x14ac:dyDescent="0.2">
      <c r="B131" s="721"/>
      <c r="C131" s="102">
        <v>46</v>
      </c>
      <c r="D131" s="124" t="s">
        <v>401</v>
      </c>
      <c r="E131" s="417" t="s">
        <v>223</v>
      </c>
      <c r="F131" s="726" t="s">
        <v>358</v>
      </c>
      <c r="G131" s="744">
        <v>0</v>
      </c>
      <c r="H131" s="745">
        <f t="shared" si="26"/>
        <v>0</v>
      </c>
      <c r="I131" s="745">
        <f t="shared" si="27"/>
        <v>0</v>
      </c>
      <c r="J131" s="745">
        <f t="shared" si="28"/>
        <v>0</v>
      </c>
      <c r="K131" s="745">
        <f t="shared" si="29"/>
        <v>0</v>
      </c>
      <c r="L131" s="745">
        <f t="shared" si="29"/>
        <v>0</v>
      </c>
      <c r="M131" s="84"/>
      <c r="N131" s="61">
        <v>0</v>
      </c>
      <c r="O131" s="61">
        <v>0</v>
      </c>
      <c r="P131" s="61">
        <v>0</v>
      </c>
      <c r="Q131" s="61">
        <v>0</v>
      </c>
      <c r="R131" s="61">
        <v>0</v>
      </c>
      <c r="S131" s="61">
        <f>+L131*tab!D$10</f>
        <v>0</v>
      </c>
      <c r="T131" s="84"/>
      <c r="U131" s="761"/>
      <c r="V131" s="676"/>
      <c r="W131" s="676"/>
      <c r="X131" s="676"/>
      <c r="Y131" s="676"/>
      <c r="Z131" s="676"/>
      <c r="AA131" s="676"/>
      <c r="AB131" s="676"/>
      <c r="AC131" s="676"/>
      <c r="AD131" s="676"/>
      <c r="AE131" s="676"/>
      <c r="AF131" s="676"/>
      <c r="AG131" s="676"/>
      <c r="AH131" s="676"/>
    </row>
    <row r="132" spans="2:54" s="102" customFormat="1" x14ac:dyDescent="0.2">
      <c r="B132" s="721"/>
      <c r="D132" s="722"/>
      <c r="E132" s="496"/>
      <c r="F132" s="726" t="s">
        <v>359</v>
      </c>
      <c r="G132" s="744">
        <v>0</v>
      </c>
      <c r="H132" s="745">
        <f t="shared" si="26"/>
        <v>0</v>
      </c>
      <c r="I132" s="745">
        <f t="shared" si="27"/>
        <v>0</v>
      </c>
      <c r="J132" s="745">
        <f t="shared" si="28"/>
        <v>0</v>
      </c>
      <c r="K132" s="745">
        <f t="shared" si="29"/>
        <v>0</v>
      </c>
      <c r="L132" s="745">
        <f t="shared" si="29"/>
        <v>0</v>
      </c>
      <c r="M132" s="84"/>
      <c r="N132" s="61">
        <v>0</v>
      </c>
      <c r="O132" s="61">
        <v>0</v>
      </c>
      <c r="P132" s="61">
        <v>0</v>
      </c>
      <c r="Q132" s="61">
        <v>0</v>
      </c>
      <c r="R132" s="61">
        <v>0</v>
      </c>
      <c r="S132" s="61">
        <f>+L132*tab!D$10</f>
        <v>0</v>
      </c>
      <c r="T132" s="84"/>
      <c r="U132" s="761"/>
      <c r="V132" s="676"/>
      <c r="W132" s="676"/>
      <c r="X132" s="676"/>
      <c r="Y132" s="676"/>
      <c r="Z132" s="676"/>
      <c r="AA132" s="676"/>
      <c r="AB132" s="676"/>
      <c r="AC132" s="676"/>
      <c r="AD132" s="676"/>
      <c r="AE132" s="676"/>
      <c r="AF132" s="676"/>
      <c r="AG132" s="676"/>
      <c r="AH132" s="676"/>
    </row>
    <row r="133" spans="2:54" s="102" customFormat="1" x14ac:dyDescent="0.2">
      <c r="B133" s="721"/>
      <c r="C133" s="102">
        <v>47</v>
      </c>
      <c r="D133" s="124" t="s">
        <v>402</v>
      </c>
      <c r="E133" s="417" t="s">
        <v>223</v>
      </c>
      <c r="F133" s="726" t="s">
        <v>358</v>
      </c>
      <c r="G133" s="744">
        <v>0</v>
      </c>
      <c r="H133" s="745">
        <f t="shared" si="26"/>
        <v>0</v>
      </c>
      <c r="I133" s="745">
        <f t="shared" si="27"/>
        <v>0</v>
      </c>
      <c r="J133" s="745">
        <f t="shared" si="28"/>
        <v>0</v>
      </c>
      <c r="K133" s="745">
        <f t="shared" si="29"/>
        <v>0</v>
      </c>
      <c r="L133" s="745">
        <f t="shared" si="29"/>
        <v>0</v>
      </c>
      <c r="M133" s="84"/>
      <c r="N133" s="61">
        <v>0</v>
      </c>
      <c r="O133" s="61">
        <v>0</v>
      </c>
      <c r="P133" s="61">
        <v>0</v>
      </c>
      <c r="Q133" s="61">
        <v>0</v>
      </c>
      <c r="R133" s="61">
        <v>0</v>
      </c>
      <c r="S133" s="61">
        <f>+L133*tab!D$10</f>
        <v>0</v>
      </c>
      <c r="T133" s="84"/>
      <c r="U133" s="761"/>
      <c r="V133" s="676"/>
      <c r="W133" s="676"/>
      <c r="X133" s="676"/>
      <c r="Y133" s="676"/>
      <c r="Z133" s="676"/>
      <c r="AA133" s="676"/>
      <c r="AB133" s="676"/>
      <c r="AC133" s="676"/>
      <c r="AD133" s="676"/>
      <c r="AE133" s="676"/>
      <c r="AF133" s="676"/>
      <c r="AG133" s="676"/>
      <c r="AH133" s="676"/>
    </row>
    <row r="134" spans="2:54" s="102" customFormat="1" x14ac:dyDescent="0.2">
      <c r="B134" s="721"/>
      <c r="D134" s="722"/>
      <c r="E134" s="496"/>
      <c r="F134" s="726" t="s">
        <v>359</v>
      </c>
      <c r="G134" s="744">
        <v>0</v>
      </c>
      <c r="H134" s="745">
        <f t="shared" si="26"/>
        <v>0</v>
      </c>
      <c r="I134" s="745">
        <f t="shared" si="27"/>
        <v>0</v>
      </c>
      <c r="J134" s="745">
        <f t="shared" si="28"/>
        <v>0</v>
      </c>
      <c r="K134" s="745">
        <f t="shared" si="29"/>
        <v>0</v>
      </c>
      <c r="L134" s="745">
        <f t="shared" si="29"/>
        <v>0</v>
      </c>
      <c r="M134" s="84"/>
      <c r="N134" s="61">
        <v>0</v>
      </c>
      <c r="O134" s="61">
        <v>0</v>
      </c>
      <c r="P134" s="61">
        <v>0</v>
      </c>
      <c r="Q134" s="61">
        <v>0</v>
      </c>
      <c r="R134" s="61">
        <v>0</v>
      </c>
      <c r="S134" s="61">
        <f>+L134*tab!D$10</f>
        <v>0</v>
      </c>
      <c r="T134" s="84"/>
      <c r="U134" s="761"/>
      <c r="V134" s="676"/>
      <c r="W134" s="676"/>
      <c r="X134" s="676"/>
      <c r="Y134" s="676"/>
      <c r="Z134" s="676"/>
      <c r="AA134" s="676"/>
      <c r="AB134" s="676"/>
      <c r="AC134" s="676"/>
      <c r="AD134" s="676"/>
      <c r="AE134" s="676"/>
      <c r="AF134" s="676"/>
      <c r="AG134" s="676"/>
      <c r="AH134" s="676"/>
    </row>
    <row r="135" spans="2:54" s="102" customFormat="1" x14ac:dyDescent="0.2">
      <c r="B135" s="721"/>
      <c r="C135" s="102">
        <v>48</v>
      </c>
      <c r="D135" s="124" t="s">
        <v>403</v>
      </c>
      <c r="E135" s="417" t="s">
        <v>223</v>
      </c>
      <c r="F135" s="726" t="s">
        <v>358</v>
      </c>
      <c r="G135" s="744">
        <v>0</v>
      </c>
      <c r="H135" s="745">
        <f t="shared" si="26"/>
        <v>0</v>
      </c>
      <c r="I135" s="745">
        <f t="shared" si="27"/>
        <v>0</v>
      </c>
      <c r="J135" s="745">
        <f t="shared" si="28"/>
        <v>0</v>
      </c>
      <c r="K135" s="745">
        <f t="shared" si="29"/>
        <v>0</v>
      </c>
      <c r="L135" s="745">
        <f t="shared" si="29"/>
        <v>0</v>
      </c>
      <c r="M135" s="84"/>
      <c r="N135" s="61">
        <v>0</v>
      </c>
      <c r="O135" s="61">
        <v>0</v>
      </c>
      <c r="P135" s="61">
        <v>0</v>
      </c>
      <c r="Q135" s="61">
        <v>0</v>
      </c>
      <c r="R135" s="61">
        <v>0</v>
      </c>
      <c r="S135" s="61">
        <f>+L135*tab!D$10</f>
        <v>0</v>
      </c>
      <c r="T135" s="84"/>
      <c r="U135" s="761"/>
      <c r="V135" s="676"/>
      <c r="W135" s="676"/>
      <c r="X135" s="676"/>
      <c r="Y135" s="676"/>
      <c r="Z135" s="676"/>
      <c r="AA135" s="676"/>
      <c r="AB135" s="676"/>
      <c r="AC135" s="676"/>
      <c r="AD135" s="676"/>
      <c r="AE135" s="676"/>
      <c r="AF135" s="676"/>
      <c r="AG135" s="676"/>
      <c r="AH135" s="676"/>
    </row>
    <row r="136" spans="2:54" s="102" customFormat="1" x14ac:dyDescent="0.2">
      <c r="B136" s="721"/>
      <c r="D136" s="722"/>
      <c r="E136" s="496"/>
      <c r="F136" s="726" t="s">
        <v>359</v>
      </c>
      <c r="G136" s="744">
        <v>0</v>
      </c>
      <c r="H136" s="745">
        <f t="shared" si="26"/>
        <v>0</v>
      </c>
      <c r="I136" s="745">
        <f t="shared" si="27"/>
        <v>0</v>
      </c>
      <c r="J136" s="745">
        <f t="shared" si="28"/>
        <v>0</v>
      </c>
      <c r="K136" s="745">
        <f t="shared" si="29"/>
        <v>0</v>
      </c>
      <c r="L136" s="745">
        <f t="shared" si="29"/>
        <v>0</v>
      </c>
      <c r="M136" s="84"/>
      <c r="N136" s="61">
        <v>0</v>
      </c>
      <c r="O136" s="61">
        <v>0</v>
      </c>
      <c r="P136" s="61">
        <v>0</v>
      </c>
      <c r="Q136" s="61">
        <v>0</v>
      </c>
      <c r="R136" s="61">
        <v>0</v>
      </c>
      <c r="S136" s="61">
        <f>+L136*tab!D$10</f>
        <v>0</v>
      </c>
      <c r="T136" s="84"/>
      <c r="U136" s="761"/>
      <c r="V136" s="676"/>
      <c r="W136" s="676"/>
      <c r="X136" s="676"/>
      <c r="Y136" s="676"/>
      <c r="Z136" s="676"/>
      <c r="AA136" s="676"/>
      <c r="AB136" s="676"/>
      <c r="AC136" s="676"/>
      <c r="AD136" s="676"/>
      <c r="AE136" s="676"/>
      <c r="AF136" s="676"/>
      <c r="AG136" s="676"/>
      <c r="AH136" s="676"/>
    </row>
    <row r="137" spans="2:54" s="102" customFormat="1" x14ac:dyDescent="0.2">
      <c r="B137" s="721"/>
      <c r="C137" s="102">
        <v>49</v>
      </c>
      <c r="D137" s="124" t="s">
        <v>404</v>
      </c>
      <c r="E137" s="417" t="s">
        <v>223</v>
      </c>
      <c r="F137" s="726" t="s">
        <v>358</v>
      </c>
      <c r="G137" s="744">
        <v>0</v>
      </c>
      <c r="H137" s="745">
        <f t="shared" si="26"/>
        <v>0</v>
      </c>
      <c r="I137" s="745">
        <f t="shared" si="27"/>
        <v>0</v>
      </c>
      <c r="J137" s="745">
        <f t="shared" si="28"/>
        <v>0</v>
      </c>
      <c r="K137" s="745">
        <f t="shared" si="29"/>
        <v>0</v>
      </c>
      <c r="L137" s="745">
        <f t="shared" si="29"/>
        <v>0</v>
      </c>
      <c r="M137" s="84"/>
      <c r="N137" s="61">
        <v>0</v>
      </c>
      <c r="O137" s="61">
        <v>0</v>
      </c>
      <c r="P137" s="61">
        <v>0</v>
      </c>
      <c r="Q137" s="61">
        <v>0</v>
      </c>
      <c r="R137" s="61">
        <v>0</v>
      </c>
      <c r="S137" s="61">
        <f>+L137*tab!D$10</f>
        <v>0</v>
      </c>
      <c r="T137" s="84"/>
      <c r="U137" s="761"/>
      <c r="V137" s="676"/>
      <c r="W137" s="676"/>
      <c r="X137" s="676"/>
      <c r="Y137" s="676"/>
      <c r="Z137" s="676"/>
      <c r="AA137" s="676"/>
      <c r="AB137" s="676"/>
      <c r="AC137" s="676"/>
      <c r="AD137" s="676"/>
      <c r="AE137" s="676"/>
      <c r="AF137" s="676"/>
      <c r="AG137" s="676"/>
      <c r="AH137" s="676"/>
    </row>
    <row r="138" spans="2:54" s="102" customFormat="1" x14ac:dyDescent="0.2">
      <c r="B138" s="721"/>
      <c r="D138" s="722"/>
      <c r="E138" s="496"/>
      <c r="F138" s="726" t="s">
        <v>359</v>
      </c>
      <c r="G138" s="744">
        <v>0</v>
      </c>
      <c r="H138" s="745">
        <f t="shared" si="26"/>
        <v>0</v>
      </c>
      <c r="I138" s="745">
        <f t="shared" si="27"/>
        <v>0</v>
      </c>
      <c r="J138" s="745">
        <f t="shared" si="28"/>
        <v>0</v>
      </c>
      <c r="K138" s="745">
        <f t="shared" si="29"/>
        <v>0</v>
      </c>
      <c r="L138" s="745">
        <f t="shared" si="29"/>
        <v>0</v>
      </c>
      <c r="M138" s="84"/>
      <c r="N138" s="61">
        <v>0</v>
      </c>
      <c r="O138" s="61">
        <v>0</v>
      </c>
      <c r="P138" s="61">
        <v>0</v>
      </c>
      <c r="Q138" s="61">
        <v>0</v>
      </c>
      <c r="R138" s="61">
        <v>0</v>
      </c>
      <c r="S138" s="61">
        <f>+L138*tab!D$10</f>
        <v>0</v>
      </c>
      <c r="T138" s="84"/>
      <c r="U138" s="761"/>
      <c r="V138" s="676"/>
      <c r="W138" s="676"/>
      <c r="X138" s="676"/>
      <c r="Y138" s="676"/>
      <c r="Z138" s="676"/>
      <c r="AA138" s="676"/>
      <c r="AB138" s="676"/>
      <c r="AC138" s="676"/>
      <c r="AD138" s="676"/>
      <c r="AE138" s="676"/>
      <c r="AF138" s="676"/>
      <c r="AG138" s="676"/>
      <c r="AH138" s="676"/>
    </row>
    <row r="139" spans="2:54" s="102" customFormat="1" x14ac:dyDescent="0.2">
      <c r="B139" s="721"/>
      <c r="C139" s="102">
        <v>50</v>
      </c>
      <c r="D139" s="124" t="s">
        <v>405</v>
      </c>
      <c r="E139" s="417" t="s">
        <v>223</v>
      </c>
      <c r="F139" s="726" t="s">
        <v>358</v>
      </c>
      <c r="G139" s="744">
        <v>0</v>
      </c>
      <c r="H139" s="745">
        <f t="shared" si="26"/>
        <v>0</v>
      </c>
      <c r="I139" s="745">
        <f t="shared" si="27"/>
        <v>0</v>
      </c>
      <c r="J139" s="745">
        <f t="shared" si="28"/>
        <v>0</v>
      </c>
      <c r="K139" s="745">
        <f t="shared" si="29"/>
        <v>0</v>
      </c>
      <c r="L139" s="745">
        <f t="shared" si="29"/>
        <v>0</v>
      </c>
      <c r="M139" s="84"/>
      <c r="N139" s="61">
        <v>0</v>
      </c>
      <c r="O139" s="61">
        <v>0</v>
      </c>
      <c r="P139" s="61">
        <v>0</v>
      </c>
      <c r="Q139" s="61">
        <v>0</v>
      </c>
      <c r="R139" s="61">
        <v>0</v>
      </c>
      <c r="S139" s="61">
        <f>+L139*tab!D$10</f>
        <v>0</v>
      </c>
      <c r="T139" s="84"/>
      <c r="U139" s="761"/>
      <c r="V139" s="676"/>
      <c r="W139" s="676"/>
      <c r="X139" s="676"/>
      <c r="Y139" s="676"/>
      <c r="Z139" s="676"/>
      <c r="AA139" s="676"/>
      <c r="AB139" s="676"/>
      <c r="AC139" s="676"/>
      <c r="AD139" s="676"/>
      <c r="AE139" s="676"/>
      <c r="AF139" s="676"/>
      <c r="AG139" s="676"/>
      <c r="AH139" s="676"/>
    </row>
    <row r="140" spans="2:54" s="102" customFormat="1" x14ac:dyDescent="0.2">
      <c r="B140" s="721"/>
      <c r="C140" s="101"/>
      <c r="D140" s="722"/>
      <c r="E140" s="496"/>
      <c r="F140" s="726" t="s">
        <v>359</v>
      </c>
      <c r="G140" s="744">
        <v>0</v>
      </c>
      <c r="H140" s="745">
        <f t="shared" si="26"/>
        <v>0</v>
      </c>
      <c r="I140" s="745">
        <f t="shared" si="27"/>
        <v>0</v>
      </c>
      <c r="J140" s="745">
        <f t="shared" si="28"/>
        <v>0</v>
      </c>
      <c r="K140" s="745">
        <f t="shared" si="29"/>
        <v>0</v>
      </c>
      <c r="L140" s="745">
        <f t="shared" si="29"/>
        <v>0</v>
      </c>
      <c r="M140" s="84"/>
      <c r="N140" s="61">
        <v>0</v>
      </c>
      <c r="O140" s="61">
        <v>0</v>
      </c>
      <c r="P140" s="61">
        <v>0</v>
      </c>
      <c r="Q140" s="61">
        <v>0</v>
      </c>
      <c r="R140" s="61">
        <v>0</v>
      </c>
      <c r="S140" s="61">
        <f>+L140*tab!D$10</f>
        <v>0</v>
      </c>
      <c r="T140" s="84"/>
      <c r="U140" s="761"/>
      <c r="V140" s="676"/>
      <c r="W140" s="676"/>
      <c r="X140" s="676"/>
      <c r="Y140" s="676"/>
      <c r="Z140" s="676"/>
      <c r="AA140" s="676"/>
      <c r="AB140" s="676"/>
      <c r="AC140" s="676"/>
      <c r="AD140" s="676"/>
      <c r="AE140" s="676"/>
      <c r="AF140" s="676"/>
      <c r="AG140" s="676"/>
      <c r="AH140" s="676"/>
    </row>
    <row r="141" spans="2:54" s="102" customFormat="1" x14ac:dyDescent="0.2">
      <c r="B141" s="721"/>
      <c r="C141" s="712"/>
      <c r="D141" s="712"/>
      <c r="E141" s="495"/>
      <c r="F141" s="495"/>
      <c r="G141" s="632"/>
      <c r="H141" s="632"/>
      <c r="I141" s="632"/>
      <c r="J141" s="632"/>
      <c r="K141" s="632"/>
      <c r="L141" s="632"/>
      <c r="M141" s="632"/>
      <c r="N141" s="713"/>
      <c r="O141" s="713"/>
      <c r="P141" s="713"/>
      <c r="Q141" s="713"/>
      <c r="R141" s="713"/>
      <c r="S141" s="713"/>
      <c r="T141" s="632"/>
      <c r="U141" s="761"/>
      <c r="V141" s="676"/>
      <c r="W141" s="676"/>
      <c r="X141" s="676"/>
      <c r="Y141" s="676"/>
      <c r="Z141" s="676"/>
      <c r="AA141" s="676"/>
      <c r="AB141" s="676"/>
      <c r="AC141" s="676"/>
      <c r="AD141" s="676"/>
      <c r="AE141" s="676"/>
      <c r="AF141" s="676"/>
      <c r="AG141" s="676"/>
      <c r="AH141" s="676"/>
    </row>
    <row r="142" spans="2:54" s="105" customFormat="1" x14ac:dyDescent="0.2">
      <c r="B142" s="721"/>
      <c r="C142" s="670" t="s">
        <v>412</v>
      </c>
      <c r="D142" s="709"/>
      <c r="E142" s="710"/>
      <c r="F142" s="710"/>
      <c r="G142" s="747">
        <f t="shared" ref="G142:K142" si="30">SUM(G41:G140)</f>
        <v>454</v>
      </c>
      <c r="H142" s="747">
        <f t="shared" si="30"/>
        <v>454</v>
      </c>
      <c r="I142" s="747">
        <f t="shared" si="30"/>
        <v>454</v>
      </c>
      <c r="J142" s="747">
        <f t="shared" si="30"/>
        <v>454</v>
      </c>
      <c r="K142" s="747">
        <f t="shared" si="30"/>
        <v>454</v>
      </c>
      <c r="L142" s="747">
        <f>SUM(L41:L140)</f>
        <v>454</v>
      </c>
      <c r="M142" s="711"/>
      <c r="N142" s="742">
        <f t="shared" ref="N142:R142" si="31">ROUND(SUM(N41:N140),0)</f>
        <v>2355179</v>
      </c>
      <c r="O142" s="742">
        <f t="shared" si="31"/>
        <v>2355179</v>
      </c>
      <c r="P142" s="742">
        <f t="shared" si="31"/>
        <v>2355179</v>
      </c>
      <c r="Q142" s="742">
        <f t="shared" si="31"/>
        <v>2355179</v>
      </c>
      <c r="R142" s="742">
        <f t="shared" si="31"/>
        <v>2355179</v>
      </c>
      <c r="S142" s="742">
        <f>ROUND(SUM(S41:S140),0)</f>
        <v>2355179</v>
      </c>
      <c r="T142" s="711"/>
      <c r="U142" s="762"/>
      <c r="V142" s="676"/>
      <c r="W142" s="676"/>
      <c r="X142" s="676"/>
      <c r="Y142" s="676"/>
      <c r="Z142" s="676"/>
      <c r="AA142" s="676"/>
      <c r="AB142" s="676"/>
      <c r="AC142" s="676"/>
      <c r="AD142" s="676"/>
      <c r="AE142" s="676"/>
      <c r="AF142" s="676"/>
      <c r="AG142" s="676"/>
      <c r="AH142" s="676"/>
    </row>
    <row r="143" spans="2:54" x14ac:dyDescent="0.2">
      <c r="B143" s="721"/>
      <c r="C143" s="712"/>
      <c r="D143" s="712"/>
      <c r="E143" s="495"/>
      <c r="F143" s="495"/>
      <c r="G143" s="632"/>
      <c r="H143" s="632"/>
      <c r="I143" s="632"/>
      <c r="J143" s="632"/>
      <c r="K143" s="632"/>
      <c r="L143" s="632"/>
      <c r="M143" s="632"/>
      <c r="N143" s="495"/>
      <c r="O143" s="495"/>
      <c r="P143" s="495"/>
      <c r="Q143" s="495"/>
      <c r="R143" s="495"/>
      <c r="S143" s="495"/>
      <c r="T143" s="632"/>
      <c r="U143" s="529"/>
      <c r="V143" s="676"/>
      <c r="W143" s="676"/>
      <c r="X143" s="676"/>
      <c r="Y143" s="676"/>
      <c r="Z143" s="676"/>
      <c r="AA143" s="676"/>
      <c r="AB143" s="676"/>
      <c r="AC143" s="676"/>
      <c r="AD143" s="676"/>
      <c r="AE143" s="676"/>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row>
    <row r="144" spans="2:54" x14ac:dyDescent="0.2">
      <c r="B144" s="704"/>
      <c r="C144" s="107"/>
      <c r="D144" s="107"/>
      <c r="E144" s="5"/>
      <c r="F144" s="5"/>
      <c r="G144" s="63"/>
      <c r="H144" s="63"/>
      <c r="I144" s="63"/>
      <c r="J144" s="63"/>
      <c r="K144" s="63"/>
      <c r="L144" s="63"/>
      <c r="M144" s="63"/>
      <c r="N144" s="5"/>
      <c r="O144" s="5"/>
      <c r="P144" s="5"/>
      <c r="Q144" s="5"/>
      <c r="R144" s="5"/>
      <c r="S144" s="5"/>
      <c r="T144" s="63"/>
      <c r="U144" s="529"/>
      <c r="V144" s="676"/>
      <c r="W144" s="676"/>
      <c r="X144" s="676"/>
      <c r="Y144" s="676"/>
      <c r="Z144" s="676"/>
      <c r="AA144" s="676"/>
      <c r="AB144" s="676"/>
      <c r="AC144" s="676"/>
      <c r="AD144" s="676"/>
      <c r="AE144" s="676"/>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row>
    <row r="145" spans="2:62" x14ac:dyDescent="0.2">
      <c r="B145" s="909"/>
      <c r="C145" s="727"/>
      <c r="D145" s="727"/>
      <c r="E145" s="540"/>
      <c r="F145" s="540"/>
      <c r="G145" s="541"/>
      <c r="H145" s="541"/>
      <c r="I145" s="541"/>
      <c r="J145" s="541"/>
      <c r="K145" s="541"/>
      <c r="L145" s="541"/>
      <c r="M145" s="541"/>
      <c r="N145" s="540"/>
      <c r="O145" s="540"/>
      <c r="P145" s="540"/>
      <c r="Q145" s="540"/>
      <c r="R145" s="540"/>
      <c r="S145" s="540"/>
      <c r="T145" s="541"/>
      <c r="U145" s="534"/>
      <c r="V145" s="676"/>
      <c r="W145" s="676"/>
      <c r="X145" s="676"/>
      <c r="Y145" s="676"/>
      <c r="Z145" s="676"/>
      <c r="AA145" s="676"/>
      <c r="AB145" s="676"/>
      <c r="AC145" s="676"/>
      <c r="AD145" s="676"/>
      <c r="AE145" s="676"/>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row>
    <row r="147" spans="2:62" s="495" customFormat="1" x14ac:dyDescent="0.2">
      <c r="B147" s="676"/>
      <c r="C147" s="676"/>
      <c r="D147" s="676"/>
      <c r="E147" s="676"/>
      <c r="F147" s="676"/>
      <c r="G147" s="676"/>
      <c r="H147" s="676"/>
      <c r="I147" s="676"/>
      <c r="J147" s="676"/>
      <c r="K147" s="676"/>
      <c r="L147" s="676"/>
      <c r="M147" s="676"/>
      <c r="N147" s="676"/>
      <c r="O147" s="676"/>
      <c r="P147" s="676"/>
      <c r="Q147" s="676"/>
      <c r="R147" s="676"/>
      <c r="S147" s="676"/>
      <c r="T147" s="676"/>
      <c r="U147" s="676"/>
      <c r="V147" s="632"/>
      <c r="W147" s="632"/>
      <c r="X147" s="632"/>
      <c r="AE147" s="632"/>
      <c r="AF147" s="676"/>
      <c r="AG147" s="676"/>
      <c r="AH147" s="676"/>
      <c r="AI147" s="676"/>
      <c r="AJ147" s="676"/>
      <c r="AK147" s="676"/>
      <c r="AL147" s="676"/>
      <c r="AM147" s="676"/>
      <c r="AN147" s="676"/>
      <c r="AO147" s="676"/>
      <c r="AP147" s="676"/>
      <c r="AQ147" s="676"/>
      <c r="AR147" s="676"/>
      <c r="AS147" s="676"/>
      <c r="AT147" s="676"/>
      <c r="AU147" s="676"/>
      <c r="AV147" s="676"/>
      <c r="AW147" s="676"/>
      <c r="AX147" s="676"/>
      <c r="AY147" s="676"/>
      <c r="AZ147" s="676"/>
      <c r="BA147" s="676"/>
      <c r="BB147" s="676"/>
    </row>
    <row r="148" spans="2:62" s="906" customFormat="1" x14ac:dyDescent="0.2">
      <c r="B148" s="676"/>
      <c r="C148" s="676"/>
      <c r="D148" s="676"/>
      <c r="E148" s="676"/>
      <c r="F148" s="676"/>
      <c r="G148" s="676"/>
      <c r="H148" s="676"/>
      <c r="I148" s="676"/>
      <c r="J148" s="676"/>
      <c r="K148" s="676"/>
      <c r="L148" s="676"/>
      <c r="M148" s="676"/>
      <c r="N148" s="676"/>
      <c r="O148" s="676"/>
      <c r="P148" s="676"/>
      <c r="Q148" s="676"/>
      <c r="R148" s="676"/>
      <c r="S148" s="676"/>
      <c r="T148" s="676"/>
      <c r="U148" s="676"/>
      <c r="V148" s="764"/>
      <c r="W148" s="764"/>
      <c r="X148" s="764"/>
      <c r="AE148" s="764"/>
      <c r="AF148" s="676"/>
      <c r="AG148" s="676"/>
      <c r="AH148" s="676"/>
      <c r="AI148" s="676"/>
      <c r="AJ148" s="676"/>
      <c r="AK148" s="676"/>
      <c r="AL148" s="676"/>
      <c r="AM148" s="676"/>
      <c r="AN148" s="676"/>
      <c r="AO148" s="676"/>
      <c r="AP148" s="676"/>
      <c r="AQ148" s="676"/>
      <c r="AR148" s="676"/>
      <c r="AS148" s="676"/>
      <c r="AT148" s="676"/>
      <c r="AU148" s="676"/>
      <c r="AV148" s="676"/>
      <c r="AW148" s="676"/>
      <c r="AX148" s="676"/>
      <c r="AY148" s="676"/>
      <c r="AZ148" s="676"/>
      <c r="BA148" s="676"/>
      <c r="BB148" s="676"/>
    </row>
    <row r="149" spans="2:62" s="495" customFormat="1" x14ac:dyDescent="0.2">
      <c r="B149" s="676"/>
      <c r="C149" s="676"/>
      <c r="D149" s="676"/>
      <c r="E149" s="676"/>
      <c r="F149" s="676"/>
      <c r="G149" s="676"/>
      <c r="H149" s="676"/>
      <c r="I149" s="676"/>
      <c r="J149" s="676"/>
      <c r="K149" s="676"/>
      <c r="L149" s="676"/>
      <c r="M149" s="676"/>
      <c r="N149" s="676"/>
      <c r="O149" s="676"/>
      <c r="P149" s="676"/>
      <c r="Q149" s="676"/>
      <c r="R149" s="676"/>
      <c r="S149" s="676"/>
      <c r="T149" s="676"/>
      <c r="U149" s="676"/>
      <c r="V149" s="632"/>
      <c r="W149" s="632"/>
      <c r="X149" s="632"/>
      <c r="AE149" s="632"/>
      <c r="AF149" s="632"/>
      <c r="AG149" s="632"/>
      <c r="AH149" s="632"/>
      <c r="AI149" s="632"/>
      <c r="AJ149" s="632"/>
      <c r="AK149" s="632"/>
      <c r="AL149" s="632"/>
      <c r="AM149" s="632"/>
      <c r="AN149" s="676"/>
      <c r="AO149" s="676"/>
      <c r="AP149" s="676"/>
      <c r="AQ149" s="676"/>
      <c r="AR149" s="676"/>
      <c r="AS149" s="676"/>
      <c r="AT149" s="676"/>
      <c r="AU149" s="676"/>
      <c r="AV149" s="676"/>
      <c r="AW149" s="676"/>
      <c r="AX149" s="676"/>
      <c r="AY149" s="676"/>
      <c r="AZ149" s="676"/>
      <c r="BA149" s="676"/>
      <c r="BB149" s="676"/>
      <c r="BC149" s="676"/>
      <c r="BD149" s="676"/>
      <c r="BE149" s="676"/>
      <c r="BF149" s="676"/>
      <c r="BG149" s="676"/>
      <c r="BH149" s="676"/>
      <c r="BI149" s="676"/>
      <c r="BJ149" s="676"/>
    </row>
    <row r="150" spans="2:62" s="495" customFormat="1" x14ac:dyDescent="0.2">
      <c r="B150" s="676"/>
      <c r="C150" s="676"/>
      <c r="D150" s="676"/>
      <c r="E150" s="676"/>
      <c r="F150" s="676"/>
      <c r="G150" s="676"/>
      <c r="H150" s="676"/>
      <c r="I150" s="676"/>
      <c r="J150" s="676"/>
      <c r="K150" s="676"/>
      <c r="L150" s="676"/>
      <c r="M150" s="676"/>
      <c r="N150" s="676"/>
      <c r="O150" s="676"/>
      <c r="P150" s="676"/>
      <c r="Q150" s="676"/>
      <c r="R150" s="676"/>
      <c r="S150" s="676"/>
      <c r="T150" s="676"/>
      <c r="U150" s="676"/>
      <c r="V150" s="632"/>
      <c r="W150" s="632"/>
      <c r="X150" s="632"/>
      <c r="AE150" s="632"/>
      <c r="AF150" s="632"/>
      <c r="AG150" s="632"/>
      <c r="AH150" s="632"/>
      <c r="AI150" s="632"/>
      <c r="AJ150" s="632"/>
      <c r="AK150" s="632"/>
      <c r="AL150" s="632"/>
      <c r="AM150" s="632"/>
      <c r="AN150" s="676"/>
      <c r="AO150" s="676"/>
      <c r="AP150" s="676"/>
      <c r="AQ150" s="676"/>
      <c r="AR150" s="676"/>
      <c r="AS150" s="676"/>
      <c r="AT150" s="676"/>
      <c r="AU150" s="676"/>
      <c r="AV150" s="676"/>
      <c r="AW150" s="676"/>
      <c r="AX150" s="676"/>
      <c r="AY150" s="676"/>
      <c r="AZ150" s="676"/>
      <c r="BA150" s="676"/>
      <c r="BB150" s="676"/>
      <c r="BC150" s="676"/>
      <c r="BD150" s="676"/>
      <c r="BE150" s="676"/>
      <c r="BF150" s="676"/>
      <c r="BG150" s="676"/>
      <c r="BH150" s="676"/>
      <c r="BI150" s="676"/>
      <c r="BJ150" s="676"/>
    </row>
    <row r="151" spans="2:62" s="495" customFormat="1" x14ac:dyDescent="0.2">
      <c r="B151" s="676"/>
      <c r="C151" s="676"/>
      <c r="D151" s="676"/>
      <c r="E151" s="676"/>
      <c r="F151" s="676"/>
      <c r="G151" s="676"/>
      <c r="H151" s="676"/>
      <c r="I151" s="676"/>
      <c r="J151" s="676"/>
      <c r="K151" s="676"/>
      <c r="L151" s="676"/>
      <c r="M151" s="676"/>
      <c r="N151" s="676"/>
      <c r="O151" s="676"/>
      <c r="P151" s="676"/>
      <c r="Q151" s="676"/>
      <c r="R151" s="676"/>
      <c r="S151" s="676"/>
      <c r="T151" s="676"/>
      <c r="U151" s="676"/>
      <c r="V151" s="632"/>
      <c r="W151" s="632"/>
      <c r="X151" s="632"/>
      <c r="AE151" s="632"/>
      <c r="AF151" s="632"/>
      <c r="AG151" s="632"/>
      <c r="AH151" s="632"/>
      <c r="AI151" s="632"/>
      <c r="AJ151" s="632"/>
      <c r="AK151" s="632"/>
      <c r="AL151" s="632"/>
      <c r="AM151" s="632"/>
      <c r="AN151" s="676"/>
      <c r="AO151" s="676"/>
      <c r="AP151" s="676"/>
      <c r="AQ151" s="676"/>
      <c r="AR151" s="676"/>
      <c r="AS151" s="676"/>
      <c r="AT151" s="676"/>
      <c r="AU151" s="676"/>
      <c r="AV151" s="676"/>
      <c r="AW151" s="676"/>
      <c r="AX151" s="676"/>
      <c r="AY151" s="676"/>
      <c r="AZ151" s="676"/>
      <c r="BA151" s="676"/>
      <c r="BB151" s="676"/>
      <c r="BC151" s="676"/>
      <c r="BD151" s="676"/>
      <c r="BE151" s="676"/>
      <c r="BF151" s="676"/>
      <c r="BG151" s="676"/>
      <c r="BH151" s="676"/>
      <c r="BI151" s="676"/>
      <c r="BJ151" s="676"/>
    </row>
    <row r="152" spans="2:62" s="495" customFormat="1" x14ac:dyDescent="0.2">
      <c r="B152" s="676"/>
      <c r="C152" s="676"/>
      <c r="D152" s="676"/>
      <c r="E152" s="676"/>
      <c r="F152" s="676"/>
      <c r="G152" s="676"/>
      <c r="H152" s="676"/>
      <c r="I152" s="676"/>
      <c r="J152" s="676"/>
      <c r="K152" s="676"/>
      <c r="L152" s="676"/>
      <c r="M152" s="676"/>
      <c r="N152" s="676"/>
      <c r="O152" s="676"/>
      <c r="P152" s="676"/>
      <c r="Q152" s="676"/>
      <c r="R152" s="676"/>
      <c r="S152" s="676"/>
      <c r="T152" s="676"/>
      <c r="U152" s="676"/>
      <c r="V152" s="632"/>
      <c r="W152" s="632"/>
      <c r="X152" s="632"/>
      <c r="AE152" s="632"/>
      <c r="AF152" s="632"/>
      <c r="AG152" s="632"/>
      <c r="AH152" s="632"/>
      <c r="AI152" s="632"/>
      <c r="AJ152" s="632"/>
      <c r="AK152" s="632"/>
      <c r="AL152" s="632"/>
      <c r="AM152" s="632"/>
      <c r="AN152" s="676"/>
      <c r="AO152" s="676"/>
      <c r="AP152" s="676"/>
      <c r="AQ152" s="676"/>
      <c r="AR152" s="676"/>
      <c r="AS152" s="676"/>
      <c r="AT152" s="676"/>
      <c r="AU152" s="676"/>
      <c r="AV152" s="676"/>
      <c r="AW152" s="676"/>
      <c r="AX152" s="676"/>
      <c r="AY152" s="676"/>
      <c r="AZ152" s="676"/>
      <c r="BA152" s="676"/>
      <c r="BB152" s="676"/>
      <c r="BC152" s="676"/>
      <c r="BD152" s="676"/>
      <c r="BE152" s="676"/>
      <c r="BF152" s="676"/>
      <c r="BG152" s="676"/>
      <c r="BH152" s="676"/>
      <c r="BI152" s="676"/>
      <c r="BJ152" s="676"/>
    </row>
    <row r="153" spans="2:62" s="495" customFormat="1" x14ac:dyDescent="0.2">
      <c r="B153" s="676"/>
      <c r="C153" s="676"/>
      <c r="D153" s="676"/>
      <c r="E153" s="676"/>
      <c r="F153" s="676"/>
      <c r="G153" s="676"/>
      <c r="H153" s="676"/>
      <c r="I153" s="676"/>
      <c r="J153" s="676"/>
      <c r="K153" s="676"/>
      <c r="L153" s="676"/>
      <c r="M153" s="676"/>
      <c r="N153" s="676"/>
      <c r="O153" s="676"/>
      <c r="P153" s="676"/>
      <c r="Q153" s="676"/>
      <c r="R153" s="676"/>
      <c r="S153" s="676"/>
      <c r="T153" s="676"/>
      <c r="U153" s="676"/>
      <c r="V153" s="632"/>
      <c r="W153" s="632"/>
      <c r="X153" s="632"/>
      <c r="AE153" s="632"/>
      <c r="AF153" s="632"/>
      <c r="AG153" s="632"/>
      <c r="AH153" s="632"/>
      <c r="AI153" s="632"/>
      <c r="AJ153" s="632"/>
      <c r="AK153" s="632"/>
      <c r="AL153" s="632"/>
      <c r="AM153" s="632"/>
      <c r="AN153" s="676"/>
      <c r="AO153" s="676"/>
      <c r="AP153" s="676"/>
      <c r="AQ153" s="676"/>
      <c r="AR153" s="676"/>
      <c r="AS153" s="676"/>
      <c r="AT153" s="676"/>
      <c r="AU153" s="676"/>
      <c r="AV153" s="676"/>
      <c r="AW153" s="676"/>
      <c r="AX153" s="676"/>
      <c r="AY153" s="676"/>
      <c r="AZ153" s="676"/>
      <c r="BA153" s="676"/>
      <c r="BB153" s="676"/>
      <c r="BC153" s="676"/>
      <c r="BD153" s="676"/>
      <c r="BE153" s="676"/>
      <c r="BF153" s="676"/>
      <c r="BG153" s="676"/>
      <c r="BH153" s="676"/>
      <c r="BI153" s="676"/>
      <c r="BJ153" s="676"/>
    </row>
    <row r="154" spans="2:62" s="495" customFormat="1" x14ac:dyDescent="0.2">
      <c r="B154" s="676"/>
      <c r="C154" s="676"/>
      <c r="D154" s="676"/>
      <c r="E154" s="676"/>
      <c r="F154" s="676"/>
      <c r="G154" s="676"/>
      <c r="H154" s="676"/>
      <c r="I154" s="676"/>
      <c r="J154" s="676"/>
      <c r="K154" s="676"/>
      <c r="L154" s="676"/>
      <c r="M154" s="676"/>
      <c r="N154" s="676"/>
      <c r="O154" s="676"/>
      <c r="P154" s="676"/>
      <c r="Q154" s="676"/>
      <c r="R154" s="676"/>
      <c r="S154" s="676"/>
      <c r="T154" s="676"/>
      <c r="U154" s="676"/>
      <c r="V154" s="632"/>
      <c r="W154" s="632"/>
      <c r="X154" s="632"/>
      <c r="AE154" s="632"/>
      <c r="AF154" s="632"/>
      <c r="AG154" s="632"/>
      <c r="AH154" s="632"/>
      <c r="AI154" s="632"/>
      <c r="AJ154" s="632"/>
      <c r="AK154" s="632"/>
      <c r="AL154" s="632"/>
      <c r="AM154" s="632"/>
      <c r="AN154" s="676"/>
      <c r="AO154" s="676"/>
      <c r="AP154" s="676"/>
      <c r="AQ154" s="676"/>
      <c r="AR154" s="676"/>
      <c r="AS154" s="676"/>
      <c r="AT154" s="676"/>
      <c r="AU154" s="676"/>
      <c r="AV154" s="676"/>
      <c r="AW154" s="676"/>
      <c r="AX154" s="676"/>
      <c r="AY154" s="676"/>
      <c r="AZ154" s="676"/>
      <c r="BA154" s="676"/>
      <c r="BB154" s="676"/>
      <c r="BC154" s="676"/>
      <c r="BD154" s="676"/>
      <c r="BE154" s="676"/>
      <c r="BF154" s="676"/>
      <c r="BG154" s="676"/>
      <c r="BH154" s="676"/>
      <c r="BI154" s="676"/>
      <c r="BJ154" s="676"/>
    </row>
    <row r="155" spans="2:62" s="495" customFormat="1" x14ac:dyDescent="0.2">
      <c r="B155" s="676"/>
      <c r="C155" s="676"/>
      <c r="D155" s="676"/>
      <c r="E155" s="676"/>
      <c r="F155" s="676"/>
      <c r="G155" s="676"/>
      <c r="H155" s="676"/>
      <c r="I155" s="676"/>
      <c r="J155" s="676"/>
      <c r="K155" s="676"/>
      <c r="L155" s="676"/>
      <c r="M155" s="676"/>
      <c r="N155" s="676"/>
      <c r="O155" s="676"/>
      <c r="P155" s="676"/>
      <c r="Q155" s="676"/>
      <c r="R155" s="676"/>
      <c r="S155" s="676"/>
      <c r="T155" s="676"/>
      <c r="U155" s="676"/>
      <c r="V155" s="632"/>
      <c r="W155" s="632"/>
      <c r="X155" s="632"/>
      <c r="AE155" s="632"/>
      <c r="AF155" s="632"/>
      <c r="AG155" s="632"/>
      <c r="AH155" s="632"/>
      <c r="AI155" s="632"/>
      <c r="AJ155" s="632"/>
      <c r="AK155" s="632"/>
      <c r="AL155" s="632"/>
      <c r="AM155" s="632"/>
      <c r="AN155" s="676"/>
      <c r="AO155" s="676"/>
      <c r="AP155" s="676"/>
      <c r="AQ155" s="676"/>
      <c r="AR155" s="676"/>
      <c r="AS155" s="676"/>
      <c r="AT155" s="676"/>
      <c r="AU155" s="676"/>
      <c r="AV155" s="676"/>
      <c r="AW155" s="676"/>
      <c r="AX155" s="676"/>
      <c r="AY155" s="676"/>
      <c r="AZ155" s="676"/>
      <c r="BA155" s="676"/>
      <c r="BB155" s="676"/>
      <c r="BC155" s="676"/>
      <c r="BD155" s="676"/>
      <c r="BE155" s="676"/>
      <c r="BF155" s="676"/>
      <c r="BG155" s="676"/>
      <c r="BH155" s="676"/>
      <c r="BI155" s="676"/>
      <c r="BJ155" s="676"/>
    </row>
    <row r="156" spans="2:62" s="495" customFormat="1" x14ac:dyDescent="0.2">
      <c r="B156" s="676"/>
      <c r="C156" s="676"/>
      <c r="D156" s="676"/>
      <c r="E156" s="676"/>
      <c r="F156" s="676"/>
      <c r="G156" s="676"/>
      <c r="H156" s="676"/>
      <c r="I156" s="676"/>
      <c r="J156" s="676"/>
      <c r="K156" s="676"/>
      <c r="L156" s="676"/>
      <c r="M156" s="676"/>
      <c r="N156" s="676"/>
      <c r="O156" s="676"/>
      <c r="P156" s="676"/>
      <c r="Q156" s="676"/>
      <c r="R156" s="676"/>
      <c r="S156" s="676"/>
      <c r="T156" s="676"/>
      <c r="U156" s="676"/>
      <c r="V156" s="632"/>
      <c r="W156" s="632"/>
      <c r="X156" s="632"/>
      <c r="AE156" s="632"/>
      <c r="AF156" s="632"/>
      <c r="AG156" s="632"/>
      <c r="AH156" s="632"/>
      <c r="AI156" s="632"/>
      <c r="AJ156" s="632"/>
      <c r="AK156" s="632"/>
      <c r="AL156" s="632"/>
      <c r="AM156" s="632"/>
      <c r="AN156" s="676"/>
      <c r="AO156" s="676"/>
      <c r="AP156" s="676"/>
      <c r="AQ156" s="676"/>
      <c r="AR156" s="676"/>
      <c r="AS156" s="676"/>
      <c r="AT156" s="676"/>
      <c r="AU156" s="676"/>
      <c r="AV156" s="676"/>
      <c r="AW156" s="676"/>
      <c r="AX156" s="676"/>
      <c r="AY156" s="676"/>
      <c r="AZ156" s="676"/>
      <c r="BA156" s="676"/>
      <c r="BB156" s="676"/>
      <c r="BC156" s="676"/>
      <c r="BD156" s="676"/>
      <c r="BE156" s="676"/>
      <c r="BF156" s="676"/>
      <c r="BG156" s="676"/>
      <c r="BH156" s="676"/>
      <c r="BI156" s="676"/>
      <c r="BJ156" s="676"/>
    </row>
    <row r="157" spans="2:62" s="495" customFormat="1" x14ac:dyDescent="0.2">
      <c r="B157" s="676"/>
      <c r="C157" s="676"/>
      <c r="D157" s="676"/>
      <c r="E157" s="676"/>
      <c r="F157" s="676"/>
      <c r="G157" s="676"/>
      <c r="H157" s="676"/>
      <c r="I157" s="676"/>
      <c r="J157" s="676"/>
      <c r="K157" s="676"/>
      <c r="L157" s="676"/>
      <c r="M157" s="676"/>
      <c r="N157" s="676"/>
      <c r="O157" s="676"/>
      <c r="P157" s="676"/>
      <c r="Q157" s="676"/>
      <c r="R157" s="676"/>
      <c r="S157" s="676"/>
      <c r="T157" s="676"/>
      <c r="U157" s="676"/>
      <c r="V157" s="632"/>
      <c r="W157" s="632"/>
      <c r="X157" s="632"/>
      <c r="AE157" s="632"/>
      <c r="AF157" s="632"/>
      <c r="AG157" s="632"/>
      <c r="AH157" s="632"/>
      <c r="AI157" s="632"/>
      <c r="AJ157" s="632"/>
      <c r="AK157" s="632"/>
      <c r="AL157" s="632"/>
      <c r="AM157" s="632"/>
      <c r="AN157" s="676"/>
      <c r="AO157" s="676"/>
      <c r="AP157" s="676"/>
      <c r="AQ157" s="676"/>
      <c r="AR157" s="676"/>
      <c r="AS157" s="676"/>
      <c r="AT157" s="676"/>
      <c r="AU157" s="676"/>
      <c r="AV157" s="676"/>
      <c r="AW157" s="676"/>
      <c r="AX157" s="676"/>
      <c r="AY157" s="676"/>
      <c r="AZ157" s="676"/>
      <c r="BA157" s="676"/>
      <c r="BB157" s="676"/>
      <c r="BC157" s="676"/>
      <c r="BD157" s="676"/>
      <c r="BE157" s="676"/>
      <c r="BF157" s="676"/>
      <c r="BG157" s="676"/>
      <c r="BH157" s="676"/>
      <c r="BI157" s="676"/>
      <c r="BJ157" s="676"/>
    </row>
    <row r="158" spans="2:62" s="906" customFormat="1" x14ac:dyDescent="0.2">
      <c r="B158" s="676"/>
      <c r="C158" s="676"/>
      <c r="D158" s="676"/>
      <c r="E158" s="676"/>
      <c r="F158" s="676"/>
      <c r="G158" s="676"/>
      <c r="H158" s="676"/>
      <c r="I158" s="676"/>
      <c r="J158" s="676"/>
      <c r="K158" s="676"/>
      <c r="L158" s="676"/>
      <c r="M158" s="676"/>
      <c r="N158" s="676"/>
      <c r="O158" s="676"/>
      <c r="P158" s="676"/>
      <c r="Q158" s="676"/>
      <c r="R158" s="676"/>
      <c r="S158" s="676"/>
      <c r="T158" s="676"/>
      <c r="U158" s="676"/>
      <c r="V158" s="764"/>
      <c r="W158" s="764"/>
      <c r="X158" s="764"/>
      <c r="AE158" s="764"/>
      <c r="AF158" s="764"/>
      <c r="AG158" s="764"/>
      <c r="AH158" s="764"/>
      <c r="AI158" s="764"/>
      <c r="AJ158" s="764"/>
      <c r="AK158" s="764"/>
      <c r="AL158" s="764"/>
      <c r="AM158" s="764"/>
      <c r="AN158" s="676"/>
      <c r="AO158" s="676"/>
      <c r="AP158" s="676"/>
      <c r="AQ158" s="676"/>
      <c r="AR158" s="676"/>
      <c r="AS158" s="676"/>
      <c r="AT158" s="676"/>
      <c r="AU158" s="676"/>
      <c r="AV158" s="676"/>
      <c r="AW158" s="676"/>
      <c r="AX158" s="676"/>
      <c r="AY158" s="676"/>
      <c r="AZ158" s="676"/>
      <c r="BA158" s="676"/>
      <c r="BB158" s="676"/>
      <c r="BC158" s="676"/>
      <c r="BD158" s="676"/>
      <c r="BE158" s="676"/>
      <c r="BF158" s="676"/>
      <c r="BG158" s="676"/>
      <c r="BH158" s="676"/>
      <c r="BI158" s="676"/>
      <c r="BJ158" s="676"/>
    </row>
    <row r="159" spans="2:62" s="495" customFormat="1" x14ac:dyDescent="0.2">
      <c r="B159" s="676"/>
      <c r="C159" s="676"/>
      <c r="D159" s="676"/>
      <c r="E159" s="676"/>
      <c r="F159" s="676"/>
      <c r="G159" s="676"/>
      <c r="H159" s="676"/>
      <c r="I159" s="676"/>
      <c r="J159" s="676"/>
      <c r="K159" s="676"/>
      <c r="L159" s="676"/>
      <c r="M159" s="676"/>
      <c r="N159" s="676"/>
      <c r="O159" s="676"/>
      <c r="P159" s="676"/>
      <c r="Q159" s="676"/>
      <c r="R159" s="676"/>
      <c r="S159" s="676"/>
      <c r="T159" s="676"/>
      <c r="U159" s="676"/>
      <c r="V159" s="632"/>
      <c r="W159" s="632"/>
      <c r="X159" s="632"/>
      <c r="AE159" s="632"/>
      <c r="AF159" s="632"/>
      <c r="AG159" s="632"/>
      <c r="AH159" s="632"/>
      <c r="AI159" s="632"/>
      <c r="AJ159" s="632"/>
      <c r="AK159" s="632"/>
      <c r="AL159" s="632"/>
      <c r="AM159" s="632"/>
      <c r="AN159" s="676"/>
      <c r="AO159" s="676"/>
      <c r="AP159" s="676"/>
      <c r="AQ159" s="676"/>
      <c r="AR159" s="676"/>
      <c r="AS159" s="676"/>
      <c r="AT159" s="676"/>
      <c r="AU159" s="676"/>
      <c r="AV159" s="676"/>
      <c r="AW159" s="676"/>
      <c r="AX159" s="676"/>
      <c r="AY159" s="676"/>
      <c r="AZ159" s="676"/>
      <c r="BA159" s="676"/>
      <c r="BB159" s="676"/>
      <c r="BC159" s="676"/>
      <c r="BD159" s="676"/>
      <c r="BE159" s="676"/>
      <c r="BF159" s="676"/>
      <c r="BG159" s="676"/>
      <c r="BH159" s="676"/>
      <c r="BI159" s="676"/>
      <c r="BJ159" s="676"/>
    </row>
    <row r="160" spans="2:62" s="495" customFormat="1" x14ac:dyDescent="0.2">
      <c r="B160" s="676"/>
      <c r="C160" s="676"/>
      <c r="D160" s="676"/>
      <c r="E160" s="676"/>
      <c r="F160" s="676"/>
      <c r="G160" s="676"/>
      <c r="H160" s="676"/>
      <c r="I160" s="676"/>
      <c r="J160" s="676"/>
      <c r="K160" s="676"/>
      <c r="L160" s="676"/>
      <c r="M160" s="676"/>
      <c r="N160" s="676"/>
      <c r="O160" s="676"/>
      <c r="P160" s="676"/>
      <c r="Q160" s="676"/>
      <c r="R160" s="676"/>
      <c r="S160" s="676"/>
      <c r="T160" s="676"/>
      <c r="U160" s="676"/>
      <c r="V160" s="632"/>
      <c r="W160" s="632"/>
      <c r="X160" s="632"/>
      <c r="AE160" s="632"/>
      <c r="AF160" s="632"/>
      <c r="AG160" s="632"/>
      <c r="AH160" s="632"/>
      <c r="AI160" s="632"/>
      <c r="AJ160" s="632"/>
      <c r="AK160" s="632"/>
      <c r="AL160" s="632"/>
      <c r="AM160" s="632"/>
      <c r="AN160" s="676"/>
      <c r="AO160" s="676"/>
      <c r="AP160" s="676"/>
      <c r="AQ160" s="676"/>
      <c r="AR160" s="676"/>
      <c r="AS160" s="676"/>
      <c r="AT160" s="676"/>
      <c r="AU160" s="676"/>
      <c r="AV160" s="676"/>
      <c r="AW160" s="676"/>
      <c r="AX160" s="676"/>
      <c r="AY160" s="676"/>
      <c r="AZ160" s="676"/>
      <c r="BA160" s="676"/>
      <c r="BB160" s="676"/>
      <c r="BC160" s="676"/>
      <c r="BD160" s="676"/>
      <c r="BE160" s="676"/>
      <c r="BF160" s="676"/>
      <c r="BG160" s="676"/>
      <c r="BH160" s="676"/>
      <c r="BI160" s="676"/>
      <c r="BJ160" s="676"/>
    </row>
    <row r="161" spans="2:62" s="495" customFormat="1" x14ac:dyDescent="0.2">
      <c r="B161" s="676"/>
      <c r="C161" s="676"/>
      <c r="D161" s="676"/>
      <c r="E161" s="676"/>
      <c r="F161" s="676"/>
      <c r="G161" s="676"/>
      <c r="H161" s="676"/>
      <c r="I161" s="676"/>
      <c r="J161" s="676"/>
      <c r="K161" s="676"/>
      <c r="L161" s="676"/>
      <c r="M161" s="676"/>
      <c r="N161" s="676"/>
      <c r="O161" s="676"/>
      <c r="P161" s="676"/>
      <c r="Q161" s="676"/>
      <c r="R161" s="676"/>
      <c r="S161" s="676"/>
      <c r="T161" s="676"/>
      <c r="U161" s="676"/>
      <c r="V161" s="632"/>
      <c r="W161" s="632"/>
      <c r="X161" s="632"/>
      <c r="AE161" s="632"/>
      <c r="AF161" s="632"/>
      <c r="AG161" s="632"/>
      <c r="AH161" s="632"/>
      <c r="AI161" s="632"/>
      <c r="AJ161" s="632"/>
      <c r="AK161" s="632"/>
      <c r="AL161" s="632"/>
      <c r="AM161" s="632"/>
      <c r="AN161" s="676"/>
      <c r="AO161" s="676"/>
      <c r="AP161" s="676"/>
      <c r="AQ161" s="676"/>
      <c r="AR161" s="676"/>
      <c r="AS161" s="676"/>
      <c r="AT161" s="676"/>
      <c r="AU161" s="676"/>
      <c r="AV161" s="676"/>
      <c r="AW161" s="676"/>
      <c r="AX161" s="676"/>
      <c r="AY161" s="676"/>
      <c r="AZ161" s="676"/>
      <c r="BA161" s="676"/>
      <c r="BB161" s="676"/>
      <c r="BC161" s="676"/>
      <c r="BD161" s="676"/>
      <c r="BE161" s="676"/>
      <c r="BF161" s="676"/>
      <c r="BG161" s="676"/>
      <c r="BH161" s="676"/>
      <c r="BI161" s="676"/>
      <c r="BJ161" s="676"/>
    </row>
    <row r="162" spans="2:62" s="495" customFormat="1" x14ac:dyDescent="0.2">
      <c r="B162" s="676"/>
      <c r="C162" s="676"/>
      <c r="D162" s="676"/>
      <c r="E162" s="676"/>
      <c r="F162" s="676"/>
      <c r="G162" s="676"/>
      <c r="H162" s="676"/>
      <c r="I162" s="676"/>
      <c r="J162" s="676"/>
      <c r="K162" s="676"/>
      <c r="L162" s="676"/>
      <c r="M162" s="676"/>
      <c r="N162" s="676"/>
      <c r="O162" s="676"/>
      <c r="P162" s="676"/>
      <c r="Q162" s="676"/>
      <c r="R162" s="676"/>
      <c r="S162" s="676"/>
      <c r="T162" s="676"/>
      <c r="U162" s="676"/>
      <c r="V162" s="632"/>
      <c r="W162" s="632"/>
      <c r="X162" s="632"/>
      <c r="AE162" s="632"/>
      <c r="AF162" s="632"/>
      <c r="AG162" s="632"/>
      <c r="AH162" s="632"/>
      <c r="AI162" s="632"/>
      <c r="AJ162" s="632"/>
      <c r="AK162" s="632"/>
      <c r="AL162" s="632"/>
      <c r="AM162" s="632"/>
      <c r="AN162" s="676"/>
      <c r="AO162" s="676"/>
      <c r="AP162" s="676"/>
      <c r="AQ162" s="676"/>
      <c r="AR162" s="676"/>
      <c r="AS162" s="676"/>
      <c r="AT162" s="676"/>
      <c r="AU162" s="676"/>
      <c r="AV162" s="676"/>
      <c r="AW162" s="676"/>
      <c r="AX162" s="676"/>
      <c r="AY162" s="676"/>
      <c r="AZ162" s="676"/>
      <c r="BA162" s="676"/>
      <c r="BB162" s="676"/>
      <c r="BC162" s="676"/>
      <c r="BD162" s="676"/>
      <c r="BE162" s="676"/>
      <c r="BF162" s="676"/>
      <c r="BG162" s="676"/>
      <c r="BH162" s="676"/>
      <c r="BI162" s="676"/>
      <c r="BJ162" s="676"/>
    </row>
    <row r="163" spans="2:62" s="906" customFormat="1" x14ac:dyDescent="0.2">
      <c r="B163" s="676"/>
      <c r="C163" s="676"/>
      <c r="D163" s="676"/>
      <c r="E163" s="676"/>
      <c r="F163" s="676"/>
      <c r="G163" s="676"/>
      <c r="H163" s="676"/>
      <c r="I163" s="676"/>
      <c r="J163" s="676"/>
      <c r="K163" s="676"/>
      <c r="L163" s="676"/>
      <c r="M163" s="676"/>
      <c r="N163" s="676"/>
      <c r="O163" s="676"/>
      <c r="P163" s="676"/>
      <c r="Q163" s="676"/>
      <c r="R163" s="676"/>
      <c r="S163" s="676"/>
      <c r="T163" s="676"/>
      <c r="U163" s="676"/>
      <c r="V163" s="764"/>
      <c r="W163" s="764"/>
      <c r="X163" s="764"/>
      <c r="AE163" s="764"/>
      <c r="AF163" s="764"/>
      <c r="AG163" s="764"/>
      <c r="AH163" s="764"/>
      <c r="AI163" s="764"/>
      <c r="AJ163" s="764"/>
      <c r="AK163" s="764"/>
      <c r="AL163" s="764"/>
      <c r="AM163" s="764"/>
      <c r="AN163" s="676"/>
      <c r="AO163" s="676"/>
      <c r="AP163" s="676"/>
      <c r="AQ163" s="676"/>
      <c r="AR163" s="676"/>
      <c r="AS163" s="676"/>
      <c r="AT163" s="676"/>
      <c r="AU163" s="676"/>
      <c r="AV163" s="676"/>
      <c r="AW163" s="676"/>
      <c r="AX163" s="676"/>
      <c r="AY163" s="676"/>
      <c r="AZ163" s="676"/>
      <c r="BA163" s="676"/>
      <c r="BB163" s="676"/>
      <c r="BC163" s="676"/>
      <c r="BD163" s="676"/>
      <c r="BE163" s="676"/>
      <c r="BF163" s="676"/>
      <c r="BG163" s="676"/>
      <c r="BH163" s="676"/>
      <c r="BI163" s="676"/>
      <c r="BJ163" s="676"/>
    </row>
    <row r="164" spans="2:62" s="495" customFormat="1" x14ac:dyDescent="0.2">
      <c r="B164" s="676"/>
      <c r="C164" s="676"/>
      <c r="D164" s="676"/>
      <c r="E164" s="676"/>
      <c r="F164" s="676"/>
      <c r="G164" s="676"/>
      <c r="H164" s="676"/>
      <c r="I164" s="676"/>
      <c r="J164" s="676"/>
      <c r="K164" s="676"/>
      <c r="L164" s="676"/>
      <c r="M164" s="676"/>
      <c r="N164" s="676"/>
      <c r="O164" s="676"/>
      <c r="P164" s="676"/>
      <c r="Q164" s="676"/>
      <c r="R164" s="676"/>
      <c r="S164" s="676"/>
      <c r="T164" s="676"/>
      <c r="U164" s="676"/>
      <c r="V164" s="632"/>
      <c r="W164" s="632"/>
      <c r="X164" s="632"/>
      <c r="AE164" s="632"/>
      <c r="AF164" s="632"/>
      <c r="AG164" s="632"/>
      <c r="AH164" s="632"/>
      <c r="AI164" s="632"/>
      <c r="AJ164" s="632"/>
      <c r="AK164" s="632"/>
      <c r="AL164" s="632"/>
      <c r="AM164" s="632"/>
      <c r="AN164" s="676"/>
      <c r="AO164" s="676"/>
      <c r="AP164" s="676"/>
      <c r="AQ164" s="676"/>
      <c r="AR164" s="676"/>
      <c r="AS164" s="676"/>
      <c r="AT164" s="676"/>
      <c r="AU164" s="676"/>
      <c r="AV164" s="676"/>
      <c r="AW164" s="676"/>
      <c r="AX164" s="676"/>
      <c r="AY164" s="676"/>
      <c r="AZ164" s="676"/>
      <c r="BA164" s="676"/>
      <c r="BB164" s="676"/>
      <c r="BC164" s="676"/>
      <c r="BD164" s="676"/>
      <c r="BE164" s="676"/>
      <c r="BF164" s="676"/>
      <c r="BG164" s="676"/>
      <c r="BH164" s="676"/>
      <c r="BI164" s="676"/>
      <c r="BJ164" s="676"/>
    </row>
    <row r="165" spans="2:62" s="495" customFormat="1" x14ac:dyDescent="0.2">
      <c r="B165" s="676"/>
      <c r="C165" s="676"/>
      <c r="D165" s="676"/>
      <c r="E165" s="676"/>
      <c r="F165" s="676"/>
      <c r="G165" s="676"/>
      <c r="H165" s="676"/>
      <c r="I165" s="676"/>
      <c r="J165" s="676"/>
      <c r="K165" s="676"/>
      <c r="L165" s="676"/>
      <c r="M165" s="676"/>
      <c r="N165" s="676"/>
      <c r="O165" s="676"/>
      <c r="P165" s="676"/>
      <c r="Q165" s="676"/>
      <c r="R165" s="676"/>
      <c r="S165" s="676"/>
      <c r="T165" s="676"/>
      <c r="U165" s="676"/>
      <c r="V165" s="632"/>
      <c r="W165" s="632"/>
      <c r="X165" s="632"/>
      <c r="AE165" s="632"/>
      <c r="AF165" s="632"/>
      <c r="AG165" s="632"/>
      <c r="AH165" s="632"/>
      <c r="AI165" s="632"/>
      <c r="AJ165" s="632"/>
      <c r="AK165" s="632"/>
      <c r="AL165" s="632"/>
      <c r="AM165" s="632"/>
      <c r="AN165" s="676"/>
      <c r="AO165" s="676"/>
      <c r="AP165" s="676"/>
      <c r="AQ165" s="676"/>
      <c r="AR165" s="676"/>
      <c r="AS165" s="676"/>
      <c r="AT165" s="676"/>
      <c r="AU165" s="676"/>
      <c r="AV165" s="676"/>
      <c r="AW165" s="676"/>
      <c r="AX165" s="676"/>
      <c r="AY165" s="676"/>
      <c r="AZ165" s="676"/>
      <c r="BA165" s="676"/>
      <c r="BB165" s="676"/>
      <c r="BC165" s="676"/>
      <c r="BD165" s="676"/>
      <c r="BE165" s="676"/>
      <c r="BF165" s="676"/>
      <c r="BG165" s="676"/>
      <c r="BH165" s="676"/>
      <c r="BI165" s="676"/>
      <c r="BJ165" s="676"/>
    </row>
    <row r="166" spans="2:62" s="495" customFormat="1" x14ac:dyDescent="0.2">
      <c r="B166" s="676"/>
      <c r="C166" s="676"/>
      <c r="D166" s="676"/>
      <c r="E166" s="676"/>
      <c r="F166" s="676"/>
      <c r="G166" s="676"/>
      <c r="H166" s="676"/>
      <c r="I166" s="676"/>
      <c r="J166" s="676"/>
      <c r="K166" s="676"/>
      <c r="L166" s="676"/>
      <c r="M166" s="676"/>
      <c r="N166" s="676"/>
      <c r="O166" s="676"/>
      <c r="P166" s="676"/>
      <c r="Q166" s="676"/>
      <c r="R166" s="676"/>
      <c r="S166" s="676"/>
      <c r="T166" s="676"/>
      <c r="U166" s="676"/>
      <c r="V166" s="632"/>
      <c r="W166" s="632"/>
      <c r="X166" s="632"/>
      <c r="AE166" s="632"/>
      <c r="AF166" s="632"/>
      <c r="AG166" s="632"/>
      <c r="AH166" s="632"/>
      <c r="AI166" s="632"/>
      <c r="AJ166" s="632"/>
      <c r="AK166" s="632"/>
      <c r="AL166" s="632"/>
      <c r="AM166" s="632"/>
      <c r="AN166" s="676"/>
      <c r="AO166" s="676"/>
      <c r="AP166" s="676"/>
      <c r="AQ166" s="676"/>
      <c r="AR166" s="676"/>
      <c r="AS166" s="676"/>
      <c r="AT166" s="676"/>
      <c r="AU166" s="676"/>
      <c r="AV166" s="676"/>
      <c r="AW166" s="676"/>
      <c r="AX166" s="676"/>
      <c r="AY166" s="676"/>
      <c r="AZ166" s="676"/>
      <c r="BA166" s="676"/>
      <c r="BB166" s="676"/>
      <c r="BC166" s="676"/>
      <c r="BD166" s="676"/>
      <c r="BE166" s="676"/>
      <c r="BF166" s="676"/>
      <c r="BG166" s="676"/>
      <c r="BH166" s="676"/>
      <c r="BI166" s="676"/>
      <c r="BJ166" s="676"/>
    </row>
    <row r="167" spans="2:62" s="495" customFormat="1" x14ac:dyDescent="0.2">
      <c r="B167" s="676"/>
      <c r="C167" s="676"/>
      <c r="D167" s="676"/>
      <c r="E167" s="676"/>
      <c r="F167" s="676"/>
      <c r="G167" s="676"/>
      <c r="H167" s="676"/>
      <c r="I167" s="676"/>
      <c r="J167" s="676"/>
      <c r="K167" s="676"/>
      <c r="L167" s="676"/>
      <c r="M167" s="676"/>
      <c r="N167" s="676"/>
      <c r="O167" s="676"/>
      <c r="P167" s="676"/>
      <c r="Q167" s="676"/>
      <c r="R167" s="676"/>
      <c r="S167" s="676"/>
      <c r="T167" s="676"/>
      <c r="U167" s="676"/>
      <c r="V167" s="632"/>
      <c r="W167" s="632"/>
      <c r="X167" s="632"/>
      <c r="AE167" s="632"/>
      <c r="AF167" s="632"/>
      <c r="AG167" s="632"/>
      <c r="AH167" s="632"/>
      <c r="AI167" s="632"/>
      <c r="AJ167" s="632"/>
      <c r="AK167" s="632"/>
      <c r="AL167" s="632"/>
      <c r="AM167" s="632"/>
      <c r="AN167" s="676"/>
      <c r="AO167" s="676"/>
      <c r="AP167" s="676"/>
      <c r="AQ167" s="676"/>
      <c r="AR167" s="676"/>
      <c r="AS167" s="676"/>
      <c r="AT167" s="676"/>
      <c r="AU167" s="676"/>
      <c r="AV167" s="676"/>
      <c r="AW167" s="676"/>
      <c r="AX167" s="676"/>
      <c r="AY167" s="676"/>
      <c r="AZ167" s="676"/>
      <c r="BA167" s="676"/>
      <c r="BB167" s="676"/>
      <c r="BC167" s="676"/>
      <c r="BD167" s="676"/>
      <c r="BE167" s="676"/>
      <c r="BF167" s="676"/>
      <c r="BG167" s="676"/>
      <c r="BH167" s="676"/>
      <c r="BI167" s="676"/>
      <c r="BJ167" s="676"/>
    </row>
    <row r="168" spans="2:62" s="906" customFormat="1" x14ac:dyDescent="0.2">
      <c r="B168" s="676"/>
      <c r="C168" s="676"/>
      <c r="D168" s="676"/>
      <c r="E168" s="676"/>
      <c r="F168" s="676"/>
      <c r="G168" s="676"/>
      <c r="H168" s="676"/>
      <c r="I168" s="676"/>
      <c r="J168" s="676"/>
      <c r="K168" s="676"/>
      <c r="L168" s="676"/>
      <c r="M168" s="676"/>
      <c r="N168" s="676"/>
      <c r="O168" s="676"/>
      <c r="P168" s="676"/>
      <c r="Q168" s="676"/>
      <c r="R168" s="676"/>
      <c r="S168" s="676"/>
      <c r="T168" s="676"/>
      <c r="U168" s="676"/>
      <c r="V168" s="764"/>
      <c r="W168" s="764"/>
      <c r="X168" s="764"/>
      <c r="AE168" s="764"/>
      <c r="AF168" s="764"/>
      <c r="AG168" s="764"/>
      <c r="AH168" s="764"/>
      <c r="AI168" s="764"/>
      <c r="AJ168" s="764"/>
      <c r="AK168" s="764"/>
      <c r="AL168" s="764"/>
      <c r="AM168" s="764"/>
      <c r="AN168" s="676"/>
      <c r="AO168" s="676"/>
      <c r="AP168" s="676"/>
      <c r="AQ168" s="676"/>
      <c r="AR168" s="676"/>
      <c r="AS168" s="676"/>
      <c r="AT168" s="676"/>
      <c r="AU168" s="676"/>
      <c r="AV168" s="676"/>
      <c r="AW168" s="676"/>
      <c r="AX168" s="676"/>
      <c r="AY168" s="676"/>
      <c r="AZ168" s="676"/>
      <c r="BA168" s="676"/>
      <c r="BB168" s="676"/>
      <c r="BC168" s="676"/>
      <c r="BD168" s="676"/>
      <c r="BE168" s="676"/>
      <c r="BF168" s="676"/>
      <c r="BG168" s="676"/>
      <c r="BH168" s="676"/>
      <c r="BI168" s="676"/>
      <c r="BJ168" s="676"/>
    </row>
    <row r="169" spans="2:62" s="495" customFormat="1" x14ac:dyDescent="0.2">
      <c r="B169" s="676"/>
      <c r="C169" s="676"/>
      <c r="D169" s="676"/>
      <c r="E169" s="676"/>
      <c r="F169" s="676"/>
      <c r="G169" s="676"/>
      <c r="H169" s="676"/>
      <c r="I169" s="676"/>
      <c r="J169" s="676"/>
      <c r="K169" s="676"/>
      <c r="L169" s="676"/>
      <c r="M169" s="676"/>
      <c r="N169" s="676"/>
      <c r="O169" s="676"/>
      <c r="P169" s="676"/>
      <c r="Q169" s="676"/>
      <c r="R169" s="676"/>
      <c r="S169" s="676"/>
      <c r="T169" s="676"/>
      <c r="U169" s="676"/>
      <c r="V169" s="632"/>
      <c r="W169" s="632"/>
      <c r="X169" s="632"/>
      <c r="AE169" s="632"/>
      <c r="AF169" s="632"/>
      <c r="AG169" s="632"/>
      <c r="AH169" s="632"/>
      <c r="AI169" s="632"/>
      <c r="AJ169" s="632"/>
      <c r="AK169" s="632"/>
      <c r="AL169" s="632"/>
      <c r="AM169" s="632"/>
      <c r="AN169" s="676"/>
      <c r="AO169" s="676"/>
      <c r="AP169" s="676"/>
      <c r="AQ169" s="676"/>
      <c r="AR169" s="676"/>
      <c r="AS169" s="676"/>
      <c r="AT169" s="676"/>
      <c r="AU169" s="676"/>
      <c r="AV169" s="676"/>
      <c r="AW169" s="676"/>
      <c r="AX169" s="676"/>
      <c r="AY169" s="676"/>
      <c r="AZ169" s="676"/>
      <c r="BA169" s="676"/>
      <c r="BB169" s="676"/>
      <c r="BC169" s="676"/>
      <c r="BD169" s="676"/>
      <c r="BE169" s="676"/>
      <c r="BF169" s="676"/>
      <c r="BG169" s="676"/>
      <c r="BH169" s="676"/>
      <c r="BI169" s="676"/>
      <c r="BJ169" s="676"/>
    </row>
    <row r="170" spans="2:62" s="495" customFormat="1" x14ac:dyDescent="0.2">
      <c r="B170" s="676"/>
      <c r="C170" s="676"/>
      <c r="D170" s="676"/>
      <c r="E170" s="676"/>
      <c r="F170" s="676"/>
      <c r="G170" s="676"/>
      <c r="H170" s="676"/>
      <c r="I170" s="676"/>
      <c r="J170" s="676"/>
      <c r="K170" s="676"/>
      <c r="L170" s="676"/>
      <c r="M170" s="676"/>
      <c r="N170" s="676"/>
      <c r="O170" s="676"/>
      <c r="P170" s="676"/>
      <c r="Q170" s="676"/>
      <c r="R170" s="676"/>
      <c r="S170" s="676"/>
      <c r="T170" s="676"/>
      <c r="U170" s="676"/>
      <c r="V170" s="632"/>
      <c r="W170" s="632"/>
      <c r="X170" s="632"/>
      <c r="AE170" s="632"/>
      <c r="AF170" s="632"/>
      <c r="AG170" s="632"/>
      <c r="AH170" s="632"/>
      <c r="AI170" s="632"/>
      <c r="AJ170" s="632"/>
      <c r="AK170" s="632"/>
      <c r="AL170" s="632"/>
      <c r="AM170" s="632"/>
      <c r="AN170" s="676"/>
      <c r="AO170" s="676"/>
      <c r="AP170" s="676"/>
      <c r="AQ170" s="676"/>
      <c r="AR170" s="676"/>
      <c r="AS170" s="676"/>
      <c r="AT170" s="676"/>
      <c r="AU170" s="676"/>
      <c r="AV170" s="676"/>
      <c r="AW170" s="676"/>
      <c r="AX170" s="676"/>
      <c r="AY170" s="676"/>
      <c r="AZ170" s="676"/>
      <c r="BA170" s="676"/>
      <c r="BB170" s="676"/>
      <c r="BC170" s="676"/>
      <c r="BD170" s="676"/>
      <c r="BE170" s="676"/>
      <c r="BF170" s="676"/>
      <c r="BG170" s="676"/>
      <c r="BH170" s="676"/>
      <c r="BI170" s="676"/>
      <c r="BJ170" s="676"/>
    </row>
    <row r="171" spans="2:62" s="495" customFormat="1" x14ac:dyDescent="0.2">
      <c r="B171" s="676"/>
      <c r="C171" s="676"/>
      <c r="D171" s="676"/>
      <c r="E171" s="676"/>
      <c r="F171" s="676"/>
      <c r="G171" s="676"/>
      <c r="H171" s="676"/>
      <c r="I171" s="676"/>
      <c r="J171" s="676"/>
      <c r="K171" s="676"/>
      <c r="L171" s="676"/>
      <c r="M171" s="676"/>
      <c r="N171" s="676"/>
      <c r="O171" s="676"/>
      <c r="P171" s="676"/>
      <c r="Q171" s="676"/>
      <c r="R171" s="676"/>
      <c r="S171" s="676"/>
      <c r="T171" s="676"/>
      <c r="U171" s="676"/>
      <c r="V171" s="632"/>
      <c r="W171" s="632"/>
      <c r="X171" s="632"/>
      <c r="AE171" s="632"/>
      <c r="AF171" s="632"/>
      <c r="AG171" s="632"/>
      <c r="AH171" s="632"/>
      <c r="AI171" s="632"/>
      <c r="AJ171" s="632"/>
      <c r="AK171" s="632"/>
      <c r="AL171" s="632"/>
      <c r="AM171" s="632"/>
      <c r="AN171" s="676"/>
      <c r="AO171" s="676"/>
      <c r="AP171" s="676"/>
      <c r="AQ171" s="676"/>
      <c r="AR171" s="676"/>
      <c r="AS171" s="676"/>
      <c r="AT171" s="676"/>
      <c r="AU171" s="676"/>
      <c r="AV171" s="676"/>
      <c r="AW171" s="676"/>
      <c r="AX171" s="676"/>
      <c r="AY171" s="676"/>
      <c r="AZ171" s="676"/>
      <c r="BA171" s="676"/>
      <c r="BB171" s="676"/>
      <c r="BC171" s="676"/>
      <c r="BD171" s="676"/>
      <c r="BE171" s="676"/>
      <c r="BF171" s="676"/>
      <c r="BG171" s="676"/>
      <c r="BH171" s="676"/>
      <c r="BI171" s="676"/>
      <c r="BJ171" s="676"/>
    </row>
    <row r="172" spans="2:62" s="495" customFormat="1" x14ac:dyDescent="0.2">
      <c r="B172" s="676"/>
      <c r="C172" s="676"/>
      <c r="D172" s="676"/>
      <c r="E172" s="676"/>
      <c r="F172" s="676"/>
      <c r="G172" s="676"/>
      <c r="H172" s="676"/>
      <c r="I172" s="676"/>
      <c r="J172" s="676"/>
      <c r="K172" s="676"/>
      <c r="L172" s="676"/>
      <c r="M172" s="676"/>
      <c r="N172" s="676"/>
      <c r="O172" s="676"/>
      <c r="P172" s="676"/>
      <c r="Q172" s="676"/>
      <c r="R172" s="676"/>
      <c r="S172" s="676"/>
      <c r="T172" s="676"/>
      <c r="U172" s="676"/>
      <c r="V172" s="632"/>
      <c r="W172" s="632"/>
      <c r="X172" s="632"/>
      <c r="AE172" s="632"/>
      <c r="AF172" s="632"/>
      <c r="AG172" s="632"/>
      <c r="AH172" s="632"/>
      <c r="AI172" s="632"/>
      <c r="AJ172" s="632"/>
      <c r="AK172" s="632"/>
      <c r="AL172" s="632"/>
      <c r="AM172" s="632"/>
      <c r="AN172" s="676"/>
      <c r="AO172" s="676"/>
      <c r="AP172" s="676"/>
      <c r="AQ172" s="676"/>
      <c r="AR172" s="676"/>
      <c r="AS172" s="676"/>
      <c r="AT172" s="676"/>
      <c r="AU172" s="676"/>
      <c r="AV172" s="676"/>
      <c r="AW172" s="676"/>
      <c r="AX172" s="676"/>
      <c r="AY172" s="676"/>
      <c r="AZ172" s="676"/>
      <c r="BA172" s="676"/>
      <c r="BB172" s="676"/>
      <c r="BC172" s="676"/>
      <c r="BD172" s="676"/>
      <c r="BE172" s="676"/>
      <c r="BF172" s="676"/>
      <c r="BG172" s="676"/>
      <c r="BH172" s="676"/>
      <c r="BI172" s="676"/>
      <c r="BJ172" s="676"/>
    </row>
    <row r="173" spans="2:62" s="906" customFormat="1" x14ac:dyDescent="0.2">
      <c r="B173" s="676"/>
      <c r="C173" s="676"/>
      <c r="D173" s="676"/>
      <c r="E173" s="676"/>
      <c r="F173" s="676"/>
      <c r="G173" s="676"/>
      <c r="H173" s="676"/>
      <c r="I173" s="676"/>
      <c r="J173" s="676"/>
      <c r="K173" s="676"/>
      <c r="L173" s="676"/>
      <c r="M173" s="676"/>
      <c r="N173" s="676"/>
      <c r="O173" s="676"/>
      <c r="P173" s="676"/>
      <c r="Q173" s="676"/>
      <c r="R173" s="676"/>
      <c r="S173" s="676"/>
      <c r="T173" s="676"/>
      <c r="U173" s="676"/>
      <c r="V173" s="764"/>
      <c r="W173" s="764"/>
      <c r="X173" s="764"/>
      <c r="AE173" s="764"/>
      <c r="AF173" s="764"/>
      <c r="AG173" s="764"/>
      <c r="AH173" s="764"/>
      <c r="AI173" s="764"/>
      <c r="AJ173" s="764"/>
      <c r="AK173" s="764"/>
      <c r="AL173" s="764"/>
      <c r="AM173" s="764"/>
      <c r="AN173" s="676"/>
      <c r="AO173" s="676"/>
      <c r="AP173" s="676"/>
      <c r="AQ173" s="676"/>
      <c r="AR173" s="676"/>
      <c r="AS173" s="676"/>
      <c r="AT173" s="676"/>
      <c r="AU173" s="676"/>
      <c r="AV173" s="676"/>
      <c r="AW173" s="676"/>
      <c r="AX173" s="676"/>
      <c r="AY173" s="676"/>
      <c r="AZ173" s="676"/>
      <c r="BA173" s="676"/>
      <c r="BB173" s="676"/>
      <c r="BC173" s="676"/>
      <c r="BD173" s="676"/>
      <c r="BE173" s="676"/>
      <c r="BF173" s="676"/>
      <c r="BG173" s="676"/>
      <c r="BH173" s="676"/>
      <c r="BI173" s="676"/>
      <c r="BJ173" s="676"/>
    </row>
    <row r="174" spans="2:62" s="495" customFormat="1" x14ac:dyDescent="0.2">
      <c r="B174" s="676"/>
      <c r="C174" s="676"/>
      <c r="D174" s="676"/>
      <c r="E174" s="676"/>
      <c r="F174" s="676"/>
      <c r="G174" s="676"/>
      <c r="H174" s="676"/>
      <c r="I174" s="676"/>
      <c r="J174" s="676"/>
      <c r="K174" s="676"/>
      <c r="L174" s="676"/>
      <c r="M174" s="676"/>
      <c r="N174" s="676"/>
      <c r="O174" s="676"/>
      <c r="P174" s="676"/>
      <c r="Q174" s="676"/>
      <c r="R174" s="676"/>
      <c r="S174" s="676"/>
      <c r="T174" s="676"/>
      <c r="U174" s="676"/>
      <c r="V174" s="632"/>
      <c r="W174" s="632"/>
      <c r="X174" s="632"/>
      <c r="AE174" s="632"/>
      <c r="AF174" s="632"/>
      <c r="AG174" s="632"/>
      <c r="AH174" s="632"/>
      <c r="AI174" s="632"/>
      <c r="AJ174" s="632"/>
      <c r="AK174" s="632"/>
      <c r="AL174" s="632"/>
      <c r="AM174" s="632"/>
      <c r="AN174" s="676"/>
      <c r="AO174" s="676"/>
      <c r="AP174" s="676"/>
      <c r="AQ174" s="676"/>
      <c r="AR174" s="676"/>
      <c r="AS174" s="676"/>
      <c r="AT174" s="676"/>
      <c r="AU174" s="676"/>
      <c r="AV174" s="676"/>
      <c r="AW174" s="676"/>
      <c r="AX174" s="676"/>
      <c r="AY174" s="676"/>
      <c r="AZ174" s="676"/>
      <c r="BA174" s="676"/>
      <c r="BB174" s="676"/>
      <c r="BC174" s="676"/>
      <c r="BD174" s="676"/>
      <c r="BE174" s="676"/>
      <c r="BF174" s="676"/>
      <c r="BG174" s="676"/>
      <c r="BH174" s="676"/>
      <c r="BI174" s="676"/>
      <c r="BJ174" s="676"/>
    </row>
    <row r="175" spans="2:62" s="495" customFormat="1" x14ac:dyDescent="0.2">
      <c r="B175" s="676"/>
      <c r="C175" s="676"/>
      <c r="D175" s="676"/>
      <c r="E175" s="676"/>
      <c r="F175" s="676"/>
      <c r="G175" s="676"/>
      <c r="H175" s="676"/>
      <c r="I175" s="676"/>
      <c r="J175" s="676"/>
      <c r="K175" s="676"/>
      <c r="L175" s="676"/>
      <c r="M175" s="676"/>
      <c r="N175" s="676"/>
      <c r="O175" s="676"/>
      <c r="P175" s="676"/>
      <c r="Q175" s="676"/>
      <c r="R175" s="676"/>
      <c r="S175" s="676"/>
      <c r="T175" s="676"/>
      <c r="U175" s="676"/>
      <c r="V175" s="632"/>
      <c r="W175" s="632"/>
      <c r="X175" s="632"/>
      <c r="AE175" s="632"/>
      <c r="AF175" s="632"/>
      <c r="AG175" s="632"/>
      <c r="AH175" s="632"/>
      <c r="AI175" s="632"/>
      <c r="AJ175" s="632"/>
      <c r="AK175" s="632"/>
      <c r="AL175" s="632"/>
      <c r="AM175" s="632"/>
      <c r="AN175" s="676"/>
      <c r="AO175" s="676"/>
      <c r="AP175" s="676"/>
      <c r="AQ175" s="676"/>
      <c r="AR175" s="676"/>
      <c r="AS175" s="676"/>
      <c r="AT175" s="676"/>
      <c r="AU175" s="676"/>
      <c r="AV175" s="676"/>
      <c r="AW175" s="676"/>
      <c r="AX175" s="676"/>
      <c r="AY175" s="676"/>
      <c r="AZ175" s="676"/>
      <c r="BA175" s="676"/>
      <c r="BB175" s="676"/>
      <c r="BC175" s="676"/>
      <c r="BD175" s="676"/>
      <c r="BE175" s="676"/>
      <c r="BF175" s="676"/>
      <c r="BG175" s="676"/>
      <c r="BH175" s="676"/>
      <c r="BI175" s="676"/>
      <c r="BJ175" s="676"/>
    </row>
    <row r="176" spans="2:62" s="495" customFormat="1" x14ac:dyDescent="0.2">
      <c r="B176" s="676"/>
      <c r="C176" s="676"/>
      <c r="D176" s="676"/>
      <c r="E176" s="676"/>
      <c r="F176" s="676"/>
      <c r="G176" s="676"/>
      <c r="H176" s="676"/>
      <c r="I176" s="676"/>
      <c r="J176" s="676"/>
      <c r="K176" s="676"/>
      <c r="L176" s="676"/>
      <c r="M176" s="676"/>
      <c r="N176" s="676"/>
      <c r="O176" s="676"/>
      <c r="P176" s="676"/>
      <c r="Q176" s="676"/>
      <c r="R176" s="676"/>
      <c r="S176" s="676"/>
      <c r="T176" s="676"/>
      <c r="U176" s="676"/>
      <c r="V176" s="632"/>
      <c r="W176" s="632"/>
      <c r="X176" s="632"/>
      <c r="AE176" s="632"/>
      <c r="AF176" s="632"/>
      <c r="AG176" s="632"/>
      <c r="AH176" s="632"/>
      <c r="AI176" s="632"/>
      <c r="AJ176" s="632"/>
      <c r="AK176" s="632"/>
      <c r="AL176" s="632"/>
      <c r="AM176" s="632"/>
      <c r="AN176" s="676"/>
      <c r="AO176" s="676"/>
      <c r="AP176" s="676"/>
      <c r="AQ176" s="676"/>
      <c r="AR176" s="676"/>
      <c r="AS176" s="676"/>
      <c r="AT176" s="676"/>
      <c r="AU176" s="676"/>
      <c r="AV176" s="676"/>
      <c r="AW176" s="676"/>
      <c r="AX176" s="676"/>
      <c r="AY176" s="676"/>
      <c r="AZ176" s="676"/>
      <c r="BA176" s="676"/>
      <c r="BB176" s="676"/>
      <c r="BC176" s="676"/>
      <c r="BD176" s="676"/>
      <c r="BE176" s="676"/>
      <c r="BF176" s="676"/>
      <c r="BG176" s="676"/>
      <c r="BH176" s="676"/>
      <c r="BI176" s="676"/>
      <c r="BJ176" s="676"/>
    </row>
    <row r="177" spans="2:62" s="495" customFormat="1" x14ac:dyDescent="0.2">
      <c r="B177" s="676"/>
      <c r="C177" s="676"/>
      <c r="D177" s="676"/>
      <c r="E177" s="676"/>
      <c r="F177" s="676"/>
      <c r="G177" s="676"/>
      <c r="H177" s="676"/>
      <c r="I177" s="676"/>
      <c r="J177" s="676"/>
      <c r="K177" s="676"/>
      <c r="L177" s="676"/>
      <c r="M177" s="676"/>
      <c r="N177" s="676"/>
      <c r="O177" s="676"/>
      <c r="P177" s="676"/>
      <c r="Q177" s="676"/>
      <c r="R177" s="676"/>
      <c r="S177" s="676"/>
      <c r="T177" s="676"/>
      <c r="U177" s="676"/>
      <c r="V177" s="632"/>
      <c r="W177" s="632"/>
      <c r="X177" s="632"/>
      <c r="AE177" s="632"/>
      <c r="AF177" s="632"/>
      <c r="AG177" s="632"/>
      <c r="AH177" s="632"/>
      <c r="AI177" s="632"/>
      <c r="AJ177" s="632"/>
      <c r="AK177" s="632"/>
      <c r="AL177" s="632"/>
      <c r="AM177" s="632"/>
      <c r="AN177" s="676"/>
      <c r="AO177" s="676"/>
      <c r="AP177" s="676"/>
      <c r="AQ177" s="676"/>
      <c r="AR177" s="676"/>
      <c r="AS177" s="676"/>
      <c r="AT177" s="676"/>
      <c r="AU177" s="676"/>
      <c r="AV177" s="676"/>
      <c r="AW177" s="676"/>
      <c r="AX177" s="676"/>
      <c r="AY177" s="676"/>
      <c r="AZ177" s="676"/>
      <c r="BA177" s="676"/>
      <c r="BB177" s="676"/>
      <c r="BC177" s="676"/>
      <c r="BD177" s="676"/>
      <c r="BE177" s="676"/>
      <c r="BF177" s="676"/>
      <c r="BG177" s="676"/>
      <c r="BH177" s="676"/>
      <c r="BI177" s="676"/>
      <c r="BJ177" s="676"/>
    </row>
    <row r="178" spans="2:62" s="906" customFormat="1" x14ac:dyDescent="0.2">
      <c r="B178" s="676"/>
      <c r="C178" s="676"/>
      <c r="D178" s="676"/>
      <c r="E178" s="676"/>
      <c r="F178" s="676"/>
      <c r="G178" s="676"/>
      <c r="H178" s="676"/>
      <c r="I178" s="676"/>
      <c r="J178" s="676"/>
      <c r="K178" s="676"/>
      <c r="L178" s="676"/>
      <c r="M178" s="676"/>
      <c r="N178" s="676"/>
      <c r="O178" s="676"/>
      <c r="P178" s="676"/>
      <c r="Q178" s="676"/>
      <c r="R178" s="676"/>
      <c r="S178" s="676"/>
      <c r="T178" s="676"/>
      <c r="U178" s="676"/>
      <c r="V178" s="764"/>
      <c r="W178" s="764"/>
      <c r="X178" s="764"/>
      <c r="AE178" s="764"/>
      <c r="AF178" s="764"/>
      <c r="AG178" s="764"/>
      <c r="AH178" s="764"/>
      <c r="AI178" s="764"/>
      <c r="AJ178" s="764"/>
      <c r="AK178" s="764"/>
      <c r="AL178" s="764"/>
      <c r="AM178" s="764"/>
      <c r="AN178" s="676"/>
      <c r="AO178" s="676"/>
      <c r="AP178" s="676"/>
      <c r="AQ178" s="676"/>
      <c r="AR178" s="676"/>
      <c r="AS178" s="676"/>
      <c r="AT178" s="676"/>
      <c r="AU178" s="676"/>
      <c r="AV178" s="676"/>
      <c r="AW178" s="676"/>
      <c r="AX178" s="676"/>
      <c r="AY178" s="676"/>
      <c r="AZ178" s="676"/>
      <c r="BA178" s="676"/>
      <c r="BB178" s="676"/>
      <c r="BC178" s="676"/>
      <c r="BD178" s="676"/>
      <c r="BE178" s="676"/>
      <c r="BF178" s="676"/>
      <c r="BG178" s="676"/>
      <c r="BH178" s="676"/>
      <c r="BI178" s="676"/>
      <c r="BJ178" s="676"/>
    </row>
    <row r="179" spans="2:62" s="495" customFormat="1" x14ac:dyDescent="0.2">
      <c r="B179" s="676"/>
      <c r="C179" s="676"/>
      <c r="D179" s="676"/>
      <c r="E179" s="676"/>
      <c r="F179" s="676"/>
      <c r="G179" s="676"/>
      <c r="H179" s="676"/>
      <c r="I179" s="676"/>
      <c r="J179" s="676"/>
      <c r="K179" s="676"/>
      <c r="L179" s="676"/>
      <c r="M179" s="676"/>
      <c r="N179" s="676"/>
      <c r="O179" s="676"/>
      <c r="P179" s="676"/>
      <c r="Q179" s="676"/>
      <c r="R179" s="676"/>
      <c r="S179" s="676"/>
      <c r="T179" s="676"/>
      <c r="U179" s="676"/>
      <c r="V179" s="632"/>
      <c r="W179" s="632"/>
      <c r="X179" s="632"/>
      <c r="AE179" s="632"/>
      <c r="AF179" s="632"/>
      <c r="AG179" s="632"/>
      <c r="AH179" s="632"/>
      <c r="AI179" s="632"/>
      <c r="AJ179" s="632"/>
      <c r="AK179" s="632"/>
      <c r="AL179" s="632"/>
      <c r="AM179" s="632"/>
      <c r="AN179" s="676"/>
      <c r="AO179" s="676"/>
      <c r="AP179" s="676"/>
      <c r="AQ179" s="676"/>
      <c r="AR179" s="676"/>
      <c r="AS179" s="676"/>
      <c r="AT179" s="676"/>
      <c r="AU179" s="676"/>
      <c r="AV179" s="676"/>
      <c r="AW179" s="676"/>
      <c r="AX179" s="676"/>
      <c r="AY179" s="676"/>
      <c r="AZ179" s="676"/>
      <c r="BA179" s="676"/>
      <c r="BB179" s="676"/>
      <c r="BC179" s="676"/>
      <c r="BD179" s="676"/>
      <c r="BE179" s="676"/>
      <c r="BF179" s="676"/>
      <c r="BG179" s="676"/>
      <c r="BH179" s="676"/>
      <c r="BI179" s="676"/>
      <c r="BJ179" s="676"/>
    </row>
    <row r="180" spans="2:62" s="495" customFormat="1" x14ac:dyDescent="0.2">
      <c r="B180" s="676"/>
      <c r="C180" s="676"/>
      <c r="D180" s="676"/>
      <c r="E180" s="676"/>
      <c r="F180" s="676"/>
      <c r="G180" s="676"/>
      <c r="H180" s="676"/>
      <c r="I180" s="676"/>
      <c r="J180" s="676"/>
      <c r="K180" s="676"/>
      <c r="L180" s="676"/>
      <c r="M180" s="676"/>
      <c r="N180" s="676"/>
      <c r="O180" s="676"/>
      <c r="P180" s="676"/>
      <c r="Q180" s="676"/>
      <c r="R180" s="676"/>
      <c r="S180" s="676"/>
      <c r="T180" s="676"/>
      <c r="U180" s="676"/>
      <c r="V180" s="632"/>
      <c r="W180" s="632"/>
      <c r="X180" s="632"/>
      <c r="AE180" s="632"/>
      <c r="AF180" s="632"/>
      <c r="AG180" s="632"/>
      <c r="AH180" s="632"/>
      <c r="AI180" s="632"/>
      <c r="AJ180" s="632"/>
      <c r="AK180" s="632"/>
      <c r="AL180" s="632"/>
      <c r="AM180" s="632"/>
      <c r="AN180" s="676"/>
      <c r="AO180" s="676"/>
      <c r="AP180" s="676"/>
      <c r="AQ180" s="676"/>
      <c r="AR180" s="676"/>
      <c r="AS180" s="676"/>
      <c r="AT180" s="676"/>
      <c r="AU180" s="676"/>
      <c r="AV180" s="676"/>
      <c r="AW180" s="676"/>
      <c r="AX180" s="676"/>
      <c r="AY180" s="676"/>
      <c r="AZ180" s="676"/>
      <c r="BA180" s="676"/>
      <c r="BB180" s="676"/>
      <c r="BC180" s="676"/>
      <c r="BD180" s="676"/>
      <c r="BE180" s="676"/>
      <c r="BF180" s="676"/>
      <c r="BG180" s="676"/>
      <c r="BH180" s="676"/>
      <c r="BI180" s="676"/>
      <c r="BJ180" s="676"/>
    </row>
    <row r="181" spans="2:62" s="495" customFormat="1" x14ac:dyDescent="0.2">
      <c r="B181" s="676"/>
      <c r="C181" s="676"/>
      <c r="D181" s="676"/>
      <c r="E181" s="676"/>
      <c r="F181" s="676"/>
      <c r="G181" s="676"/>
      <c r="H181" s="676"/>
      <c r="I181" s="676"/>
      <c r="J181" s="676"/>
      <c r="K181" s="676"/>
      <c r="L181" s="676"/>
      <c r="M181" s="676"/>
      <c r="N181" s="676"/>
      <c r="O181" s="676"/>
      <c r="P181" s="676"/>
      <c r="Q181" s="676"/>
      <c r="R181" s="676"/>
      <c r="S181" s="676"/>
      <c r="T181" s="676"/>
      <c r="U181" s="676"/>
      <c r="V181" s="632"/>
      <c r="W181" s="632"/>
      <c r="X181" s="632"/>
      <c r="AE181" s="632"/>
      <c r="AF181" s="632"/>
      <c r="AG181" s="632"/>
      <c r="AH181" s="632"/>
      <c r="AI181" s="632"/>
      <c r="AJ181" s="632"/>
      <c r="AK181" s="632"/>
      <c r="AL181" s="632"/>
      <c r="AM181" s="632"/>
      <c r="AN181" s="676"/>
      <c r="AO181" s="676"/>
      <c r="AP181" s="676"/>
      <c r="AQ181" s="676"/>
      <c r="AR181" s="676"/>
      <c r="AS181" s="676"/>
      <c r="AT181" s="676"/>
      <c r="AU181" s="676"/>
      <c r="AV181" s="676"/>
      <c r="AW181" s="676"/>
      <c r="AX181" s="676"/>
      <c r="AY181" s="676"/>
      <c r="AZ181" s="676"/>
      <c r="BA181" s="676"/>
      <c r="BB181" s="676"/>
      <c r="BC181" s="676"/>
      <c r="BD181" s="676"/>
      <c r="BE181" s="676"/>
      <c r="BF181" s="676"/>
      <c r="BG181" s="676"/>
      <c r="BH181" s="676"/>
      <c r="BI181" s="676"/>
      <c r="BJ181" s="676"/>
    </row>
    <row r="182" spans="2:62" s="495" customFormat="1" x14ac:dyDescent="0.2">
      <c r="B182" s="676"/>
      <c r="C182" s="676"/>
      <c r="D182" s="676"/>
      <c r="E182" s="676"/>
      <c r="F182" s="676"/>
      <c r="G182" s="676"/>
      <c r="H182" s="676"/>
      <c r="I182" s="676"/>
      <c r="J182" s="676"/>
      <c r="K182" s="676"/>
      <c r="L182" s="676"/>
      <c r="M182" s="676"/>
      <c r="N182" s="676"/>
      <c r="O182" s="676"/>
      <c r="P182" s="676"/>
      <c r="Q182" s="676"/>
      <c r="R182" s="676"/>
      <c r="S182" s="676"/>
      <c r="T182" s="676"/>
      <c r="U182" s="676"/>
      <c r="V182" s="632"/>
      <c r="W182" s="632"/>
      <c r="X182" s="632"/>
      <c r="AE182" s="632"/>
      <c r="AF182" s="632"/>
      <c r="AG182" s="632"/>
      <c r="AH182" s="632"/>
      <c r="AI182" s="632"/>
      <c r="AJ182" s="632"/>
      <c r="AK182" s="632"/>
      <c r="AL182" s="632"/>
      <c r="AM182" s="632"/>
      <c r="AN182" s="676"/>
      <c r="AO182" s="676"/>
      <c r="AP182" s="676"/>
      <c r="AQ182" s="676"/>
      <c r="AR182" s="676"/>
      <c r="AS182" s="676"/>
      <c r="AT182" s="676"/>
      <c r="AU182" s="676"/>
      <c r="AV182" s="676"/>
      <c r="AW182" s="676"/>
      <c r="AX182" s="676"/>
      <c r="AY182" s="676"/>
      <c r="AZ182" s="676"/>
      <c r="BA182" s="676"/>
      <c r="BB182" s="676"/>
      <c r="BC182" s="676"/>
      <c r="BD182" s="676"/>
      <c r="BE182" s="676"/>
      <c r="BF182" s="676"/>
      <c r="BG182" s="676"/>
      <c r="BH182" s="676"/>
      <c r="BI182" s="676"/>
      <c r="BJ182" s="676"/>
    </row>
    <row r="183" spans="2:62" s="906" customFormat="1" x14ac:dyDescent="0.2">
      <c r="B183" s="676"/>
      <c r="C183" s="676"/>
      <c r="D183" s="676"/>
      <c r="E183" s="676"/>
      <c r="F183" s="676"/>
      <c r="G183" s="676"/>
      <c r="H183" s="676"/>
      <c r="I183" s="676"/>
      <c r="J183" s="676"/>
      <c r="K183" s="676"/>
      <c r="L183" s="676"/>
      <c r="M183" s="676"/>
      <c r="N183" s="676"/>
      <c r="O183" s="676"/>
      <c r="P183" s="676"/>
      <c r="Q183" s="676"/>
      <c r="R183" s="676"/>
      <c r="S183" s="676"/>
      <c r="T183" s="676"/>
      <c r="U183" s="676"/>
      <c r="V183" s="764"/>
      <c r="W183" s="764"/>
      <c r="X183" s="764"/>
      <c r="AE183" s="764"/>
      <c r="AF183" s="764"/>
      <c r="AG183" s="764"/>
      <c r="AH183" s="764"/>
      <c r="AI183" s="764"/>
      <c r="AJ183" s="764"/>
      <c r="AK183" s="764"/>
      <c r="AL183" s="764"/>
      <c r="AM183" s="764"/>
      <c r="AN183" s="676"/>
      <c r="AO183" s="676"/>
      <c r="AP183" s="676"/>
      <c r="AQ183" s="676"/>
      <c r="AR183" s="676"/>
      <c r="AS183" s="676"/>
      <c r="AT183" s="676"/>
      <c r="AU183" s="676"/>
      <c r="AV183" s="676"/>
      <c r="AW183" s="676"/>
      <c r="AX183" s="676"/>
      <c r="AY183" s="676"/>
      <c r="AZ183" s="676"/>
      <c r="BA183" s="676"/>
      <c r="BB183" s="676"/>
      <c r="BC183" s="676"/>
      <c r="BD183" s="676"/>
      <c r="BE183" s="676"/>
      <c r="BF183" s="676"/>
      <c r="BG183" s="676"/>
      <c r="BH183" s="676"/>
      <c r="BI183" s="676"/>
      <c r="BJ183" s="676"/>
    </row>
    <row r="184" spans="2:62" s="495" customFormat="1" x14ac:dyDescent="0.2">
      <c r="B184" s="676"/>
      <c r="C184" s="676"/>
      <c r="D184" s="676"/>
      <c r="E184" s="676"/>
      <c r="F184" s="676"/>
      <c r="G184" s="676"/>
      <c r="H184" s="676"/>
      <c r="I184" s="676"/>
      <c r="J184" s="676"/>
      <c r="K184" s="676"/>
      <c r="L184" s="676"/>
      <c r="M184" s="676"/>
      <c r="N184" s="676"/>
      <c r="O184" s="676"/>
      <c r="P184" s="676"/>
      <c r="Q184" s="676"/>
      <c r="R184" s="676"/>
      <c r="S184" s="676"/>
      <c r="T184" s="676"/>
      <c r="U184" s="676"/>
      <c r="V184" s="632"/>
      <c r="W184" s="632"/>
      <c r="X184" s="632"/>
      <c r="AE184" s="632"/>
      <c r="AF184" s="632"/>
      <c r="AG184" s="632"/>
      <c r="AH184" s="632"/>
      <c r="AI184" s="632"/>
      <c r="AJ184" s="632"/>
      <c r="AK184" s="632"/>
      <c r="AL184" s="632"/>
      <c r="AM184" s="632"/>
      <c r="AN184" s="676"/>
      <c r="AO184" s="676"/>
      <c r="AP184" s="676"/>
      <c r="AQ184" s="676"/>
      <c r="AR184" s="676"/>
      <c r="AS184" s="676"/>
      <c r="AT184" s="676"/>
      <c r="AU184" s="676"/>
      <c r="AV184" s="676"/>
      <c r="AW184" s="676"/>
      <c r="AX184" s="676"/>
      <c r="AY184" s="676"/>
      <c r="AZ184" s="676"/>
      <c r="BA184" s="676"/>
      <c r="BB184" s="676"/>
      <c r="BC184" s="676"/>
      <c r="BD184" s="676"/>
      <c r="BE184" s="676"/>
      <c r="BF184" s="676"/>
      <c r="BG184" s="676"/>
      <c r="BH184" s="676"/>
      <c r="BI184" s="676"/>
      <c r="BJ184" s="676"/>
    </row>
    <row r="185" spans="2:62" s="495" customFormat="1" x14ac:dyDescent="0.2">
      <c r="B185" s="676"/>
      <c r="C185" s="676"/>
      <c r="D185" s="676"/>
      <c r="E185" s="676"/>
      <c r="F185" s="676"/>
      <c r="G185" s="676"/>
      <c r="H185" s="676"/>
      <c r="I185" s="676"/>
      <c r="J185" s="676"/>
      <c r="K185" s="676"/>
      <c r="L185" s="676"/>
      <c r="M185" s="676"/>
      <c r="N185" s="676"/>
      <c r="O185" s="676"/>
      <c r="P185" s="676"/>
      <c r="Q185" s="676"/>
      <c r="R185" s="676"/>
      <c r="S185" s="676"/>
      <c r="T185" s="676"/>
      <c r="U185" s="676"/>
      <c r="V185" s="632"/>
      <c r="W185" s="632"/>
      <c r="X185" s="632"/>
      <c r="AE185" s="632"/>
      <c r="AF185" s="632"/>
      <c r="AG185" s="632"/>
      <c r="AH185" s="632"/>
      <c r="AI185" s="632"/>
      <c r="AJ185" s="632"/>
      <c r="AK185" s="632"/>
      <c r="AL185" s="632"/>
      <c r="AM185" s="632"/>
      <c r="AN185" s="676"/>
      <c r="AO185" s="676"/>
      <c r="AP185" s="676"/>
      <c r="AQ185" s="676"/>
      <c r="AR185" s="676"/>
      <c r="AS185" s="676"/>
      <c r="AT185" s="676"/>
      <c r="AU185" s="676"/>
      <c r="AV185" s="676"/>
      <c r="AW185" s="676"/>
      <c r="AX185" s="676"/>
      <c r="AY185" s="676"/>
      <c r="AZ185" s="676"/>
      <c r="BA185" s="676"/>
      <c r="BB185" s="676"/>
      <c r="BC185" s="676"/>
      <c r="BD185" s="676"/>
      <c r="BE185" s="676"/>
      <c r="BF185" s="676"/>
      <c r="BG185" s="676"/>
      <c r="BH185" s="676"/>
      <c r="BI185" s="676"/>
      <c r="BJ185" s="676"/>
    </row>
    <row r="186" spans="2:62" s="495" customFormat="1" x14ac:dyDescent="0.2">
      <c r="B186" s="676"/>
      <c r="C186" s="676"/>
      <c r="D186" s="676"/>
      <c r="E186" s="676"/>
      <c r="F186" s="676"/>
      <c r="G186" s="676"/>
      <c r="H186" s="676"/>
      <c r="I186" s="676"/>
      <c r="J186" s="676"/>
      <c r="K186" s="676"/>
      <c r="L186" s="676"/>
      <c r="M186" s="676"/>
      <c r="N186" s="676"/>
      <c r="O186" s="676"/>
      <c r="P186" s="676"/>
      <c r="Q186" s="676"/>
      <c r="R186" s="676"/>
      <c r="S186" s="676"/>
      <c r="T186" s="676"/>
      <c r="U186" s="676"/>
      <c r="V186" s="632"/>
      <c r="W186" s="632"/>
      <c r="X186" s="632"/>
      <c r="AE186" s="632"/>
      <c r="AF186" s="632"/>
      <c r="AG186" s="632"/>
      <c r="AH186" s="632"/>
      <c r="AI186" s="632"/>
      <c r="AJ186" s="632"/>
      <c r="AK186" s="632"/>
      <c r="AL186" s="632"/>
      <c r="AM186" s="632"/>
      <c r="AN186" s="676"/>
      <c r="AO186" s="676"/>
      <c r="AP186" s="676"/>
      <c r="AQ186" s="676"/>
      <c r="AR186" s="676"/>
      <c r="AS186" s="676"/>
      <c r="AT186" s="676"/>
      <c r="AU186" s="676"/>
      <c r="AV186" s="676"/>
      <c r="AW186" s="676"/>
      <c r="AX186" s="676"/>
      <c r="AY186" s="676"/>
      <c r="AZ186" s="676"/>
      <c r="BA186" s="676"/>
      <c r="BB186" s="676"/>
      <c r="BC186" s="676"/>
      <c r="BD186" s="676"/>
      <c r="BE186" s="676"/>
      <c r="BF186" s="676"/>
      <c r="BG186" s="676"/>
      <c r="BH186" s="676"/>
      <c r="BI186" s="676"/>
      <c r="BJ186" s="676"/>
    </row>
    <row r="187" spans="2:62" s="495" customFormat="1" x14ac:dyDescent="0.2">
      <c r="B187" s="676"/>
      <c r="C187" s="676"/>
      <c r="D187" s="676"/>
      <c r="E187" s="676"/>
      <c r="F187" s="676"/>
      <c r="G187" s="676"/>
      <c r="H187" s="676"/>
      <c r="I187" s="676"/>
      <c r="J187" s="676"/>
      <c r="K187" s="676"/>
      <c r="L187" s="676"/>
      <c r="M187" s="676"/>
      <c r="N187" s="676"/>
      <c r="O187" s="676"/>
      <c r="P187" s="676"/>
      <c r="Q187" s="676"/>
      <c r="R187" s="676"/>
      <c r="S187" s="676"/>
      <c r="T187" s="676"/>
      <c r="U187" s="676"/>
      <c r="V187" s="632"/>
      <c r="W187" s="632"/>
      <c r="X187" s="632"/>
      <c r="AE187" s="632"/>
      <c r="AF187" s="632"/>
      <c r="AG187" s="632"/>
      <c r="AH187" s="632"/>
      <c r="AI187" s="632"/>
      <c r="AJ187" s="632"/>
      <c r="AK187" s="632"/>
      <c r="AL187" s="632"/>
      <c r="AM187" s="632"/>
      <c r="AN187" s="676"/>
      <c r="AO187" s="676"/>
      <c r="AP187" s="676"/>
      <c r="AQ187" s="676"/>
      <c r="AR187" s="676"/>
      <c r="AS187" s="676"/>
      <c r="AT187" s="676"/>
      <c r="AU187" s="676"/>
      <c r="AV187" s="676"/>
      <c r="AW187" s="676"/>
      <c r="AX187" s="676"/>
      <c r="AY187" s="676"/>
      <c r="AZ187" s="676"/>
      <c r="BA187" s="676"/>
      <c r="BB187" s="676"/>
      <c r="BC187" s="676"/>
      <c r="BD187" s="676"/>
      <c r="BE187" s="676"/>
      <c r="BF187" s="676"/>
      <c r="BG187" s="676"/>
      <c r="BH187" s="676"/>
      <c r="BI187" s="676"/>
      <c r="BJ187" s="676"/>
    </row>
    <row r="188" spans="2:62" s="495" customFormat="1" x14ac:dyDescent="0.2">
      <c r="B188" s="676"/>
      <c r="C188" s="676"/>
      <c r="D188" s="676"/>
      <c r="E188" s="676"/>
      <c r="F188" s="676"/>
      <c r="G188" s="676"/>
      <c r="H188" s="676"/>
      <c r="I188" s="676"/>
      <c r="J188" s="676"/>
      <c r="K188" s="676"/>
      <c r="L188" s="676"/>
      <c r="M188" s="676"/>
      <c r="N188" s="676"/>
      <c r="O188" s="676"/>
      <c r="P188" s="676"/>
      <c r="Q188" s="676"/>
      <c r="R188" s="676"/>
      <c r="S188" s="676"/>
      <c r="T188" s="676"/>
      <c r="U188" s="676"/>
      <c r="V188" s="632"/>
      <c r="W188" s="632"/>
      <c r="X188" s="632"/>
      <c r="AE188" s="632"/>
      <c r="AF188" s="632"/>
      <c r="AG188" s="632"/>
      <c r="AH188" s="632"/>
      <c r="AI188" s="632"/>
      <c r="AJ188" s="632"/>
      <c r="AK188" s="632"/>
      <c r="AL188" s="632"/>
      <c r="AM188" s="632"/>
      <c r="AN188" s="676"/>
      <c r="AO188" s="676"/>
      <c r="AP188" s="676"/>
      <c r="AQ188" s="676"/>
      <c r="AR188" s="676"/>
      <c r="AS188" s="676"/>
      <c r="AT188" s="676"/>
      <c r="AU188" s="676"/>
      <c r="AV188" s="676"/>
      <c r="AW188" s="676"/>
      <c r="AX188" s="676"/>
      <c r="AY188" s="676"/>
      <c r="AZ188" s="676"/>
      <c r="BA188" s="676"/>
      <c r="BB188" s="676"/>
      <c r="BC188" s="676"/>
      <c r="BD188" s="676"/>
      <c r="BE188" s="676"/>
      <c r="BF188" s="676"/>
      <c r="BG188" s="676"/>
      <c r="BH188" s="676"/>
      <c r="BI188" s="676"/>
      <c r="BJ188" s="676"/>
    </row>
    <row r="189" spans="2:62" s="495" customFormat="1" x14ac:dyDescent="0.2">
      <c r="B189" s="676"/>
      <c r="C189" s="676"/>
      <c r="D189" s="676"/>
      <c r="E189" s="676"/>
      <c r="F189" s="676"/>
      <c r="G189" s="676"/>
      <c r="H189" s="676"/>
      <c r="I189" s="676"/>
      <c r="J189" s="676"/>
      <c r="K189" s="676"/>
      <c r="L189" s="676"/>
      <c r="M189" s="676"/>
      <c r="N189" s="676"/>
      <c r="O189" s="676"/>
      <c r="P189" s="676"/>
      <c r="Q189" s="676"/>
      <c r="R189" s="676"/>
      <c r="S189" s="676"/>
      <c r="T189" s="676"/>
      <c r="U189" s="676"/>
      <c r="V189" s="632"/>
      <c r="W189" s="632"/>
      <c r="X189" s="632"/>
      <c r="AE189" s="632"/>
      <c r="AF189" s="632"/>
      <c r="AG189" s="632"/>
      <c r="AH189" s="632"/>
      <c r="AI189" s="632"/>
      <c r="AJ189" s="632"/>
      <c r="AK189" s="632"/>
      <c r="AL189" s="632"/>
      <c r="AM189" s="632"/>
      <c r="AN189" s="676"/>
      <c r="AO189" s="676"/>
      <c r="AP189" s="676"/>
      <c r="AQ189" s="676"/>
      <c r="AR189" s="676"/>
      <c r="AS189" s="676"/>
      <c r="AT189" s="676"/>
      <c r="AU189" s="676"/>
      <c r="AV189" s="676"/>
      <c r="AW189" s="676"/>
      <c r="AX189" s="676"/>
      <c r="AY189" s="676"/>
      <c r="AZ189" s="676"/>
      <c r="BA189" s="676"/>
      <c r="BB189" s="676"/>
      <c r="BC189" s="676"/>
      <c r="BD189" s="676"/>
      <c r="BE189" s="676"/>
      <c r="BF189" s="676"/>
      <c r="BG189" s="676"/>
      <c r="BH189" s="676"/>
      <c r="BI189" s="676"/>
      <c r="BJ189" s="676"/>
    </row>
    <row r="190" spans="2:62" s="495" customFormat="1" x14ac:dyDescent="0.2">
      <c r="B190" s="676"/>
      <c r="C190" s="676"/>
      <c r="D190" s="676"/>
      <c r="E190" s="676"/>
      <c r="F190" s="676"/>
      <c r="G190" s="676"/>
      <c r="H190" s="676"/>
      <c r="I190" s="676"/>
      <c r="J190" s="676"/>
      <c r="K190" s="676"/>
      <c r="L190" s="676"/>
      <c r="M190" s="676"/>
      <c r="N190" s="676"/>
      <c r="O190" s="676"/>
      <c r="P190" s="676"/>
      <c r="Q190" s="676"/>
      <c r="R190" s="676"/>
      <c r="S190" s="676"/>
      <c r="T190" s="676"/>
      <c r="U190" s="676"/>
      <c r="V190" s="632"/>
      <c r="W190" s="632"/>
      <c r="X190" s="632"/>
      <c r="AE190" s="632"/>
      <c r="AF190" s="632"/>
      <c r="AG190" s="632"/>
      <c r="AH190" s="632"/>
      <c r="AI190" s="632"/>
      <c r="AJ190" s="632"/>
      <c r="AK190" s="632"/>
      <c r="AL190" s="632"/>
      <c r="AM190" s="632"/>
      <c r="AN190" s="676"/>
      <c r="AO190" s="676"/>
      <c r="AP190" s="676"/>
      <c r="AQ190" s="676"/>
      <c r="AR190" s="676"/>
      <c r="AS190" s="676"/>
      <c r="AT190" s="676"/>
      <c r="AU190" s="676"/>
      <c r="AV190" s="676"/>
      <c r="AW190" s="676"/>
      <c r="AX190" s="676"/>
      <c r="AY190" s="676"/>
      <c r="AZ190" s="676"/>
      <c r="BA190" s="676"/>
      <c r="BB190" s="676"/>
      <c r="BC190" s="676"/>
      <c r="BD190" s="676"/>
      <c r="BE190" s="676"/>
      <c r="BF190" s="676"/>
      <c r="BG190" s="676"/>
      <c r="BH190" s="676"/>
      <c r="BI190" s="676"/>
      <c r="BJ190" s="676"/>
    </row>
    <row r="191" spans="2:62" s="495" customFormat="1" x14ac:dyDescent="0.2">
      <c r="B191" s="676"/>
      <c r="C191" s="676"/>
      <c r="D191" s="676"/>
      <c r="E191" s="676"/>
      <c r="F191" s="676"/>
      <c r="G191" s="676"/>
      <c r="H191" s="676"/>
      <c r="I191" s="676"/>
      <c r="J191" s="676"/>
      <c r="K191" s="676"/>
      <c r="L191" s="676"/>
      <c r="M191" s="676"/>
      <c r="N191" s="676"/>
      <c r="O191" s="676"/>
      <c r="P191" s="676"/>
      <c r="Q191" s="676"/>
      <c r="R191" s="676"/>
      <c r="S191" s="676"/>
      <c r="T191" s="676"/>
      <c r="U191" s="676"/>
      <c r="V191" s="632"/>
      <c r="W191" s="632"/>
      <c r="X191" s="632"/>
      <c r="AE191" s="632"/>
      <c r="AF191" s="632"/>
      <c r="AG191" s="632"/>
      <c r="AH191" s="632"/>
      <c r="AI191" s="632"/>
      <c r="AJ191" s="632"/>
      <c r="AK191" s="632"/>
      <c r="AL191" s="632"/>
      <c r="AM191" s="632"/>
      <c r="AN191" s="676"/>
      <c r="AO191" s="676"/>
      <c r="AP191" s="676"/>
      <c r="AQ191" s="676"/>
      <c r="AR191" s="676"/>
      <c r="AS191" s="676"/>
      <c r="AT191" s="676"/>
      <c r="AU191" s="676"/>
      <c r="AV191" s="676"/>
      <c r="AW191" s="676"/>
      <c r="AX191" s="676"/>
      <c r="AY191" s="676"/>
      <c r="AZ191" s="676"/>
      <c r="BA191" s="676"/>
      <c r="BB191" s="676"/>
      <c r="BC191" s="676"/>
      <c r="BD191" s="676"/>
      <c r="BE191" s="676"/>
      <c r="BF191" s="676"/>
      <c r="BG191" s="676"/>
      <c r="BH191" s="676"/>
      <c r="BI191" s="676"/>
      <c r="BJ191" s="676"/>
    </row>
    <row r="192" spans="2:62" s="495" customFormat="1" x14ac:dyDescent="0.2">
      <c r="B192" s="676"/>
      <c r="C192" s="676"/>
      <c r="D192" s="676"/>
      <c r="E192" s="676"/>
      <c r="F192" s="676"/>
      <c r="G192" s="676"/>
      <c r="H192" s="676"/>
      <c r="I192" s="676"/>
      <c r="J192" s="676"/>
      <c r="K192" s="676"/>
      <c r="L192" s="676"/>
      <c r="M192" s="676"/>
      <c r="N192" s="676"/>
      <c r="O192" s="676"/>
      <c r="P192" s="676"/>
      <c r="Q192" s="676"/>
      <c r="R192" s="676"/>
      <c r="S192" s="676"/>
      <c r="T192" s="676"/>
      <c r="U192" s="676"/>
      <c r="V192" s="632"/>
      <c r="W192" s="632"/>
      <c r="X192" s="632"/>
      <c r="AE192" s="632"/>
      <c r="AF192" s="632"/>
      <c r="AG192" s="632"/>
      <c r="AH192" s="632"/>
      <c r="AI192" s="632"/>
      <c r="AJ192" s="632"/>
      <c r="AK192" s="632"/>
      <c r="AL192" s="632"/>
      <c r="AM192" s="632"/>
      <c r="AN192" s="676"/>
      <c r="AO192" s="676"/>
      <c r="AP192" s="676"/>
      <c r="AQ192" s="676"/>
      <c r="AR192" s="676"/>
      <c r="AS192" s="676"/>
      <c r="AT192" s="676"/>
      <c r="AU192" s="676"/>
      <c r="AV192" s="676"/>
      <c r="AW192" s="676"/>
      <c r="AX192" s="676"/>
      <c r="AY192" s="676"/>
      <c r="AZ192" s="676"/>
      <c r="BA192" s="676"/>
      <c r="BB192" s="676"/>
      <c r="BC192" s="676"/>
      <c r="BD192" s="676"/>
      <c r="BE192" s="676"/>
      <c r="BF192" s="676"/>
      <c r="BG192" s="676"/>
      <c r="BH192" s="676"/>
      <c r="BI192" s="676"/>
      <c r="BJ192" s="676"/>
    </row>
    <row r="193" spans="2:62" s="495" customFormat="1" x14ac:dyDescent="0.2">
      <c r="B193" s="676"/>
      <c r="C193" s="676"/>
      <c r="D193" s="676"/>
      <c r="E193" s="676"/>
      <c r="F193" s="676"/>
      <c r="G193" s="676"/>
      <c r="H193" s="676"/>
      <c r="I193" s="676"/>
      <c r="J193" s="676"/>
      <c r="K193" s="676"/>
      <c r="L193" s="676"/>
      <c r="M193" s="676"/>
      <c r="N193" s="676"/>
      <c r="O193" s="676"/>
      <c r="P193" s="676"/>
      <c r="Q193" s="676"/>
      <c r="R193" s="676"/>
      <c r="S193" s="676"/>
      <c r="T193" s="676"/>
      <c r="U193" s="676"/>
      <c r="V193" s="632"/>
      <c r="W193" s="632"/>
      <c r="X193" s="632"/>
      <c r="AE193" s="632"/>
      <c r="AF193" s="632"/>
      <c r="AG193" s="632"/>
      <c r="AH193" s="632"/>
      <c r="AI193" s="632"/>
      <c r="AJ193" s="632"/>
      <c r="AK193" s="632"/>
      <c r="AL193" s="632"/>
      <c r="AM193" s="632"/>
      <c r="AN193" s="676"/>
      <c r="AO193" s="676"/>
      <c r="AP193" s="676"/>
      <c r="AQ193" s="676"/>
      <c r="AR193" s="676"/>
      <c r="AS193" s="676"/>
      <c r="AT193" s="676"/>
      <c r="AU193" s="676"/>
      <c r="AV193" s="676"/>
      <c r="AW193" s="676"/>
      <c r="AX193" s="676"/>
      <c r="AY193" s="676"/>
      <c r="AZ193" s="676"/>
      <c r="BA193" s="676"/>
      <c r="BB193" s="676"/>
      <c r="BC193" s="676"/>
      <c r="BD193" s="676"/>
      <c r="BE193" s="676"/>
      <c r="BF193" s="676"/>
      <c r="BG193" s="676"/>
      <c r="BH193" s="676"/>
      <c r="BI193" s="676"/>
      <c r="BJ193" s="676"/>
    </row>
    <row r="194" spans="2:62" s="906" customFormat="1" x14ac:dyDescent="0.2">
      <c r="B194" s="676"/>
      <c r="C194" s="676"/>
      <c r="D194" s="676"/>
      <c r="E194" s="676"/>
      <c r="F194" s="676"/>
      <c r="G194" s="676"/>
      <c r="H194" s="676"/>
      <c r="I194" s="676"/>
      <c r="J194" s="676"/>
      <c r="K194" s="676"/>
      <c r="L194" s="676"/>
      <c r="M194" s="676"/>
      <c r="N194" s="676"/>
      <c r="O194" s="676"/>
      <c r="P194" s="676"/>
      <c r="Q194" s="676"/>
      <c r="R194" s="676"/>
      <c r="S194" s="676"/>
      <c r="T194" s="676"/>
      <c r="U194" s="676"/>
      <c r="V194" s="764"/>
      <c r="W194" s="764"/>
      <c r="X194" s="764"/>
      <c r="AE194" s="764"/>
      <c r="AF194" s="764"/>
      <c r="AG194" s="764"/>
      <c r="AH194" s="764"/>
      <c r="AI194" s="764"/>
      <c r="AJ194" s="764"/>
      <c r="AK194" s="764"/>
      <c r="AL194" s="764"/>
      <c r="AM194" s="764"/>
      <c r="AN194" s="676"/>
      <c r="AO194" s="676"/>
      <c r="AP194" s="676"/>
      <c r="AQ194" s="676"/>
      <c r="AR194" s="676"/>
      <c r="AS194" s="676"/>
      <c r="AT194" s="676"/>
      <c r="AU194" s="676"/>
      <c r="AV194" s="676"/>
      <c r="AW194" s="676"/>
      <c r="AX194" s="676"/>
      <c r="AY194" s="676"/>
      <c r="AZ194" s="676"/>
      <c r="BA194" s="676"/>
      <c r="BB194" s="676"/>
      <c r="BC194" s="676"/>
      <c r="BD194" s="676"/>
      <c r="BE194" s="676"/>
      <c r="BF194" s="676"/>
      <c r="BG194" s="676"/>
      <c r="BH194" s="676"/>
      <c r="BI194" s="676"/>
      <c r="BJ194" s="676"/>
    </row>
    <row r="195" spans="2:62" s="495" customFormat="1" x14ac:dyDescent="0.2">
      <c r="B195" s="676"/>
      <c r="C195" s="676"/>
      <c r="D195" s="676"/>
      <c r="E195" s="676"/>
      <c r="F195" s="676"/>
      <c r="G195" s="676"/>
      <c r="H195" s="676"/>
      <c r="I195" s="676"/>
      <c r="J195" s="676"/>
      <c r="K195" s="676"/>
      <c r="L195" s="676"/>
      <c r="M195" s="676"/>
      <c r="N195" s="676"/>
      <c r="O195" s="676"/>
      <c r="P195" s="676"/>
      <c r="Q195" s="676"/>
      <c r="R195" s="676"/>
      <c r="S195" s="676"/>
      <c r="T195" s="676"/>
      <c r="U195" s="676"/>
      <c r="V195" s="632"/>
      <c r="W195" s="632"/>
      <c r="X195" s="632"/>
      <c r="AE195" s="632"/>
      <c r="AF195" s="632"/>
      <c r="AG195" s="632"/>
      <c r="AH195" s="632"/>
      <c r="AI195" s="632"/>
      <c r="AJ195" s="632"/>
      <c r="AK195" s="632"/>
      <c r="AL195" s="632"/>
      <c r="AM195" s="632"/>
      <c r="AN195" s="676"/>
      <c r="AO195" s="676"/>
      <c r="AP195" s="676"/>
      <c r="AQ195" s="676"/>
      <c r="AR195" s="676"/>
      <c r="AS195" s="676"/>
      <c r="AT195" s="676"/>
      <c r="AU195" s="676"/>
      <c r="AV195" s="676"/>
      <c r="AW195" s="676"/>
      <c r="AX195" s="676"/>
      <c r="AY195" s="676"/>
      <c r="AZ195" s="676"/>
      <c r="BA195" s="676"/>
      <c r="BB195" s="676"/>
      <c r="BC195" s="676"/>
      <c r="BD195" s="676"/>
      <c r="BE195" s="676"/>
      <c r="BF195" s="676"/>
      <c r="BG195" s="676"/>
      <c r="BH195" s="676"/>
      <c r="BI195" s="676"/>
      <c r="BJ195" s="676"/>
    </row>
    <row r="196" spans="2:62" s="495" customFormat="1" x14ac:dyDescent="0.2">
      <c r="B196" s="676"/>
      <c r="C196" s="676"/>
      <c r="D196" s="676"/>
      <c r="E196" s="676"/>
      <c r="F196" s="676"/>
      <c r="G196" s="676"/>
      <c r="H196" s="676"/>
      <c r="I196" s="676"/>
      <c r="J196" s="676"/>
      <c r="K196" s="676"/>
      <c r="L196" s="676"/>
      <c r="M196" s="676"/>
      <c r="N196" s="676"/>
      <c r="O196" s="676"/>
      <c r="P196" s="676"/>
      <c r="Q196" s="676"/>
      <c r="R196" s="676"/>
      <c r="S196" s="676"/>
      <c r="T196" s="676"/>
      <c r="U196" s="676"/>
      <c r="V196" s="632"/>
      <c r="W196" s="632"/>
      <c r="X196" s="632"/>
      <c r="AE196" s="632"/>
      <c r="AF196" s="632"/>
      <c r="AG196" s="632"/>
      <c r="AH196" s="632"/>
      <c r="AI196" s="632"/>
      <c r="AJ196" s="632"/>
      <c r="AK196" s="632"/>
      <c r="AL196" s="632"/>
      <c r="AM196" s="632"/>
      <c r="AN196" s="676"/>
      <c r="AO196" s="676"/>
      <c r="AP196" s="676"/>
      <c r="AQ196" s="676"/>
      <c r="AR196" s="676"/>
      <c r="AS196" s="676"/>
      <c r="AT196" s="676"/>
      <c r="AU196" s="676"/>
      <c r="AV196" s="676"/>
      <c r="AW196" s="676"/>
      <c r="AX196" s="676"/>
      <c r="AY196" s="676"/>
      <c r="AZ196" s="676"/>
      <c r="BA196" s="676"/>
      <c r="BB196" s="676"/>
      <c r="BC196" s="676"/>
      <c r="BD196" s="676"/>
      <c r="BE196" s="676"/>
      <c r="BF196" s="676"/>
      <c r="BG196" s="676"/>
      <c r="BH196" s="676"/>
      <c r="BI196" s="676"/>
      <c r="BJ196" s="676"/>
    </row>
    <row r="197" spans="2:62" s="495" customFormat="1" x14ac:dyDescent="0.2">
      <c r="B197" s="676"/>
      <c r="C197" s="676"/>
      <c r="D197" s="676"/>
      <c r="E197" s="676"/>
      <c r="F197" s="676"/>
      <c r="G197" s="676"/>
      <c r="H197" s="676"/>
      <c r="I197" s="676"/>
      <c r="J197" s="676"/>
      <c r="K197" s="676"/>
      <c r="L197" s="676"/>
      <c r="M197" s="676"/>
      <c r="N197" s="676"/>
      <c r="O197" s="676"/>
      <c r="P197" s="676"/>
      <c r="Q197" s="676"/>
      <c r="R197" s="676"/>
      <c r="S197" s="676"/>
      <c r="T197" s="676"/>
      <c r="U197" s="676"/>
      <c r="V197" s="632"/>
      <c r="W197" s="632"/>
      <c r="X197" s="632"/>
      <c r="AE197" s="632"/>
      <c r="AF197" s="632"/>
      <c r="AG197" s="632"/>
      <c r="AH197" s="632"/>
      <c r="AI197" s="632"/>
      <c r="AJ197" s="632"/>
      <c r="AK197" s="632"/>
      <c r="AL197" s="632"/>
      <c r="AM197" s="632"/>
      <c r="AN197" s="676"/>
      <c r="AO197" s="676"/>
      <c r="AP197" s="676"/>
      <c r="AQ197" s="676"/>
      <c r="AR197" s="676"/>
      <c r="AS197" s="676"/>
      <c r="AT197" s="676"/>
      <c r="AU197" s="676"/>
      <c r="AV197" s="676"/>
      <c r="AW197" s="676"/>
      <c r="AX197" s="676"/>
      <c r="AY197" s="676"/>
      <c r="AZ197" s="676"/>
      <c r="BA197" s="676"/>
      <c r="BB197" s="676"/>
      <c r="BC197" s="676"/>
      <c r="BD197" s="676"/>
      <c r="BE197" s="676"/>
      <c r="BF197" s="676"/>
      <c r="BG197" s="676"/>
      <c r="BH197" s="676"/>
      <c r="BI197" s="676"/>
      <c r="BJ197" s="676"/>
    </row>
    <row r="198" spans="2:62" s="495" customFormat="1" x14ac:dyDescent="0.2">
      <c r="B198" s="676"/>
      <c r="C198" s="676"/>
      <c r="D198" s="676"/>
      <c r="E198" s="676"/>
      <c r="F198" s="676"/>
      <c r="G198" s="676"/>
      <c r="H198" s="676"/>
      <c r="I198" s="676"/>
      <c r="J198" s="676"/>
      <c r="K198" s="676"/>
      <c r="L198" s="676"/>
      <c r="M198" s="676"/>
      <c r="N198" s="676"/>
      <c r="O198" s="676"/>
      <c r="P198" s="676"/>
      <c r="Q198" s="676"/>
      <c r="R198" s="676"/>
      <c r="S198" s="676"/>
      <c r="T198" s="676"/>
      <c r="U198" s="676"/>
      <c r="V198" s="632"/>
      <c r="W198" s="632"/>
      <c r="X198" s="632"/>
      <c r="AE198" s="632"/>
      <c r="AF198" s="632"/>
      <c r="AG198" s="632"/>
      <c r="AH198" s="632"/>
      <c r="AI198" s="632"/>
      <c r="AJ198" s="632"/>
      <c r="AK198" s="632"/>
      <c r="AL198" s="632"/>
      <c r="AM198" s="632"/>
      <c r="AN198" s="676"/>
      <c r="AO198" s="676"/>
      <c r="AP198" s="676"/>
      <c r="AQ198" s="676"/>
      <c r="AR198" s="676"/>
      <c r="AS198" s="676"/>
      <c r="AT198" s="676"/>
      <c r="AU198" s="676"/>
      <c r="AV198" s="676"/>
      <c r="AW198" s="676"/>
      <c r="AX198" s="676"/>
      <c r="AY198" s="676"/>
      <c r="AZ198" s="676"/>
      <c r="BA198" s="676"/>
      <c r="BB198" s="676"/>
      <c r="BC198" s="676"/>
      <c r="BD198" s="676"/>
      <c r="BE198" s="676"/>
      <c r="BF198" s="676"/>
      <c r="BG198" s="676"/>
      <c r="BH198" s="676"/>
      <c r="BI198" s="676"/>
      <c r="BJ198" s="676"/>
    </row>
    <row r="199" spans="2:62" s="906" customFormat="1" x14ac:dyDescent="0.2">
      <c r="B199" s="676"/>
      <c r="C199" s="676"/>
      <c r="D199" s="676"/>
      <c r="E199" s="676"/>
      <c r="F199" s="676"/>
      <c r="G199" s="676"/>
      <c r="H199" s="676"/>
      <c r="I199" s="676"/>
      <c r="J199" s="676"/>
      <c r="K199" s="676"/>
      <c r="L199" s="676"/>
      <c r="M199" s="676"/>
      <c r="N199" s="676"/>
      <c r="O199" s="676"/>
      <c r="P199" s="676"/>
      <c r="Q199" s="676"/>
      <c r="R199" s="676"/>
      <c r="S199" s="676"/>
      <c r="T199" s="676"/>
      <c r="U199" s="676"/>
      <c r="V199" s="764"/>
      <c r="W199" s="764"/>
      <c r="X199" s="764"/>
      <c r="AE199" s="764"/>
      <c r="AF199" s="764"/>
      <c r="AG199" s="764"/>
      <c r="AH199" s="764"/>
      <c r="AI199" s="764"/>
      <c r="AJ199" s="764"/>
      <c r="AK199" s="764"/>
      <c r="AL199" s="764"/>
      <c r="AM199" s="764"/>
      <c r="AN199" s="676"/>
      <c r="AO199" s="676"/>
      <c r="AP199" s="676"/>
      <c r="AQ199" s="676"/>
      <c r="AR199" s="676"/>
      <c r="AS199" s="676"/>
      <c r="AT199" s="676"/>
      <c r="AU199" s="676"/>
      <c r="AV199" s="676"/>
      <c r="AW199" s="676"/>
      <c r="AX199" s="676"/>
      <c r="AY199" s="676"/>
      <c r="AZ199" s="676"/>
      <c r="BA199" s="676"/>
      <c r="BB199" s="676"/>
      <c r="BC199" s="676"/>
      <c r="BD199" s="676"/>
      <c r="BE199" s="676"/>
      <c r="BF199" s="676"/>
      <c r="BG199" s="676"/>
      <c r="BH199" s="676"/>
      <c r="BI199" s="676"/>
      <c r="BJ199" s="676"/>
    </row>
    <row r="200" spans="2:62" s="495" customFormat="1" x14ac:dyDescent="0.2">
      <c r="B200" s="676"/>
      <c r="C200" s="676"/>
      <c r="D200" s="676"/>
      <c r="E200" s="676"/>
      <c r="F200" s="676"/>
      <c r="G200" s="676"/>
      <c r="H200" s="676"/>
      <c r="I200" s="676"/>
      <c r="J200" s="676"/>
      <c r="K200" s="676"/>
      <c r="L200" s="676"/>
      <c r="M200" s="676"/>
      <c r="N200" s="676"/>
      <c r="O200" s="676"/>
      <c r="P200" s="676"/>
      <c r="Q200" s="676"/>
      <c r="R200" s="676"/>
      <c r="S200" s="676"/>
      <c r="T200" s="676"/>
      <c r="U200" s="676"/>
      <c r="V200" s="632"/>
      <c r="W200" s="632"/>
      <c r="X200" s="632"/>
      <c r="AE200" s="632"/>
      <c r="AF200" s="632"/>
      <c r="AG200" s="632"/>
      <c r="AH200" s="632"/>
      <c r="AI200" s="632"/>
      <c r="AJ200" s="632"/>
      <c r="AK200" s="632"/>
      <c r="AL200" s="632"/>
      <c r="AM200" s="632"/>
      <c r="AN200" s="676"/>
      <c r="AO200" s="676"/>
      <c r="AP200" s="676"/>
      <c r="AQ200" s="676"/>
      <c r="AR200" s="676"/>
      <c r="AS200" s="676"/>
      <c r="AT200" s="676"/>
      <c r="AU200" s="676"/>
      <c r="AV200" s="676"/>
      <c r="AW200" s="676"/>
      <c r="AX200" s="676"/>
      <c r="AY200" s="676"/>
      <c r="AZ200" s="676"/>
      <c r="BA200" s="676"/>
      <c r="BB200" s="676"/>
      <c r="BC200" s="676"/>
      <c r="BD200" s="676"/>
      <c r="BE200" s="676"/>
      <c r="BF200" s="676"/>
      <c r="BG200" s="676"/>
      <c r="BH200" s="676"/>
      <c r="BI200" s="676"/>
      <c r="BJ200" s="676"/>
    </row>
    <row r="201" spans="2:62" s="495" customFormat="1" x14ac:dyDescent="0.2">
      <c r="B201" s="676"/>
      <c r="C201" s="676"/>
      <c r="D201" s="676"/>
      <c r="E201" s="676"/>
      <c r="F201" s="676"/>
      <c r="G201" s="676"/>
      <c r="H201" s="676"/>
      <c r="I201" s="676"/>
      <c r="J201" s="676"/>
      <c r="K201" s="676"/>
      <c r="L201" s="676"/>
      <c r="M201" s="676"/>
      <c r="N201" s="676"/>
      <c r="O201" s="676"/>
      <c r="P201" s="676"/>
      <c r="Q201" s="676"/>
      <c r="R201" s="676"/>
      <c r="S201" s="676"/>
      <c r="T201" s="676"/>
      <c r="U201" s="676"/>
      <c r="V201" s="632"/>
      <c r="W201" s="632"/>
      <c r="X201" s="632"/>
      <c r="AE201" s="632"/>
      <c r="AF201" s="632"/>
      <c r="AG201" s="632"/>
      <c r="AH201" s="632"/>
      <c r="AI201" s="632"/>
      <c r="AJ201" s="632"/>
      <c r="AK201" s="632"/>
      <c r="AL201" s="632"/>
      <c r="AM201" s="632"/>
      <c r="AN201" s="676"/>
      <c r="AO201" s="676"/>
      <c r="AP201" s="676"/>
      <c r="AQ201" s="676"/>
      <c r="AR201" s="676"/>
      <c r="AS201" s="676"/>
      <c r="AT201" s="676"/>
      <c r="AU201" s="676"/>
      <c r="AV201" s="676"/>
      <c r="AW201" s="676"/>
      <c r="AX201" s="676"/>
      <c r="AY201" s="676"/>
      <c r="AZ201" s="676"/>
      <c r="BA201" s="676"/>
      <c r="BB201" s="676"/>
      <c r="BC201" s="676"/>
      <c r="BD201" s="676"/>
      <c r="BE201" s="676"/>
      <c r="BF201" s="676"/>
      <c r="BG201" s="676"/>
      <c r="BH201" s="676"/>
      <c r="BI201" s="676"/>
      <c r="BJ201" s="676"/>
    </row>
    <row r="202" spans="2:62" s="495" customFormat="1" x14ac:dyDescent="0.2">
      <c r="B202" s="676"/>
      <c r="C202" s="676"/>
      <c r="D202" s="676"/>
      <c r="E202" s="676"/>
      <c r="F202" s="676"/>
      <c r="G202" s="676"/>
      <c r="H202" s="676"/>
      <c r="I202" s="676"/>
      <c r="J202" s="676"/>
      <c r="K202" s="676"/>
      <c r="L202" s="676"/>
      <c r="M202" s="676"/>
      <c r="N202" s="676"/>
      <c r="O202" s="676"/>
      <c r="P202" s="676"/>
      <c r="Q202" s="676"/>
      <c r="R202" s="676"/>
      <c r="S202" s="676"/>
      <c r="T202" s="676"/>
      <c r="U202" s="676"/>
      <c r="V202" s="632"/>
      <c r="W202" s="632"/>
      <c r="X202" s="632"/>
      <c r="AE202" s="632"/>
      <c r="AF202" s="632"/>
      <c r="AG202" s="632"/>
      <c r="AH202" s="632"/>
      <c r="AI202" s="632"/>
      <c r="AJ202" s="632"/>
      <c r="AK202" s="632"/>
      <c r="AL202" s="632"/>
      <c r="AM202" s="632"/>
      <c r="AN202" s="676"/>
      <c r="AO202" s="676"/>
      <c r="AP202" s="676"/>
      <c r="AQ202" s="676"/>
      <c r="AR202" s="676"/>
      <c r="AS202" s="676"/>
      <c r="AT202" s="676"/>
      <c r="AU202" s="676"/>
      <c r="AV202" s="676"/>
      <c r="AW202" s="676"/>
      <c r="AX202" s="676"/>
      <c r="AY202" s="676"/>
      <c r="AZ202" s="676"/>
      <c r="BA202" s="676"/>
      <c r="BB202" s="676"/>
      <c r="BC202" s="676"/>
      <c r="BD202" s="676"/>
      <c r="BE202" s="676"/>
      <c r="BF202" s="676"/>
      <c r="BG202" s="676"/>
      <c r="BH202" s="676"/>
      <c r="BI202" s="676"/>
      <c r="BJ202" s="676"/>
    </row>
    <row r="203" spans="2:62" s="495" customFormat="1" x14ac:dyDescent="0.2">
      <c r="B203" s="676"/>
      <c r="C203" s="676"/>
      <c r="D203" s="676"/>
      <c r="E203" s="676"/>
      <c r="F203" s="676"/>
      <c r="G203" s="676"/>
      <c r="H203" s="676"/>
      <c r="I203" s="676"/>
      <c r="J203" s="676"/>
      <c r="K203" s="676"/>
      <c r="L203" s="676"/>
      <c r="M203" s="676"/>
      <c r="N203" s="676"/>
      <c r="O203" s="676"/>
      <c r="P203" s="676"/>
      <c r="Q203" s="676"/>
      <c r="R203" s="676"/>
      <c r="S203" s="676"/>
      <c r="T203" s="676"/>
      <c r="U203" s="676"/>
      <c r="V203" s="632"/>
      <c r="W203" s="632"/>
      <c r="X203" s="632"/>
      <c r="AE203" s="632"/>
      <c r="AF203" s="632"/>
      <c r="AG203" s="632"/>
      <c r="AH203" s="632"/>
      <c r="AI203" s="632"/>
      <c r="AJ203" s="632"/>
      <c r="AK203" s="632"/>
      <c r="AL203" s="632"/>
      <c r="AM203" s="632"/>
      <c r="AN203" s="676"/>
      <c r="AO203" s="676"/>
      <c r="AP203" s="676"/>
      <c r="AQ203" s="676"/>
      <c r="AR203" s="676"/>
      <c r="AS203" s="676"/>
      <c r="AT203" s="676"/>
      <c r="AU203" s="676"/>
      <c r="AV203" s="676"/>
      <c r="AW203" s="676"/>
      <c r="AX203" s="676"/>
      <c r="AY203" s="676"/>
      <c r="AZ203" s="676"/>
      <c r="BA203" s="676"/>
      <c r="BB203" s="676"/>
      <c r="BC203" s="676"/>
      <c r="BD203" s="676"/>
      <c r="BE203" s="676"/>
      <c r="BF203" s="676"/>
      <c r="BG203" s="676"/>
      <c r="BH203" s="676"/>
      <c r="BI203" s="676"/>
      <c r="BJ203" s="676"/>
    </row>
    <row r="204" spans="2:62" s="906" customFormat="1" x14ac:dyDescent="0.2">
      <c r="B204" s="676"/>
      <c r="C204" s="676"/>
      <c r="D204" s="676"/>
      <c r="E204" s="676"/>
      <c r="F204" s="676"/>
      <c r="G204" s="676"/>
      <c r="H204" s="676"/>
      <c r="I204" s="676"/>
      <c r="J204" s="676"/>
      <c r="K204" s="676"/>
      <c r="L204" s="676"/>
      <c r="M204" s="676"/>
      <c r="N204" s="676"/>
      <c r="O204" s="676"/>
      <c r="P204" s="676"/>
      <c r="Q204" s="676"/>
      <c r="R204" s="676"/>
      <c r="S204" s="676"/>
      <c r="T204" s="676"/>
      <c r="U204" s="676"/>
      <c r="V204" s="764"/>
      <c r="W204" s="764"/>
      <c r="X204" s="764"/>
      <c r="AE204" s="764"/>
      <c r="AF204" s="764"/>
      <c r="AG204" s="764"/>
      <c r="AH204" s="764"/>
      <c r="AI204" s="764"/>
      <c r="AJ204" s="764"/>
      <c r="AK204" s="764"/>
      <c r="AL204" s="764"/>
      <c r="AM204" s="764"/>
      <c r="AN204" s="676"/>
      <c r="AO204" s="676"/>
      <c r="AP204" s="676"/>
      <c r="AQ204" s="676"/>
      <c r="AR204" s="676"/>
      <c r="AS204" s="676"/>
      <c r="AT204" s="676"/>
      <c r="AU204" s="676"/>
      <c r="AV204" s="676"/>
      <c r="AW204" s="676"/>
      <c r="AX204" s="676"/>
      <c r="AY204" s="676"/>
      <c r="AZ204" s="676"/>
      <c r="BA204" s="676"/>
      <c r="BB204" s="676"/>
      <c r="BC204" s="676"/>
      <c r="BD204" s="676"/>
      <c r="BE204" s="676"/>
      <c r="BF204" s="676"/>
      <c r="BG204" s="676"/>
      <c r="BH204" s="676"/>
      <c r="BI204" s="676"/>
      <c r="BJ204" s="676"/>
    </row>
    <row r="205" spans="2:62" s="495" customFormat="1" x14ac:dyDescent="0.2">
      <c r="B205" s="676"/>
      <c r="C205" s="676"/>
      <c r="D205" s="676"/>
      <c r="E205" s="676"/>
      <c r="F205" s="676"/>
      <c r="G205" s="676"/>
      <c r="H205" s="676"/>
      <c r="I205" s="676"/>
      <c r="J205" s="676"/>
      <c r="K205" s="676"/>
      <c r="L205" s="676"/>
      <c r="M205" s="676"/>
      <c r="N205" s="676"/>
      <c r="O205" s="676"/>
      <c r="P205" s="676"/>
      <c r="Q205" s="676"/>
      <c r="R205" s="676"/>
      <c r="S205" s="676"/>
      <c r="T205" s="676"/>
      <c r="U205" s="676"/>
      <c r="V205" s="632"/>
      <c r="W205" s="632"/>
      <c r="X205" s="632"/>
      <c r="AE205" s="632"/>
      <c r="AF205" s="632"/>
      <c r="AG205" s="632"/>
      <c r="AH205" s="632"/>
      <c r="AI205" s="632"/>
      <c r="AJ205" s="632"/>
      <c r="AK205" s="632"/>
      <c r="AL205" s="632"/>
      <c r="AM205" s="632"/>
      <c r="AN205" s="676"/>
      <c r="AO205" s="676"/>
      <c r="AP205" s="676"/>
      <c r="AQ205" s="676"/>
      <c r="AR205" s="676"/>
      <c r="AS205" s="676"/>
      <c r="AT205" s="676"/>
      <c r="AU205" s="676"/>
      <c r="AV205" s="676"/>
      <c r="AW205" s="676"/>
      <c r="AX205" s="676"/>
      <c r="AY205" s="676"/>
      <c r="AZ205" s="676"/>
      <c r="BA205" s="676"/>
      <c r="BB205" s="676"/>
      <c r="BC205" s="676"/>
      <c r="BD205" s="676"/>
      <c r="BE205" s="676"/>
      <c r="BF205" s="676"/>
      <c r="BG205" s="676"/>
      <c r="BH205" s="676"/>
      <c r="BI205" s="676"/>
      <c r="BJ205" s="676"/>
    </row>
    <row r="206" spans="2:62" s="495" customFormat="1" x14ac:dyDescent="0.2">
      <c r="B206" s="676"/>
      <c r="C206" s="676"/>
      <c r="D206" s="676"/>
      <c r="E206" s="676"/>
      <c r="F206" s="676"/>
      <c r="G206" s="676"/>
      <c r="H206" s="676"/>
      <c r="I206" s="676"/>
      <c r="J206" s="676"/>
      <c r="K206" s="676"/>
      <c r="L206" s="676"/>
      <c r="M206" s="676"/>
      <c r="N206" s="676"/>
      <c r="O206" s="676"/>
      <c r="P206" s="676"/>
      <c r="Q206" s="676"/>
      <c r="R206" s="676"/>
      <c r="S206" s="676"/>
      <c r="T206" s="676"/>
      <c r="U206" s="676"/>
      <c r="V206" s="632"/>
      <c r="W206" s="632"/>
      <c r="X206" s="632"/>
      <c r="AE206" s="632"/>
      <c r="AF206" s="632"/>
      <c r="AG206" s="632"/>
      <c r="AH206" s="632"/>
      <c r="AI206" s="632"/>
      <c r="AJ206" s="632"/>
      <c r="AK206" s="632"/>
      <c r="AL206" s="632"/>
      <c r="AM206" s="632"/>
      <c r="AN206" s="676"/>
      <c r="AO206" s="676"/>
      <c r="AP206" s="676"/>
      <c r="AQ206" s="676"/>
      <c r="AR206" s="676"/>
      <c r="AS206" s="676"/>
      <c r="AT206" s="676"/>
      <c r="AU206" s="676"/>
      <c r="AV206" s="676"/>
      <c r="AW206" s="676"/>
      <c r="AX206" s="676"/>
      <c r="AY206" s="676"/>
      <c r="AZ206" s="676"/>
      <c r="BA206" s="676"/>
      <c r="BB206" s="676"/>
      <c r="BC206" s="676"/>
      <c r="BD206" s="676"/>
      <c r="BE206" s="676"/>
      <c r="BF206" s="676"/>
      <c r="BG206" s="676"/>
      <c r="BH206" s="676"/>
      <c r="BI206" s="676"/>
      <c r="BJ206" s="676"/>
    </row>
    <row r="207" spans="2:62" s="495" customFormat="1" x14ac:dyDescent="0.2">
      <c r="B207" s="676"/>
      <c r="C207" s="676"/>
      <c r="D207" s="676"/>
      <c r="E207" s="676"/>
      <c r="F207" s="676"/>
      <c r="G207" s="676"/>
      <c r="H207" s="676"/>
      <c r="I207" s="676"/>
      <c r="J207" s="676"/>
      <c r="K207" s="676"/>
      <c r="L207" s="676"/>
      <c r="M207" s="676"/>
      <c r="N207" s="676"/>
      <c r="O207" s="676"/>
      <c r="P207" s="676"/>
      <c r="Q207" s="676"/>
      <c r="R207" s="676"/>
      <c r="S207" s="676"/>
      <c r="T207" s="676"/>
      <c r="U207" s="676"/>
      <c r="V207" s="632"/>
      <c r="W207" s="632"/>
      <c r="X207" s="632"/>
      <c r="AE207" s="632"/>
      <c r="AF207" s="632"/>
      <c r="AG207" s="632"/>
      <c r="AH207" s="632"/>
      <c r="AI207" s="632"/>
      <c r="AJ207" s="632"/>
      <c r="AK207" s="632"/>
      <c r="AL207" s="632"/>
      <c r="AM207" s="632"/>
      <c r="AN207" s="676"/>
      <c r="AO207" s="676"/>
      <c r="AP207" s="676"/>
      <c r="AQ207" s="676"/>
      <c r="AR207" s="676"/>
      <c r="AS207" s="676"/>
      <c r="AT207" s="676"/>
      <c r="AU207" s="676"/>
      <c r="AV207" s="676"/>
      <c r="AW207" s="676"/>
      <c r="AX207" s="676"/>
      <c r="AY207" s="676"/>
      <c r="AZ207" s="676"/>
      <c r="BA207" s="676"/>
      <c r="BB207" s="676"/>
      <c r="BC207" s="676"/>
      <c r="BD207" s="676"/>
      <c r="BE207" s="676"/>
      <c r="BF207" s="676"/>
      <c r="BG207" s="676"/>
      <c r="BH207" s="676"/>
      <c r="BI207" s="676"/>
      <c r="BJ207" s="676"/>
    </row>
    <row r="208" spans="2:62" s="495" customFormat="1" x14ac:dyDescent="0.2">
      <c r="B208" s="676"/>
      <c r="C208" s="676"/>
      <c r="D208" s="676"/>
      <c r="E208" s="676"/>
      <c r="F208" s="676"/>
      <c r="G208" s="676"/>
      <c r="H208" s="676"/>
      <c r="I208" s="676"/>
      <c r="J208" s="676"/>
      <c r="K208" s="676"/>
      <c r="L208" s="676"/>
      <c r="M208" s="676"/>
      <c r="N208" s="676"/>
      <c r="O208" s="676"/>
      <c r="P208" s="676"/>
      <c r="Q208" s="676"/>
      <c r="R208" s="676"/>
      <c r="S208" s="676"/>
      <c r="T208" s="676"/>
      <c r="U208" s="676"/>
      <c r="V208" s="632"/>
      <c r="W208" s="632"/>
      <c r="X208" s="632"/>
      <c r="AE208" s="632"/>
      <c r="AF208" s="632"/>
      <c r="AG208" s="632"/>
      <c r="AH208" s="632"/>
      <c r="AI208" s="632"/>
      <c r="AJ208" s="632"/>
      <c r="AK208" s="632"/>
      <c r="AL208" s="632"/>
      <c r="AM208" s="632"/>
      <c r="AN208" s="676"/>
      <c r="AO208" s="676"/>
      <c r="AP208" s="676"/>
      <c r="AQ208" s="676"/>
      <c r="AR208" s="676"/>
      <c r="AS208" s="676"/>
      <c r="AT208" s="676"/>
      <c r="AU208" s="676"/>
      <c r="AV208" s="676"/>
      <c r="AW208" s="676"/>
      <c r="AX208" s="676"/>
      <c r="AY208" s="676"/>
      <c r="AZ208" s="676"/>
      <c r="BA208" s="676"/>
      <c r="BB208" s="676"/>
      <c r="BC208" s="676"/>
      <c r="BD208" s="676"/>
      <c r="BE208" s="676"/>
      <c r="BF208" s="676"/>
      <c r="BG208" s="676"/>
      <c r="BH208" s="676"/>
      <c r="BI208" s="676"/>
      <c r="BJ208" s="676"/>
    </row>
    <row r="209" spans="2:62" s="906" customFormat="1" x14ac:dyDescent="0.2">
      <c r="B209" s="676"/>
      <c r="C209" s="676"/>
      <c r="D209" s="676"/>
      <c r="E209" s="676"/>
      <c r="F209" s="676"/>
      <c r="G209" s="676"/>
      <c r="H209" s="676"/>
      <c r="I209" s="676"/>
      <c r="J209" s="676"/>
      <c r="K209" s="676"/>
      <c r="L209" s="676"/>
      <c r="M209" s="676"/>
      <c r="N209" s="676"/>
      <c r="O209" s="676"/>
      <c r="P209" s="676"/>
      <c r="Q209" s="676"/>
      <c r="R209" s="676"/>
      <c r="S209" s="676"/>
      <c r="T209" s="676"/>
      <c r="U209" s="676"/>
      <c r="V209" s="764"/>
      <c r="W209" s="764"/>
      <c r="X209" s="764"/>
      <c r="AE209" s="764"/>
      <c r="AF209" s="764"/>
      <c r="AG209" s="764"/>
      <c r="AH209" s="764"/>
      <c r="AI209" s="764"/>
      <c r="AJ209" s="764"/>
      <c r="AK209" s="764"/>
      <c r="AL209" s="764"/>
      <c r="AM209" s="764"/>
      <c r="AN209" s="676"/>
      <c r="AO209" s="676"/>
      <c r="AP209" s="676"/>
      <c r="AQ209" s="676"/>
      <c r="AR209" s="676"/>
      <c r="AS209" s="676"/>
      <c r="AT209" s="676"/>
      <c r="AU209" s="676"/>
      <c r="AV209" s="676"/>
      <c r="AW209" s="676"/>
      <c r="AX209" s="676"/>
      <c r="AY209" s="676"/>
      <c r="AZ209" s="676"/>
      <c r="BA209" s="676"/>
      <c r="BB209" s="676"/>
      <c r="BC209" s="676"/>
      <c r="BD209" s="676"/>
      <c r="BE209" s="676"/>
      <c r="BF209" s="676"/>
      <c r="BG209" s="676"/>
      <c r="BH209" s="676"/>
      <c r="BI209" s="676"/>
      <c r="BJ209" s="676"/>
    </row>
    <row r="210" spans="2:62" s="495" customFormat="1" x14ac:dyDescent="0.2">
      <c r="B210" s="676"/>
      <c r="C210" s="676"/>
      <c r="D210" s="676"/>
      <c r="E210" s="676"/>
      <c r="F210" s="676"/>
      <c r="G210" s="676"/>
      <c r="H210" s="676"/>
      <c r="I210" s="676"/>
      <c r="J210" s="676"/>
      <c r="K210" s="676"/>
      <c r="L210" s="676"/>
      <c r="M210" s="676"/>
      <c r="N210" s="676"/>
      <c r="O210" s="676"/>
      <c r="P210" s="676"/>
      <c r="Q210" s="676"/>
      <c r="R210" s="676"/>
      <c r="S210" s="676"/>
      <c r="T210" s="676"/>
      <c r="U210" s="676"/>
      <c r="V210" s="632"/>
      <c r="W210" s="632"/>
      <c r="X210" s="632"/>
      <c r="AE210" s="632"/>
      <c r="AF210" s="632"/>
      <c r="AG210" s="632"/>
      <c r="AH210" s="632"/>
      <c r="AI210" s="632"/>
      <c r="AJ210" s="632"/>
      <c r="AK210" s="632"/>
      <c r="AL210" s="632"/>
      <c r="AM210" s="632"/>
      <c r="AN210" s="676"/>
      <c r="AO210" s="676"/>
      <c r="AP210" s="676"/>
      <c r="AQ210" s="676"/>
      <c r="AR210" s="676"/>
      <c r="AS210" s="676"/>
      <c r="AT210" s="676"/>
      <c r="AU210" s="676"/>
      <c r="AV210" s="676"/>
      <c r="AW210" s="676"/>
      <c r="AX210" s="676"/>
      <c r="AY210" s="676"/>
      <c r="AZ210" s="676"/>
      <c r="BA210" s="676"/>
      <c r="BB210" s="676"/>
      <c r="BC210" s="676"/>
      <c r="BD210" s="676"/>
      <c r="BE210" s="676"/>
      <c r="BF210" s="676"/>
      <c r="BG210" s="676"/>
      <c r="BH210" s="676"/>
      <c r="BI210" s="676"/>
      <c r="BJ210" s="676"/>
    </row>
    <row r="211" spans="2:62" s="495" customFormat="1" x14ac:dyDescent="0.2">
      <c r="B211" s="676"/>
      <c r="C211" s="676"/>
      <c r="D211" s="676"/>
      <c r="E211" s="676"/>
      <c r="F211" s="676"/>
      <c r="G211" s="676"/>
      <c r="H211" s="676"/>
      <c r="I211" s="676"/>
      <c r="J211" s="676"/>
      <c r="K211" s="676"/>
      <c r="L211" s="676"/>
      <c r="M211" s="676"/>
      <c r="N211" s="676"/>
      <c r="O211" s="676"/>
      <c r="P211" s="676"/>
      <c r="Q211" s="676"/>
      <c r="R211" s="676"/>
      <c r="S211" s="676"/>
      <c r="T211" s="676"/>
      <c r="U211" s="676"/>
      <c r="V211" s="632"/>
      <c r="W211" s="632"/>
      <c r="X211" s="632"/>
      <c r="AE211" s="632"/>
      <c r="AF211" s="632"/>
      <c r="AG211" s="632"/>
      <c r="AH211" s="632"/>
      <c r="AI211" s="632"/>
      <c r="AJ211" s="632"/>
      <c r="AK211" s="632"/>
      <c r="AL211" s="632"/>
      <c r="AM211" s="632"/>
      <c r="AN211" s="676"/>
      <c r="AO211" s="676"/>
      <c r="AP211" s="676"/>
      <c r="AQ211" s="676"/>
      <c r="AR211" s="676"/>
      <c r="AS211" s="676"/>
      <c r="AT211" s="676"/>
      <c r="AU211" s="676"/>
      <c r="AV211" s="676"/>
      <c r="AW211" s="676"/>
      <c r="AX211" s="676"/>
      <c r="AY211" s="676"/>
      <c r="AZ211" s="676"/>
      <c r="BA211" s="676"/>
      <c r="BB211" s="676"/>
      <c r="BC211" s="676"/>
      <c r="BD211" s="676"/>
      <c r="BE211" s="676"/>
      <c r="BF211" s="676"/>
      <c r="BG211" s="676"/>
      <c r="BH211" s="676"/>
      <c r="BI211" s="676"/>
      <c r="BJ211" s="676"/>
    </row>
    <row r="212" spans="2:62" s="495" customFormat="1" x14ac:dyDescent="0.2">
      <c r="B212" s="676"/>
      <c r="C212" s="676"/>
      <c r="D212" s="676"/>
      <c r="E212" s="676"/>
      <c r="F212" s="676"/>
      <c r="G212" s="676"/>
      <c r="H212" s="676"/>
      <c r="I212" s="676"/>
      <c r="J212" s="676"/>
      <c r="K212" s="676"/>
      <c r="L212" s="676"/>
      <c r="M212" s="676"/>
      <c r="N212" s="676"/>
      <c r="O212" s="676"/>
      <c r="P212" s="676"/>
      <c r="Q212" s="676"/>
      <c r="R212" s="676"/>
      <c r="S212" s="676"/>
      <c r="T212" s="676"/>
      <c r="U212" s="676"/>
      <c r="V212" s="632"/>
      <c r="W212" s="632"/>
      <c r="X212" s="632"/>
      <c r="AE212" s="632"/>
      <c r="AF212" s="632"/>
      <c r="AG212" s="632"/>
      <c r="AH212" s="632"/>
      <c r="AI212" s="632"/>
      <c r="AJ212" s="632"/>
      <c r="AK212" s="632"/>
      <c r="AL212" s="632"/>
      <c r="AM212" s="632"/>
      <c r="AN212" s="676"/>
      <c r="AO212" s="676"/>
      <c r="AP212" s="676"/>
      <c r="AQ212" s="676"/>
      <c r="AR212" s="676"/>
      <c r="AS212" s="676"/>
      <c r="AT212" s="676"/>
      <c r="AU212" s="676"/>
      <c r="AV212" s="676"/>
      <c r="AW212" s="676"/>
      <c r="AX212" s="676"/>
      <c r="AY212" s="676"/>
      <c r="AZ212" s="676"/>
      <c r="BA212" s="676"/>
      <c r="BB212" s="676"/>
      <c r="BC212" s="676"/>
      <c r="BD212" s="676"/>
      <c r="BE212" s="676"/>
      <c r="BF212" s="676"/>
      <c r="BG212" s="676"/>
      <c r="BH212" s="676"/>
      <c r="BI212" s="676"/>
      <c r="BJ212" s="676"/>
    </row>
    <row r="213" spans="2:62" s="495" customFormat="1" x14ac:dyDescent="0.2">
      <c r="B213" s="676"/>
      <c r="C213" s="676"/>
      <c r="D213" s="676"/>
      <c r="E213" s="676"/>
      <c r="F213" s="676"/>
      <c r="G213" s="676"/>
      <c r="H213" s="676"/>
      <c r="I213" s="676"/>
      <c r="J213" s="676"/>
      <c r="K213" s="676"/>
      <c r="L213" s="676"/>
      <c r="M213" s="676"/>
      <c r="N213" s="676"/>
      <c r="O213" s="676"/>
      <c r="P213" s="676"/>
      <c r="Q213" s="676"/>
      <c r="R213" s="676"/>
      <c r="S213" s="676"/>
      <c r="T213" s="676"/>
      <c r="U213" s="676"/>
      <c r="V213" s="632"/>
      <c r="W213" s="632"/>
      <c r="X213" s="632"/>
      <c r="AE213" s="632"/>
      <c r="AF213" s="632"/>
      <c r="AG213" s="632"/>
      <c r="AH213" s="632"/>
      <c r="AI213" s="632"/>
      <c r="AJ213" s="632"/>
      <c r="AK213" s="632"/>
      <c r="AL213" s="632"/>
      <c r="AM213" s="632"/>
      <c r="AN213" s="676"/>
      <c r="AO213" s="676"/>
      <c r="AP213" s="676"/>
      <c r="AQ213" s="676"/>
      <c r="AR213" s="676"/>
      <c r="AS213" s="676"/>
      <c r="AT213" s="676"/>
      <c r="AU213" s="676"/>
      <c r="AV213" s="676"/>
      <c r="AW213" s="676"/>
      <c r="AX213" s="676"/>
      <c r="AY213" s="676"/>
      <c r="AZ213" s="676"/>
      <c r="BA213" s="676"/>
      <c r="BB213" s="676"/>
      <c r="BC213" s="676"/>
      <c r="BD213" s="676"/>
      <c r="BE213" s="676"/>
      <c r="BF213" s="676"/>
      <c r="BG213" s="676"/>
      <c r="BH213" s="676"/>
      <c r="BI213" s="676"/>
      <c r="BJ213" s="676"/>
    </row>
    <row r="214" spans="2:62" s="906" customFormat="1" x14ac:dyDescent="0.2">
      <c r="B214" s="676"/>
      <c r="C214" s="676"/>
      <c r="D214" s="676"/>
      <c r="E214" s="676"/>
      <c r="F214" s="676"/>
      <c r="G214" s="676"/>
      <c r="H214" s="676"/>
      <c r="I214" s="676"/>
      <c r="J214" s="676"/>
      <c r="K214" s="676"/>
      <c r="L214" s="676"/>
      <c r="M214" s="676"/>
      <c r="N214" s="676"/>
      <c r="O214" s="676"/>
      <c r="P214" s="676"/>
      <c r="Q214" s="676"/>
      <c r="R214" s="676"/>
      <c r="S214" s="676"/>
      <c r="T214" s="676"/>
      <c r="U214" s="676"/>
      <c r="V214" s="764"/>
      <c r="W214" s="764"/>
      <c r="X214" s="764"/>
      <c r="AE214" s="764"/>
      <c r="AF214" s="764"/>
      <c r="AG214" s="764"/>
      <c r="AH214" s="764"/>
      <c r="AI214" s="764"/>
      <c r="AJ214" s="764"/>
      <c r="AK214" s="764"/>
      <c r="AL214" s="764"/>
      <c r="AM214" s="764"/>
      <c r="AN214" s="676"/>
      <c r="AO214" s="676"/>
      <c r="AP214" s="676"/>
      <c r="AQ214" s="676"/>
      <c r="AR214" s="676"/>
      <c r="AS214" s="676"/>
      <c r="AT214" s="676"/>
      <c r="AU214" s="676"/>
      <c r="AV214" s="676"/>
      <c r="AW214" s="676"/>
      <c r="AX214" s="676"/>
      <c r="AY214" s="676"/>
      <c r="AZ214" s="676"/>
      <c r="BA214" s="676"/>
      <c r="BB214" s="676"/>
      <c r="BC214" s="676"/>
      <c r="BD214" s="676"/>
      <c r="BE214" s="676"/>
      <c r="BF214" s="676"/>
      <c r="BG214" s="676"/>
      <c r="BH214" s="676"/>
      <c r="BI214" s="676"/>
      <c r="BJ214" s="676"/>
    </row>
    <row r="215" spans="2:62" s="495" customFormat="1" x14ac:dyDescent="0.2">
      <c r="B215" s="676"/>
      <c r="C215" s="676"/>
      <c r="D215" s="676"/>
      <c r="E215" s="676"/>
      <c r="F215" s="676"/>
      <c r="G215" s="676"/>
      <c r="H215" s="676"/>
      <c r="I215" s="676"/>
      <c r="J215" s="676"/>
      <c r="K215" s="676"/>
      <c r="L215" s="676"/>
      <c r="M215" s="676"/>
      <c r="N215" s="676"/>
      <c r="O215" s="676"/>
      <c r="P215" s="676"/>
      <c r="Q215" s="676"/>
      <c r="R215" s="676"/>
      <c r="S215" s="676"/>
      <c r="T215" s="676"/>
      <c r="U215" s="676"/>
      <c r="V215" s="632"/>
      <c r="W215" s="632"/>
      <c r="X215" s="632"/>
      <c r="AE215" s="632"/>
      <c r="AF215" s="632"/>
      <c r="AG215" s="632"/>
      <c r="AH215" s="632"/>
      <c r="AI215" s="632"/>
      <c r="AJ215" s="632"/>
      <c r="AK215" s="632"/>
      <c r="AL215" s="632"/>
      <c r="AM215" s="632"/>
      <c r="AN215" s="676"/>
      <c r="AO215" s="676"/>
      <c r="AP215" s="676"/>
      <c r="AQ215" s="676"/>
      <c r="AR215" s="676"/>
      <c r="AS215" s="676"/>
      <c r="AT215" s="676"/>
      <c r="AU215" s="676"/>
      <c r="AV215" s="676"/>
      <c r="AW215" s="676"/>
      <c r="AX215" s="676"/>
      <c r="AY215" s="676"/>
      <c r="AZ215" s="676"/>
      <c r="BA215" s="676"/>
      <c r="BB215" s="676"/>
      <c r="BC215" s="676"/>
      <c r="BD215" s="676"/>
      <c r="BE215" s="676"/>
      <c r="BF215" s="676"/>
      <c r="BG215" s="676"/>
      <c r="BH215" s="676"/>
      <c r="BI215" s="676"/>
      <c r="BJ215" s="676"/>
    </row>
    <row r="216" spans="2:62" s="495" customFormat="1" x14ac:dyDescent="0.2">
      <c r="B216" s="676"/>
      <c r="C216" s="676"/>
      <c r="D216" s="676"/>
      <c r="E216" s="676"/>
      <c r="F216" s="676"/>
      <c r="G216" s="676"/>
      <c r="H216" s="676"/>
      <c r="I216" s="676"/>
      <c r="J216" s="676"/>
      <c r="K216" s="676"/>
      <c r="L216" s="676"/>
      <c r="M216" s="676"/>
      <c r="N216" s="676"/>
      <c r="O216" s="676"/>
      <c r="P216" s="676"/>
      <c r="Q216" s="676"/>
      <c r="R216" s="676"/>
      <c r="S216" s="676"/>
      <c r="T216" s="676"/>
      <c r="U216" s="676"/>
      <c r="V216" s="632"/>
      <c r="W216" s="632"/>
      <c r="X216" s="632"/>
      <c r="AE216" s="632"/>
      <c r="AF216" s="632"/>
      <c r="AG216" s="632"/>
      <c r="AH216" s="632"/>
      <c r="AI216" s="632"/>
      <c r="AJ216" s="632"/>
      <c r="AK216" s="632"/>
      <c r="AL216" s="632"/>
      <c r="AM216" s="632"/>
      <c r="AN216" s="676"/>
      <c r="AO216" s="676"/>
      <c r="AP216" s="676"/>
      <c r="AQ216" s="676"/>
      <c r="AR216" s="676"/>
      <c r="AS216" s="676"/>
      <c r="AT216" s="676"/>
      <c r="AU216" s="676"/>
      <c r="AV216" s="676"/>
      <c r="AW216" s="676"/>
      <c r="AX216" s="676"/>
      <c r="AY216" s="676"/>
      <c r="AZ216" s="676"/>
      <c r="BA216" s="676"/>
      <c r="BB216" s="676"/>
      <c r="BC216" s="676"/>
      <c r="BD216" s="676"/>
      <c r="BE216" s="676"/>
      <c r="BF216" s="676"/>
      <c r="BG216" s="676"/>
      <c r="BH216" s="676"/>
      <c r="BI216" s="676"/>
      <c r="BJ216" s="676"/>
    </row>
    <row r="217" spans="2:62" s="495" customFormat="1" x14ac:dyDescent="0.2">
      <c r="B217" s="676"/>
      <c r="C217" s="676"/>
      <c r="D217" s="676"/>
      <c r="E217" s="676"/>
      <c r="F217" s="676"/>
      <c r="G217" s="676"/>
      <c r="H217" s="676"/>
      <c r="I217" s="676"/>
      <c r="J217" s="676"/>
      <c r="K217" s="676"/>
      <c r="L217" s="676"/>
      <c r="M217" s="676"/>
      <c r="N217" s="676"/>
      <c r="O217" s="676"/>
      <c r="P217" s="676"/>
      <c r="Q217" s="676"/>
      <c r="R217" s="676"/>
      <c r="S217" s="676"/>
      <c r="T217" s="676"/>
      <c r="U217" s="676"/>
      <c r="V217" s="764"/>
      <c r="W217" s="764"/>
      <c r="X217" s="764"/>
      <c r="AE217" s="764"/>
      <c r="AF217" s="764"/>
      <c r="AG217" s="764"/>
      <c r="AH217" s="764"/>
      <c r="AI217" s="764"/>
      <c r="AJ217" s="764"/>
      <c r="AK217" s="764"/>
      <c r="AL217" s="764"/>
      <c r="AM217" s="764"/>
      <c r="AN217" s="676"/>
      <c r="AO217" s="676"/>
      <c r="AP217" s="676"/>
      <c r="AQ217" s="676"/>
      <c r="AR217" s="676"/>
      <c r="AS217" s="676"/>
      <c r="AT217" s="676"/>
      <c r="AU217" s="676"/>
      <c r="AV217" s="676"/>
      <c r="AW217" s="676"/>
      <c r="AX217" s="676"/>
      <c r="AY217" s="676"/>
      <c r="AZ217" s="676"/>
      <c r="BA217" s="676"/>
      <c r="BB217" s="676"/>
      <c r="BC217" s="676"/>
      <c r="BD217" s="676"/>
      <c r="BE217" s="676"/>
      <c r="BF217" s="676"/>
      <c r="BG217" s="676"/>
      <c r="BH217" s="676"/>
      <c r="BI217" s="676"/>
      <c r="BJ217" s="676"/>
    </row>
    <row r="218" spans="2:62" s="495" customFormat="1" x14ac:dyDescent="0.2">
      <c r="B218" s="676"/>
      <c r="C218" s="676"/>
      <c r="D218" s="676"/>
      <c r="E218" s="676"/>
      <c r="F218" s="676"/>
      <c r="G218" s="676"/>
      <c r="H218" s="676"/>
      <c r="I218" s="676"/>
      <c r="J218" s="676"/>
      <c r="K218" s="676"/>
      <c r="L218" s="676"/>
      <c r="M218" s="676"/>
      <c r="N218" s="676"/>
      <c r="O218" s="676"/>
      <c r="P218" s="676"/>
      <c r="Q218" s="676"/>
      <c r="R218" s="676"/>
      <c r="S218" s="676"/>
      <c r="T218" s="676"/>
      <c r="U218" s="676"/>
      <c r="V218" s="764"/>
      <c r="W218" s="764"/>
      <c r="X218" s="764"/>
      <c r="AE218" s="764"/>
      <c r="AF218" s="764"/>
      <c r="AG218" s="764"/>
      <c r="AH218" s="764"/>
      <c r="AI218" s="764"/>
      <c r="AJ218" s="764"/>
      <c r="AK218" s="764"/>
      <c r="AL218" s="764"/>
      <c r="AM218" s="764"/>
      <c r="AN218" s="676"/>
      <c r="AO218" s="676"/>
      <c r="AP218" s="676"/>
      <c r="AQ218" s="676"/>
      <c r="AR218" s="676"/>
      <c r="AS218" s="676"/>
      <c r="AT218" s="676"/>
      <c r="AU218" s="676"/>
      <c r="AV218" s="676"/>
      <c r="AW218" s="676"/>
      <c r="AX218" s="676"/>
      <c r="AY218" s="676"/>
      <c r="AZ218" s="676"/>
      <c r="BA218" s="676"/>
      <c r="BB218" s="676"/>
      <c r="BC218" s="676"/>
      <c r="BD218" s="676"/>
      <c r="BE218" s="676"/>
      <c r="BF218" s="676"/>
      <c r="BG218" s="676"/>
      <c r="BH218" s="676"/>
      <c r="BI218" s="676"/>
      <c r="BJ218" s="676"/>
    </row>
    <row r="219" spans="2:62" s="906" customFormat="1" x14ac:dyDescent="0.2">
      <c r="B219" s="676"/>
      <c r="C219" s="676"/>
      <c r="D219" s="676"/>
      <c r="E219" s="676"/>
      <c r="F219" s="676"/>
      <c r="G219" s="676"/>
      <c r="H219" s="676"/>
      <c r="I219" s="676"/>
      <c r="J219" s="676"/>
      <c r="K219" s="676"/>
      <c r="L219" s="676"/>
      <c r="M219" s="676"/>
      <c r="N219" s="676"/>
      <c r="O219" s="676"/>
      <c r="P219" s="676"/>
      <c r="Q219" s="676"/>
      <c r="R219" s="676"/>
      <c r="S219" s="676"/>
      <c r="T219" s="676"/>
      <c r="U219" s="676"/>
      <c r="V219" s="764"/>
      <c r="W219" s="764"/>
      <c r="X219" s="764"/>
      <c r="AE219" s="764"/>
      <c r="AF219" s="764"/>
      <c r="AG219" s="764"/>
      <c r="AH219" s="764"/>
      <c r="AI219" s="764"/>
      <c r="AJ219" s="764"/>
      <c r="AK219" s="764"/>
      <c r="AL219" s="764"/>
      <c r="AM219" s="764"/>
      <c r="AN219" s="676"/>
      <c r="AO219" s="676"/>
      <c r="AP219" s="676"/>
      <c r="AQ219" s="676"/>
      <c r="AR219" s="676"/>
      <c r="AS219" s="676"/>
      <c r="AT219" s="676"/>
      <c r="AU219" s="676"/>
      <c r="AV219" s="676"/>
      <c r="AW219" s="676"/>
      <c r="AX219" s="676"/>
      <c r="AY219" s="676"/>
      <c r="AZ219" s="676"/>
      <c r="BA219" s="676"/>
      <c r="BB219" s="676"/>
      <c r="BC219" s="676"/>
      <c r="BD219" s="676"/>
      <c r="BE219" s="676"/>
      <c r="BF219" s="676"/>
      <c r="BG219" s="676"/>
      <c r="BH219" s="676"/>
      <c r="BI219" s="676"/>
      <c r="BJ219" s="676"/>
    </row>
    <row r="220" spans="2:62" s="495" customFormat="1" x14ac:dyDescent="0.2">
      <c r="B220" s="676"/>
      <c r="C220" s="676"/>
      <c r="D220" s="676"/>
      <c r="E220" s="676"/>
      <c r="F220" s="676"/>
      <c r="G220" s="676"/>
      <c r="H220" s="676"/>
      <c r="I220" s="676"/>
      <c r="J220" s="676"/>
      <c r="K220" s="676"/>
      <c r="L220" s="676"/>
      <c r="M220" s="676"/>
      <c r="N220" s="676"/>
      <c r="O220" s="676"/>
      <c r="P220" s="676"/>
      <c r="Q220" s="676"/>
      <c r="R220" s="676"/>
      <c r="S220" s="676"/>
      <c r="T220" s="676"/>
      <c r="U220" s="676"/>
      <c r="V220" s="632"/>
      <c r="W220" s="632"/>
      <c r="X220" s="632"/>
      <c r="AE220" s="632"/>
      <c r="AF220" s="632"/>
      <c r="AG220" s="632"/>
      <c r="AH220" s="632"/>
      <c r="AI220" s="632"/>
      <c r="AJ220" s="632"/>
      <c r="AK220" s="632"/>
      <c r="AL220" s="632"/>
      <c r="AM220" s="632"/>
      <c r="AN220" s="676"/>
      <c r="AO220" s="676"/>
      <c r="AP220" s="676"/>
      <c r="AQ220" s="676"/>
      <c r="AR220" s="676"/>
      <c r="AS220" s="676"/>
      <c r="AT220" s="676"/>
      <c r="AU220" s="676"/>
      <c r="AV220" s="676"/>
      <c r="AW220" s="676"/>
      <c r="AX220" s="676"/>
      <c r="AY220" s="676"/>
      <c r="AZ220" s="676"/>
      <c r="BA220" s="676"/>
      <c r="BB220" s="676"/>
      <c r="BC220" s="676"/>
      <c r="BD220" s="676"/>
      <c r="BE220" s="676"/>
      <c r="BF220" s="676"/>
      <c r="BG220" s="676"/>
      <c r="BH220" s="676"/>
      <c r="BI220" s="676"/>
      <c r="BJ220" s="676"/>
    </row>
    <row r="221" spans="2:62" s="495" customFormat="1" x14ac:dyDescent="0.2">
      <c r="B221" s="676"/>
      <c r="C221" s="676"/>
      <c r="D221" s="676"/>
      <c r="E221" s="676"/>
      <c r="F221" s="676"/>
      <c r="G221" s="676"/>
      <c r="H221" s="676"/>
      <c r="I221" s="676"/>
      <c r="J221" s="676"/>
      <c r="K221" s="676"/>
      <c r="L221" s="676"/>
      <c r="M221" s="676"/>
      <c r="N221" s="676"/>
      <c r="O221" s="676"/>
      <c r="P221" s="676"/>
      <c r="Q221" s="676"/>
      <c r="R221" s="676"/>
      <c r="S221" s="676"/>
      <c r="T221" s="676"/>
      <c r="U221" s="676"/>
      <c r="V221" s="632"/>
      <c r="W221" s="632"/>
      <c r="X221" s="632"/>
      <c r="AE221" s="632"/>
      <c r="AF221" s="632"/>
      <c r="AG221" s="632"/>
      <c r="AH221" s="632"/>
      <c r="AI221" s="632"/>
      <c r="AJ221" s="632"/>
      <c r="AK221" s="632"/>
      <c r="AL221" s="632"/>
      <c r="AM221" s="632"/>
      <c r="AN221" s="676"/>
      <c r="AO221" s="676"/>
      <c r="AP221" s="676"/>
      <c r="AQ221" s="676"/>
      <c r="AR221" s="676"/>
      <c r="AS221" s="676"/>
      <c r="AT221" s="676"/>
      <c r="AU221" s="676"/>
      <c r="AV221" s="676"/>
      <c r="AW221" s="676"/>
      <c r="AX221" s="676"/>
      <c r="AY221" s="676"/>
      <c r="AZ221" s="676"/>
      <c r="BA221" s="676"/>
      <c r="BB221" s="676"/>
      <c r="BC221" s="676"/>
      <c r="BD221" s="676"/>
      <c r="BE221" s="676"/>
      <c r="BF221" s="676"/>
      <c r="BG221" s="676"/>
      <c r="BH221" s="676"/>
      <c r="BI221" s="676"/>
      <c r="BJ221" s="676"/>
    </row>
    <row r="222" spans="2:62" s="495" customFormat="1" x14ac:dyDescent="0.2">
      <c r="B222" s="676"/>
      <c r="C222" s="676"/>
      <c r="D222" s="676"/>
      <c r="E222" s="676"/>
      <c r="F222" s="676"/>
      <c r="G222" s="676"/>
      <c r="H222" s="676"/>
      <c r="I222" s="676"/>
      <c r="J222" s="676"/>
      <c r="K222" s="676"/>
      <c r="L222" s="676"/>
      <c r="M222" s="676"/>
      <c r="N222" s="676"/>
      <c r="O222" s="676"/>
      <c r="P222" s="676"/>
      <c r="Q222" s="676"/>
      <c r="R222" s="676"/>
      <c r="S222" s="676"/>
      <c r="T222" s="676"/>
      <c r="U222" s="676"/>
      <c r="V222" s="632"/>
      <c r="W222" s="632"/>
      <c r="X222" s="632"/>
      <c r="AE222" s="632"/>
      <c r="AF222" s="632"/>
      <c r="AG222" s="632"/>
      <c r="AH222" s="632"/>
      <c r="AI222" s="632"/>
      <c r="AJ222" s="632"/>
      <c r="AK222" s="632"/>
      <c r="AL222" s="632"/>
      <c r="AM222" s="632"/>
      <c r="AN222" s="676"/>
      <c r="AO222" s="676"/>
      <c r="AP222" s="676"/>
      <c r="AQ222" s="676"/>
      <c r="AR222" s="676"/>
      <c r="AS222" s="676"/>
      <c r="AT222" s="676"/>
      <c r="AU222" s="676"/>
      <c r="AV222" s="676"/>
      <c r="AW222" s="676"/>
      <c r="AX222" s="676"/>
      <c r="AY222" s="676"/>
      <c r="AZ222" s="676"/>
      <c r="BA222" s="676"/>
      <c r="BB222" s="676"/>
      <c r="BC222" s="676"/>
      <c r="BD222" s="676"/>
      <c r="BE222" s="676"/>
      <c r="BF222" s="676"/>
      <c r="BG222" s="676"/>
      <c r="BH222" s="676"/>
      <c r="BI222" s="676"/>
      <c r="BJ222" s="676"/>
    </row>
    <row r="223" spans="2:62" s="495" customFormat="1" x14ac:dyDescent="0.2">
      <c r="B223" s="676"/>
      <c r="C223" s="676"/>
      <c r="D223" s="676"/>
      <c r="E223" s="676"/>
      <c r="F223" s="676"/>
      <c r="G223" s="676"/>
      <c r="H223" s="676"/>
      <c r="I223" s="676"/>
      <c r="J223" s="676"/>
      <c r="K223" s="676"/>
      <c r="L223" s="676"/>
      <c r="M223" s="676"/>
      <c r="N223" s="676"/>
      <c r="O223" s="676"/>
      <c r="P223" s="676"/>
      <c r="Q223" s="676"/>
      <c r="R223" s="676"/>
      <c r="S223" s="676"/>
      <c r="T223" s="676"/>
      <c r="U223" s="676"/>
      <c r="V223" s="632"/>
      <c r="W223" s="632"/>
      <c r="X223" s="632"/>
      <c r="AE223" s="632"/>
      <c r="AF223" s="632"/>
      <c r="AG223" s="632"/>
      <c r="AH223" s="632"/>
      <c r="AI223" s="632"/>
      <c r="AJ223" s="632"/>
      <c r="AK223" s="632"/>
      <c r="AL223" s="632"/>
      <c r="AM223" s="632"/>
      <c r="AN223" s="676"/>
      <c r="AO223" s="676"/>
      <c r="AP223" s="676"/>
      <c r="AQ223" s="676"/>
      <c r="AR223" s="676"/>
      <c r="AS223" s="676"/>
      <c r="AT223" s="676"/>
      <c r="AU223" s="676"/>
      <c r="AV223" s="676"/>
      <c r="AW223" s="676"/>
      <c r="AX223" s="676"/>
      <c r="AY223" s="676"/>
      <c r="AZ223" s="676"/>
      <c r="BA223" s="676"/>
      <c r="BB223" s="676"/>
      <c r="BC223" s="676"/>
      <c r="BD223" s="676"/>
      <c r="BE223" s="676"/>
      <c r="BF223" s="676"/>
      <c r="BG223" s="676"/>
      <c r="BH223" s="676"/>
      <c r="BI223" s="676"/>
      <c r="BJ223" s="676"/>
    </row>
    <row r="224" spans="2:62" s="495" customFormat="1" x14ac:dyDescent="0.2">
      <c r="B224" s="676"/>
      <c r="C224" s="676"/>
      <c r="D224" s="676"/>
      <c r="E224" s="676"/>
      <c r="F224" s="676"/>
      <c r="G224" s="676"/>
      <c r="H224" s="676"/>
      <c r="I224" s="676"/>
      <c r="J224" s="676"/>
      <c r="K224" s="676"/>
      <c r="L224" s="676"/>
      <c r="M224" s="676"/>
      <c r="N224" s="676"/>
      <c r="O224" s="676"/>
      <c r="P224" s="676"/>
      <c r="Q224" s="676"/>
      <c r="R224" s="676"/>
      <c r="S224" s="676"/>
      <c r="T224" s="676"/>
      <c r="U224" s="676"/>
      <c r="V224" s="632"/>
      <c r="W224" s="632"/>
      <c r="X224" s="632"/>
      <c r="AE224" s="632"/>
      <c r="AF224" s="632"/>
      <c r="AG224" s="632"/>
      <c r="AH224" s="632"/>
      <c r="AI224" s="632"/>
      <c r="AJ224" s="632"/>
      <c r="AK224" s="632"/>
      <c r="AL224" s="632"/>
      <c r="AM224" s="632"/>
      <c r="AN224" s="676"/>
      <c r="AO224" s="676"/>
      <c r="AP224" s="676"/>
      <c r="AQ224" s="676"/>
      <c r="AR224" s="676"/>
      <c r="AS224" s="676"/>
      <c r="AT224" s="676"/>
      <c r="AU224" s="676"/>
      <c r="AV224" s="676"/>
      <c r="AW224" s="676"/>
      <c r="AX224" s="676"/>
      <c r="AY224" s="676"/>
      <c r="AZ224" s="676"/>
      <c r="BA224" s="676"/>
      <c r="BB224" s="676"/>
      <c r="BC224" s="676"/>
      <c r="BD224" s="676"/>
      <c r="BE224" s="676"/>
      <c r="BF224" s="676"/>
      <c r="BG224" s="676"/>
      <c r="BH224" s="676"/>
      <c r="BI224" s="676"/>
      <c r="BJ224" s="676"/>
    </row>
    <row r="225" spans="2:62" s="495" customFormat="1" x14ac:dyDescent="0.2">
      <c r="B225" s="676"/>
      <c r="C225" s="676"/>
      <c r="D225" s="676"/>
      <c r="E225" s="676"/>
      <c r="F225" s="676"/>
      <c r="G225" s="676"/>
      <c r="H225" s="676"/>
      <c r="I225" s="676"/>
      <c r="J225" s="676"/>
      <c r="K225" s="676"/>
      <c r="L225" s="676"/>
      <c r="M225" s="676"/>
      <c r="N225" s="676"/>
      <c r="O225" s="676"/>
      <c r="P225" s="676"/>
      <c r="Q225" s="676"/>
      <c r="R225" s="676"/>
      <c r="S225" s="676"/>
      <c r="T225" s="676"/>
      <c r="U225" s="676"/>
      <c r="V225" s="632"/>
      <c r="W225" s="632"/>
      <c r="X225" s="632"/>
      <c r="AE225" s="632"/>
      <c r="AF225" s="632"/>
      <c r="AG225" s="632"/>
      <c r="AH225" s="632"/>
      <c r="AI225" s="632"/>
      <c r="AJ225" s="632"/>
      <c r="AK225" s="632"/>
      <c r="AL225" s="632"/>
      <c r="AM225" s="632"/>
      <c r="AN225" s="676"/>
      <c r="AO225" s="676"/>
      <c r="AP225" s="676"/>
      <c r="AQ225" s="676"/>
      <c r="AR225" s="676"/>
      <c r="AS225" s="676"/>
      <c r="AT225" s="676"/>
      <c r="AU225" s="676"/>
      <c r="AV225" s="676"/>
      <c r="AW225" s="676"/>
      <c r="AX225" s="676"/>
      <c r="AY225" s="676"/>
      <c r="AZ225" s="676"/>
      <c r="BA225" s="676"/>
      <c r="BB225" s="676"/>
      <c r="BC225" s="676"/>
      <c r="BD225" s="676"/>
      <c r="BE225" s="676"/>
      <c r="BF225" s="676"/>
      <c r="BG225" s="676"/>
      <c r="BH225" s="676"/>
      <c r="BI225" s="676"/>
      <c r="BJ225" s="676"/>
    </row>
    <row r="226" spans="2:62" s="495" customFormat="1" x14ac:dyDescent="0.2">
      <c r="B226" s="676"/>
      <c r="C226" s="676"/>
      <c r="D226" s="676"/>
      <c r="E226" s="676"/>
      <c r="F226" s="676"/>
      <c r="G226" s="676"/>
      <c r="H226" s="676"/>
      <c r="I226" s="676"/>
      <c r="J226" s="676"/>
      <c r="K226" s="676"/>
      <c r="L226" s="676"/>
      <c r="M226" s="676"/>
      <c r="N226" s="676"/>
      <c r="O226" s="676"/>
      <c r="P226" s="676"/>
      <c r="Q226" s="676"/>
      <c r="R226" s="676"/>
      <c r="S226" s="676"/>
      <c r="T226" s="676"/>
      <c r="U226" s="676"/>
      <c r="V226" s="632"/>
      <c r="W226" s="632"/>
      <c r="X226" s="632"/>
      <c r="AE226" s="632"/>
      <c r="AF226" s="632"/>
      <c r="AG226" s="632"/>
      <c r="AH226" s="632"/>
      <c r="AI226" s="632"/>
      <c r="AJ226" s="632"/>
      <c r="AK226" s="632"/>
      <c r="AL226" s="632"/>
      <c r="AM226" s="632"/>
      <c r="AN226" s="676"/>
      <c r="AO226" s="676"/>
      <c r="AP226" s="676"/>
      <c r="AQ226" s="676"/>
      <c r="AR226" s="676"/>
      <c r="AS226" s="676"/>
      <c r="AT226" s="676"/>
      <c r="AU226" s="676"/>
      <c r="AV226" s="676"/>
      <c r="AW226" s="676"/>
      <c r="AX226" s="676"/>
      <c r="AY226" s="676"/>
      <c r="AZ226" s="676"/>
      <c r="BA226" s="676"/>
      <c r="BB226" s="676"/>
      <c r="BC226" s="676"/>
      <c r="BD226" s="676"/>
      <c r="BE226" s="676"/>
      <c r="BF226" s="676"/>
      <c r="BG226" s="676"/>
      <c r="BH226" s="676"/>
      <c r="BI226" s="676"/>
      <c r="BJ226" s="676"/>
    </row>
    <row r="227" spans="2:62" s="495" customFormat="1" x14ac:dyDescent="0.2">
      <c r="B227" s="676"/>
      <c r="C227" s="676"/>
      <c r="D227" s="676"/>
      <c r="E227" s="676"/>
      <c r="F227" s="676"/>
      <c r="G227" s="676"/>
      <c r="H227" s="676"/>
      <c r="I227" s="676"/>
      <c r="J227" s="676"/>
      <c r="K227" s="676"/>
      <c r="L227" s="676"/>
      <c r="M227" s="676"/>
      <c r="N227" s="676"/>
      <c r="O227" s="676"/>
      <c r="P227" s="676"/>
      <c r="Q227" s="676"/>
      <c r="R227" s="676"/>
      <c r="S227" s="676"/>
      <c r="T227" s="676"/>
      <c r="U227" s="676"/>
      <c r="V227" s="632"/>
      <c r="W227" s="632"/>
      <c r="X227" s="632"/>
      <c r="AE227" s="632"/>
      <c r="AF227" s="632"/>
      <c r="AG227" s="632"/>
      <c r="AH227" s="632"/>
      <c r="AI227" s="632"/>
      <c r="AJ227" s="632"/>
      <c r="AK227" s="632"/>
      <c r="AL227" s="632"/>
      <c r="AM227" s="632"/>
      <c r="AN227" s="676"/>
      <c r="AO227" s="676"/>
      <c r="AP227" s="676"/>
      <c r="AQ227" s="676"/>
      <c r="AR227" s="676"/>
      <c r="AS227" s="676"/>
      <c r="AT227" s="676"/>
      <c r="AU227" s="676"/>
      <c r="AV227" s="676"/>
      <c r="AW227" s="676"/>
      <c r="AX227" s="676"/>
      <c r="AY227" s="676"/>
      <c r="AZ227" s="676"/>
      <c r="BA227" s="676"/>
      <c r="BB227" s="676"/>
      <c r="BC227" s="676"/>
      <c r="BD227" s="676"/>
      <c r="BE227" s="676"/>
      <c r="BF227" s="676"/>
      <c r="BG227" s="676"/>
      <c r="BH227" s="676"/>
      <c r="BI227" s="676"/>
      <c r="BJ227" s="676"/>
    </row>
    <row r="228" spans="2:62" s="495" customFormat="1" x14ac:dyDescent="0.2">
      <c r="B228" s="676"/>
      <c r="C228" s="676"/>
      <c r="D228" s="676"/>
      <c r="E228" s="676"/>
      <c r="F228" s="676"/>
      <c r="G228" s="676"/>
      <c r="H228" s="676"/>
      <c r="I228" s="676"/>
      <c r="J228" s="676"/>
      <c r="K228" s="676"/>
      <c r="L228" s="676"/>
      <c r="M228" s="676"/>
      <c r="N228" s="676"/>
      <c r="O228" s="676"/>
      <c r="P228" s="676"/>
      <c r="Q228" s="676"/>
      <c r="R228" s="676"/>
      <c r="S228" s="676"/>
      <c r="T228" s="676"/>
      <c r="U228" s="676"/>
      <c r="V228" s="632"/>
      <c r="W228" s="632"/>
      <c r="X228" s="632"/>
      <c r="AE228" s="632"/>
      <c r="AF228" s="632"/>
      <c r="AG228" s="632"/>
      <c r="AH228" s="632"/>
      <c r="AI228" s="632"/>
      <c r="AJ228" s="632"/>
      <c r="AK228" s="632"/>
      <c r="AL228" s="632"/>
      <c r="AM228" s="632"/>
      <c r="AN228" s="676"/>
      <c r="AO228" s="676"/>
      <c r="AP228" s="676"/>
      <c r="AQ228" s="676"/>
      <c r="AR228" s="676"/>
      <c r="AS228" s="676"/>
      <c r="AT228" s="676"/>
      <c r="AU228" s="676"/>
      <c r="AV228" s="676"/>
      <c r="AW228" s="676"/>
      <c r="AX228" s="676"/>
      <c r="AY228" s="676"/>
      <c r="AZ228" s="676"/>
      <c r="BA228" s="676"/>
      <c r="BB228" s="676"/>
      <c r="BC228" s="676"/>
      <c r="BD228" s="676"/>
      <c r="BE228" s="676"/>
      <c r="BF228" s="676"/>
      <c r="BG228" s="676"/>
      <c r="BH228" s="676"/>
      <c r="BI228" s="676"/>
      <c r="BJ228" s="676"/>
    </row>
    <row r="229" spans="2:62" s="495" customFormat="1" x14ac:dyDescent="0.2">
      <c r="B229" s="676"/>
      <c r="C229" s="676"/>
      <c r="D229" s="676"/>
      <c r="E229" s="676"/>
      <c r="F229" s="676"/>
      <c r="G229" s="676"/>
      <c r="H229" s="676"/>
      <c r="I229" s="676"/>
      <c r="J229" s="676"/>
      <c r="K229" s="676"/>
      <c r="L229" s="676"/>
      <c r="M229" s="676"/>
      <c r="N229" s="676"/>
      <c r="O229" s="676"/>
      <c r="P229" s="676"/>
      <c r="Q229" s="676"/>
      <c r="R229" s="676"/>
      <c r="S229" s="676"/>
      <c r="T229" s="676"/>
      <c r="U229" s="676"/>
      <c r="V229" s="632"/>
      <c r="W229" s="632"/>
      <c r="X229" s="632"/>
      <c r="AE229" s="632"/>
      <c r="AF229" s="632"/>
      <c r="AG229" s="632"/>
      <c r="AH229" s="632"/>
      <c r="AI229" s="632"/>
      <c r="AJ229" s="632"/>
      <c r="AK229" s="632"/>
      <c r="AL229" s="632"/>
      <c r="AM229" s="632"/>
      <c r="AN229" s="676"/>
      <c r="AO229" s="676"/>
      <c r="AP229" s="676"/>
      <c r="AQ229" s="676"/>
      <c r="AR229" s="676"/>
      <c r="AS229" s="676"/>
      <c r="AT229" s="676"/>
      <c r="AU229" s="676"/>
      <c r="AV229" s="676"/>
      <c r="AW229" s="676"/>
      <c r="AX229" s="676"/>
      <c r="AY229" s="676"/>
      <c r="AZ229" s="676"/>
      <c r="BA229" s="676"/>
      <c r="BB229" s="676"/>
      <c r="BC229" s="676"/>
      <c r="BD229" s="676"/>
      <c r="BE229" s="676"/>
      <c r="BF229" s="676"/>
      <c r="BG229" s="676"/>
      <c r="BH229" s="676"/>
      <c r="BI229" s="676"/>
      <c r="BJ229" s="676"/>
    </row>
    <row r="230" spans="2:62" s="495" customFormat="1" x14ac:dyDescent="0.2">
      <c r="B230" s="676"/>
      <c r="C230" s="676"/>
      <c r="D230" s="676"/>
      <c r="E230" s="676"/>
      <c r="F230" s="676"/>
      <c r="G230" s="676"/>
      <c r="H230" s="676"/>
      <c r="I230" s="676"/>
      <c r="J230" s="676"/>
      <c r="K230" s="676"/>
      <c r="L230" s="676"/>
      <c r="M230" s="676"/>
      <c r="N230" s="676"/>
      <c r="O230" s="676"/>
      <c r="P230" s="676"/>
      <c r="Q230" s="676"/>
      <c r="R230" s="676"/>
      <c r="S230" s="676"/>
      <c r="T230" s="676"/>
      <c r="U230" s="676"/>
      <c r="V230" s="632"/>
      <c r="W230" s="632"/>
      <c r="X230" s="632"/>
      <c r="AE230" s="632"/>
      <c r="AF230" s="632"/>
      <c r="AG230" s="632"/>
      <c r="AH230" s="632"/>
      <c r="AI230" s="632"/>
      <c r="AJ230" s="632"/>
      <c r="AK230" s="632"/>
      <c r="AL230" s="632"/>
      <c r="AM230" s="632"/>
      <c r="AN230" s="676"/>
      <c r="AO230" s="676"/>
      <c r="AP230" s="676"/>
      <c r="AQ230" s="676"/>
      <c r="AR230" s="676"/>
      <c r="AS230" s="676"/>
      <c r="AT230" s="676"/>
      <c r="AU230" s="676"/>
      <c r="AV230" s="676"/>
      <c r="AW230" s="676"/>
      <c r="AX230" s="676"/>
      <c r="AY230" s="676"/>
      <c r="AZ230" s="676"/>
      <c r="BA230" s="676"/>
      <c r="BB230" s="676"/>
      <c r="BC230" s="676"/>
      <c r="BD230" s="676"/>
      <c r="BE230" s="676"/>
      <c r="BF230" s="676"/>
      <c r="BG230" s="676"/>
      <c r="BH230" s="676"/>
      <c r="BI230" s="676"/>
      <c r="BJ230" s="676"/>
    </row>
    <row r="231" spans="2:62" s="495" customFormat="1" x14ac:dyDescent="0.2">
      <c r="B231" s="676"/>
      <c r="C231" s="676"/>
      <c r="D231" s="676"/>
      <c r="E231" s="676"/>
      <c r="F231" s="676"/>
      <c r="G231" s="676"/>
      <c r="H231" s="676"/>
      <c r="I231" s="676"/>
      <c r="J231" s="676"/>
      <c r="K231" s="676"/>
      <c r="L231" s="676"/>
      <c r="M231" s="676"/>
      <c r="N231" s="676"/>
      <c r="O231" s="676"/>
      <c r="P231" s="676"/>
      <c r="Q231" s="676"/>
      <c r="R231" s="676"/>
      <c r="S231" s="676"/>
      <c r="T231" s="676"/>
      <c r="U231" s="676"/>
      <c r="V231" s="632"/>
      <c r="W231" s="632"/>
      <c r="X231" s="632"/>
      <c r="AE231" s="632"/>
      <c r="AF231" s="632"/>
      <c r="AG231" s="632"/>
      <c r="AH231" s="632"/>
      <c r="AI231" s="632"/>
      <c r="AJ231" s="632"/>
      <c r="AK231" s="632"/>
      <c r="AL231" s="632"/>
      <c r="AM231" s="632"/>
      <c r="AN231" s="676"/>
      <c r="AO231" s="676"/>
      <c r="AP231" s="676"/>
      <c r="AQ231" s="676"/>
      <c r="AR231" s="676"/>
      <c r="AS231" s="676"/>
      <c r="AT231" s="676"/>
      <c r="AU231" s="676"/>
      <c r="AV231" s="676"/>
      <c r="AW231" s="676"/>
      <c r="AX231" s="676"/>
      <c r="AY231" s="676"/>
      <c r="AZ231" s="676"/>
      <c r="BA231" s="676"/>
      <c r="BB231" s="676"/>
      <c r="BC231" s="676"/>
      <c r="BD231" s="676"/>
      <c r="BE231" s="676"/>
      <c r="BF231" s="676"/>
      <c r="BG231" s="676"/>
      <c r="BH231" s="676"/>
      <c r="BI231" s="676"/>
      <c r="BJ231" s="676"/>
    </row>
    <row r="232" spans="2:62" s="495" customFormat="1" x14ac:dyDescent="0.2">
      <c r="B232" s="676"/>
      <c r="C232" s="676"/>
      <c r="D232" s="676"/>
      <c r="E232" s="676"/>
      <c r="F232" s="676"/>
      <c r="G232" s="676"/>
      <c r="H232" s="676"/>
      <c r="I232" s="676"/>
      <c r="J232" s="676"/>
      <c r="K232" s="676"/>
      <c r="L232" s="676"/>
      <c r="M232" s="676"/>
      <c r="N232" s="676"/>
      <c r="O232" s="676"/>
      <c r="P232" s="676"/>
      <c r="Q232" s="676"/>
      <c r="R232" s="676"/>
      <c r="S232" s="676"/>
      <c r="T232" s="676"/>
      <c r="U232" s="676"/>
      <c r="V232" s="632"/>
      <c r="W232" s="632"/>
      <c r="X232" s="632"/>
      <c r="AE232" s="632"/>
      <c r="AF232" s="632"/>
      <c r="AG232" s="632"/>
      <c r="AH232" s="632"/>
      <c r="AI232" s="632"/>
      <c r="AJ232" s="632"/>
      <c r="AK232" s="632"/>
      <c r="AL232" s="632"/>
      <c r="AM232" s="632"/>
      <c r="AN232" s="676"/>
      <c r="AO232" s="676"/>
      <c r="AP232" s="676"/>
      <c r="AQ232" s="676"/>
      <c r="AR232" s="676"/>
      <c r="AS232" s="676"/>
      <c r="AT232" s="676"/>
      <c r="AU232" s="676"/>
      <c r="AV232" s="676"/>
      <c r="AW232" s="676"/>
      <c r="AX232" s="676"/>
      <c r="AY232" s="676"/>
      <c r="AZ232" s="676"/>
      <c r="BA232" s="676"/>
      <c r="BB232" s="676"/>
      <c r="BC232" s="676"/>
      <c r="BD232" s="676"/>
      <c r="BE232" s="676"/>
      <c r="BF232" s="676"/>
      <c r="BG232" s="676"/>
      <c r="BH232" s="676"/>
      <c r="BI232" s="676"/>
      <c r="BJ232" s="676"/>
    </row>
    <row r="233" spans="2:62" s="495" customFormat="1" x14ac:dyDescent="0.2">
      <c r="B233" s="676"/>
      <c r="C233" s="676"/>
      <c r="D233" s="676"/>
      <c r="E233" s="676"/>
      <c r="F233" s="676"/>
      <c r="G233" s="676"/>
      <c r="H233" s="676"/>
      <c r="I233" s="676"/>
      <c r="J233" s="676"/>
      <c r="K233" s="676"/>
      <c r="L233" s="676"/>
      <c r="M233" s="676"/>
      <c r="N233" s="676"/>
      <c r="O233" s="676"/>
      <c r="P233" s="676"/>
      <c r="Q233" s="676"/>
      <c r="R233" s="676"/>
      <c r="S233" s="676"/>
      <c r="T233" s="676"/>
      <c r="U233" s="676"/>
      <c r="V233" s="632"/>
      <c r="W233" s="632"/>
      <c r="X233" s="632"/>
      <c r="AE233" s="632"/>
      <c r="AF233" s="632"/>
      <c r="AG233" s="632"/>
      <c r="AH233" s="632"/>
      <c r="AI233" s="632"/>
      <c r="AJ233" s="632"/>
      <c r="AK233" s="632"/>
      <c r="AL233" s="632"/>
      <c r="AM233" s="632"/>
      <c r="AN233" s="676"/>
      <c r="AO233" s="676"/>
      <c r="AP233" s="676"/>
      <c r="AQ233" s="676"/>
      <c r="AR233" s="676"/>
      <c r="AS233" s="676"/>
      <c r="AT233" s="676"/>
      <c r="AU233" s="676"/>
      <c r="AV233" s="676"/>
      <c r="AW233" s="676"/>
      <c r="AX233" s="676"/>
      <c r="AY233" s="676"/>
      <c r="AZ233" s="676"/>
      <c r="BA233" s="676"/>
      <c r="BB233" s="676"/>
      <c r="BC233" s="676"/>
      <c r="BD233" s="676"/>
      <c r="BE233" s="676"/>
      <c r="BF233" s="676"/>
      <c r="BG233" s="676"/>
      <c r="BH233" s="676"/>
      <c r="BI233" s="676"/>
      <c r="BJ233" s="676"/>
    </row>
    <row r="234" spans="2:62" s="495" customFormat="1" x14ac:dyDescent="0.2">
      <c r="B234" s="676"/>
      <c r="C234" s="676"/>
      <c r="D234" s="676"/>
      <c r="E234" s="676"/>
      <c r="F234" s="676"/>
      <c r="G234" s="676"/>
      <c r="H234" s="676"/>
      <c r="I234" s="676"/>
      <c r="J234" s="676"/>
      <c r="K234" s="676"/>
      <c r="L234" s="676"/>
      <c r="M234" s="676"/>
      <c r="N234" s="676"/>
      <c r="O234" s="676"/>
      <c r="P234" s="676"/>
      <c r="Q234" s="676"/>
      <c r="R234" s="676"/>
      <c r="S234" s="676"/>
      <c r="T234" s="676"/>
      <c r="U234" s="676"/>
      <c r="V234" s="632"/>
      <c r="W234" s="632"/>
      <c r="X234" s="632"/>
      <c r="AE234" s="632"/>
      <c r="AF234" s="632"/>
      <c r="AG234" s="632"/>
      <c r="AH234" s="632"/>
      <c r="AI234" s="632"/>
      <c r="AJ234" s="632"/>
      <c r="AK234" s="632"/>
      <c r="AL234" s="632"/>
      <c r="AM234" s="632"/>
      <c r="AN234" s="676"/>
      <c r="AO234" s="676"/>
      <c r="AP234" s="676"/>
      <c r="AQ234" s="676"/>
      <c r="AR234" s="676"/>
      <c r="AS234" s="676"/>
      <c r="AT234" s="676"/>
      <c r="AU234" s="676"/>
      <c r="AV234" s="676"/>
      <c r="AW234" s="676"/>
      <c r="AX234" s="676"/>
      <c r="AY234" s="676"/>
      <c r="AZ234" s="676"/>
      <c r="BA234" s="676"/>
      <c r="BB234" s="676"/>
      <c r="BC234" s="676"/>
      <c r="BD234" s="676"/>
      <c r="BE234" s="676"/>
      <c r="BF234" s="676"/>
      <c r="BG234" s="676"/>
      <c r="BH234" s="676"/>
      <c r="BI234" s="676"/>
      <c r="BJ234" s="676"/>
    </row>
    <row r="235" spans="2:62" s="495" customFormat="1" x14ac:dyDescent="0.2">
      <c r="B235" s="676"/>
      <c r="C235" s="676"/>
      <c r="D235" s="676"/>
      <c r="E235" s="676"/>
      <c r="F235" s="676"/>
      <c r="G235" s="676"/>
      <c r="H235" s="676"/>
      <c r="I235" s="676"/>
      <c r="J235" s="676"/>
      <c r="K235" s="676"/>
      <c r="L235" s="676"/>
      <c r="M235" s="676"/>
      <c r="N235" s="676"/>
      <c r="O235" s="676"/>
      <c r="P235" s="676"/>
      <c r="Q235" s="676"/>
      <c r="R235" s="676"/>
      <c r="S235" s="676"/>
      <c r="T235" s="676"/>
      <c r="U235" s="676"/>
      <c r="V235" s="632"/>
      <c r="W235" s="632"/>
      <c r="X235" s="632"/>
      <c r="AE235" s="632"/>
      <c r="AF235" s="632"/>
      <c r="AG235" s="632"/>
      <c r="AH235" s="632"/>
      <c r="AI235" s="632"/>
      <c r="AJ235" s="632"/>
      <c r="AK235" s="632"/>
      <c r="AL235" s="632"/>
      <c r="AM235" s="632"/>
      <c r="AN235" s="676"/>
      <c r="AO235" s="676"/>
      <c r="AP235" s="676"/>
      <c r="AQ235" s="676"/>
      <c r="AR235" s="676"/>
      <c r="AS235" s="676"/>
      <c r="AT235" s="676"/>
      <c r="AU235" s="676"/>
      <c r="AV235" s="676"/>
      <c r="AW235" s="676"/>
      <c r="AX235" s="676"/>
      <c r="AY235" s="676"/>
      <c r="AZ235" s="676"/>
      <c r="BA235" s="676"/>
      <c r="BB235" s="676"/>
      <c r="BC235" s="676"/>
      <c r="BD235" s="676"/>
      <c r="BE235" s="676"/>
      <c r="BF235" s="676"/>
      <c r="BG235" s="676"/>
      <c r="BH235" s="676"/>
      <c r="BI235" s="676"/>
      <c r="BJ235" s="676"/>
    </row>
    <row r="236" spans="2:62" s="495" customFormat="1" x14ac:dyDescent="0.2">
      <c r="B236" s="676"/>
      <c r="C236" s="676"/>
      <c r="D236" s="676"/>
      <c r="E236" s="676"/>
      <c r="F236" s="676"/>
      <c r="G236" s="676"/>
      <c r="H236" s="676"/>
      <c r="I236" s="676"/>
      <c r="J236" s="676"/>
      <c r="K236" s="676"/>
      <c r="L236" s="676"/>
      <c r="M236" s="676"/>
      <c r="N236" s="676"/>
      <c r="O236" s="676"/>
      <c r="P236" s="676"/>
      <c r="Q236" s="676"/>
      <c r="R236" s="676"/>
      <c r="S236" s="676"/>
      <c r="T236" s="676"/>
      <c r="U236" s="676"/>
      <c r="V236" s="632"/>
      <c r="W236" s="632"/>
      <c r="X236" s="632"/>
      <c r="AE236" s="632"/>
      <c r="AF236" s="632"/>
      <c r="AG236" s="632"/>
      <c r="AH236" s="632"/>
      <c r="AI236" s="632"/>
      <c r="AJ236" s="632"/>
      <c r="AK236" s="632"/>
      <c r="AL236" s="632"/>
      <c r="AM236" s="632"/>
      <c r="AN236" s="676"/>
      <c r="AO236" s="676"/>
      <c r="AP236" s="676"/>
      <c r="AQ236" s="676"/>
      <c r="AR236" s="676"/>
      <c r="AS236" s="676"/>
      <c r="AT236" s="676"/>
      <c r="AU236" s="676"/>
      <c r="AV236" s="676"/>
      <c r="AW236" s="676"/>
      <c r="AX236" s="676"/>
      <c r="AY236" s="676"/>
      <c r="AZ236" s="676"/>
      <c r="BA236" s="676"/>
      <c r="BB236" s="676"/>
      <c r="BC236" s="676"/>
      <c r="BD236" s="676"/>
      <c r="BE236" s="676"/>
      <c r="BF236" s="676"/>
      <c r="BG236" s="676"/>
      <c r="BH236" s="676"/>
      <c r="BI236" s="676"/>
      <c r="BJ236" s="676"/>
    </row>
    <row r="237" spans="2:62" s="495" customFormat="1" x14ac:dyDescent="0.2">
      <c r="B237" s="676"/>
      <c r="C237" s="676"/>
      <c r="D237" s="676"/>
      <c r="E237" s="676"/>
      <c r="F237" s="676"/>
      <c r="G237" s="676"/>
      <c r="H237" s="676"/>
      <c r="I237" s="676"/>
      <c r="J237" s="676"/>
      <c r="K237" s="676"/>
      <c r="L237" s="676"/>
      <c r="M237" s="676"/>
      <c r="N237" s="676"/>
      <c r="O237" s="676"/>
      <c r="P237" s="676"/>
      <c r="Q237" s="676"/>
      <c r="R237" s="676"/>
      <c r="S237" s="676"/>
      <c r="T237" s="676"/>
      <c r="U237" s="676"/>
      <c r="V237" s="632"/>
      <c r="W237" s="632"/>
      <c r="X237" s="632"/>
      <c r="AE237" s="632"/>
      <c r="AF237" s="632"/>
      <c r="AG237" s="632"/>
      <c r="AH237" s="632"/>
      <c r="AI237" s="632"/>
      <c r="AJ237" s="632"/>
      <c r="AK237" s="632"/>
      <c r="AL237" s="632"/>
      <c r="AM237" s="632"/>
      <c r="AN237" s="676"/>
      <c r="AO237" s="676"/>
      <c r="AP237" s="676"/>
      <c r="AQ237" s="676"/>
      <c r="AR237" s="676"/>
      <c r="AS237" s="676"/>
      <c r="AT237" s="676"/>
      <c r="AU237" s="676"/>
      <c r="AV237" s="676"/>
      <c r="AW237" s="676"/>
      <c r="AX237" s="676"/>
      <c r="AY237" s="676"/>
      <c r="AZ237" s="676"/>
      <c r="BA237" s="676"/>
      <c r="BB237" s="676"/>
      <c r="BC237" s="676"/>
      <c r="BD237" s="676"/>
      <c r="BE237" s="676"/>
      <c r="BF237" s="676"/>
      <c r="BG237" s="676"/>
      <c r="BH237" s="676"/>
      <c r="BI237" s="676"/>
      <c r="BJ237" s="676"/>
    </row>
    <row r="238" spans="2:62" s="495" customFormat="1" x14ac:dyDescent="0.2">
      <c r="B238" s="676"/>
      <c r="C238" s="676"/>
      <c r="D238" s="676"/>
      <c r="E238" s="676"/>
      <c r="F238" s="676"/>
      <c r="G238" s="676"/>
      <c r="H238" s="676"/>
      <c r="I238" s="676"/>
      <c r="J238" s="676"/>
      <c r="K238" s="676"/>
      <c r="L238" s="676"/>
      <c r="M238" s="676"/>
      <c r="N238" s="676"/>
      <c r="O238" s="676"/>
      <c r="P238" s="676"/>
      <c r="Q238" s="676"/>
      <c r="R238" s="676"/>
      <c r="S238" s="676"/>
      <c r="T238" s="676"/>
      <c r="U238" s="676"/>
      <c r="V238" s="632"/>
      <c r="W238" s="632"/>
      <c r="X238" s="632"/>
      <c r="AE238" s="632"/>
      <c r="AF238" s="632"/>
      <c r="AG238" s="632"/>
      <c r="AH238" s="632"/>
      <c r="AI238" s="632"/>
      <c r="AJ238" s="632"/>
      <c r="AK238" s="632"/>
      <c r="AL238" s="632"/>
      <c r="AM238" s="632"/>
      <c r="AN238" s="676"/>
      <c r="AO238" s="676"/>
      <c r="AP238" s="676"/>
      <c r="AQ238" s="676"/>
      <c r="AR238" s="676"/>
      <c r="AS238" s="676"/>
      <c r="AT238" s="676"/>
      <c r="AU238" s="676"/>
      <c r="AV238" s="676"/>
      <c r="AW238" s="676"/>
      <c r="AX238" s="676"/>
      <c r="AY238" s="676"/>
      <c r="AZ238" s="676"/>
      <c r="BA238" s="676"/>
      <c r="BB238" s="676"/>
      <c r="BC238" s="676"/>
      <c r="BD238" s="676"/>
      <c r="BE238" s="676"/>
      <c r="BF238" s="676"/>
      <c r="BG238" s="676"/>
      <c r="BH238" s="676"/>
      <c r="BI238" s="676"/>
      <c r="BJ238" s="676"/>
    </row>
    <row r="239" spans="2:62" s="495" customFormat="1" x14ac:dyDescent="0.2">
      <c r="B239" s="676"/>
      <c r="C239" s="676"/>
      <c r="D239" s="676"/>
      <c r="E239" s="676"/>
      <c r="F239" s="676"/>
      <c r="G239" s="676"/>
      <c r="H239" s="676"/>
      <c r="I239" s="676"/>
      <c r="J239" s="676"/>
      <c r="K239" s="676"/>
      <c r="L239" s="676"/>
      <c r="M239" s="676"/>
      <c r="N239" s="676"/>
      <c r="O239" s="676"/>
      <c r="P239" s="676"/>
      <c r="Q239" s="676"/>
      <c r="R239" s="676"/>
      <c r="S239" s="676"/>
      <c r="T239" s="676"/>
      <c r="U239" s="676"/>
      <c r="V239" s="632"/>
      <c r="W239" s="632"/>
      <c r="X239" s="632"/>
      <c r="AE239" s="632"/>
      <c r="AF239" s="632"/>
      <c r="AG239" s="632"/>
      <c r="AH239" s="632"/>
      <c r="AI239" s="632"/>
      <c r="AJ239" s="632"/>
      <c r="AK239" s="632"/>
      <c r="AL239" s="632"/>
      <c r="AM239" s="632"/>
      <c r="AN239" s="676"/>
      <c r="AO239" s="676"/>
      <c r="AP239" s="676"/>
      <c r="AQ239" s="676"/>
      <c r="AR239" s="676"/>
      <c r="AS239" s="676"/>
      <c r="AT239" s="676"/>
      <c r="AU239" s="676"/>
      <c r="AV239" s="676"/>
      <c r="AW239" s="676"/>
      <c r="AX239" s="676"/>
      <c r="AY239" s="676"/>
      <c r="AZ239" s="676"/>
      <c r="BA239" s="676"/>
      <c r="BB239" s="676"/>
      <c r="BC239" s="676"/>
      <c r="BD239" s="676"/>
      <c r="BE239" s="676"/>
      <c r="BF239" s="676"/>
      <c r="BG239" s="676"/>
      <c r="BH239" s="676"/>
      <c r="BI239" s="676"/>
      <c r="BJ239" s="676"/>
    </row>
    <row r="240" spans="2:62" s="495" customFormat="1" x14ac:dyDescent="0.2">
      <c r="B240" s="676"/>
      <c r="C240" s="676"/>
      <c r="D240" s="676"/>
      <c r="E240" s="676"/>
      <c r="F240" s="676"/>
      <c r="G240" s="676"/>
      <c r="H240" s="676"/>
      <c r="I240" s="676"/>
      <c r="J240" s="676"/>
      <c r="K240" s="676"/>
      <c r="L240" s="676"/>
      <c r="M240" s="676"/>
      <c r="N240" s="676"/>
      <c r="O240" s="676"/>
      <c r="P240" s="676"/>
      <c r="Q240" s="676"/>
      <c r="R240" s="676"/>
      <c r="S240" s="676"/>
      <c r="T240" s="676"/>
      <c r="U240" s="676"/>
      <c r="V240" s="632"/>
      <c r="W240" s="632"/>
      <c r="X240" s="632"/>
      <c r="AE240" s="632"/>
      <c r="AF240" s="632"/>
      <c r="AG240" s="632"/>
      <c r="AH240" s="632"/>
      <c r="AI240" s="632"/>
      <c r="AJ240" s="632"/>
      <c r="AK240" s="632"/>
      <c r="AL240" s="632"/>
      <c r="AM240" s="632"/>
      <c r="AN240" s="676"/>
      <c r="AO240" s="676"/>
      <c r="AP240" s="676"/>
      <c r="AQ240" s="676"/>
      <c r="AR240" s="676"/>
      <c r="AS240" s="676"/>
      <c r="AT240" s="676"/>
      <c r="AU240" s="676"/>
      <c r="AV240" s="676"/>
      <c r="AW240" s="676"/>
      <c r="AX240" s="676"/>
      <c r="AY240" s="676"/>
      <c r="AZ240" s="676"/>
      <c r="BA240" s="676"/>
      <c r="BB240" s="676"/>
      <c r="BC240" s="676"/>
      <c r="BD240" s="676"/>
      <c r="BE240" s="676"/>
      <c r="BF240" s="676"/>
      <c r="BG240" s="676"/>
      <c r="BH240" s="676"/>
      <c r="BI240" s="676"/>
      <c r="BJ240" s="676"/>
    </row>
    <row r="241" spans="2:62" s="495" customFormat="1" x14ac:dyDescent="0.2">
      <c r="B241" s="676"/>
      <c r="C241" s="676"/>
      <c r="D241" s="676"/>
      <c r="E241" s="676"/>
      <c r="F241" s="676"/>
      <c r="G241" s="676"/>
      <c r="H241" s="676"/>
      <c r="I241" s="676"/>
      <c r="J241" s="676"/>
      <c r="K241" s="676"/>
      <c r="L241" s="676"/>
      <c r="M241" s="676"/>
      <c r="N241" s="676"/>
      <c r="O241" s="676"/>
      <c r="P241" s="676"/>
      <c r="Q241" s="676"/>
      <c r="R241" s="676"/>
      <c r="S241" s="676"/>
      <c r="T241" s="676"/>
      <c r="U241" s="676"/>
      <c r="V241" s="632"/>
      <c r="W241" s="632"/>
      <c r="X241" s="632"/>
      <c r="AE241" s="632"/>
      <c r="AF241" s="632"/>
      <c r="AG241" s="632"/>
      <c r="AH241" s="632"/>
      <c r="AI241" s="632"/>
      <c r="AJ241" s="632"/>
      <c r="AK241" s="632"/>
      <c r="AL241" s="632"/>
      <c r="AM241" s="632"/>
      <c r="AN241" s="676"/>
      <c r="AO241" s="676"/>
      <c r="AP241" s="676"/>
      <c r="AQ241" s="676"/>
      <c r="AR241" s="676"/>
      <c r="AS241" s="676"/>
      <c r="AT241" s="676"/>
      <c r="AU241" s="676"/>
      <c r="AV241" s="676"/>
      <c r="AW241" s="676"/>
      <c r="AX241" s="676"/>
      <c r="AY241" s="676"/>
      <c r="AZ241" s="676"/>
      <c r="BA241" s="676"/>
      <c r="BB241" s="676"/>
      <c r="BC241" s="676"/>
      <c r="BD241" s="676"/>
      <c r="BE241" s="676"/>
      <c r="BF241" s="676"/>
      <c r="BG241" s="676"/>
      <c r="BH241" s="676"/>
      <c r="BI241" s="676"/>
      <c r="BJ241" s="676"/>
    </row>
    <row r="242" spans="2:62" s="495" customFormat="1" x14ac:dyDescent="0.2">
      <c r="B242" s="676"/>
      <c r="C242" s="676"/>
      <c r="D242" s="676"/>
      <c r="E242" s="676"/>
      <c r="F242" s="676"/>
      <c r="G242" s="676"/>
      <c r="H242" s="676"/>
      <c r="I242" s="676"/>
      <c r="J242" s="676"/>
      <c r="K242" s="676"/>
      <c r="L242" s="676"/>
      <c r="M242" s="676"/>
      <c r="N242" s="676"/>
      <c r="O242" s="676"/>
      <c r="P242" s="676"/>
      <c r="Q242" s="676"/>
      <c r="R242" s="676"/>
      <c r="S242" s="676"/>
      <c r="T242" s="676"/>
      <c r="U242" s="676"/>
      <c r="V242" s="632"/>
      <c r="W242" s="632"/>
      <c r="X242" s="632"/>
      <c r="AE242" s="632"/>
      <c r="AF242" s="632"/>
      <c r="AG242" s="632"/>
      <c r="AH242" s="632"/>
      <c r="AI242" s="632"/>
      <c r="AJ242" s="632"/>
      <c r="AK242" s="632"/>
      <c r="AL242" s="632"/>
      <c r="AM242" s="632"/>
      <c r="AN242" s="676"/>
      <c r="AO242" s="676"/>
      <c r="AP242" s="676"/>
      <c r="AQ242" s="676"/>
      <c r="AR242" s="676"/>
      <c r="AS242" s="676"/>
      <c r="AT242" s="676"/>
      <c r="AU242" s="676"/>
      <c r="AV242" s="676"/>
      <c r="AW242" s="676"/>
      <c r="AX242" s="676"/>
      <c r="AY242" s="676"/>
      <c r="AZ242" s="676"/>
      <c r="BA242" s="676"/>
      <c r="BB242" s="676"/>
      <c r="BC242" s="676"/>
      <c r="BD242" s="676"/>
      <c r="BE242" s="676"/>
      <c r="BF242" s="676"/>
      <c r="BG242" s="676"/>
      <c r="BH242" s="676"/>
      <c r="BI242" s="676"/>
      <c r="BJ242" s="676"/>
    </row>
    <row r="243" spans="2:62" s="495" customFormat="1" x14ac:dyDescent="0.2">
      <c r="B243" s="676"/>
      <c r="C243" s="676"/>
      <c r="D243" s="676"/>
      <c r="E243" s="676"/>
      <c r="F243" s="676"/>
      <c r="G243" s="676"/>
      <c r="H243" s="676"/>
      <c r="I243" s="676"/>
      <c r="J243" s="676"/>
      <c r="K243" s="676"/>
      <c r="L243" s="676"/>
      <c r="M243" s="676"/>
      <c r="N243" s="676"/>
      <c r="O243" s="676"/>
      <c r="P243" s="676"/>
      <c r="Q243" s="676"/>
      <c r="R243" s="676"/>
      <c r="S243" s="676"/>
      <c r="T243" s="676"/>
      <c r="U243" s="676"/>
      <c r="V243" s="632"/>
      <c r="W243" s="632"/>
      <c r="X243" s="632"/>
      <c r="AE243" s="632"/>
      <c r="AF243" s="632"/>
      <c r="AG243" s="632"/>
      <c r="AH243" s="632"/>
      <c r="AI243" s="632"/>
      <c r="AJ243" s="632"/>
      <c r="AK243" s="632"/>
      <c r="AL243" s="632"/>
      <c r="AM243" s="632"/>
      <c r="AN243" s="676"/>
      <c r="AO243" s="676"/>
      <c r="AP243" s="676"/>
      <c r="AQ243" s="676"/>
      <c r="AR243" s="676"/>
      <c r="AS243" s="676"/>
      <c r="AT243" s="676"/>
      <c r="AU243" s="676"/>
      <c r="AV243" s="676"/>
      <c r="AW243" s="676"/>
      <c r="AX243" s="676"/>
      <c r="AY243" s="676"/>
      <c r="AZ243" s="676"/>
      <c r="BA243" s="676"/>
      <c r="BB243" s="676"/>
      <c r="BC243" s="676"/>
      <c r="BD243" s="676"/>
      <c r="BE243" s="676"/>
      <c r="BF243" s="676"/>
      <c r="BG243" s="676"/>
      <c r="BH243" s="676"/>
      <c r="BI243" s="676"/>
      <c r="BJ243" s="676"/>
    </row>
    <row r="244" spans="2:62" s="495" customFormat="1" x14ac:dyDescent="0.2">
      <c r="B244" s="676"/>
      <c r="C244" s="676"/>
      <c r="D244" s="676"/>
      <c r="E244" s="676"/>
      <c r="F244" s="676"/>
      <c r="G244" s="676"/>
      <c r="H244" s="676"/>
      <c r="I244" s="676"/>
      <c r="J244" s="676"/>
      <c r="K244" s="676"/>
      <c r="L244" s="676"/>
      <c r="M244" s="676"/>
      <c r="N244" s="676"/>
      <c r="O244" s="676"/>
      <c r="P244" s="676"/>
      <c r="Q244" s="676"/>
      <c r="R244" s="676"/>
      <c r="S244" s="676"/>
      <c r="T244" s="676"/>
      <c r="U244" s="676"/>
      <c r="V244" s="632"/>
      <c r="W244" s="632"/>
      <c r="X244" s="632"/>
      <c r="AE244" s="632"/>
      <c r="AF244" s="632"/>
      <c r="AG244" s="632"/>
      <c r="AH244" s="632"/>
      <c r="AI244" s="632"/>
      <c r="AJ244" s="632"/>
      <c r="AK244" s="632"/>
      <c r="AL244" s="632"/>
      <c r="AM244" s="632"/>
      <c r="AN244" s="676"/>
      <c r="AO244" s="676"/>
      <c r="AP244" s="676"/>
      <c r="AQ244" s="676"/>
      <c r="AR244" s="676"/>
      <c r="AS244" s="676"/>
      <c r="AT244" s="676"/>
      <c r="AU244" s="676"/>
      <c r="AV244" s="676"/>
      <c r="AW244" s="676"/>
      <c r="AX244" s="676"/>
      <c r="AY244" s="676"/>
      <c r="AZ244" s="676"/>
      <c r="BA244" s="676"/>
      <c r="BB244" s="676"/>
      <c r="BC244" s="676"/>
      <c r="BD244" s="676"/>
      <c r="BE244" s="676"/>
      <c r="BF244" s="676"/>
      <c r="BG244" s="676"/>
      <c r="BH244" s="676"/>
      <c r="BI244" s="676"/>
      <c r="BJ244" s="676"/>
    </row>
    <row r="245" spans="2:62" s="495" customFormat="1" x14ac:dyDescent="0.2">
      <c r="B245" s="676"/>
      <c r="C245" s="676"/>
      <c r="D245" s="676"/>
      <c r="E245" s="676"/>
      <c r="F245" s="676"/>
      <c r="G245" s="676"/>
      <c r="H245" s="676"/>
      <c r="I245" s="676"/>
      <c r="J245" s="676"/>
      <c r="K245" s="676"/>
      <c r="L245" s="676"/>
      <c r="M245" s="676"/>
      <c r="N245" s="676"/>
      <c r="O245" s="676"/>
      <c r="P245" s="676"/>
      <c r="Q245" s="676"/>
      <c r="R245" s="676"/>
      <c r="S245" s="676"/>
      <c r="T245" s="676"/>
      <c r="U245" s="676"/>
      <c r="V245" s="632"/>
      <c r="W245" s="632"/>
      <c r="X245" s="632"/>
      <c r="AE245" s="632"/>
      <c r="AF245" s="632"/>
      <c r="AG245" s="632"/>
      <c r="AH245" s="632"/>
      <c r="AI245" s="632"/>
      <c r="AJ245" s="632"/>
      <c r="AK245" s="632"/>
      <c r="AL245" s="632"/>
      <c r="AM245" s="632"/>
      <c r="AN245" s="676"/>
      <c r="AO245" s="676"/>
      <c r="AP245" s="676"/>
      <c r="AQ245" s="676"/>
      <c r="AR245" s="676"/>
      <c r="AS245" s="676"/>
      <c r="AT245" s="676"/>
      <c r="AU245" s="676"/>
      <c r="AV245" s="676"/>
      <c r="AW245" s="676"/>
      <c r="AX245" s="676"/>
      <c r="AY245" s="676"/>
      <c r="AZ245" s="676"/>
      <c r="BA245" s="676"/>
      <c r="BB245" s="676"/>
      <c r="BC245" s="676"/>
      <c r="BD245" s="676"/>
      <c r="BE245" s="676"/>
      <c r="BF245" s="676"/>
      <c r="BG245" s="676"/>
      <c r="BH245" s="676"/>
      <c r="BI245" s="676"/>
      <c r="BJ245" s="676"/>
    </row>
    <row r="246" spans="2:62" s="495" customFormat="1" x14ac:dyDescent="0.2">
      <c r="B246" s="676"/>
      <c r="C246" s="676"/>
      <c r="D246" s="676"/>
      <c r="E246" s="676"/>
      <c r="F246" s="676"/>
      <c r="G246" s="676"/>
      <c r="H246" s="676"/>
      <c r="I246" s="676"/>
      <c r="J246" s="676"/>
      <c r="K246" s="676"/>
      <c r="L246" s="676"/>
      <c r="M246" s="676"/>
      <c r="N246" s="676"/>
      <c r="O246" s="676"/>
      <c r="P246" s="676"/>
      <c r="Q246" s="676"/>
      <c r="R246" s="676"/>
      <c r="S246" s="676"/>
      <c r="T246" s="676"/>
      <c r="U246" s="676"/>
      <c r="V246" s="632"/>
      <c r="W246" s="632"/>
      <c r="X246" s="632"/>
      <c r="AE246" s="632"/>
      <c r="AF246" s="632"/>
      <c r="AG246" s="632"/>
      <c r="AH246" s="632"/>
      <c r="AI246" s="632"/>
      <c r="AJ246" s="632"/>
      <c r="AK246" s="632"/>
      <c r="AL246" s="632"/>
      <c r="AM246" s="632"/>
      <c r="AN246" s="676"/>
      <c r="AO246" s="676"/>
      <c r="AP246" s="676"/>
      <c r="AQ246" s="676"/>
      <c r="AR246" s="676"/>
      <c r="AS246" s="676"/>
      <c r="AT246" s="676"/>
      <c r="AU246" s="676"/>
      <c r="AV246" s="676"/>
      <c r="AW246" s="676"/>
      <c r="AX246" s="676"/>
      <c r="AY246" s="676"/>
      <c r="AZ246" s="676"/>
      <c r="BA246" s="676"/>
      <c r="BB246" s="676"/>
      <c r="BC246" s="676"/>
      <c r="BD246" s="676"/>
      <c r="BE246" s="676"/>
      <c r="BF246" s="676"/>
      <c r="BG246" s="676"/>
      <c r="BH246" s="676"/>
      <c r="BI246" s="676"/>
      <c r="BJ246" s="676"/>
    </row>
    <row r="247" spans="2:62" s="495" customFormat="1" x14ac:dyDescent="0.2">
      <c r="B247" s="676"/>
      <c r="C247" s="676"/>
      <c r="D247" s="676"/>
      <c r="E247" s="676"/>
      <c r="F247" s="676"/>
      <c r="G247" s="676"/>
      <c r="H247" s="676"/>
      <c r="I247" s="676"/>
      <c r="J247" s="676"/>
      <c r="K247" s="676"/>
      <c r="L247" s="676"/>
      <c r="M247" s="676"/>
      <c r="N247" s="676"/>
      <c r="O247" s="676"/>
      <c r="P247" s="676"/>
      <c r="Q247" s="676"/>
      <c r="R247" s="676"/>
      <c r="S247" s="676"/>
      <c r="T247" s="676"/>
      <c r="U247" s="676"/>
      <c r="V247" s="632"/>
      <c r="W247" s="632"/>
      <c r="X247" s="632"/>
      <c r="AE247" s="632"/>
      <c r="AF247" s="632"/>
      <c r="AG247" s="632"/>
      <c r="AH247" s="632"/>
      <c r="AI247" s="632"/>
      <c r="AJ247" s="632"/>
      <c r="AK247" s="632"/>
      <c r="AL247" s="632"/>
      <c r="AM247" s="632"/>
      <c r="AN247" s="676"/>
      <c r="AO247" s="676"/>
      <c r="AP247" s="676"/>
      <c r="AQ247" s="676"/>
      <c r="AR247" s="676"/>
      <c r="AS247" s="676"/>
      <c r="AT247" s="676"/>
      <c r="AU247" s="676"/>
      <c r="AV247" s="676"/>
      <c r="AW247" s="676"/>
      <c r="AX247" s="676"/>
      <c r="AY247" s="676"/>
      <c r="AZ247" s="676"/>
      <c r="BA247" s="676"/>
      <c r="BB247" s="676"/>
      <c r="BC247" s="676"/>
      <c r="BD247" s="676"/>
      <c r="BE247" s="676"/>
      <c r="BF247" s="676"/>
      <c r="BG247" s="676"/>
      <c r="BH247" s="676"/>
      <c r="BI247" s="676"/>
      <c r="BJ247" s="676"/>
    </row>
    <row r="248" spans="2:62" s="495" customFormat="1" x14ac:dyDescent="0.2">
      <c r="B248" s="676"/>
      <c r="C248" s="676"/>
      <c r="D248" s="676"/>
      <c r="E248" s="676"/>
      <c r="F248" s="676"/>
      <c r="G248" s="676"/>
      <c r="H248" s="676"/>
      <c r="I248" s="676"/>
      <c r="J248" s="676"/>
      <c r="K248" s="676"/>
      <c r="L248" s="676"/>
      <c r="M248" s="676"/>
      <c r="N248" s="676"/>
      <c r="O248" s="676"/>
      <c r="P248" s="676"/>
      <c r="Q248" s="676"/>
      <c r="R248" s="676"/>
      <c r="S248" s="676"/>
      <c r="T248" s="676"/>
      <c r="U248" s="676"/>
      <c r="V248" s="632"/>
      <c r="W248" s="632"/>
      <c r="X248" s="632"/>
      <c r="AE248" s="632"/>
      <c r="AF248" s="632"/>
      <c r="AG248" s="632"/>
      <c r="AH248" s="632"/>
      <c r="AI248" s="632"/>
      <c r="AJ248" s="632"/>
      <c r="AK248" s="632"/>
      <c r="AL248" s="632"/>
      <c r="AM248" s="632"/>
      <c r="AN248" s="676"/>
      <c r="AO248" s="676"/>
      <c r="AP248" s="676"/>
      <c r="AQ248" s="676"/>
      <c r="AR248" s="676"/>
      <c r="AS248" s="676"/>
      <c r="AT248" s="676"/>
      <c r="AU248" s="676"/>
      <c r="AV248" s="676"/>
      <c r="AW248" s="676"/>
      <c r="AX248" s="676"/>
      <c r="AY248" s="676"/>
      <c r="AZ248" s="676"/>
      <c r="BA248" s="676"/>
      <c r="BB248" s="676"/>
      <c r="BC248" s="676"/>
      <c r="BD248" s="676"/>
      <c r="BE248" s="676"/>
      <c r="BF248" s="676"/>
      <c r="BG248" s="676"/>
      <c r="BH248" s="676"/>
      <c r="BI248" s="676"/>
      <c r="BJ248" s="676"/>
    </row>
    <row r="249" spans="2:62" s="495" customFormat="1" x14ac:dyDescent="0.2">
      <c r="B249" s="676"/>
      <c r="C249" s="676"/>
      <c r="D249" s="676"/>
      <c r="E249" s="676"/>
      <c r="F249" s="676"/>
      <c r="G249" s="676"/>
      <c r="H249" s="676"/>
      <c r="I249" s="676"/>
      <c r="J249" s="676"/>
      <c r="K249" s="676"/>
      <c r="L249" s="676"/>
      <c r="M249" s="676"/>
      <c r="N249" s="676"/>
      <c r="O249" s="676"/>
      <c r="P249" s="676"/>
      <c r="Q249" s="676"/>
      <c r="R249" s="676"/>
      <c r="S249" s="676"/>
      <c r="T249" s="676"/>
      <c r="U249" s="676"/>
      <c r="V249" s="632"/>
      <c r="W249" s="632"/>
      <c r="X249" s="632"/>
      <c r="AE249" s="632"/>
      <c r="AF249" s="632"/>
      <c r="AG249" s="632"/>
      <c r="AH249" s="632"/>
      <c r="AI249" s="632"/>
      <c r="AJ249" s="632"/>
      <c r="AK249" s="632"/>
      <c r="AL249" s="632"/>
      <c r="AM249" s="632"/>
      <c r="AN249" s="676"/>
      <c r="AO249" s="676"/>
      <c r="AP249" s="676"/>
      <c r="AQ249" s="676"/>
      <c r="AR249" s="676"/>
      <c r="AS249" s="676"/>
      <c r="AT249" s="676"/>
      <c r="AU249" s="676"/>
      <c r="AV249" s="676"/>
      <c r="AW249" s="676"/>
      <c r="AX249" s="676"/>
      <c r="AY249" s="676"/>
      <c r="AZ249" s="676"/>
      <c r="BA249" s="676"/>
      <c r="BB249" s="676"/>
      <c r="BC249" s="676"/>
      <c r="BD249" s="676"/>
      <c r="BE249" s="676"/>
      <c r="BF249" s="676"/>
      <c r="BG249" s="676"/>
      <c r="BH249" s="676"/>
      <c r="BI249" s="676"/>
      <c r="BJ249" s="676"/>
    </row>
    <row r="250" spans="2:62" s="495" customFormat="1" x14ac:dyDescent="0.2">
      <c r="B250" s="676"/>
      <c r="C250" s="676"/>
      <c r="D250" s="676"/>
      <c r="E250" s="676"/>
      <c r="F250" s="676"/>
      <c r="G250" s="676"/>
      <c r="H250" s="676"/>
      <c r="I250" s="676"/>
      <c r="J250" s="676"/>
      <c r="K250" s="676"/>
      <c r="L250" s="676"/>
      <c r="M250" s="676"/>
      <c r="N250" s="676"/>
      <c r="O250" s="676"/>
      <c r="P250" s="676"/>
      <c r="Q250" s="676"/>
      <c r="R250" s="676"/>
      <c r="S250" s="676"/>
      <c r="T250" s="676"/>
      <c r="U250" s="676"/>
      <c r="V250" s="632"/>
      <c r="W250" s="632"/>
      <c r="X250" s="632"/>
      <c r="AE250" s="632"/>
      <c r="AF250" s="632"/>
      <c r="AG250" s="632"/>
      <c r="AH250" s="632"/>
      <c r="AI250" s="632"/>
      <c r="AJ250" s="632"/>
      <c r="AK250" s="632"/>
      <c r="AL250" s="632"/>
      <c r="AM250" s="632"/>
      <c r="AN250" s="676"/>
      <c r="AO250" s="676"/>
      <c r="AP250" s="676"/>
      <c r="AQ250" s="676"/>
      <c r="AR250" s="676"/>
      <c r="AS250" s="676"/>
      <c r="AT250" s="676"/>
      <c r="AU250" s="676"/>
      <c r="AV250" s="676"/>
      <c r="AW250" s="676"/>
      <c r="AX250" s="676"/>
      <c r="AY250" s="676"/>
      <c r="AZ250" s="676"/>
      <c r="BA250" s="676"/>
      <c r="BB250" s="676"/>
      <c r="BC250" s="676"/>
      <c r="BD250" s="676"/>
      <c r="BE250" s="676"/>
      <c r="BF250" s="676"/>
      <c r="BG250" s="676"/>
      <c r="BH250" s="676"/>
      <c r="BI250" s="676"/>
      <c r="BJ250" s="676"/>
    </row>
    <row r="251" spans="2:62" s="495" customFormat="1" x14ac:dyDescent="0.2">
      <c r="B251" s="676"/>
      <c r="C251" s="676"/>
      <c r="D251" s="676"/>
      <c r="E251" s="676"/>
      <c r="F251" s="676"/>
      <c r="G251" s="676"/>
      <c r="H251" s="676"/>
      <c r="I251" s="676"/>
      <c r="J251" s="676"/>
      <c r="K251" s="676"/>
      <c r="L251" s="676"/>
      <c r="M251" s="676"/>
      <c r="N251" s="676"/>
      <c r="O251" s="676"/>
      <c r="P251" s="676"/>
      <c r="Q251" s="676"/>
      <c r="R251" s="676"/>
      <c r="S251" s="676"/>
      <c r="T251" s="676"/>
      <c r="U251" s="676"/>
      <c r="V251" s="632"/>
      <c r="W251" s="632"/>
      <c r="X251" s="632"/>
      <c r="AE251" s="632"/>
      <c r="AF251" s="632"/>
      <c r="AG251" s="632"/>
      <c r="AH251" s="632"/>
      <c r="AI251" s="632"/>
      <c r="AJ251" s="632"/>
      <c r="AK251" s="632"/>
      <c r="AL251" s="632"/>
      <c r="AM251" s="632"/>
      <c r="AN251" s="676"/>
      <c r="AO251" s="676"/>
      <c r="AP251" s="676"/>
      <c r="AQ251" s="676"/>
      <c r="AR251" s="676"/>
      <c r="AS251" s="676"/>
      <c r="AT251" s="676"/>
      <c r="AU251" s="676"/>
      <c r="AV251" s="676"/>
      <c r="AW251" s="676"/>
      <c r="AX251" s="676"/>
      <c r="AY251" s="676"/>
      <c r="AZ251" s="676"/>
      <c r="BA251" s="676"/>
      <c r="BB251" s="676"/>
      <c r="BC251" s="676"/>
      <c r="BD251" s="676"/>
      <c r="BE251" s="676"/>
      <c r="BF251" s="676"/>
      <c r="BG251" s="676"/>
      <c r="BH251" s="676"/>
      <c r="BI251" s="676"/>
      <c r="BJ251" s="676"/>
    </row>
    <row r="252" spans="2:62" s="495" customFormat="1" x14ac:dyDescent="0.2">
      <c r="B252" s="676"/>
      <c r="C252" s="676"/>
      <c r="D252" s="676"/>
      <c r="E252" s="676"/>
      <c r="F252" s="676"/>
      <c r="G252" s="676"/>
      <c r="H252" s="676"/>
      <c r="I252" s="676"/>
      <c r="J252" s="676"/>
      <c r="K252" s="676"/>
      <c r="L252" s="676"/>
      <c r="M252" s="676"/>
      <c r="N252" s="676"/>
      <c r="O252" s="676"/>
      <c r="P252" s="676"/>
      <c r="Q252" s="676"/>
      <c r="R252" s="676"/>
      <c r="S252" s="676"/>
      <c r="T252" s="676"/>
      <c r="U252" s="676"/>
      <c r="V252" s="632"/>
      <c r="W252" s="632"/>
      <c r="X252" s="632"/>
      <c r="AE252" s="632"/>
      <c r="AF252" s="632"/>
      <c r="AG252" s="632"/>
      <c r="AH252" s="632"/>
      <c r="AI252" s="632"/>
      <c r="AJ252" s="632"/>
      <c r="AK252" s="632"/>
      <c r="AL252" s="632"/>
      <c r="AM252" s="632"/>
      <c r="AN252" s="676"/>
      <c r="AO252" s="676"/>
      <c r="AP252" s="676"/>
      <c r="AQ252" s="676"/>
      <c r="AR252" s="676"/>
      <c r="AS252" s="676"/>
      <c r="AT252" s="676"/>
      <c r="AU252" s="676"/>
      <c r="AV252" s="676"/>
      <c r="AW252" s="676"/>
      <c r="AX252" s="676"/>
      <c r="AY252" s="676"/>
      <c r="AZ252" s="676"/>
      <c r="BA252" s="676"/>
      <c r="BB252" s="676"/>
      <c r="BC252" s="676"/>
      <c r="BD252" s="676"/>
      <c r="BE252" s="676"/>
      <c r="BF252" s="676"/>
      <c r="BG252" s="676"/>
      <c r="BH252" s="676"/>
      <c r="BI252" s="676"/>
      <c r="BJ252" s="676"/>
    </row>
    <row r="253" spans="2:62" s="495" customFormat="1" x14ac:dyDescent="0.2">
      <c r="B253" s="676"/>
      <c r="C253" s="676"/>
      <c r="D253" s="676"/>
      <c r="E253" s="676"/>
      <c r="F253" s="676"/>
      <c r="G253" s="676"/>
      <c r="H253" s="676"/>
      <c r="I253" s="676"/>
      <c r="J253" s="676"/>
      <c r="K253" s="676"/>
      <c r="L253" s="676"/>
      <c r="M253" s="676"/>
      <c r="N253" s="676"/>
      <c r="O253" s="676"/>
      <c r="P253" s="676"/>
      <c r="Q253" s="676"/>
      <c r="R253" s="676"/>
      <c r="S253" s="676"/>
      <c r="T253" s="676"/>
      <c r="U253" s="676"/>
      <c r="V253" s="632"/>
      <c r="W253" s="632"/>
      <c r="X253" s="632"/>
      <c r="AE253" s="632"/>
      <c r="AF253" s="632"/>
      <c r="AG253" s="632"/>
      <c r="AH253" s="632"/>
      <c r="AI253" s="632"/>
      <c r="AJ253" s="632"/>
      <c r="AK253" s="632"/>
      <c r="AL253" s="632"/>
      <c r="AM253" s="632"/>
      <c r="AN253" s="676"/>
      <c r="AO253" s="676"/>
      <c r="AP253" s="676"/>
      <c r="AQ253" s="676"/>
      <c r="AR253" s="676"/>
      <c r="AS253" s="676"/>
      <c r="AT253" s="676"/>
      <c r="AU253" s="676"/>
      <c r="AV253" s="676"/>
      <c r="AW253" s="676"/>
      <c r="AX253" s="676"/>
      <c r="AY253" s="676"/>
      <c r="AZ253" s="676"/>
      <c r="BA253" s="676"/>
      <c r="BB253" s="676"/>
      <c r="BC253" s="676"/>
      <c r="BD253" s="676"/>
      <c r="BE253" s="676"/>
      <c r="BF253" s="676"/>
      <c r="BG253" s="676"/>
      <c r="BH253" s="676"/>
      <c r="BI253" s="676"/>
      <c r="BJ253" s="676"/>
    </row>
    <row r="254" spans="2:62" s="495" customFormat="1" x14ac:dyDescent="0.2">
      <c r="B254" s="676"/>
      <c r="C254" s="676"/>
      <c r="D254" s="676"/>
      <c r="E254" s="676"/>
      <c r="F254" s="676"/>
      <c r="G254" s="676"/>
      <c r="H254" s="676"/>
      <c r="I254" s="676"/>
      <c r="J254" s="676"/>
      <c r="K254" s="676"/>
      <c r="L254" s="676"/>
      <c r="M254" s="676"/>
      <c r="N254" s="676"/>
      <c r="O254" s="676"/>
      <c r="P254" s="676"/>
      <c r="Q254" s="676"/>
      <c r="R254" s="676"/>
      <c r="S254" s="676"/>
      <c r="T254" s="676"/>
      <c r="U254" s="676"/>
      <c r="V254" s="632"/>
      <c r="W254" s="632"/>
      <c r="X254" s="632"/>
      <c r="AE254" s="632"/>
      <c r="AF254" s="632"/>
      <c r="AG254" s="632"/>
      <c r="AH254" s="632"/>
      <c r="AI254" s="632"/>
      <c r="AJ254" s="632"/>
      <c r="AK254" s="632"/>
      <c r="AL254" s="632"/>
      <c r="AM254" s="632"/>
      <c r="AN254" s="676"/>
      <c r="AO254" s="676"/>
      <c r="AP254" s="676"/>
      <c r="AQ254" s="676"/>
      <c r="AR254" s="676"/>
      <c r="AS254" s="676"/>
      <c r="AT254" s="676"/>
      <c r="AU254" s="676"/>
      <c r="AV254" s="676"/>
      <c r="AW254" s="676"/>
      <c r="AX254" s="676"/>
      <c r="AY254" s="676"/>
      <c r="AZ254" s="676"/>
      <c r="BA254" s="676"/>
      <c r="BB254" s="676"/>
      <c r="BC254" s="676"/>
      <c r="BD254" s="676"/>
      <c r="BE254" s="676"/>
      <c r="BF254" s="676"/>
      <c r="BG254" s="676"/>
      <c r="BH254" s="676"/>
      <c r="BI254" s="676"/>
      <c r="BJ254" s="676"/>
    </row>
    <row r="255" spans="2:62" s="495" customFormat="1" x14ac:dyDescent="0.2">
      <c r="B255" s="676"/>
      <c r="C255" s="676"/>
      <c r="D255" s="676"/>
      <c r="E255" s="676"/>
      <c r="F255" s="676"/>
      <c r="G255" s="676"/>
      <c r="H255" s="676"/>
      <c r="I255" s="676"/>
      <c r="J255" s="676"/>
      <c r="K255" s="676"/>
      <c r="L255" s="676"/>
      <c r="M255" s="676"/>
      <c r="N255" s="676"/>
      <c r="O255" s="676"/>
      <c r="P255" s="676"/>
      <c r="Q255" s="676"/>
      <c r="R255" s="676"/>
      <c r="S255" s="676"/>
      <c r="T255" s="676"/>
      <c r="U255" s="676"/>
      <c r="V255" s="632"/>
      <c r="W255" s="632"/>
      <c r="X255" s="632"/>
      <c r="AE255" s="632"/>
      <c r="AF255" s="632"/>
      <c r="AG255" s="632"/>
      <c r="AH255" s="632"/>
      <c r="AI255" s="632"/>
      <c r="AJ255" s="632"/>
      <c r="AK255" s="632"/>
      <c r="AL255" s="632"/>
      <c r="AM255" s="632"/>
      <c r="AN255" s="676"/>
      <c r="AO255" s="676"/>
      <c r="AP255" s="676"/>
      <c r="AQ255" s="676"/>
      <c r="AR255" s="676"/>
      <c r="AS255" s="676"/>
      <c r="AT255" s="676"/>
      <c r="AU255" s="676"/>
      <c r="AV255" s="676"/>
      <c r="AW255" s="676"/>
      <c r="AX255" s="676"/>
      <c r="AY255" s="676"/>
      <c r="AZ255" s="676"/>
      <c r="BA255" s="676"/>
      <c r="BB255" s="676"/>
      <c r="BC255" s="676"/>
      <c r="BD255" s="676"/>
      <c r="BE255" s="676"/>
      <c r="BF255" s="676"/>
      <c r="BG255" s="676"/>
      <c r="BH255" s="676"/>
      <c r="BI255" s="676"/>
      <c r="BJ255" s="676"/>
    </row>
    <row r="256" spans="2:62" s="495" customFormat="1" x14ac:dyDescent="0.2">
      <c r="B256" s="676"/>
      <c r="C256" s="676"/>
      <c r="D256" s="676"/>
      <c r="E256" s="676"/>
      <c r="F256" s="676"/>
      <c r="G256" s="676"/>
      <c r="H256" s="676"/>
      <c r="I256" s="676"/>
      <c r="J256" s="676"/>
      <c r="K256" s="676"/>
      <c r="L256" s="676"/>
      <c r="M256" s="676"/>
      <c r="N256" s="676"/>
      <c r="O256" s="676"/>
      <c r="P256" s="676"/>
      <c r="Q256" s="676"/>
      <c r="R256" s="676"/>
      <c r="S256" s="676"/>
      <c r="T256" s="676"/>
      <c r="U256" s="676"/>
      <c r="V256" s="632"/>
      <c r="W256" s="632"/>
      <c r="X256" s="632"/>
      <c r="AE256" s="632"/>
      <c r="AF256" s="632"/>
      <c r="AG256" s="632"/>
      <c r="AH256" s="632"/>
      <c r="AI256" s="632"/>
      <c r="AJ256" s="632"/>
      <c r="AK256" s="632"/>
      <c r="AL256" s="632"/>
      <c r="AM256" s="632"/>
      <c r="AN256" s="676"/>
      <c r="AO256" s="676"/>
      <c r="AP256" s="676"/>
      <c r="AQ256" s="676"/>
      <c r="AR256" s="676"/>
      <c r="AS256" s="676"/>
      <c r="AT256" s="676"/>
      <c r="AU256" s="676"/>
      <c r="AV256" s="676"/>
      <c r="AW256" s="676"/>
      <c r="AX256" s="676"/>
      <c r="AY256" s="676"/>
      <c r="AZ256" s="676"/>
      <c r="BA256" s="676"/>
      <c r="BB256" s="676"/>
      <c r="BC256" s="676"/>
      <c r="BD256" s="676"/>
      <c r="BE256" s="676"/>
      <c r="BF256" s="676"/>
      <c r="BG256" s="676"/>
      <c r="BH256" s="676"/>
      <c r="BI256" s="676"/>
      <c r="BJ256" s="676"/>
    </row>
    <row r="257" spans="2:62" s="495" customFormat="1" x14ac:dyDescent="0.2">
      <c r="B257" s="676"/>
      <c r="C257" s="676"/>
      <c r="D257" s="676"/>
      <c r="E257" s="676"/>
      <c r="F257" s="676"/>
      <c r="G257" s="676"/>
      <c r="H257" s="676"/>
      <c r="I257" s="676"/>
      <c r="J257" s="676"/>
      <c r="K257" s="676"/>
      <c r="L257" s="676"/>
      <c r="M257" s="676"/>
      <c r="N257" s="676"/>
      <c r="O257" s="676"/>
      <c r="P257" s="676"/>
      <c r="Q257" s="676"/>
      <c r="R257" s="676"/>
      <c r="S257" s="676"/>
      <c r="T257" s="676"/>
      <c r="U257" s="676"/>
      <c r="V257" s="632"/>
      <c r="W257" s="632"/>
      <c r="X257" s="632"/>
      <c r="AE257" s="632"/>
      <c r="AF257" s="632"/>
      <c r="AG257" s="632"/>
      <c r="AH257" s="632"/>
      <c r="AI257" s="632"/>
      <c r="AJ257" s="632"/>
      <c r="AK257" s="632"/>
      <c r="AL257" s="632"/>
      <c r="AM257" s="632"/>
      <c r="AN257" s="676"/>
      <c r="AO257" s="676"/>
      <c r="AP257" s="676"/>
      <c r="AQ257" s="676"/>
      <c r="AR257" s="676"/>
      <c r="AS257" s="676"/>
      <c r="AT257" s="676"/>
      <c r="AU257" s="676"/>
      <c r="AV257" s="676"/>
      <c r="AW257" s="676"/>
      <c r="AX257" s="676"/>
      <c r="AY257" s="676"/>
      <c r="AZ257" s="676"/>
      <c r="BA257" s="676"/>
      <c r="BB257" s="676"/>
      <c r="BC257" s="676"/>
      <c r="BD257" s="676"/>
      <c r="BE257" s="676"/>
      <c r="BF257" s="676"/>
      <c r="BG257" s="676"/>
      <c r="BH257" s="676"/>
      <c r="BI257" s="676"/>
      <c r="BJ257" s="676"/>
    </row>
    <row r="258" spans="2:62" s="495" customFormat="1" x14ac:dyDescent="0.2">
      <c r="B258" s="676"/>
      <c r="C258" s="676"/>
      <c r="D258" s="676"/>
      <c r="E258" s="676"/>
      <c r="F258" s="676"/>
      <c r="G258" s="676"/>
      <c r="H258" s="676"/>
      <c r="I258" s="676"/>
      <c r="J258" s="676"/>
      <c r="K258" s="676"/>
      <c r="L258" s="676"/>
      <c r="M258" s="676"/>
      <c r="N258" s="676"/>
      <c r="O258" s="676"/>
      <c r="P258" s="676"/>
      <c r="Q258" s="676"/>
      <c r="R258" s="676"/>
      <c r="S258" s="676"/>
      <c r="T258" s="676"/>
      <c r="U258" s="676"/>
      <c r="V258" s="632"/>
      <c r="W258" s="632"/>
      <c r="X258" s="632"/>
      <c r="AE258" s="632"/>
      <c r="AF258" s="632"/>
      <c r="AG258" s="632"/>
      <c r="AH258" s="632"/>
      <c r="AI258" s="632"/>
      <c r="AJ258" s="632"/>
      <c r="AK258" s="632"/>
      <c r="AL258" s="632"/>
      <c r="AM258" s="632"/>
      <c r="AN258" s="676"/>
      <c r="AO258" s="676"/>
      <c r="AP258" s="676"/>
      <c r="AQ258" s="676"/>
      <c r="AR258" s="676"/>
      <c r="AS258" s="676"/>
      <c r="AT258" s="676"/>
      <c r="AU258" s="676"/>
      <c r="AV258" s="676"/>
      <c r="AW258" s="676"/>
      <c r="AX258" s="676"/>
      <c r="AY258" s="676"/>
      <c r="AZ258" s="676"/>
      <c r="BA258" s="676"/>
      <c r="BB258" s="676"/>
      <c r="BC258" s="676"/>
      <c r="BD258" s="676"/>
      <c r="BE258" s="676"/>
      <c r="BF258" s="676"/>
      <c r="BG258" s="676"/>
      <c r="BH258" s="676"/>
      <c r="BI258" s="676"/>
      <c r="BJ258" s="676"/>
    </row>
    <row r="259" spans="2:62" s="495" customFormat="1" x14ac:dyDescent="0.2">
      <c r="B259" s="676"/>
      <c r="C259" s="676"/>
      <c r="D259" s="676"/>
      <c r="E259" s="676"/>
      <c r="F259" s="676"/>
      <c r="G259" s="676"/>
      <c r="H259" s="676"/>
      <c r="I259" s="676"/>
      <c r="J259" s="676"/>
      <c r="K259" s="676"/>
      <c r="L259" s="676"/>
      <c r="M259" s="676"/>
      <c r="N259" s="676"/>
      <c r="O259" s="676"/>
      <c r="P259" s="676"/>
      <c r="Q259" s="676"/>
      <c r="R259" s="676"/>
      <c r="S259" s="676"/>
      <c r="T259" s="676"/>
      <c r="U259" s="676"/>
      <c r="V259" s="632"/>
      <c r="W259" s="632"/>
      <c r="X259" s="632"/>
      <c r="AE259" s="632"/>
      <c r="AF259" s="632"/>
      <c r="AG259" s="632"/>
      <c r="AH259" s="632"/>
      <c r="AI259" s="632"/>
      <c r="AJ259" s="632"/>
      <c r="AK259" s="632"/>
      <c r="AL259" s="632"/>
      <c r="AM259" s="632"/>
      <c r="AN259" s="676"/>
      <c r="AO259" s="676"/>
      <c r="AP259" s="676"/>
      <c r="AQ259" s="676"/>
      <c r="AR259" s="676"/>
      <c r="AS259" s="676"/>
      <c r="AT259" s="676"/>
      <c r="AU259" s="676"/>
      <c r="AV259" s="676"/>
      <c r="AW259" s="676"/>
      <c r="AX259" s="676"/>
      <c r="AY259" s="676"/>
      <c r="AZ259" s="676"/>
      <c r="BA259" s="676"/>
      <c r="BB259" s="676"/>
      <c r="BC259" s="676"/>
      <c r="BD259" s="676"/>
      <c r="BE259" s="676"/>
      <c r="BF259" s="676"/>
      <c r="BG259" s="676"/>
      <c r="BH259" s="676"/>
      <c r="BI259" s="676"/>
      <c r="BJ259" s="676"/>
    </row>
    <row r="260" spans="2:62" s="495" customFormat="1" x14ac:dyDescent="0.2">
      <c r="B260" s="676"/>
      <c r="C260" s="676"/>
      <c r="D260" s="676"/>
      <c r="E260" s="676"/>
      <c r="F260" s="676"/>
      <c r="G260" s="676"/>
      <c r="H260" s="676"/>
      <c r="I260" s="676"/>
      <c r="J260" s="676"/>
      <c r="K260" s="676"/>
      <c r="L260" s="676"/>
      <c r="M260" s="676"/>
      <c r="N260" s="676"/>
      <c r="O260" s="676"/>
      <c r="P260" s="676"/>
      <c r="Q260" s="676"/>
      <c r="R260" s="676"/>
      <c r="S260" s="676"/>
      <c r="T260" s="676"/>
      <c r="U260" s="676"/>
      <c r="V260" s="632"/>
      <c r="W260" s="632"/>
      <c r="X260" s="632"/>
      <c r="AE260" s="632"/>
      <c r="AF260" s="632"/>
      <c r="AG260" s="632"/>
      <c r="AH260" s="632"/>
      <c r="AI260" s="632"/>
      <c r="AJ260" s="632"/>
      <c r="AK260" s="632"/>
      <c r="AL260" s="632"/>
      <c r="AM260" s="632"/>
      <c r="AN260" s="676"/>
      <c r="AO260" s="676"/>
      <c r="AP260" s="676"/>
      <c r="AQ260" s="676"/>
      <c r="AR260" s="676"/>
      <c r="AS260" s="676"/>
      <c r="AT260" s="676"/>
      <c r="AU260" s="676"/>
      <c r="AV260" s="676"/>
      <c r="AW260" s="676"/>
      <c r="AX260" s="676"/>
      <c r="AY260" s="676"/>
      <c r="AZ260" s="676"/>
      <c r="BA260" s="676"/>
      <c r="BB260" s="676"/>
      <c r="BC260" s="676"/>
      <c r="BD260" s="676"/>
      <c r="BE260" s="676"/>
      <c r="BF260" s="676"/>
      <c r="BG260" s="676"/>
      <c r="BH260" s="676"/>
      <c r="BI260" s="676"/>
      <c r="BJ260" s="676"/>
    </row>
    <row r="261" spans="2:62" s="495" customFormat="1" x14ac:dyDescent="0.2">
      <c r="B261" s="676"/>
      <c r="C261" s="676"/>
      <c r="D261" s="676"/>
      <c r="E261" s="676"/>
      <c r="F261" s="676"/>
      <c r="G261" s="676"/>
      <c r="H261" s="676"/>
      <c r="I261" s="676"/>
      <c r="J261" s="676"/>
      <c r="K261" s="676"/>
      <c r="L261" s="676"/>
      <c r="M261" s="676"/>
      <c r="N261" s="676"/>
      <c r="O261" s="676"/>
      <c r="P261" s="676"/>
      <c r="Q261" s="676"/>
      <c r="R261" s="676"/>
      <c r="S261" s="676"/>
      <c r="T261" s="676"/>
      <c r="U261" s="676"/>
      <c r="V261" s="632"/>
      <c r="W261" s="632"/>
      <c r="X261" s="632"/>
      <c r="AE261" s="632"/>
      <c r="AF261" s="632"/>
      <c r="AG261" s="632"/>
      <c r="AH261" s="632"/>
      <c r="AI261" s="632"/>
      <c r="AJ261" s="632"/>
      <c r="AK261" s="632"/>
      <c r="AL261" s="632"/>
      <c r="AM261" s="632"/>
      <c r="AN261" s="676"/>
      <c r="AO261" s="676"/>
      <c r="AP261" s="676"/>
      <c r="AQ261" s="676"/>
      <c r="AR261" s="676"/>
      <c r="AS261" s="676"/>
      <c r="AT261" s="676"/>
      <c r="AU261" s="676"/>
      <c r="AV261" s="676"/>
      <c r="AW261" s="676"/>
      <c r="AX261" s="676"/>
      <c r="AY261" s="676"/>
      <c r="AZ261" s="676"/>
      <c r="BA261" s="676"/>
      <c r="BB261" s="676"/>
      <c r="BC261" s="676"/>
      <c r="BD261" s="676"/>
      <c r="BE261" s="676"/>
      <c r="BF261" s="676"/>
      <c r="BG261" s="676"/>
      <c r="BH261" s="676"/>
      <c r="BI261" s="676"/>
      <c r="BJ261" s="676"/>
    </row>
    <row r="262" spans="2:62" s="495" customFormat="1" x14ac:dyDescent="0.2">
      <c r="B262" s="676"/>
      <c r="C262" s="676"/>
      <c r="D262" s="676"/>
      <c r="E262" s="676"/>
      <c r="F262" s="676"/>
      <c r="G262" s="676"/>
      <c r="H262" s="676"/>
      <c r="I262" s="676"/>
      <c r="J262" s="676"/>
      <c r="K262" s="676"/>
      <c r="L262" s="676"/>
      <c r="M262" s="676"/>
      <c r="N262" s="676"/>
      <c r="O262" s="676"/>
      <c r="P262" s="676"/>
      <c r="Q262" s="676"/>
      <c r="R262" s="676"/>
      <c r="S262" s="676"/>
      <c r="T262" s="676"/>
      <c r="U262" s="676"/>
      <c r="V262" s="632"/>
      <c r="W262" s="632"/>
      <c r="X262" s="632"/>
      <c r="AE262" s="632"/>
      <c r="AF262" s="632"/>
      <c r="AG262" s="632"/>
      <c r="AH262" s="632"/>
      <c r="AI262" s="632"/>
      <c r="AJ262" s="632"/>
      <c r="AK262" s="632"/>
      <c r="AL262" s="632"/>
      <c r="AM262" s="632"/>
      <c r="AN262" s="676"/>
      <c r="AO262" s="676"/>
      <c r="AP262" s="676"/>
      <c r="AQ262" s="676"/>
      <c r="AR262" s="676"/>
      <c r="AS262" s="676"/>
      <c r="AT262" s="676"/>
      <c r="AU262" s="676"/>
      <c r="AV262" s="676"/>
      <c r="AW262" s="676"/>
      <c r="AX262" s="676"/>
      <c r="AY262" s="676"/>
      <c r="AZ262" s="676"/>
      <c r="BA262" s="676"/>
      <c r="BB262" s="676"/>
      <c r="BC262" s="676"/>
      <c r="BD262" s="676"/>
      <c r="BE262" s="676"/>
      <c r="BF262" s="676"/>
      <c r="BG262" s="676"/>
      <c r="BH262" s="676"/>
      <c r="BI262" s="676"/>
      <c r="BJ262" s="676"/>
    </row>
    <row r="263" spans="2:62" s="495" customFormat="1" x14ac:dyDescent="0.2">
      <c r="B263" s="676"/>
      <c r="C263" s="676"/>
      <c r="D263" s="676"/>
      <c r="E263" s="676"/>
      <c r="F263" s="676"/>
      <c r="G263" s="676"/>
      <c r="H263" s="676"/>
      <c r="I263" s="676"/>
      <c r="J263" s="676"/>
      <c r="K263" s="676"/>
      <c r="L263" s="676"/>
      <c r="M263" s="676"/>
      <c r="N263" s="676"/>
      <c r="O263" s="676"/>
      <c r="P263" s="676"/>
      <c r="Q263" s="676"/>
      <c r="R263" s="676"/>
      <c r="S263" s="676"/>
      <c r="T263" s="676"/>
      <c r="U263" s="676"/>
      <c r="V263" s="632"/>
      <c r="W263" s="632"/>
      <c r="X263" s="632"/>
      <c r="AF263" s="676"/>
      <c r="AG263" s="676"/>
      <c r="AH263" s="676"/>
      <c r="AI263" s="676"/>
      <c r="AJ263" s="676"/>
      <c r="AK263" s="676"/>
      <c r="AL263" s="676"/>
      <c r="AM263" s="676"/>
      <c r="AN263" s="676"/>
      <c r="AO263" s="676"/>
      <c r="AP263" s="676"/>
      <c r="AQ263" s="676"/>
      <c r="AR263" s="676"/>
      <c r="AS263" s="676"/>
      <c r="AT263" s="676"/>
      <c r="AU263" s="676"/>
      <c r="AV263" s="676"/>
      <c r="AW263" s="676"/>
      <c r="AX263" s="676"/>
      <c r="AY263" s="676"/>
      <c r="AZ263" s="676"/>
      <c r="BA263" s="676"/>
      <c r="BB263" s="676"/>
    </row>
    <row r="264" spans="2:62" s="495" customFormat="1" x14ac:dyDescent="0.2">
      <c r="B264" s="676"/>
      <c r="C264" s="676"/>
      <c r="D264" s="676"/>
      <c r="E264" s="676"/>
      <c r="F264" s="676"/>
      <c r="G264" s="676"/>
      <c r="H264" s="676"/>
      <c r="I264" s="676"/>
      <c r="J264" s="676"/>
      <c r="K264" s="676"/>
      <c r="L264" s="676"/>
      <c r="M264" s="676"/>
      <c r="N264" s="676"/>
      <c r="O264" s="676"/>
      <c r="P264" s="676"/>
      <c r="Q264" s="676"/>
      <c r="R264" s="676"/>
      <c r="S264" s="676"/>
      <c r="T264" s="676"/>
      <c r="U264" s="676"/>
      <c r="V264" s="632"/>
      <c r="W264" s="632"/>
      <c r="X264" s="632"/>
      <c r="AF264" s="676"/>
      <c r="AG264" s="676"/>
      <c r="AH264" s="676"/>
      <c r="AI264" s="676"/>
      <c r="AJ264" s="676"/>
      <c r="AK264" s="676"/>
      <c r="AL264" s="676"/>
      <c r="AM264" s="676"/>
      <c r="AN264" s="676"/>
      <c r="AO264" s="676"/>
      <c r="AP264" s="676"/>
      <c r="AQ264" s="676"/>
      <c r="AR264" s="676"/>
      <c r="AS264" s="676"/>
      <c r="AT264" s="676"/>
      <c r="AU264" s="676"/>
      <c r="AV264" s="676"/>
      <c r="AW264" s="676"/>
      <c r="AX264" s="676"/>
      <c r="AY264" s="676"/>
      <c r="AZ264" s="676"/>
      <c r="BA264" s="676"/>
      <c r="BB264" s="676"/>
    </row>
    <row r="265" spans="2:62" s="495" customFormat="1" x14ac:dyDescent="0.2">
      <c r="B265" s="676"/>
      <c r="C265" s="676"/>
      <c r="D265" s="676"/>
      <c r="E265" s="676"/>
      <c r="F265" s="676"/>
      <c r="G265" s="676"/>
      <c r="H265" s="676"/>
      <c r="I265" s="676"/>
      <c r="J265" s="676"/>
      <c r="K265" s="676"/>
      <c r="L265" s="676"/>
      <c r="M265" s="676"/>
      <c r="N265" s="676"/>
      <c r="O265" s="676"/>
      <c r="P265" s="676"/>
      <c r="Q265" s="676"/>
      <c r="R265" s="676"/>
      <c r="S265" s="676"/>
      <c r="T265" s="676"/>
      <c r="U265" s="676"/>
      <c r="V265" s="632"/>
      <c r="W265" s="632"/>
      <c r="X265" s="632"/>
      <c r="AE265" s="906"/>
      <c r="AF265" s="676"/>
      <c r="AG265" s="676"/>
      <c r="AH265" s="676"/>
      <c r="AI265" s="676"/>
      <c r="AJ265" s="676"/>
      <c r="AK265" s="676"/>
      <c r="AL265" s="676"/>
      <c r="AM265" s="676"/>
      <c r="AN265" s="676"/>
      <c r="AO265" s="676"/>
      <c r="AP265" s="676"/>
      <c r="AQ265" s="676"/>
      <c r="AR265" s="676"/>
      <c r="AS265" s="676"/>
      <c r="AT265" s="676"/>
      <c r="AU265" s="676"/>
      <c r="AV265" s="676"/>
      <c r="AW265" s="676"/>
      <c r="AX265" s="676"/>
      <c r="AY265" s="676"/>
      <c r="AZ265" s="676"/>
      <c r="BA265" s="676"/>
      <c r="BB265" s="676"/>
    </row>
    <row r="266" spans="2:62" s="495" customFormat="1" x14ac:dyDescent="0.2">
      <c r="B266" s="676"/>
      <c r="C266" s="676"/>
      <c r="D266" s="676"/>
      <c r="E266" s="676"/>
      <c r="F266" s="676"/>
      <c r="G266" s="676"/>
      <c r="H266" s="676"/>
      <c r="I266" s="676"/>
      <c r="J266" s="676"/>
      <c r="K266" s="676"/>
      <c r="L266" s="676"/>
      <c r="M266" s="676"/>
      <c r="N266" s="676"/>
      <c r="O266" s="676"/>
      <c r="P266" s="676"/>
      <c r="Q266" s="676"/>
      <c r="R266" s="676"/>
      <c r="S266" s="676"/>
      <c r="T266" s="676"/>
      <c r="U266" s="676"/>
      <c r="V266" s="632"/>
      <c r="W266" s="632"/>
      <c r="X266" s="632"/>
      <c r="AF266" s="676"/>
      <c r="AG266" s="676"/>
      <c r="AH266" s="676"/>
      <c r="AI266" s="676"/>
      <c r="AJ266" s="676"/>
      <c r="AK266" s="676"/>
      <c r="AL266" s="676"/>
      <c r="AM266" s="676"/>
      <c r="AN266" s="676"/>
      <c r="AO266" s="676"/>
      <c r="AP266" s="676"/>
      <c r="AQ266" s="676"/>
      <c r="AR266" s="676"/>
      <c r="AS266" s="676"/>
      <c r="AT266" s="676"/>
      <c r="AU266" s="676"/>
      <c r="AV266" s="676"/>
      <c r="AW266" s="676"/>
      <c r="AX266" s="676"/>
      <c r="AY266" s="676"/>
      <c r="AZ266" s="676"/>
      <c r="BA266" s="676"/>
      <c r="BB266" s="676"/>
    </row>
    <row r="267" spans="2:62" s="495" customFormat="1" x14ac:dyDescent="0.2">
      <c r="B267" s="676"/>
      <c r="C267" s="676"/>
      <c r="D267" s="676"/>
      <c r="E267" s="676"/>
      <c r="F267" s="676"/>
      <c r="G267" s="676"/>
      <c r="H267" s="676"/>
      <c r="I267" s="676"/>
      <c r="J267" s="676"/>
      <c r="K267" s="676"/>
      <c r="L267" s="676"/>
      <c r="M267" s="676"/>
      <c r="N267" s="676"/>
      <c r="O267" s="676"/>
      <c r="P267" s="676"/>
      <c r="Q267" s="676"/>
      <c r="R267" s="676"/>
      <c r="S267" s="676"/>
      <c r="T267" s="676"/>
      <c r="U267" s="676"/>
      <c r="V267" s="632"/>
      <c r="W267" s="632"/>
      <c r="X267" s="632"/>
      <c r="AF267" s="676"/>
      <c r="AG267" s="676"/>
      <c r="AH267" s="676"/>
      <c r="AI267" s="676"/>
      <c r="AJ267" s="676"/>
      <c r="AK267" s="676"/>
      <c r="AL267" s="676"/>
      <c r="AM267" s="676"/>
      <c r="AN267" s="676"/>
      <c r="AO267" s="676"/>
      <c r="AP267" s="676"/>
      <c r="AQ267" s="676"/>
      <c r="AR267" s="676"/>
      <c r="AS267" s="676"/>
      <c r="AT267" s="676"/>
      <c r="AU267" s="676"/>
      <c r="AV267" s="676"/>
      <c r="AW267" s="676"/>
      <c r="AX267" s="676"/>
      <c r="AY267" s="676"/>
      <c r="AZ267" s="676"/>
      <c r="BA267" s="676"/>
      <c r="BB267" s="676"/>
    </row>
    <row r="268" spans="2:62" s="495" customFormat="1" x14ac:dyDescent="0.2">
      <c r="B268" s="676"/>
      <c r="C268" s="676"/>
      <c r="D268" s="676"/>
      <c r="E268" s="676"/>
      <c r="F268" s="676"/>
      <c r="G268" s="676"/>
      <c r="H268" s="676"/>
      <c r="I268" s="676"/>
      <c r="J268" s="676"/>
      <c r="K268" s="676"/>
      <c r="L268" s="676"/>
      <c r="M268" s="676"/>
      <c r="N268" s="676"/>
      <c r="O268" s="676"/>
      <c r="P268" s="676"/>
      <c r="Q268" s="676"/>
      <c r="R268" s="676"/>
      <c r="S268" s="676"/>
      <c r="T268" s="676"/>
      <c r="U268" s="676"/>
      <c r="V268" s="632"/>
      <c r="W268" s="632"/>
      <c r="X268" s="632"/>
      <c r="AF268" s="676"/>
      <c r="AG268" s="676"/>
      <c r="AH268" s="676"/>
      <c r="AI268" s="676"/>
      <c r="AJ268" s="676"/>
      <c r="AK268" s="676"/>
      <c r="AL268" s="676"/>
      <c r="AM268" s="676"/>
      <c r="AN268" s="676"/>
      <c r="AO268" s="676"/>
      <c r="AP268" s="676"/>
      <c r="AQ268" s="676"/>
      <c r="AR268" s="676"/>
      <c r="AS268" s="676"/>
      <c r="AT268" s="676"/>
      <c r="AU268" s="676"/>
      <c r="AV268" s="676"/>
      <c r="AW268" s="676"/>
      <c r="AX268" s="676"/>
      <c r="AY268" s="676"/>
      <c r="AZ268" s="676"/>
      <c r="BA268" s="676"/>
      <c r="BB268" s="676"/>
    </row>
    <row r="269" spans="2:62" s="495" customFormat="1" x14ac:dyDescent="0.2">
      <c r="B269" s="676"/>
      <c r="C269" s="676"/>
      <c r="D269" s="676"/>
      <c r="E269" s="676"/>
      <c r="F269" s="676"/>
      <c r="G269" s="676"/>
      <c r="H269" s="676"/>
      <c r="I269" s="676"/>
      <c r="J269" s="676"/>
      <c r="K269" s="676"/>
      <c r="L269" s="676"/>
      <c r="M269" s="676"/>
      <c r="N269" s="676"/>
      <c r="O269" s="676"/>
      <c r="P269" s="676"/>
      <c r="Q269" s="676"/>
      <c r="R269" s="676"/>
      <c r="S269" s="676"/>
      <c r="T269" s="676"/>
      <c r="U269" s="676"/>
      <c r="V269" s="632"/>
      <c r="W269" s="632"/>
      <c r="X269" s="632"/>
      <c r="AF269" s="676"/>
      <c r="AG269" s="676"/>
      <c r="AH269" s="676"/>
      <c r="AI269" s="676"/>
      <c r="AJ269" s="676"/>
      <c r="AK269" s="676"/>
      <c r="AL269" s="676"/>
      <c r="AM269" s="676"/>
      <c r="AN269" s="676"/>
      <c r="AO269" s="676"/>
      <c r="AP269" s="676"/>
      <c r="AQ269" s="676"/>
      <c r="AR269" s="676"/>
      <c r="AS269" s="676"/>
      <c r="AT269" s="676"/>
      <c r="AU269" s="676"/>
      <c r="AV269" s="676"/>
      <c r="AW269" s="676"/>
      <c r="AX269" s="676"/>
      <c r="AY269" s="676"/>
      <c r="AZ269" s="676"/>
      <c r="BA269" s="676"/>
      <c r="BB269" s="676"/>
    </row>
    <row r="270" spans="2:62" s="495" customFormat="1" x14ac:dyDescent="0.2">
      <c r="B270" s="676"/>
      <c r="C270" s="676"/>
      <c r="D270" s="676"/>
      <c r="E270" s="676"/>
      <c r="F270" s="676"/>
      <c r="G270" s="676"/>
      <c r="H270" s="676"/>
      <c r="I270" s="676"/>
      <c r="J270" s="676"/>
      <c r="K270" s="676"/>
      <c r="L270" s="676"/>
      <c r="M270" s="676"/>
      <c r="N270" s="676"/>
      <c r="O270" s="676"/>
      <c r="P270" s="676"/>
      <c r="Q270" s="676"/>
      <c r="R270" s="676"/>
      <c r="S270" s="676"/>
      <c r="T270" s="676"/>
      <c r="U270" s="676"/>
      <c r="V270" s="632"/>
      <c r="W270" s="632"/>
      <c r="X270" s="632"/>
      <c r="AF270" s="676"/>
      <c r="AG270" s="676"/>
      <c r="AH270" s="676"/>
      <c r="AI270" s="676"/>
      <c r="AJ270" s="676"/>
      <c r="AK270" s="676"/>
      <c r="AL270" s="676"/>
      <c r="AM270" s="676"/>
      <c r="AN270" s="676"/>
      <c r="AO270" s="676"/>
      <c r="AP270" s="676"/>
      <c r="AQ270" s="676"/>
      <c r="AR270" s="676"/>
      <c r="AS270" s="676"/>
      <c r="AT270" s="676"/>
      <c r="AU270" s="676"/>
      <c r="AV270" s="676"/>
      <c r="AW270" s="676"/>
      <c r="AX270" s="676"/>
      <c r="AY270" s="676"/>
      <c r="AZ270" s="676"/>
      <c r="BA270" s="676"/>
      <c r="BB270" s="676"/>
    </row>
    <row r="271" spans="2:62" s="495" customFormat="1" x14ac:dyDescent="0.2">
      <c r="B271" s="676"/>
      <c r="C271" s="676"/>
      <c r="D271" s="676"/>
      <c r="E271" s="676"/>
      <c r="F271" s="676"/>
      <c r="G271" s="676"/>
      <c r="H271" s="676"/>
      <c r="I271" s="676"/>
      <c r="J271" s="676"/>
      <c r="K271" s="676"/>
      <c r="L271" s="676"/>
      <c r="M271" s="676"/>
      <c r="N271" s="676"/>
      <c r="O271" s="676"/>
      <c r="P271" s="676"/>
      <c r="Q271" s="676"/>
      <c r="R271" s="676"/>
      <c r="S271" s="676"/>
      <c r="T271" s="676"/>
      <c r="U271" s="676"/>
      <c r="V271" s="632"/>
      <c r="W271" s="632"/>
      <c r="X271" s="632"/>
      <c r="AF271" s="676"/>
      <c r="AG271" s="676"/>
      <c r="AH271" s="676"/>
      <c r="AI271" s="676"/>
      <c r="AJ271" s="676"/>
      <c r="AK271" s="676"/>
      <c r="AL271" s="676"/>
      <c r="AM271" s="676"/>
      <c r="AN271" s="676"/>
      <c r="AO271" s="676"/>
      <c r="AP271" s="676"/>
      <c r="AQ271" s="676"/>
      <c r="AR271" s="676"/>
      <c r="AS271" s="676"/>
      <c r="AT271" s="676"/>
      <c r="AU271" s="676"/>
      <c r="AV271" s="676"/>
      <c r="AW271" s="676"/>
      <c r="AX271" s="676"/>
      <c r="AY271" s="676"/>
      <c r="AZ271" s="676"/>
      <c r="BA271" s="676"/>
      <c r="BB271" s="676"/>
    </row>
    <row r="272" spans="2:62" s="495" customFormat="1" x14ac:dyDescent="0.2">
      <c r="B272" s="676"/>
      <c r="C272" s="676"/>
      <c r="D272" s="676"/>
      <c r="E272" s="676"/>
      <c r="F272" s="676"/>
      <c r="G272" s="676"/>
      <c r="H272" s="676"/>
      <c r="I272" s="676"/>
      <c r="J272" s="676"/>
      <c r="K272" s="676"/>
      <c r="L272" s="676"/>
      <c r="M272" s="676"/>
      <c r="N272" s="676"/>
      <c r="O272" s="676"/>
      <c r="P272" s="676"/>
      <c r="Q272" s="676"/>
      <c r="R272" s="676"/>
      <c r="S272" s="676"/>
      <c r="T272" s="676"/>
      <c r="U272" s="676"/>
      <c r="V272" s="632"/>
      <c r="W272" s="632"/>
      <c r="X272" s="632"/>
      <c r="AF272" s="676"/>
      <c r="AG272" s="676"/>
      <c r="AH272" s="676"/>
      <c r="AI272" s="676"/>
      <c r="AJ272" s="676"/>
      <c r="AK272" s="676"/>
      <c r="AL272" s="676"/>
      <c r="AM272" s="676"/>
      <c r="AN272" s="676"/>
      <c r="AO272" s="676"/>
      <c r="AP272" s="676"/>
      <c r="AQ272" s="676"/>
      <c r="AR272" s="676"/>
      <c r="AS272" s="676"/>
      <c r="AT272" s="676"/>
      <c r="AU272" s="676"/>
      <c r="AV272" s="676"/>
      <c r="AW272" s="676"/>
      <c r="AX272" s="676"/>
      <c r="AY272" s="676"/>
      <c r="AZ272" s="676"/>
      <c r="BA272" s="676"/>
      <c r="BB272" s="676"/>
    </row>
    <row r="273" spans="2:54" s="495" customFormat="1" x14ac:dyDescent="0.2">
      <c r="B273" s="676"/>
      <c r="C273" s="676"/>
      <c r="D273" s="676"/>
      <c r="E273" s="676"/>
      <c r="F273" s="676"/>
      <c r="G273" s="676"/>
      <c r="H273" s="676"/>
      <c r="I273" s="676"/>
      <c r="J273" s="676"/>
      <c r="K273" s="676"/>
      <c r="L273" s="676"/>
      <c r="M273" s="676"/>
      <c r="N273" s="676"/>
      <c r="O273" s="676"/>
      <c r="P273" s="676"/>
      <c r="Q273" s="676"/>
      <c r="R273" s="676"/>
      <c r="S273" s="676"/>
      <c r="T273" s="676"/>
      <c r="U273" s="676"/>
      <c r="V273" s="632"/>
      <c r="W273" s="632"/>
      <c r="X273" s="632"/>
      <c r="AF273" s="676"/>
      <c r="AG273" s="676"/>
      <c r="AH273" s="676"/>
      <c r="AI273" s="676"/>
      <c r="AJ273" s="676"/>
      <c r="AK273" s="676"/>
      <c r="AL273" s="676"/>
      <c r="AM273" s="676"/>
      <c r="AN273" s="676"/>
      <c r="AO273" s="676"/>
      <c r="AP273" s="676"/>
      <c r="AQ273" s="676"/>
      <c r="AR273" s="676"/>
      <c r="AS273" s="676"/>
      <c r="AT273" s="676"/>
      <c r="AU273" s="676"/>
      <c r="AV273" s="676"/>
      <c r="AW273" s="676"/>
      <c r="AX273" s="676"/>
      <c r="AY273" s="676"/>
      <c r="AZ273" s="676"/>
      <c r="BA273" s="676"/>
      <c r="BB273" s="676"/>
    </row>
    <row r="274" spans="2:54" s="495" customFormat="1" x14ac:dyDescent="0.2">
      <c r="B274" s="676"/>
      <c r="C274" s="676"/>
      <c r="D274" s="676"/>
      <c r="E274" s="676"/>
      <c r="F274" s="676"/>
      <c r="G274" s="676"/>
      <c r="H274" s="676"/>
      <c r="I274" s="676"/>
      <c r="J274" s="676"/>
      <c r="K274" s="676"/>
      <c r="L274" s="676"/>
      <c r="M274" s="676"/>
      <c r="N274" s="676"/>
      <c r="O274" s="676"/>
      <c r="P274" s="676"/>
      <c r="Q274" s="676"/>
      <c r="R274" s="676"/>
      <c r="S274" s="676"/>
      <c r="T274" s="676"/>
      <c r="U274" s="676"/>
      <c r="V274" s="632"/>
      <c r="W274" s="632"/>
      <c r="X274" s="632"/>
      <c r="AF274" s="676"/>
      <c r="AG274" s="676"/>
      <c r="AH274" s="676"/>
      <c r="AI274" s="676"/>
      <c r="AJ274" s="676"/>
      <c r="AK274" s="676"/>
      <c r="AL274" s="676"/>
      <c r="AM274" s="676"/>
      <c r="AN274" s="676"/>
      <c r="AO274" s="676"/>
      <c r="AP274" s="676"/>
      <c r="AQ274" s="676"/>
      <c r="AR274" s="676"/>
      <c r="AS274" s="676"/>
      <c r="AT274" s="676"/>
      <c r="AU274" s="676"/>
      <c r="AV274" s="676"/>
      <c r="AW274" s="676"/>
      <c r="AX274" s="676"/>
      <c r="AY274" s="676"/>
      <c r="AZ274" s="676"/>
      <c r="BA274" s="676"/>
      <c r="BB274" s="676"/>
    </row>
    <row r="275" spans="2:54" s="495" customFormat="1" x14ac:dyDescent="0.2">
      <c r="B275" s="676"/>
      <c r="C275" s="676"/>
      <c r="D275" s="676"/>
      <c r="E275" s="676"/>
      <c r="F275" s="676"/>
      <c r="G275" s="676"/>
      <c r="H275" s="676"/>
      <c r="I275" s="676"/>
      <c r="J275" s="676"/>
      <c r="K275" s="676"/>
      <c r="L275" s="676"/>
      <c r="M275" s="676"/>
      <c r="N275" s="676"/>
      <c r="O275" s="676"/>
      <c r="P275" s="676"/>
      <c r="Q275" s="676"/>
      <c r="R275" s="676"/>
      <c r="S275" s="676"/>
      <c r="T275" s="676"/>
      <c r="U275" s="676"/>
      <c r="V275" s="632"/>
      <c r="W275" s="632"/>
      <c r="X275" s="632"/>
      <c r="AE275" s="906"/>
      <c r="AF275" s="676"/>
      <c r="AG275" s="676"/>
      <c r="AH275" s="676"/>
      <c r="AI275" s="676"/>
      <c r="AJ275" s="676"/>
      <c r="AK275" s="676"/>
      <c r="AL275" s="676"/>
      <c r="AM275" s="676"/>
      <c r="AN275" s="676"/>
      <c r="AO275" s="676"/>
      <c r="AP275" s="676"/>
      <c r="AQ275" s="676"/>
      <c r="AR275" s="676"/>
      <c r="AS275" s="676"/>
      <c r="AT275" s="676"/>
      <c r="AU275" s="676"/>
      <c r="AV275" s="676"/>
      <c r="AW275" s="676"/>
      <c r="AX275" s="676"/>
      <c r="AY275" s="676"/>
      <c r="AZ275" s="676"/>
      <c r="BA275" s="676"/>
      <c r="BB275" s="676"/>
    </row>
    <row r="276" spans="2:54" s="495" customFormat="1" x14ac:dyDescent="0.2">
      <c r="B276" s="676"/>
      <c r="C276" s="676"/>
      <c r="D276" s="676"/>
      <c r="E276" s="676"/>
      <c r="F276" s="676"/>
      <c r="G276" s="676"/>
      <c r="H276" s="676"/>
      <c r="I276" s="676"/>
      <c r="J276" s="676"/>
      <c r="K276" s="676"/>
      <c r="L276" s="676"/>
      <c r="M276" s="676"/>
      <c r="N276" s="676"/>
      <c r="O276" s="676"/>
      <c r="P276" s="676"/>
      <c r="Q276" s="676"/>
      <c r="R276" s="676"/>
      <c r="S276" s="676"/>
      <c r="T276" s="676"/>
      <c r="U276" s="676"/>
      <c r="V276" s="632"/>
      <c r="W276" s="632"/>
      <c r="X276" s="632"/>
      <c r="AF276" s="676"/>
      <c r="AG276" s="676"/>
      <c r="AH276" s="676"/>
      <c r="AI276" s="676"/>
      <c r="AJ276" s="676"/>
      <c r="AK276" s="676"/>
      <c r="AL276" s="676"/>
      <c r="AM276" s="676"/>
      <c r="AN276" s="676"/>
      <c r="AO276" s="676"/>
      <c r="AP276" s="676"/>
      <c r="AQ276" s="676"/>
      <c r="AR276" s="676"/>
      <c r="AS276" s="676"/>
      <c r="AT276" s="676"/>
      <c r="AU276" s="676"/>
      <c r="AV276" s="676"/>
      <c r="AW276" s="676"/>
      <c r="AX276" s="676"/>
      <c r="AY276" s="676"/>
      <c r="AZ276" s="676"/>
      <c r="BA276" s="676"/>
      <c r="BB276" s="676"/>
    </row>
    <row r="277" spans="2:54" s="495" customFormat="1" x14ac:dyDescent="0.2">
      <c r="B277" s="676"/>
      <c r="C277" s="676"/>
      <c r="D277" s="676"/>
      <c r="E277" s="676"/>
      <c r="F277" s="676"/>
      <c r="G277" s="676"/>
      <c r="H277" s="676"/>
      <c r="I277" s="676"/>
      <c r="J277" s="676"/>
      <c r="K277" s="676"/>
      <c r="L277" s="676"/>
      <c r="M277" s="676"/>
      <c r="N277" s="676"/>
      <c r="O277" s="676"/>
      <c r="P277" s="676"/>
      <c r="Q277" s="676"/>
      <c r="R277" s="676"/>
      <c r="S277" s="676"/>
      <c r="T277" s="676"/>
      <c r="U277" s="676"/>
      <c r="V277" s="632"/>
      <c r="W277" s="632"/>
      <c r="X277" s="632"/>
      <c r="AF277" s="676"/>
      <c r="AG277" s="676"/>
      <c r="AH277" s="676"/>
      <c r="AI277" s="676"/>
      <c r="AJ277" s="676"/>
      <c r="AK277" s="676"/>
      <c r="AL277" s="676"/>
      <c r="AM277" s="676"/>
      <c r="AN277" s="676"/>
      <c r="AO277" s="676"/>
      <c r="AP277" s="676"/>
      <c r="AQ277" s="676"/>
      <c r="AR277" s="676"/>
      <c r="AS277" s="676"/>
      <c r="AT277" s="676"/>
      <c r="AU277" s="676"/>
      <c r="AV277" s="676"/>
      <c r="AW277" s="676"/>
      <c r="AX277" s="676"/>
      <c r="AY277" s="676"/>
      <c r="AZ277" s="676"/>
      <c r="BA277" s="676"/>
      <c r="BB277" s="676"/>
    </row>
    <row r="278" spans="2:54" s="495" customFormat="1" x14ac:dyDescent="0.2">
      <c r="C278" s="712"/>
      <c r="D278" s="712"/>
      <c r="G278" s="632"/>
      <c r="H278" s="632"/>
      <c r="I278" s="632"/>
      <c r="J278" s="632"/>
      <c r="K278" s="632"/>
      <c r="L278" s="632"/>
      <c r="M278" s="632"/>
      <c r="V278" s="632"/>
      <c r="W278" s="632"/>
      <c r="X278" s="632"/>
      <c r="AF278" s="676"/>
      <c r="AG278" s="676"/>
      <c r="AH278" s="676"/>
      <c r="AI278" s="676"/>
      <c r="AJ278" s="676"/>
      <c r="AK278" s="676"/>
      <c r="AL278" s="676"/>
      <c r="AM278" s="676"/>
      <c r="AN278" s="676"/>
      <c r="AO278" s="676"/>
      <c r="AP278" s="676"/>
      <c r="AQ278" s="676"/>
      <c r="AR278" s="676"/>
      <c r="AS278" s="676"/>
      <c r="AT278" s="676"/>
      <c r="AU278" s="676"/>
      <c r="AV278" s="676"/>
      <c r="AW278" s="676"/>
      <c r="AX278" s="676"/>
      <c r="AY278" s="676"/>
      <c r="AZ278" s="676"/>
      <c r="BA278" s="676"/>
      <c r="BB278" s="676"/>
    </row>
    <row r="279" spans="2:54" s="495" customFormat="1" x14ac:dyDescent="0.2">
      <c r="C279" s="712"/>
      <c r="D279" s="712"/>
      <c r="G279" s="632"/>
      <c r="H279" s="632"/>
      <c r="I279" s="632"/>
      <c r="J279" s="632"/>
      <c r="K279" s="632"/>
      <c r="L279" s="632"/>
      <c r="M279" s="632"/>
      <c r="V279" s="632"/>
      <c r="W279" s="632"/>
      <c r="X279" s="632"/>
      <c r="AF279" s="676"/>
      <c r="AG279" s="676"/>
      <c r="AH279" s="676"/>
      <c r="AI279" s="676"/>
      <c r="AJ279" s="676"/>
      <c r="AK279" s="676"/>
      <c r="AL279" s="676"/>
      <c r="AM279" s="676"/>
      <c r="AN279" s="676"/>
      <c r="AO279" s="676"/>
      <c r="AP279" s="676"/>
      <c r="AQ279" s="676"/>
      <c r="AR279" s="676"/>
      <c r="AS279" s="676"/>
      <c r="AT279" s="676"/>
      <c r="AU279" s="676"/>
      <c r="AV279" s="676"/>
      <c r="AW279" s="676"/>
      <c r="AX279" s="676"/>
      <c r="AY279" s="676"/>
      <c r="AZ279" s="676"/>
      <c r="BA279" s="676"/>
      <c r="BB279" s="676"/>
    </row>
    <row r="280" spans="2:54" s="495" customFormat="1" x14ac:dyDescent="0.2">
      <c r="C280" s="712"/>
      <c r="D280" s="712"/>
      <c r="G280" s="632"/>
      <c r="H280" s="632"/>
      <c r="I280" s="632"/>
      <c r="J280" s="632"/>
      <c r="K280" s="632"/>
      <c r="L280" s="632"/>
      <c r="M280" s="632"/>
      <c r="V280" s="632"/>
      <c r="W280" s="632"/>
      <c r="X280" s="632"/>
      <c r="AE280" s="906"/>
      <c r="AF280" s="676"/>
      <c r="AG280" s="676"/>
      <c r="AH280" s="676"/>
      <c r="AI280" s="676"/>
      <c r="AJ280" s="676"/>
      <c r="AK280" s="676"/>
      <c r="AL280" s="676"/>
      <c r="AM280" s="676"/>
      <c r="AN280" s="676"/>
      <c r="AO280" s="676"/>
      <c r="AP280" s="676"/>
      <c r="AQ280" s="676"/>
      <c r="AR280" s="676"/>
      <c r="AS280" s="676"/>
      <c r="AT280" s="676"/>
      <c r="AU280" s="676"/>
      <c r="AV280" s="676"/>
      <c r="AW280" s="676"/>
      <c r="AX280" s="676"/>
      <c r="AY280" s="676"/>
      <c r="AZ280" s="676"/>
      <c r="BA280" s="676"/>
      <c r="BB280" s="676"/>
    </row>
    <row r="281" spans="2:54" s="495" customFormat="1" x14ac:dyDescent="0.2">
      <c r="C281" s="712"/>
      <c r="D281" s="712"/>
      <c r="G281" s="632"/>
      <c r="H281" s="632"/>
      <c r="I281" s="632"/>
      <c r="J281" s="632"/>
      <c r="K281" s="632"/>
      <c r="L281" s="632"/>
      <c r="M281" s="632"/>
      <c r="V281" s="632"/>
      <c r="W281" s="632"/>
      <c r="X281" s="632"/>
      <c r="AF281" s="676"/>
      <c r="AG281" s="676"/>
      <c r="AH281" s="676"/>
      <c r="AI281" s="676"/>
      <c r="AJ281" s="676"/>
      <c r="AK281" s="676"/>
      <c r="AL281" s="676"/>
      <c r="AM281" s="676"/>
      <c r="AN281" s="676"/>
      <c r="AO281" s="676"/>
      <c r="AP281" s="676"/>
      <c r="AQ281" s="676"/>
      <c r="AR281" s="676"/>
      <c r="AS281" s="676"/>
      <c r="AT281" s="676"/>
      <c r="AU281" s="676"/>
      <c r="AV281" s="676"/>
      <c r="AW281" s="676"/>
      <c r="AX281" s="676"/>
      <c r="AY281" s="676"/>
      <c r="AZ281" s="676"/>
      <c r="BA281" s="676"/>
      <c r="BB281" s="676"/>
    </row>
    <row r="282" spans="2:54" s="495" customFormat="1" x14ac:dyDescent="0.2">
      <c r="C282" s="712"/>
      <c r="D282" s="712"/>
      <c r="G282" s="632"/>
      <c r="H282" s="632"/>
      <c r="I282" s="632"/>
      <c r="J282" s="632"/>
      <c r="K282" s="632"/>
      <c r="L282" s="632"/>
      <c r="M282" s="632"/>
      <c r="V282" s="632"/>
      <c r="W282" s="632"/>
      <c r="X282" s="632"/>
      <c r="AF282" s="676"/>
      <c r="AG282" s="676"/>
      <c r="AH282" s="676"/>
      <c r="AI282" s="676"/>
      <c r="AJ282" s="676"/>
      <c r="AK282" s="676"/>
      <c r="AL282" s="676"/>
      <c r="AM282" s="676"/>
      <c r="AN282" s="676"/>
      <c r="AO282" s="676"/>
      <c r="AP282" s="676"/>
      <c r="AQ282" s="676"/>
      <c r="AR282" s="676"/>
      <c r="AS282" s="676"/>
      <c r="AT282" s="676"/>
      <c r="AU282" s="676"/>
      <c r="AV282" s="676"/>
      <c r="AW282" s="676"/>
      <c r="AX282" s="676"/>
      <c r="AY282" s="676"/>
      <c r="AZ282" s="676"/>
      <c r="BA282" s="676"/>
      <c r="BB282" s="676"/>
    </row>
    <row r="283" spans="2:54" s="495" customFormat="1" x14ac:dyDescent="0.2">
      <c r="C283" s="712"/>
      <c r="D283" s="712"/>
      <c r="G283" s="632"/>
      <c r="H283" s="632"/>
      <c r="I283" s="632"/>
      <c r="J283" s="632"/>
      <c r="K283" s="632"/>
      <c r="L283" s="632"/>
      <c r="M283" s="632"/>
      <c r="V283" s="632"/>
      <c r="W283" s="632"/>
      <c r="X283" s="632"/>
      <c r="AF283" s="676"/>
      <c r="AG283" s="676"/>
      <c r="AH283" s="676"/>
      <c r="AI283" s="676"/>
      <c r="AJ283" s="676"/>
      <c r="AK283" s="676"/>
      <c r="AL283" s="676"/>
      <c r="AM283" s="676"/>
      <c r="AN283" s="676"/>
      <c r="AO283" s="676"/>
      <c r="AP283" s="676"/>
      <c r="AQ283" s="676"/>
      <c r="AR283" s="676"/>
      <c r="AS283" s="676"/>
      <c r="AT283" s="676"/>
      <c r="AU283" s="676"/>
      <c r="AV283" s="676"/>
      <c r="AW283" s="676"/>
      <c r="AX283" s="676"/>
      <c r="AY283" s="676"/>
      <c r="AZ283" s="676"/>
      <c r="BA283" s="676"/>
      <c r="BB283" s="676"/>
    </row>
    <row r="284" spans="2:54" s="495" customFormat="1" x14ac:dyDescent="0.2">
      <c r="C284" s="712"/>
      <c r="D284" s="712"/>
      <c r="G284" s="632"/>
      <c r="H284" s="632"/>
      <c r="I284" s="632"/>
      <c r="J284" s="632"/>
      <c r="K284" s="632"/>
      <c r="L284" s="632"/>
      <c r="M284" s="632"/>
      <c r="V284" s="632"/>
      <c r="W284" s="632"/>
      <c r="X284" s="632"/>
      <c r="AF284" s="676"/>
      <c r="AG284" s="676"/>
      <c r="AH284" s="676"/>
      <c r="AI284" s="676"/>
      <c r="AJ284" s="676"/>
      <c r="AK284" s="676"/>
      <c r="AL284" s="676"/>
      <c r="AM284" s="676"/>
      <c r="AN284" s="676"/>
      <c r="AO284" s="676"/>
      <c r="AP284" s="676"/>
      <c r="AQ284" s="676"/>
      <c r="AR284" s="676"/>
      <c r="AS284" s="676"/>
      <c r="AT284" s="676"/>
      <c r="AU284" s="676"/>
      <c r="AV284" s="676"/>
      <c r="AW284" s="676"/>
      <c r="AX284" s="676"/>
      <c r="AY284" s="676"/>
      <c r="AZ284" s="676"/>
      <c r="BA284" s="676"/>
      <c r="BB284" s="676"/>
    </row>
    <row r="285" spans="2:54" s="495" customFormat="1" x14ac:dyDescent="0.2">
      <c r="C285" s="712"/>
      <c r="D285" s="712"/>
      <c r="G285" s="632"/>
      <c r="H285" s="632"/>
      <c r="I285" s="632"/>
      <c r="J285" s="632"/>
      <c r="K285" s="632"/>
      <c r="L285" s="632"/>
      <c r="M285" s="632"/>
      <c r="V285" s="632"/>
      <c r="W285" s="632"/>
      <c r="X285" s="632"/>
      <c r="AE285" s="906"/>
      <c r="AF285" s="676"/>
      <c r="AG285" s="676"/>
      <c r="AH285" s="676"/>
      <c r="AI285" s="676"/>
      <c r="AJ285" s="676"/>
      <c r="AK285" s="676"/>
      <c r="AL285" s="676"/>
      <c r="AM285" s="676"/>
      <c r="AN285" s="676"/>
      <c r="AO285" s="676"/>
      <c r="AP285" s="676"/>
      <c r="AQ285" s="676"/>
      <c r="AR285" s="676"/>
      <c r="AS285" s="676"/>
      <c r="AT285" s="676"/>
      <c r="AU285" s="676"/>
      <c r="AV285" s="676"/>
      <c r="AW285" s="676"/>
      <c r="AX285" s="676"/>
      <c r="AY285" s="676"/>
      <c r="AZ285" s="676"/>
      <c r="BA285" s="676"/>
      <c r="BB285" s="676"/>
    </row>
    <row r="286" spans="2:54" s="495" customFormat="1" x14ac:dyDescent="0.2">
      <c r="C286" s="712"/>
      <c r="D286" s="712"/>
      <c r="G286" s="632"/>
      <c r="H286" s="632"/>
      <c r="I286" s="632"/>
      <c r="J286" s="632"/>
      <c r="K286" s="632"/>
      <c r="L286" s="632"/>
      <c r="M286" s="632"/>
      <c r="V286" s="632"/>
      <c r="W286" s="632"/>
      <c r="X286" s="632"/>
      <c r="AF286" s="676"/>
      <c r="AG286" s="676"/>
      <c r="AH286" s="676"/>
      <c r="AI286" s="676"/>
      <c r="AJ286" s="676"/>
      <c r="AK286" s="676"/>
      <c r="AL286" s="676"/>
      <c r="AM286" s="676"/>
      <c r="AN286" s="676"/>
      <c r="AO286" s="676"/>
      <c r="AP286" s="676"/>
      <c r="AQ286" s="676"/>
      <c r="AR286" s="676"/>
      <c r="AS286" s="676"/>
      <c r="AT286" s="676"/>
      <c r="AU286" s="676"/>
      <c r="AV286" s="676"/>
      <c r="AW286" s="676"/>
      <c r="AX286" s="676"/>
      <c r="AY286" s="676"/>
      <c r="AZ286" s="676"/>
      <c r="BA286" s="676"/>
      <c r="BB286" s="676"/>
    </row>
    <row r="287" spans="2:54" s="495" customFormat="1" x14ac:dyDescent="0.2">
      <c r="C287" s="712"/>
      <c r="D287" s="712"/>
      <c r="G287" s="632"/>
      <c r="H287" s="632"/>
      <c r="I287" s="632"/>
      <c r="J287" s="632"/>
      <c r="K287" s="632"/>
      <c r="L287" s="632"/>
      <c r="M287" s="632"/>
      <c r="V287" s="632"/>
      <c r="W287" s="632"/>
      <c r="X287" s="632"/>
      <c r="AF287" s="676"/>
      <c r="AG287" s="676"/>
      <c r="AH287" s="676"/>
      <c r="AI287" s="676"/>
      <c r="AJ287" s="676"/>
      <c r="AK287" s="676"/>
      <c r="AL287" s="676"/>
      <c r="AM287" s="676"/>
      <c r="AN287" s="676"/>
      <c r="AO287" s="676"/>
      <c r="AP287" s="676"/>
      <c r="AQ287" s="676"/>
      <c r="AR287" s="676"/>
      <c r="AS287" s="676"/>
      <c r="AT287" s="676"/>
      <c r="AU287" s="676"/>
      <c r="AV287" s="676"/>
      <c r="AW287" s="676"/>
      <c r="AX287" s="676"/>
      <c r="AY287" s="676"/>
      <c r="AZ287" s="676"/>
      <c r="BA287" s="676"/>
      <c r="BB287" s="676"/>
    </row>
    <row r="288" spans="2:54" s="495" customFormat="1" x14ac:dyDescent="0.2">
      <c r="C288" s="712"/>
      <c r="D288" s="712"/>
      <c r="G288" s="632"/>
      <c r="H288" s="632"/>
      <c r="I288" s="632"/>
      <c r="J288" s="632"/>
      <c r="K288" s="632"/>
      <c r="L288" s="632"/>
      <c r="M288" s="632"/>
      <c r="V288" s="632"/>
      <c r="W288" s="632"/>
      <c r="X288" s="632"/>
      <c r="AF288" s="676"/>
      <c r="AG288" s="676"/>
      <c r="AH288" s="676"/>
      <c r="AI288" s="676"/>
      <c r="AJ288" s="676"/>
      <c r="AK288" s="676"/>
      <c r="AL288" s="676"/>
      <c r="AM288" s="676"/>
      <c r="AN288" s="676"/>
      <c r="AO288" s="676"/>
      <c r="AP288" s="676"/>
      <c r="AQ288" s="676"/>
      <c r="AR288" s="676"/>
      <c r="AS288" s="676"/>
      <c r="AT288" s="676"/>
      <c r="AU288" s="676"/>
      <c r="AV288" s="676"/>
      <c r="AW288" s="676"/>
      <c r="AX288" s="676"/>
      <c r="AY288" s="676"/>
      <c r="AZ288" s="676"/>
      <c r="BA288" s="676"/>
      <c r="BB288" s="676"/>
    </row>
    <row r="289" spans="3:54" s="495" customFormat="1" x14ac:dyDescent="0.2">
      <c r="C289" s="712"/>
      <c r="D289" s="712"/>
      <c r="G289" s="632"/>
      <c r="H289" s="632"/>
      <c r="I289" s="632"/>
      <c r="J289" s="632"/>
      <c r="K289" s="632"/>
      <c r="L289" s="632"/>
      <c r="M289" s="632"/>
      <c r="V289" s="632"/>
      <c r="W289" s="632"/>
      <c r="X289" s="632"/>
      <c r="AF289" s="676"/>
      <c r="AG289" s="676"/>
      <c r="AH289" s="676"/>
      <c r="AI289" s="676"/>
      <c r="AJ289" s="676"/>
      <c r="AK289" s="676"/>
      <c r="AL289" s="676"/>
      <c r="AM289" s="676"/>
      <c r="AN289" s="676"/>
      <c r="AO289" s="676"/>
      <c r="AP289" s="676"/>
      <c r="AQ289" s="676"/>
      <c r="AR289" s="676"/>
      <c r="AS289" s="676"/>
      <c r="AT289" s="676"/>
      <c r="AU289" s="676"/>
      <c r="AV289" s="676"/>
      <c r="AW289" s="676"/>
      <c r="AX289" s="676"/>
      <c r="AY289" s="676"/>
      <c r="AZ289" s="676"/>
      <c r="BA289" s="676"/>
      <c r="BB289" s="676"/>
    </row>
    <row r="290" spans="3:54" s="495" customFormat="1" x14ac:dyDescent="0.2">
      <c r="C290" s="712"/>
      <c r="D290" s="712"/>
      <c r="G290" s="632"/>
      <c r="H290" s="632"/>
      <c r="I290" s="632"/>
      <c r="J290" s="632"/>
      <c r="K290" s="632"/>
      <c r="L290" s="632"/>
      <c r="M290" s="632"/>
      <c r="V290" s="632"/>
      <c r="W290" s="632"/>
      <c r="X290" s="632"/>
      <c r="AE290" s="906"/>
      <c r="AF290" s="676"/>
      <c r="AG290" s="676"/>
      <c r="AH290" s="676"/>
      <c r="AI290" s="676"/>
      <c r="AJ290" s="676"/>
      <c r="AK290" s="676"/>
      <c r="AL290" s="676"/>
      <c r="AM290" s="676"/>
      <c r="AN290" s="676"/>
      <c r="AO290" s="676"/>
      <c r="AP290" s="676"/>
      <c r="AQ290" s="676"/>
      <c r="AR290" s="676"/>
      <c r="AS290" s="676"/>
      <c r="AT290" s="676"/>
      <c r="AU290" s="676"/>
      <c r="AV290" s="676"/>
      <c r="AW290" s="676"/>
      <c r="AX290" s="676"/>
      <c r="AY290" s="676"/>
      <c r="AZ290" s="676"/>
      <c r="BA290" s="676"/>
      <c r="BB290" s="676"/>
    </row>
    <row r="291" spans="3:54" s="495" customFormat="1" x14ac:dyDescent="0.2">
      <c r="C291" s="712"/>
      <c r="D291" s="712"/>
      <c r="G291" s="632"/>
      <c r="H291" s="632"/>
      <c r="I291" s="632"/>
      <c r="J291" s="632"/>
      <c r="K291" s="632"/>
      <c r="L291" s="632"/>
      <c r="M291" s="632"/>
      <c r="V291" s="632"/>
      <c r="W291" s="632"/>
      <c r="X291" s="632"/>
      <c r="AF291" s="676"/>
      <c r="AG291" s="676"/>
      <c r="AH291" s="676"/>
      <c r="AI291" s="676"/>
      <c r="AJ291" s="676"/>
      <c r="AK291" s="676"/>
      <c r="AL291" s="676"/>
      <c r="AM291" s="676"/>
      <c r="AN291" s="676"/>
      <c r="AO291" s="676"/>
      <c r="AP291" s="676"/>
      <c r="AQ291" s="676"/>
      <c r="AR291" s="676"/>
      <c r="AS291" s="676"/>
      <c r="AT291" s="676"/>
      <c r="AU291" s="676"/>
      <c r="AV291" s="676"/>
      <c r="AW291" s="676"/>
      <c r="AX291" s="676"/>
      <c r="AY291" s="676"/>
      <c r="AZ291" s="676"/>
      <c r="BA291" s="676"/>
      <c r="BB291" s="676"/>
    </row>
    <row r="292" spans="3:54" s="495" customFormat="1" x14ac:dyDescent="0.2">
      <c r="C292" s="712"/>
      <c r="D292" s="712"/>
      <c r="G292" s="632"/>
      <c r="H292" s="632"/>
      <c r="I292" s="632"/>
      <c r="J292" s="632"/>
      <c r="K292" s="632"/>
      <c r="L292" s="632"/>
      <c r="M292" s="632"/>
      <c r="V292" s="632"/>
      <c r="W292" s="632"/>
      <c r="X292" s="632"/>
      <c r="AF292" s="676"/>
      <c r="AG292" s="676"/>
      <c r="AH292" s="676"/>
      <c r="AI292" s="676"/>
      <c r="AJ292" s="676"/>
      <c r="AK292" s="676"/>
      <c r="AL292" s="676"/>
      <c r="AM292" s="676"/>
      <c r="AN292" s="676"/>
      <c r="AO292" s="676"/>
      <c r="AP292" s="676"/>
      <c r="AQ292" s="676"/>
      <c r="AR292" s="676"/>
      <c r="AS292" s="676"/>
      <c r="AT292" s="676"/>
      <c r="AU292" s="676"/>
      <c r="AV292" s="676"/>
      <c r="AW292" s="676"/>
      <c r="AX292" s="676"/>
      <c r="AY292" s="676"/>
      <c r="AZ292" s="676"/>
      <c r="BA292" s="676"/>
      <c r="BB292" s="676"/>
    </row>
    <row r="293" spans="3:54" s="495" customFormat="1" x14ac:dyDescent="0.2">
      <c r="C293" s="712"/>
      <c r="D293" s="712"/>
      <c r="G293" s="632"/>
      <c r="H293" s="632"/>
      <c r="I293" s="632"/>
      <c r="J293" s="632"/>
      <c r="K293" s="632"/>
      <c r="L293" s="632"/>
      <c r="M293" s="632"/>
      <c r="V293" s="632"/>
      <c r="W293" s="632"/>
      <c r="X293" s="632"/>
      <c r="AF293" s="676"/>
      <c r="AG293" s="676"/>
      <c r="AH293" s="676"/>
      <c r="AI293" s="676"/>
      <c r="AJ293" s="676"/>
      <c r="AK293" s="676"/>
      <c r="AL293" s="676"/>
      <c r="AM293" s="676"/>
      <c r="AN293" s="676"/>
      <c r="AO293" s="676"/>
      <c r="AP293" s="676"/>
      <c r="AQ293" s="676"/>
      <c r="AR293" s="676"/>
      <c r="AS293" s="676"/>
      <c r="AT293" s="676"/>
      <c r="AU293" s="676"/>
      <c r="AV293" s="676"/>
      <c r="AW293" s="676"/>
      <c r="AX293" s="676"/>
      <c r="AY293" s="676"/>
      <c r="AZ293" s="676"/>
      <c r="BA293" s="676"/>
      <c r="BB293" s="676"/>
    </row>
    <row r="294" spans="3:54" s="495" customFormat="1" x14ac:dyDescent="0.2">
      <c r="C294" s="712"/>
      <c r="D294" s="712"/>
      <c r="G294" s="632"/>
      <c r="H294" s="632"/>
      <c r="I294" s="632"/>
      <c r="J294" s="632"/>
      <c r="K294" s="632"/>
      <c r="L294" s="632"/>
      <c r="M294" s="632"/>
      <c r="V294" s="632"/>
      <c r="W294" s="632"/>
      <c r="X294" s="632"/>
      <c r="AF294" s="676"/>
      <c r="AG294" s="676"/>
      <c r="AH294" s="676"/>
      <c r="AI294" s="676"/>
      <c r="AJ294" s="676"/>
      <c r="AK294" s="676"/>
      <c r="AL294" s="676"/>
      <c r="AM294" s="676"/>
      <c r="AN294" s="676"/>
      <c r="AO294" s="676"/>
      <c r="AP294" s="676"/>
      <c r="AQ294" s="676"/>
      <c r="AR294" s="676"/>
      <c r="AS294" s="676"/>
      <c r="AT294" s="676"/>
      <c r="AU294" s="676"/>
      <c r="AV294" s="676"/>
      <c r="AW294" s="676"/>
      <c r="AX294" s="676"/>
      <c r="AY294" s="676"/>
      <c r="AZ294" s="676"/>
      <c r="BA294" s="676"/>
      <c r="BB294" s="676"/>
    </row>
    <row r="295" spans="3:54" s="495" customFormat="1" x14ac:dyDescent="0.2">
      <c r="C295" s="712"/>
      <c r="D295" s="712"/>
      <c r="G295" s="632"/>
      <c r="H295" s="632"/>
      <c r="I295" s="632"/>
      <c r="J295" s="632"/>
      <c r="K295" s="632"/>
      <c r="L295" s="632"/>
      <c r="M295" s="632"/>
      <c r="V295" s="632"/>
      <c r="W295" s="632"/>
      <c r="X295" s="632"/>
      <c r="AE295" s="906"/>
      <c r="AF295" s="676"/>
      <c r="AG295" s="676"/>
      <c r="AH295" s="676"/>
      <c r="AI295" s="676"/>
      <c r="AJ295" s="676"/>
      <c r="AK295" s="676"/>
      <c r="AL295" s="676"/>
      <c r="AM295" s="676"/>
      <c r="AN295" s="676"/>
      <c r="AO295" s="676"/>
      <c r="AP295" s="676"/>
      <c r="AQ295" s="676"/>
      <c r="AR295" s="676"/>
      <c r="AS295" s="676"/>
      <c r="AT295" s="676"/>
      <c r="AU295" s="676"/>
      <c r="AV295" s="676"/>
      <c r="AW295" s="676"/>
      <c r="AX295" s="676"/>
      <c r="AY295" s="676"/>
      <c r="AZ295" s="676"/>
      <c r="BA295" s="676"/>
      <c r="BB295" s="676"/>
    </row>
    <row r="296" spans="3:54" s="495" customFormat="1" x14ac:dyDescent="0.2">
      <c r="C296" s="712"/>
      <c r="D296" s="712"/>
      <c r="G296" s="632"/>
      <c r="H296" s="632"/>
      <c r="I296" s="632"/>
      <c r="J296" s="632"/>
      <c r="K296" s="632"/>
      <c r="L296" s="632"/>
      <c r="M296" s="632"/>
      <c r="V296" s="632"/>
      <c r="W296" s="632"/>
      <c r="X296" s="632"/>
      <c r="AF296" s="676"/>
      <c r="AG296" s="676"/>
      <c r="AH296" s="676"/>
      <c r="AI296" s="676"/>
      <c r="AJ296" s="676"/>
      <c r="AK296" s="676"/>
      <c r="AL296" s="676"/>
      <c r="AM296" s="676"/>
      <c r="AN296" s="676"/>
      <c r="AO296" s="676"/>
      <c r="AP296" s="676"/>
      <c r="AQ296" s="676"/>
      <c r="AR296" s="676"/>
      <c r="AS296" s="676"/>
      <c r="AT296" s="676"/>
      <c r="AU296" s="676"/>
      <c r="AV296" s="676"/>
      <c r="AW296" s="676"/>
      <c r="AX296" s="676"/>
      <c r="AY296" s="676"/>
      <c r="AZ296" s="676"/>
      <c r="BA296" s="676"/>
      <c r="BB296" s="676"/>
    </row>
    <row r="297" spans="3:54" s="495" customFormat="1" x14ac:dyDescent="0.2">
      <c r="C297" s="712"/>
      <c r="D297" s="712"/>
      <c r="G297" s="632"/>
      <c r="H297" s="632"/>
      <c r="I297" s="632"/>
      <c r="J297" s="632"/>
      <c r="K297" s="632"/>
      <c r="L297" s="632"/>
      <c r="M297" s="632"/>
      <c r="V297" s="632"/>
      <c r="W297" s="632"/>
      <c r="X297" s="632"/>
      <c r="AF297" s="676"/>
      <c r="AG297" s="676"/>
      <c r="AH297" s="676"/>
      <c r="AI297" s="676"/>
      <c r="AJ297" s="676"/>
      <c r="AK297" s="676"/>
      <c r="AL297" s="676"/>
      <c r="AM297" s="676"/>
      <c r="AN297" s="676"/>
      <c r="AO297" s="676"/>
      <c r="AP297" s="676"/>
      <c r="AQ297" s="676"/>
      <c r="AR297" s="676"/>
      <c r="AS297" s="676"/>
      <c r="AT297" s="676"/>
      <c r="AU297" s="676"/>
      <c r="AV297" s="676"/>
      <c r="AW297" s="676"/>
      <c r="AX297" s="676"/>
      <c r="AY297" s="676"/>
      <c r="AZ297" s="676"/>
      <c r="BA297" s="676"/>
      <c r="BB297" s="676"/>
    </row>
    <row r="298" spans="3:54" s="495" customFormat="1" x14ac:dyDescent="0.2">
      <c r="C298" s="712"/>
      <c r="D298" s="712"/>
      <c r="G298" s="632"/>
      <c r="H298" s="632"/>
      <c r="I298" s="632"/>
      <c r="J298" s="632"/>
      <c r="K298" s="632"/>
      <c r="L298" s="632"/>
      <c r="M298" s="632"/>
      <c r="V298" s="632"/>
      <c r="W298" s="632"/>
      <c r="X298" s="632"/>
      <c r="AF298" s="676"/>
      <c r="AG298" s="676"/>
      <c r="AH298" s="676"/>
      <c r="AI298" s="676"/>
      <c r="AJ298" s="676"/>
      <c r="AK298" s="676"/>
      <c r="AL298" s="676"/>
      <c r="AM298" s="676"/>
      <c r="AN298" s="676"/>
      <c r="AO298" s="676"/>
      <c r="AP298" s="676"/>
      <c r="AQ298" s="676"/>
      <c r="AR298" s="676"/>
      <c r="AS298" s="676"/>
      <c r="AT298" s="676"/>
      <c r="AU298" s="676"/>
      <c r="AV298" s="676"/>
      <c r="AW298" s="676"/>
      <c r="AX298" s="676"/>
      <c r="AY298" s="676"/>
      <c r="AZ298" s="676"/>
      <c r="BA298" s="676"/>
      <c r="BB298" s="676"/>
    </row>
    <row r="299" spans="3:54" s="495" customFormat="1" x14ac:dyDescent="0.2">
      <c r="C299" s="712"/>
      <c r="D299" s="712"/>
      <c r="G299" s="632"/>
      <c r="H299" s="632"/>
      <c r="I299" s="632"/>
      <c r="J299" s="632"/>
      <c r="K299" s="632"/>
      <c r="L299" s="632"/>
      <c r="M299" s="632"/>
      <c r="V299" s="632"/>
      <c r="W299" s="632"/>
      <c r="X299" s="632"/>
      <c r="AF299" s="676"/>
      <c r="AG299" s="676"/>
      <c r="AH299" s="676"/>
      <c r="AI299" s="676"/>
      <c r="AJ299" s="676"/>
      <c r="AK299" s="676"/>
      <c r="AL299" s="676"/>
      <c r="AM299" s="676"/>
      <c r="AN299" s="676"/>
      <c r="AO299" s="676"/>
      <c r="AP299" s="676"/>
      <c r="AQ299" s="676"/>
      <c r="AR299" s="676"/>
      <c r="AS299" s="676"/>
      <c r="AT299" s="676"/>
      <c r="AU299" s="676"/>
      <c r="AV299" s="676"/>
      <c r="AW299" s="676"/>
      <c r="AX299" s="676"/>
      <c r="AY299" s="676"/>
      <c r="AZ299" s="676"/>
      <c r="BA299" s="676"/>
      <c r="BB299" s="676"/>
    </row>
    <row r="300" spans="3:54" s="495" customFormat="1" x14ac:dyDescent="0.2">
      <c r="C300" s="712"/>
      <c r="D300" s="712"/>
      <c r="G300" s="632"/>
      <c r="H300" s="632"/>
      <c r="I300" s="632"/>
      <c r="J300" s="632"/>
      <c r="K300" s="632"/>
      <c r="L300" s="632"/>
      <c r="M300" s="632"/>
      <c r="V300" s="632"/>
      <c r="W300" s="632"/>
      <c r="X300" s="632"/>
      <c r="AE300" s="906"/>
      <c r="AF300" s="676"/>
      <c r="AG300" s="676"/>
      <c r="AH300" s="676"/>
      <c r="AI300" s="676"/>
      <c r="AJ300" s="676"/>
      <c r="AK300" s="676"/>
      <c r="AL300" s="676"/>
      <c r="AM300" s="676"/>
      <c r="AN300" s="676"/>
      <c r="AO300" s="676"/>
      <c r="AP300" s="676"/>
      <c r="AQ300" s="676"/>
      <c r="AR300" s="676"/>
      <c r="AS300" s="676"/>
      <c r="AT300" s="676"/>
      <c r="AU300" s="676"/>
      <c r="AV300" s="676"/>
      <c r="AW300" s="676"/>
      <c r="AX300" s="676"/>
      <c r="AY300" s="676"/>
      <c r="AZ300" s="676"/>
      <c r="BA300" s="676"/>
      <c r="BB300" s="676"/>
    </row>
    <row r="301" spans="3:54" s="495" customFormat="1" x14ac:dyDescent="0.2">
      <c r="C301" s="712"/>
      <c r="D301" s="712"/>
      <c r="G301" s="632"/>
      <c r="H301" s="632"/>
      <c r="I301" s="632"/>
      <c r="J301" s="632"/>
      <c r="K301" s="632"/>
      <c r="L301" s="632"/>
      <c r="M301" s="632"/>
      <c r="V301" s="632"/>
      <c r="W301" s="632"/>
      <c r="X301" s="632"/>
      <c r="AF301" s="676"/>
      <c r="AG301" s="676"/>
      <c r="AH301" s="676"/>
      <c r="AI301" s="676"/>
      <c r="AJ301" s="676"/>
      <c r="AK301" s="676"/>
      <c r="AL301" s="676"/>
      <c r="AM301" s="676"/>
      <c r="AN301" s="676"/>
      <c r="AO301" s="676"/>
      <c r="AP301" s="676"/>
      <c r="AQ301" s="676"/>
      <c r="AR301" s="676"/>
      <c r="AS301" s="676"/>
      <c r="AT301" s="676"/>
      <c r="AU301" s="676"/>
      <c r="AV301" s="676"/>
      <c r="AW301" s="676"/>
      <c r="AX301" s="676"/>
      <c r="AY301" s="676"/>
      <c r="AZ301" s="676"/>
      <c r="BA301" s="676"/>
      <c r="BB301" s="676"/>
    </row>
    <row r="302" spans="3:54" s="495" customFormat="1" x14ac:dyDescent="0.2">
      <c r="C302" s="712"/>
      <c r="D302" s="712"/>
      <c r="G302" s="632"/>
      <c r="H302" s="632"/>
      <c r="I302" s="632"/>
      <c r="J302" s="632"/>
      <c r="K302" s="632"/>
      <c r="L302" s="632"/>
      <c r="M302" s="632"/>
      <c r="V302" s="632"/>
      <c r="W302" s="632"/>
      <c r="X302" s="632"/>
      <c r="AF302" s="676"/>
      <c r="AG302" s="676"/>
      <c r="AH302" s="676"/>
      <c r="AI302" s="676"/>
      <c r="AJ302" s="676"/>
      <c r="AK302" s="676"/>
      <c r="AL302" s="676"/>
      <c r="AM302" s="676"/>
      <c r="AN302" s="676"/>
      <c r="AO302" s="676"/>
      <c r="AP302" s="676"/>
      <c r="AQ302" s="676"/>
      <c r="AR302" s="676"/>
      <c r="AS302" s="676"/>
      <c r="AT302" s="676"/>
      <c r="AU302" s="676"/>
      <c r="AV302" s="676"/>
      <c r="AW302" s="676"/>
      <c r="AX302" s="676"/>
      <c r="AY302" s="676"/>
      <c r="AZ302" s="676"/>
      <c r="BA302" s="676"/>
      <c r="BB302" s="676"/>
    </row>
    <row r="303" spans="3:54" s="495" customFormat="1" x14ac:dyDescent="0.2">
      <c r="C303" s="712"/>
      <c r="D303" s="712"/>
      <c r="G303" s="632"/>
      <c r="H303" s="632"/>
      <c r="I303" s="632"/>
      <c r="J303" s="632"/>
      <c r="K303" s="632"/>
      <c r="L303" s="632"/>
      <c r="M303" s="632"/>
      <c r="V303" s="632"/>
      <c r="W303" s="632"/>
      <c r="X303" s="632"/>
      <c r="AF303" s="676"/>
      <c r="AG303" s="676"/>
      <c r="AH303" s="676"/>
      <c r="AI303" s="676"/>
      <c r="AJ303" s="676"/>
      <c r="AK303" s="676"/>
      <c r="AL303" s="676"/>
      <c r="AM303" s="676"/>
      <c r="AN303" s="676"/>
      <c r="AO303" s="676"/>
      <c r="AP303" s="676"/>
      <c r="AQ303" s="676"/>
      <c r="AR303" s="676"/>
      <c r="AS303" s="676"/>
      <c r="AT303" s="676"/>
      <c r="AU303" s="676"/>
      <c r="AV303" s="676"/>
      <c r="AW303" s="676"/>
      <c r="AX303" s="676"/>
      <c r="AY303" s="676"/>
      <c r="AZ303" s="676"/>
      <c r="BA303" s="676"/>
      <c r="BB303" s="676"/>
    </row>
    <row r="304" spans="3:54" s="495" customFormat="1" x14ac:dyDescent="0.2">
      <c r="C304" s="712"/>
      <c r="D304" s="712"/>
      <c r="G304" s="632"/>
      <c r="H304" s="632"/>
      <c r="I304" s="632"/>
      <c r="J304" s="632"/>
      <c r="K304" s="632"/>
      <c r="L304" s="632"/>
      <c r="M304" s="632"/>
      <c r="V304" s="632"/>
      <c r="W304" s="632"/>
      <c r="X304" s="632"/>
      <c r="AF304" s="676"/>
      <c r="AG304" s="676"/>
      <c r="AH304" s="676"/>
      <c r="AI304" s="676"/>
      <c r="AJ304" s="676"/>
      <c r="AK304" s="676"/>
      <c r="AL304" s="676"/>
      <c r="AM304" s="676"/>
      <c r="AN304" s="676"/>
      <c r="AO304" s="676"/>
      <c r="AP304" s="676"/>
      <c r="AQ304" s="676"/>
      <c r="AR304" s="676"/>
      <c r="AS304" s="676"/>
      <c r="AT304" s="676"/>
      <c r="AU304" s="676"/>
      <c r="AV304" s="676"/>
      <c r="AW304" s="676"/>
      <c r="AX304" s="676"/>
      <c r="AY304" s="676"/>
      <c r="AZ304" s="676"/>
      <c r="BA304" s="676"/>
      <c r="BB304" s="676"/>
    </row>
    <row r="305" spans="3:54" s="495" customFormat="1" x14ac:dyDescent="0.2">
      <c r="C305" s="712"/>
      <c r="D305" s="712"/>
      <c r="G305" s="632"/>
      <c r="H305" s="632"/>
      <c r="I305" s="632"/>
      <c r="J305" s="632"/>
      <c r="K305" s="632"/>
      <c r="L305" s="632"/>
      <c r="M305" s="632"/>
      <c r="V305" s="632"/>
      <c r="W305" s="632"/>
      <c r="X305" s="632"/>
      <c r="AF305" s="676"/>
      <c r="AG305" s="676"/>
      <c r="AH305" s="676"/>
      <c r="AI305" s="676"/>
      <c r="AJ305" s="676"/>
      <c r="AK305" s="676"/>
      <c r="AL305" s="676"/>
      <c r="AM305" s="676"/>
      <c r="AN305" s="676"/>
      <c r="AO305" s="676"/>
      <c r="AP305" s="676"/>
      <c r="AQ305" s="676"/>
      <c r="AR305" s="676"/>
      <c r="AS305" s="676"/>
      <c r="AT305" s="676"/>
      <c r="AU305" s="676"/>
      <c r="AV305" s="676"/>
      <c r="AW305" s="676"/>
      <c r="AX305" s="676"/>
      <c r="AY305" s="676"/>
      <c r="AZ305" s="676"/>
      <c r="BA305" s="676"/>
      <c r="BB305" s="676"/>
    </row>
    <row r="306" spans="3:54" s="495" customFormat="1" x14ac:dyDescent="0.2">
      <c r="C306" s="712"/>
      <c r="D306" s="712"/>
      <c r="G306" s="632"/>
      <c r="H306" s="632"/>
      <c r="I306" s="632"/>
      <c r="J306" s="632"/>
      <c r="K306" s="632"/>
      <c r="L306" s="632"/>
      <c r="M306" s="632"/>
      <c r="V306" s="632"/>
      <c r="W306" s="632"/>
      <c r="X306" s="632"/>
      <c r="AF306" s="676"/>
      <c r="AG306" s="676"/>
      <c r="AH306" s="676"/>
      <c r="AI306" s="676"/>
      <c r="AJ306" s="676"/>
      <c r="AK306" s="676"/>
      <c r="AL306" s="676"/>
      <c r="AM306" s="676"/>
      <c r="AN306" s="676"/>
      <c r="AO306" s="676"/>
      <c r="AP306" s="676"/>
      <c r="AQ306" s="676"/>
      <c r="AR306" s="676"/>
      <c r="AS306" s="676"/>
      <c r="AT306" s="676"/>
      <c r="AU306" s="676"/>
      <c r="AV306" s="676"/>
      <c r="AW306" s="676"/>
      <c r="AX306" s="676"/>
      <c r="AY306" s="676"/>
      <c r="AZ306" s="676"/>
      <c r="BA306" s="676"/>
      <c r="BB306" s="676"/>
    </row>
    <row r="307" spans="3:54" s="495" customFormat="1" x14ac:dyDescent="0.2">
      <c r="C307" s="712"/>
      <c r="D307" s="712"/>
      <c r="G307" s="632"/>
      <c r="H307" s="632"/>
      <c r="I307" s="632"/>
      <c r="J307" s="632"/>
      <c r="K307" s="632"/>
      <c r="L307" s="632"/>
      <c r="M307" s="632"/>
      <c r="V307" s="632"/>
      <c r="W307" s="632"/>
      <c r="X307" s="632"/>
      <c r="AF307" s="676"/>
      <c r="AG307" s="676"/>
      <c r="AH307" s="676"/>
      <c r="AI307" s="676"/>
      <c r="AJ307" s="676"/>
      <c r="AK307" s="676"/>
      <c r="AL307" s="676"/>
      <c r="AM307" s="676"/>
      <c r="AN307" s="676"/>
      <c r="AO307" s="676"/>
      <c r="AP307" s="676"/>
      <c r="AQ307" s="676"/>
      <c r="AR307" s="676"/>
      <c r="AS307" s="676"/>
      <c r="AT307" s="676"/>
      <c r="AU307" s="676"/>
      <c r="AV307" s="676"/>
      <c r="AW307" s="676"/>
      <c r="AX307" s="676"/>
      <c r="AY307" s="676"/>
      <c r="AZ307" s="676"/>
      <c r="BA307" s="676"/>
      <c r="BB307" s="676"/>
    </row>
    <row r="308" spans="3:54" s="495" customFormat="1" x14ac:dyDescent="0.2">
      <c r="C308" s="712"/>
      <c r="D308" s="712"/>
      <c r="G308" s="632"/>
      <c r="H308" s="632"/>
      <c r="I308" s="632"/>
      <c r="J308" s="632"/>
      <c r="K308" s="632"/>
      <c r="L308" s="632"/>
      <c r="M308" s="632"/>
      <c r="V308" s="632"/>
      <c r="W308" s="632"/>
      <c r="X308" s="632"/>
      <c r="AF308" s="676"/>
      <c r="AG308" s="676"/>
      <c r="AH308" s="676"/>
      <c r="AI308" s="676"/>
      <c r="AJ308" s="676"/>
      <c r="AK308" s="676"/>
      <c r="AL308" s="676"/>
      <c r="AM308" s="676"/>
      <c r="AN308" s="676"/>
      <c r="AO308" s="676"/>
      <c r="AP308" s="676"/>
      <c r="AQ308" s="676"/>
      <c r="AR308" s="676"/>
      <c r="AS308" s="676"/>
      <c r="AT308" s="676"/>
      <c r="AU308" s="676"/>
      <c r="AV308" s="676"/>
      <c r="AW308" s="676"/>
      <c r="AX308" s="676"/>
      <c r="AY308" s="676"/>
      <c r="AZ308" s="676"/>
      <c r="BA308" s="676"/>
      <c r="BB308" s="676"/>
    </row>
    <row r="309" spans="3:54" s="495" customFormat="1" x14ac:dyDescent="0.2">
      <c r="C309" s="712"/>
      <c r="D309" s="712"/>
      <c r="G309" s="632"/>
      <c r="H309" s="632"/>
      <c r="I309" s="632"/>
      <c r="J309" s="632"/>
      <c r="K309" s="632"/>
      <c r="L309" s="632"/>
      <c r="M309" s="632"/>
      <c r="V309" s="632"/>
      <c r="W309" s="632"/>
      <c r="X309" s="632"/>
      <c r="AF309" s="676"/>
      <c r="AG309" s="676"/>
      <c r="AH309" s="676"/>
      <c r="AI309" s="676"/>
      <c r="AJ309" s="676"/>
      <c r="AK309" s="676"/>
      <c r="AL309" s="676"/>
      <c r="AM309" s="676"/>
      <c r="AN309" s="676"/>
      <c r="AO309" s="676"/>
      <c r="AP309" s="676"/>
      <c r="AQ309" s="676"/>
      <c r="AR309" s="676"/>
      <c r="AS309" s="676"/>
      <c r="AT309" s="676"/>
      <c r="AU309" s="676"/>
      <c r="AV309" s="676"/>
      <c r="AW309" s="676"/>
      <c r="AX309" s="676"/>
      <c r="AY309" s="676"/>
      <c r="AZ309" s="676"/>
      <c r="BA309" s="676"/>
      <c r="BB309" s="676"/>
    </row>
    <row r="310" spans="3:54" s="495" customFormat="1" x14ac:dyDescent="0.2">
      <c r="C310" s="712"/>
      <c r="D310" s="712"/>
      <c r="G310" s="632"/>
      <c r="H310" s="632"/>
      <c r="I310" s="632"/>
      <c r="J310" s="632"/>
      <c r="K310" s="632"/>
      <c r="L310" s="632"/>
      <c r="M310" s="632"/>
      <c r="V310" s="632"/>
      <c r="W310" s="632"/>
      <c r="X310" s="632"/>
      <c r="AF310" s="676"/>
      <c r="AG310" s="676"/>
      <c r="AH310" s="676"/>
      <c r="AI310" s="676"/>
      <c r="AJ310" s="676"/>
      <c r="AK310" s="676"/>
      <c r="AL310" s="676"/>
      <c r="AM310" s="676"/>
      <c r="AN310" s="676"/>
      <c r="AO310" s="676"/>
      <c r="AP310" s="676"/>
      <c r="AQ310" s="676"/>
      <c r="AR310" s="676"/>
      <c r="AS310" s="676"/>
      <c r="AT310" s="676"/>
      <c r="AU310" s="676"/>
      <c r="AV310" s="676"/>
      <c r="AW310" s="676"/>
      <c r="AX310" s="676"/>
      <c r="AY310" s="676"/>
      <c r="AZ310" s="676"/>
      <c r="BA310" s="676"/>
      <c r="BB310" s="676"/>
    </row>
    <row r="311" spans="3:54" s="495" customFormat="1" x14ac:dyDescent="0.2">
      <c r="C311" s="712"/>
      <c r="D311" s="712"/>
      <c r="G311" s="632"/>
      <c r="H311" s="632"/>
      <c r="I311" s="632"/>
      <c r="J311" s="632"/>
      <c r="K311" s="632"/>
      <c r="L311" s="632"/>
      <c r="M311" s="632"/>
      <c r="V311" s="632"/>
      <c r="W311" s="632"/>
      <c r="X311" s="632"/>
      <c r="AE311" s="906"/>
      <c r="AF311" s="676"/>
      <c r="AG311" s="676"/>
      <c r="AH311" s="676"/>
      <c r="AI311" s="676"/>
      <c r="AJ311" s="676"/>
      <c r="AK311" s="676"/>
      <c r="AL311" s="676"/>
      <c r="AM311" s="676"/>
      <c r="AN311" s="676"/>
      <c r="AO311" s="676"/>
      <c r="AP311" s="676"/>
      <c r="AQ311" s="676"/>
      <c r="AR311" s="676"/>
      <c r="AS311" s="676"/>
      <c r="AT311" s="676"/>
      <c r="AU311" s="676"/>
      <c r="AV311" s="676"/>
      <c r="AW311" s="676"/>
      <c r="AX311" s="676"/>
      <c r="AY311" s="676"/>
      <c r="AZ311" s="676"/>
      <c r="BA311" s="676"/>
      <c r="BB311" s="676"/>
    </row>
    <row r="312" spans="3:54" s="495" customFormat="1" x14ac:dyDescent="0.2">
      <c r="C312" s="712"/>
      <c r="D312" s="712"/>
      <c r="G312" s="632"/>
      <c r="H312" s="632"/>
      <c r="I312" s="632"/>
      <c r="J312" s="632"/>
      <c r="K312" s="632"/>
      <c r="L312" s="632"/>
      <c r="M312" s="632"/>
      <c r="V312" s="632"/>
      <c r="W312" s="632"/>
      <c r="X312" s="632"/>
      <c r="AF312" s="676"/>
      <c r="AG312" s="676"/>
      <c r="AH312" s="676"/>
      <c r="AI312" s="676"/>
      <c r="AJ312" s="676"/>
      <c r="AK312" s="676"/>
      <c r="AL312" s="676"/>
      <c r="AM312" s="676"/>
      <c r="AN312" s="676"/>
      <c r="AO312" s="676"/>
      <c r="AP312" s="676"/>
      <c r="AQ312" s="676"/>
      <c r="AR312" s="676"/>
      <c r="AS312" s="676"/>
      <c r="AT312" s="676"/>
      <c r="AU312" s="676"/>
      <c r="AV312" s="676"/>
      <c r="AW312" s="676"/>
      <c r="AX312" s="676"/>
      <c r="AY312" s="676"/>
      <c r="AZ312" s="676"/>
      <c r="BA312" s="676"/>
      <c r="BB312" s="676"/>
    </row>
    <row r="313" spans="3:54" s="495" customFormat="1" x14ac:dyDescent="0.2">
      <c r="C313" s="712"/>
      <c r="D313" s="712"/>
      <c r="G313" s="632"/>
      <c r="H313" s="632"/>
      <c r="I313" s="632"/>
      <c r="J313" s="632"/>
      <c r="K313" s="632"/>
      <c r="L313" s="632"/>
      <c r="M313" s="632"/>
      <c r="V313" s="632"/>
      <c r="W313" s="632"/>
      <c r="X313" s="632"/>
      <c r="AF313" s="676"/>
      <c r="AG313" s="676"/>
      <c r="AH313" s="676"/>
      <c r="AI313" s="676"/>
      <c r="AJ313" s="676"/>
      <c r="AK313" s="676"/>
      <c r="AL313" s="676"/>
      <c r="AM313" s="676"/>
      <c r="AN313" s="676"/>
      <c r="AO313" s="676"/>
      <c r="AP313" s="676"/>
      <c r="AQ313" s="676"/>
      <c r="AR313" s="676"/>
      <c r="AS313" s="676"/>
      <c r="AT313" s="676"/>
      <c r="AU313" s="676"/>
      <c r="AV313" s="676"/>
      <c r="AW313" s="676"/>
      <c r="AX313" s="676"/>
      <c r="AY313" s="676"/>
      <c r="AZ313" s="676"/>
      <c r="BA313" s="676"/>
      <c r="BB313" s="676"/>
    </row>
    <row r="314" spans="3:54" s="495" customFormat="1" x14ac:dyDescent="0.2">
      <c r="C314" s="712"/>
      <c r="D314" s="712"/>
      <c r="G314" s="632"/>
      <c r="H314" s="632"/>
      <c r="I314" s="632"/>
      <c r="J314" s="632"/>
      <c r="K314" s="632"/>
      <c r="L314" s="632"/>
      <c r="M314" s="632"/>
      <c r="V314" s="632"/>
      <c r="W314" s="632"/>
      <c r="X314" s="632"/>
      <c r="AF314" s="676"/>
      <c r="AG314" s="676"/>
      <c r="AH314" s="676"/>
      <c r="AI314" s="676"/>
      <c r="AJ314" s="676"/>
      <c r="AK314" s="676"/>
      <c r="AL314" s="676"/>
      <c r="AM314" s="676"/>
      <c r="AN314" s="676"/>
      <c r="AO314" s="676"/>
      <c r="AP314" s="676"/>
      <c r="AQ314" s="676"/>
      <c r="AR314" s="676"/>
      <c r="AS314" s="676"/>
      <c r="AT314" s="676"/>
      <c r="AU314" s="676"/>
      <c r="AV314" s="676"/>
      <c r="AW314" s="676"/>
      <c r="AX314" s="676"/>
      <c r="AY314" s="676"/>
      <c r="AZ314" s="676"/>
      <c r="BA314" s="676"/>
      <c r="BB314" s="676"/>
    </row>
    <row r="315" spans="3:54" s="495" customFormat="1" x14ac:dyDescent="0.2">
      <c r="C315" s="712"/>
      <c r="D315" s="712"/>
      <c r="G315" s="632"/>
      <c r="H315" s="632"/>
      <c r="I315" s="632"/>
      <c r="J315" s="632"/>
      <c r="K315" s="632"/>
      <c r="L315" s="632"/>
      <c r="M315" s="632"/>
      <c r="V315" s="632"/>
      <c r="W315" s="632"/>
      <c r="X315" s="632"/>
      <c r="AF315" s="676"/>
      <c r="AG315" s="676"/>
      <c r="AH315" s="676"/>
      <c r="AI315" s="676"/>
      <c r="AJ315" s="676"/>
      <c r="AK315" s="676"/>
      <c r="AL315" s="676"/>
      <c r="AM315" s="676"/>
      <c r="AN315" s="676"/>
      <c r="AO315" s="676"/>
      <c r="AP315" s="676"/>
      <c r="AQ315" s="676"/>
      <c r="AR315" s="676"/>
      <c r="AS315" s="676"/>
      <c r="AT315" s="676"/>
      <c r="AU315" s="676"/>
      <c r="AV315" s="676"/>
      <c r="AW315" s="676"/>
      <c r="AX315" s="676"/>
      <c r="AY315" s="676"/>
      <c r="AZ315" s="676"/>
      <c r="BA315" s="676"/>
      <c r="BB315" s="676"/>
    </row>
    <row r="316" spans="3:54" s="495" customFormat="1" x14ac:dyDescent="0.2">
      <c r="C316" s="712"/>
      <c r="D316" s="712"/>
      <c r="G316" s="632"/>
      <c r="H316" s="632"/>
      <c r="I316" s="632"/>
      <c r="J316" s="632"/>
      <c r="K316" s="632"/>
      <c r="L316" s="632"/>
      <c r="M316" s="632"/>
      <c r="V316" s="632"/>
      <c r="W316" s="632"/>
      <c r="X316" s="632"/>
      <c r="AE316" s="906"/>
      <c r="AF316" s="676"/>
      <c r="AG316" s="676"/>
      <c r="AH316" s="676"/>
      <c r="AI316" s="676"/>
      <c r="AJ316" s="676"/>
      <c r="AK316" s="676"/>
      <c r="AL316" s="676"/>
      <c r="AM316" s="676"/>
      <c r="AN316" s="676"/>
      <c r="AO316" s="676"/>
      <c r="AP316" s="676"/>
      <c r="AQ316" s="676"/>
      <c r="AR316" s="676"/>
      <c r="AS316" s="676"/>
      <c r="AT316" s="676"/>
      <c r="AU316" s="676"/>
      <c r="AV316" s="676"/>
      <c r="AW316" s="676"/>
      <c r="AX316" s="676"/>
      <c r="AY316" s="676"/>
      <c r="AZ316" s="676"/>
      <c r="BA316" s="676"/>
      <c r="BB316" s="676"/>
    </row>
    <row r="317" spans="3:54" s="495" customFormat="1" x14ac:dyDescent="0.2">
      <c r="C317" s="712"/>
      <c r="D317" s="712"/>
      <c r="G317" s="632"/>
      <c r="H317" s="632"/>
      <c r="I317" s="632"/>
      <c r="J317" s="632"/>
      <c r="K317" s="632"/>
      <c r="L317" s="632"/>
      <c r="M317" s="632"/>
      <c r="V317" s="632"/>
      <c r="W317" s="632"/>
      <c r="X317" s="632"/>
      <c r="AF317" s="676"/>
      <c r="AG317" s="676"/>
      <c r="AH317" s="676"/>
      <c r="AI317" s="676"/>
      <c r="AJ317" s="676"/>
      <c r="AK317" s="676"/>
      <c r="AL317" s="676"/>
      <c r="AM317" s="676"/>
      <c r="AN317" s="676"/>
      <c r="AO317" s="676"/>
      <c r="AP317" s="676"/>
      <c r="AQ317" s="676"/>
      <c r="AR317" s="676"/>
      <c r="AS317" s="676"/>
      <c r="AT317" s="676"/>
      <c r="AU317" s="676"/>
      <c r="AV317" s="676"/>
      <c r="AW317" s="676"/>
      <c r="AX317" s="676"/>
      <c r="AY317" s="676"/>
      <c r="AZ317" s="676"/>
      <c r="BA317" s="676"/>
      <c r="BB317" s="676"/>
    </row>
    <row r="318" spans="3:54" s="495" customFormat="1" x14ac:dyDescent="0.2">
      <c r="C318" s="712"/>
      <c r="D318" s="712"/>
      <c r="G318" s="632"/>
      <c r="H318" s="632"/>
      <c r="I318" s="632"/>
      <c r="J318" s="632"/>
      <c r="K318" s="632"/>
      <c r="L318" s="632"/>
      <c r="M318" s="632"/>
      <c r="V318" s="632"/>
      <c r="W318" s="632"/>
      <c r="X318" s="632"/>
      <c r="AF318" s="676"/>
      <c r="AG318" s="676"/>
      <c r="AH318" s="676"/>
      <c r="AI318" s="676"/>
      <c r="AJ318" s="676"/>
      <c r="AK318" s="676"/>
      <c r="AL318" s="676"/>
      <c r="AM318" s="676"/>
      <c r="AN318" s="676"/>
      <c r="AO318" s="676"/>
      <c r="AP318" s="676"/>
      <c r="AQ318" s="676"/>
      <c r="AR318" s="676"/>
      <c r="AS318" s="676"/>
      <c r="AT318" s="676"/>
      <c r="AU318" s="676"/>
      <c r="AV318" s="676"/>
      <c r="AW318" s="676"/>
      <c r="AX318" s="676"/>
      <c r="AY318" s="676"/>
      <c r="AZ318" s="676"/>
      <c r="BA318" s="676"/>
      <c r="BB318" s="676"/>
    </row>
    <row r="319" spans="3:54" s="495" customFormat="1" x14ac:dyDescent="0.2">
      <c r="C319" s="712"/>
      <c r="D319" s="712"/>
      <c r="G319" s="632"/>
      <c r="H319" s="632"/>
      <c r="I319" s="632"/>
      <c r="J319" s="632"/>
      <c r="K319" s="632"/>
      <c r="L319" s="632"/>
      <c r="M319" s="632"/>
      <c r="V319" s="632"/>
      <c r="W319" s="632"/>
      <c r="X319" s="632"/>
      <c r="AF319" s="676"/>
      <c r="AG319" s="676"/>
      <c r="AH319" s="676"/>
      <c r="AI319" s="676"/>
      <c r="AJ319" s="676"/>
      <c r="AK319" s="676"/>
      <c r="AL319" s="676"/>
      <c r="AM319" s="676"/>
      <c r="AN319" s="676"/>
      <c r="AO319" s="676"/>
      <c r="AP319" s="676"/>
      <c r="AQ319" s="676"/>
      <c r="AR319" s="676"/>
      <c r="AS319" s="676"/>
      <c r="AT319" s="676"/>
      <c r="AU319" s="676"/>
      <c r="AV319" s="676"/>
      <c r="AW319" s="676"/>
      <c r="AX319" s="676"/>
      <c r="AY319" s="676"/>
      <c r="AZ319" s="676"/>
      <c r="BA319" s="676"/>
      <c r="BB319" s="676"/>
    </row>
    <row r="321" spans="31:31" x14ac:dyDescent="0.2">
      <c r="AE321" s="103"/>
    </row>
    <row r="326" spans="31:31" x14ac:dyDescent="0.2">
      <c r="AE326" s="103"/>
    </row>
    <row r="331" spans="31:31" x14ac:dyDescent="0.2">
      <c r="AE331" s="103"/>
    </row>
    <row r="336" spans="31:31" x14ac:dyDescent="0.2">
      <c r="AE336" s="103"/>
    </row>
  </sheetData>
  <sheetProtection algorithmName="SHA-512" hashValue="rX2Y9Ig0pGWAOZw+xSAzuPzIis7RZE5Gk8GaHnc16x/aeHjAAOg9xfCfmwLHHSvd2CWg/wIsJGH0e1how03Wkw==" saltValue="aeCuN1CdRrnNGbuW+SsS7g==" spinCount="100000" sheet="1" objects="1" scenarios="1"/>
  <phoneticPr fontId="45" type="noConversion"/>
  <pageMargins left="0.74803149606299213" right="0.74803149606299213" top="0.98425196850393704" bottom="0.98425196850393704" header="0.51181102362204722" footer="0.51181102362204722"/>
  <pageSetup paperSize="9" scale="50" orientation="portrait" r:id="rId1"/>
  <headerFooter alignWithMargins="0">
    <oddHeader>&amp;L&amp;F&amp;R&amp;A</oddHeader>
    <oddFooter>&amp;Lkeizer&amp;Cpagina &amp;P&amp;R&amp;D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S173"/>
  <sheetViews>
    <sheetView showGridLines="0" zoomScale="85" zoomScaleNormal="85" zoomScaleSheetLayoutView="85" zoomScalePageLayoutView="80" workbookViewId="0">
      <selection activeCell="B2" sqref="B2"/>
    </sheetView>
  </sheetViews>
  <sheetFormatPr defaultRowHeight="12.75" x14ac:dyDescent="0.2"/>
  <cols>
    <col min="1" max="1" width="3.7109375" style="6" customWidth="1"/>
    <col min="2" max="3" width="2.7109375" style="6" customWidth="1"/>
    <col min="4" max="4" width="35.7109375" style="6" customWidth="1"/>
    <col min="5" max="5" width="1.7109375" style="6" customWidth="1"/>
    <col min="6" max="6" width="10.7109375" style="6" customWidth="1"/>
    <col min="7" max="7" width="2.42578125" style="6" customWidth="1"/>
    <col min="8" max="8" width="2.7109375" style="6" customWidth="1"/>
    <col min="9" max="9" width="14.85546875" style="6" hidden="1" customWidth="1"/>
    <col min="10" max="14" width="14.85546875" style="6" customWidth="1"/>
    <col min="15" max="16" width="2.7109375" style="6" customWidth="1"/>
    <col min="17" max="17" width="9.140625" style="6"/>
    <col min="18" max="18" width="10" style="6" bestFit="1" customWidth="1"/>
    <col min="19" max="16384" width="9.140625" style="6"/>
  </cols>
  <sheetData>
    <row r="2" spans="2:16" x14ac:dyDescent="0.2">
      <c r="B2" s="17"/>
      <c r="C2" s="18"/>
      <c r="D2" s="18"/>
      <c r="E2" s="18"/>
      <c r="F2" s="18"/>
      <c r="G2" s="18"/>
      <c r="H2" s="18"/>
      <c r="I2" s="18"/>
      <c r="J2" s="18"/>
      <c r="K2" s="18"/>
      <c r="L2" s="18"/>
      <c r="M2" s="18"/>
      <c r="N2" s="18"/>
      <c r="O2" s="18"/>
      <c r="P2" s="19"/>
    </row>
    <row r="3" spans="2:16" x14ac:dyDescent="0.2">
      <c r="B3" s="20"/>
      <c r="C3" s="21"/>
      <c r="D3" s="22"/>
      <c r="E3" s="21"/>
      <c r="F3" s="22"/>
      <c r="G3" s="22"/>
      <c r="H3" s="21"/>
      <c r="I3" s="21"/>
      <c r="J3" s="21"/>
      <c r="K3" s="21"/>
      <c r="L3" s="21"/>
      <c r="M3" s="21"/>
      <c r="N3" s="21"/>
      <c r="O3" s="21"/>
      <c r="P3" s="24"/>
    </row>
    <row r="4" spans="2:16" s="132" customFormat="1" ht="18.75" x14ac:dyDescent="0.3">
      <c r="B4" s="134"/>
      <c r="C4" s="485" t="s">
        <v>249</v>
      </c>
      <c r="D4" s="136"/>
      <c r="E4" s="136"/>
      <c r="F4" s="136"/>
      <c r="G4" s="136"/>
      <c r="H4" s="136"/>
      <c r="I4" s="136"/>
      <c r="J4" s="136"/>
      <c r="K4" s="136"/>
      <c r="L4" s="136"/>
      <c r="M4" s="136"/>
      <c r="N4" s="136"/>
      <c r="O4" s="136"/>
      <c r="P4" s="138"/>
    </row>
    <row r="5" spans="2:16" s="8" customFormat="1" ht="18.75" x14ac:dyDescent="0.3">
      <c r="B5" s="25"/>
      <c r="C5" s="972" t="str">
        <f>'geg ll'!C5</f>
        <v>Voorbeeld SWV VO Alkmaar</v>
      </c>
      <c r="D5" s="26"/>
      <c r="E5" s="26"/>
      <c r="F5" s="26"/>
      <c r="G5" s="26"/>
      <c r="H5" s="26"/>
      <c r="I5" s="26"/>
      <c r="J5" s="26"/>
      <c r="K5" s="26"/>
      <c r="L5" s="26"/>
      <c r="M5" s="26"/>
      <c r="N5" s="26"/>
      <c r="O5" s="26"/>
      <c r="P5" s="27"/>
    </row>
    <row r="6" spans="2:16" x14ac:dyDescent="0.2">
      <c r="B6" s="20"/>
      <c r="C6" s="21"/>
      <c r="D6" s="22"/>
      <c r="E6" s="5"/>
      <c r="F6" s="51"/>
      <c r="G6" s="51"/>
      <c r="H6" s="5"/>
      <c r="I6" s="21"/>
      <c r="J6" s="21"/>
      <c r="K6" s="21"/>
      <c r="L6" s="21"/>
      <c r="M6" s="21"/>
      <c r="N6" s="21"/>
      <c r="O6" s="21"/>
      <c r="P6" s="24"/>
    </row>
    <row r="7" spans="2:16" ht="15" x14ac:dyDescent="0.25">
      <c r="B7" s="20"/>
      <c r="C7" s="683" t="s">
        <v>351</v>
      </c>
      <c r="D7" s="22"/>
      <c r="E7" s="5"/>
      <c r="F7" s="51"/>
      <c r="G7" s="51"/>
      <c r="H7" s="5"/>
      <c r="I7" s="21"/>
      <c r="J7" s="21"/>
      <c r="K7" s="21"/>
      <c r="L7" s="21"/>
      <c r="M7" s="21"/>
      <c r="N7" s="21"/>
      <c r="O7" s="21"/>
      <c r="P7" s="24"/>
    </row>
    <row r="8" spans="2:16" x14ac:dyDescent="0.2">
      <c r="B8" s="20"/>
      <c r="C8" s="21"/>
      <c r="D8" s="22"/>
      <c r="E8" s="5"/>
      <c r="F8" s="51"/>
      <c r="G8" s="51"/>
      <c r="H8" s="5"/>
      <c r="I8" s="445"/>
      <c r="J8" s="445"/>
      <c r="K8" s="445"/>
      <c r="L8" s="445"/>
      <c r="M8" s="445"/>
      <c r="N8" s="445"/>
      <c r="O8" s="21"/>
      <c r="P8" s="24"/>
    </row>
    <row r="9" spans="2:16" x14ac:dyDescent="0.2">
      <c r="B9" s="20"/>
      <c r="C9" s="21"/>
      <c r="D9" s="21"/>
      <c r="E9" s="455"/>
      <c r="F9" s="454"/>
      <c r="G9" s="464"/>
      <c r="H9" s="1081" t="s">
        <v>105</v>
      </c>
      <c r="I9" s="54" t="e">
        <f>tab!#REF!</f>
        <v>#REF!</v>
      </c>
      <c r="J9" s="479">
        <f>tab!C6</f>
        <v>2023</v>
      </c>
      <c r="K9" s="479">
        <f>tab!D6</f>
        <v>2024</v>
      </c>
      <c r="L9" s="479">
        <f>tab!E6</f>
        <v>2025</v>
      </c>
      <c r="M9" s="479">
        <f>tab!F6</f>
        <v>2026</v>
      </c>
      <c r="N9" s="479">
        <f>tab!G6</f>
        <v>2027</v>
      </c>
      <c r="O9" s="21"/>
      <c r="P9" s="24"/>
    </row>
    <row r="10" spans="2:16" x14ac:dyDescent="0.2">
      <c r="B10" s="20"/>
      <c r="C10" s="21"/>
      <c r="D10" s="53"/>
      <c r="E10" s="5"/>
      <c r="F10" s="51"/>
      <c r="G10" s="51"/>
      <c r="H10" s="5"/>
      <c r="I10" s="445"/>
      <c r="J10" s="445"/>
      <c r="K10" s="445"/>
      <c r="L10" s="445"/>
      <c r="M10" s="445"/>
      <c r="N10" s="445"/>
      <c r="O10" s="21"/>
      <c r="P10" s="24"/>
    </row>
    <row r="11" spans="2:16" x14ac:dyDescent="0.2">
      <c r="B11" s="20"/>
      <c r="C11" s="33"/>
      <c r="D11" s="35"/>
      <c r="E11" s="33"/>
      <c r="F11" s="35"/>
      <c r="G11" s="35"/>
      <c r="H11" s="33"/>
      <c r="I11" s="149"/>
      <c r="J11" s="33"/>
      <c r="K11" s="33"/>
      <c r="L11" s="33"/>
      <c r="M11" s="33"/>
      <c r="N11" s="33"/>
      <c r="O11" s="33"/>
      <c r="P11" s="24"/>
    </row>
    <row r="12" spans="2:16" x14ac:dyDescent="0.2">
      <c r="B12" s="20"/>
      <c r="C12" s="33"/>
      <c r="D12" s="462" t="s">
        <v>233</v>
      </c>
      <c r="E12" s="33"/>
      <c r="F12" s="35"/>
      <c r="G12" s="35"/>
      <c r="H12" s="33"/>
      <c r="I12" s="149"/>
      <c r="J12" s="33"/>
      <c r="K12" s="33"/>
      <c r="L12" s="33"/>
      <c r="M12" s="33"/>
      <c r="N12" s="33"/>
      <c r="O12" s="33"/>
      <c r="P12" s="24"/>
    </row>
    <row r="13" spans="2:16" x14ac:dyDescent="0.2">
      <c r="B13" s="20"/>
      <c r="C13" s="33"/>
      <c r="D13" s="35"/>
      <c r="E13" s="33"/>
      <c r="F13" s="35"/>
      <c r="G13" s="35"/>
      <c r="H13" s="33"/>
      <c r="I13" s="149"/>
      <c r="J13" s="33"/>
      <c r="K13" s="33"/>
      <c r="L13" s="33"/>
      <c r="M13" s="33"/>
      <c r="N13" s="33"/>
      <c r="O13" s="33"/>
      <c r="P13" s="24"/>
    </row>
    <row r="14" spans="2:16" x14ac:dyDescent="0.2">
      <c r="B14" s="20"/>
      <c r="C14" s="33"/>
      <c r="D14" s="35"/>
      <c r="E14" s="33"/>
      <c r="F14" s="35"/>
      <c r="G14" s="35"/>
      <c r="H14" s="33"/>
      <c r="I14" s="463" t="e">
        <f t="shared" ref="I14:N14" si="0">I9</f>
        <v>#REF!</v>
      </c>
      <c r="J14" s="463">
        <f t="shared" si="0"/>
        <v>2023</v>
      </c>
      <c r="K14" s="463">
        <f t="shared" si="0"/>
        <v>2024</v>
      </c>
      <c r="L14" s="463">
        <f t="shared" si="0"/>
        <v>2025</v>
      </c>
      <c r="M14" s="463">
        <f t="shared" si="0"/>
        <v>2026</v>
      </c>
      <c r="N14" s="463">
        <f t="shared" si="0"/>
        <v>2027</v>
      </c>
      <c r="O14" s="33"/>
      <c r="P14" s="24"/>
    </row>
    <row r="15" spans="2:16" x14ac:dyDescent="0.2">
      <c r="B15" s="20"/>
      <c r="C15" s="33"/>
      <c r="D15" s="149" t="s">
        <v>250</v>
      </c>
      <c r="E15" s="33"/>
      <c r="F15" s="33"/>
      <c r="G15" s="33"/>
      <c r="H15" s="33"/>
      <c r="I15" s="429" t="e">
        <f t="shared" ref="I15:N15" si="1">+I133</f>
        <v>#NAME?</v>
      </c>
      <c r="J15" s="429">
        <f t="shared" si="1"/>
        <v>7732201.2299999995</v>
      </c>
      <c r="K15" s="429">
        <f t="shared" si="1"/>
        <v>7732201.2299999995</v>
      </c>
      <c r="L15" s="429">
        <f t="shared" si="1"/>
        <v>7732201.2299999995</v>
      </c>
      <c r="M15" s="429">
        <f t="shared" si="1"/>
        <v>7732201.2299999995</v>
      </c>
      <c r="N15" s="429">
        <f t="shared" si="1"/>
        <v>7732201.2299999995</v>
      </c>
      <c r="O15" s="33"/>
      <c r="P15" s="24"/>
    </row>
    <row r="16" spans="2:16" x14ac:dyDescent="0.2">
      <c r="B16" s="20"/>
      <c r="C16" s="33"/>
      <c r="D16" s="149" t="s">
        <v>633</v>
      </c>
      <c r="E16" s="33"/>
      <c r="F16" s="33"/>
      <c r="G16" s="33"/>
      <c r="H16" s="33"/>
      <c r="I16" s="466" t="e">
        <f>+bekost!#REF!+bekost!#REF!</f>
        <v>#REF!</v>
      </c>
      <c r="J16" s="466">
        <f>+bekost!I30</f>
        <v>10884127.379999999</v>
      </c>
      <c r="K16" s="466">
        <f>+bekost!J30</f>
        <v>10884127.379999999</v>
      </c>
      <c r="L16" s="466">
        <f>+bekost!K30</f>
        <v>10884127.379999999</v>
      </c>
      <c r="M16" s="466">
        <f>+bekost!L30</f>
        <v>10884127.379999999</v>
      </c>
      <c r="N16" s="466">
        <f>+bekost!M30</f>
        <v>10884127.379999999</v>
      </c>
      <c r="O16" s="33"/>
      <c r="P16" s="24"/>
    </row>
    <row r="17" spans="2:31" x14ac:dyDescent="0.2">
      <c r="B17" s="20"/>
      <c r="C17" s="33"/>
      <c r="D17" s="153" t="s">
        <v>634</v>
      </c>
      <c r="E17" s="33"/>
      <c r="F17" s="33"/>
      <c r="G17" s="33"/>
      <c r="H17" s="33"/>
      <c r="I17" s="432" t="e">
        <f t="shared" ref="I17:N17" si="2">IF(I15&gt;I16,I15-I16,0)</f>
        <v>#NAME?</v>
      </c>
      <c r="J17" s="432">
        <f t="shared" si="2"/>
        <v>0</v>
      </c>
      <c r="K17" s="432">
        <f t="shared" si="2"/>
        <v>0</v>
      </c>
      <c r="L17" s="432">
        <f t="shared" si="2"/>
        <v>0</v>
      </c>
      <c r="M17" s="432">
        <f t="shared" si="2"/>
        <v>0</v>
      </c>
      <c r="N17" s="432">
        <f t="shared" si="2"/>
        <v>0</v>
      </c>
      <c r="O17" s="33"/>
      <c r="P17" s="24"/>
    </row>
    <row r="18" spans="2:31" x14ac:dyDescent="0.2">
      <c r="B18" s="72"/>
      <c r="C18" s="153"/>
      <c r="D18" s="153" t="s">
        <v>251</v>
      </c>
      <c r="E18" s="153"/>
      <c r="F18" s="153"/>
      <c r="G18" s="153"/>
      <c r="H18" s="153"/>
      <c r="I18" s="433" t="e">
        <f>ROUND(I17/'geg ll'!G80,2)</f>
        <v>#NAME?</v>
      </c>
      <c r="J18" s="433">
        <f>ROUND(J17/'geg ll'!G80,2)</f>
        <v>0</v>
      </c>
      <c r="K18" s="433">
        <f>ROUND(K17/'geg ll'!H80,2)</f>
        <v>0</v>
      </c>
      <c r="L18" s="433">
        <f>ROUND(L17/'geg ll'!I80,2)</f>
        <v>0</v>
      </c>
      <c r="M18" s="433">
        <f>ROUND(M17/'geg ll'!J80,2)</f>
        <v>0</v>
      </c>
      <c r="N18" s="433">
        <f>ROUND(N17/'geg ll'!K80,2)</f>
        <v>0</v>
      </c>
      <c r="O18" s="153"/>
      <c r="P18" s="83"/>
    </row>
    <row r="19" spans="2:31" x14ac:dyDescent="0.2">
      <c r="B19" s="20"/>
      <c r="C19" s="33"/>
      <c r="D19" s="33"/>
      <c r="E19" s="33"/>
      <c r="F19" s="33"/>
      <c r="G19" s="33"/>
      <c r="H19" s="33"/>
      <c r="I19" s="33"/>
      <c r="J19" s="33"/>
      <c r="K19" s="33"/>
      <c r="L19" s="33"/>
      <c r="M19" s="33"/>
      <c r="N19" s="33"/>
      <c r="O19" s="33"/>
      <c r="P19" s="24"/>
    </row>
    <row r="20" spans="2:31" x14ac:dyDescent="0.2">
      <c r="B20" s="20"/>
      <c r="C20" s="21"/>
      <c r="D20" s="21"/>
      <c r="E20" s="21"/>
      <c r="F20" s="21"/>
      <c r="G20" s="21"/>
      <c r="H20" s="21"/>
      <c r="I20" s="21"/>
      <c r="J20" s="21"/>
      <c r="K20" s="21"/>
      <c r="L20" s="21"/>
      <c r="M20" s="21"/>
      <c r="N20" s="21"/>
      <c r="O20" s="21"/>
      <c r="P20" s="24"/>
    </row>
    <row r="21" spans="2:31" x14ac:dyDescent="0.2">
      <c r="B21" s="20"/>
      <c r="C21" s="21"/>
      <c r="D21" s="21"/>
      <c r="E21" s="21"/>
      <c r="F21" s="21"/>
      <c r="G21" s="21"/>
      <c r="H21" s="21"/>
      <c r="I21" s="21"/>
      <c r="J21" s="21"/>
      <c r="K21" s="21"/>
      <c r="L21" s="21"/>
      <c r="M21" s="21"/>
      <c r="N21" s="21"/>
      <c r="O21" s="21"/>
      <c r="P21" s="24"/>
    </row>
    <row r="22" spans="2:31" x14ac:dyDescent="0.2">
      <c r="B22" s="20"/>
      <c r="C22" s="21"/>
      <c r="D22" s="465"/>
      <c r="E22" s="465"/>
      <c r="F22" s="465"/>
      <c r="G22" s="465"/>
      <c r="H22" s="465"/>
      <c r="I22" s="456" t="e">
        <f t="shared" ref="I22:N22" si="3">+I9</f>
        <v>#REF!</v>
      </c>
      <c r="J22" s="456">
        <f t="shared" si="3"/>
        <v>2023</v>
      </c>
      <c r="K22" s="456">
        <f t="shared" si="3"/>
        <v>2024</v>
      </c>
      <c r="L22" s="456">
        <f t="shared" si="3"/>
        <v>2025</v>
      </c>
      <c r="M22" s="456">
        <f t="shared" si="3"/>
        <v>2026</v>
      </c>
      <c r="N22" s="456">
        <f t="shared" si="3"/>
        <v>2027</v>
      </c>
      <c r="O22" s="21"/>
      <c r="P22" s="24"/>
    </row>
    <row r="23" spans="2:31" x14ac:dyDescent="0.2">
      <c r="B23" s="20"/>
      <c r="C23" s="21"/>
      <c r="D23" s="465"/>
      <c r="E23" s="465"/>
      <c r="F23" s="465"/>
      <c r="G23" s="465"/>
      <c r="H23" s="465"/>
      <c r="I23" s="465"/>
      <c r="J23" s="465"/>
      <c r="K23" s="465"/>
      <c r="L23" s="465"/>
      <c r="M23" s="465"/>
      <c r="N23" s="465"/>
      <c r="O23" s="21"/>
      <c r="P23" s="24"/>
    </row>
    <row r="24" spans="2:31" x14ac:dyDescent="0.2">
      <c r="B24" s="20"/>
      <c r="C24" s="31"/>
      <c r="D24" s="474"/>
      <c r="E24" s="475"/>
      <c r="F24" s="474"/>
      <c r="G24" s="474"/>
      <c r="H24" s="475"/>
      <c r="I24" s="475"/>
      <c r="J24" s="475"/>
      <c r="K24" s="475"/>
      <c r="L24" s="475"/>
      <c r="M24" s="475"/>
      <c r="N24" s="475"/>
      <c r="O24" s="31"/>
      <c r="P24" s="24"/>
    </row>
    <row r="25" spans="2:31" x14ac:dyDescent="0.2">
      <c r="B25" s="20"/>
      <c r="C25" s="33"/>
      <c r="D25" s="147" t="s">
        <v>632</v>
      </c>
      <c r="E25" s="467"/>
      <c r="F25" s="462"/>
      <c r="G25" s="462"/>
      <c r="H25" s="467"/>
      <c r="I25" s="476"/>
      <c r="J25" s="476"/>
      <c r="K25" s="476"/>
      <c r="L25" s="476"/>
      <c r="M25" s="476"/>
      <c r="N25" s="476"/>
      <c r="O25" s="33"/>
      <c r="P25" s="24"/>
    </row>
    <row r="26" spans="2:31" x14ac:dyDescent="0.2">
      <c r="B26" s="20"/>
      <c r="C26" s="33"/>
      <c r="D26" s="313"/>
      <c r="E26" s="33"/>
      <c r="F26" s="313"/>
      <c r="G26" s="313"/>
      <c r="H26" s="33"/>
      <c r="I26" s="33"/>
      <c r="J26" s="33"/>
      <c r="K26" s="33"/>
      <c r="L26" s="33"/>
      <c r="M26" s="33"/>
      <c r="N26" s="33"/>
      <c r="O26" s="33"/>
      <c r="P26" s="24"/>
      <c r="AC26" s="103"/>
      <c r="AD26" s="103"/>
      <c r="AE26" s="103"/>
    </row>
    <row r="27" spans="2:31" x14ac:dyDescent="0.2">
      <c r="B27" s="20"/>
      <c r="C27" s="33"/>
      <c r="D27" s="461" t="str">
        <f>'geg ll'!D108</f>
        <v>School 1</v>
      </c>
      <c r="E27" s="33"/>
      <c r="F27" s="149" t="s">
        <v>229</v>
      </c>
      <c r="G27" s="64"/>
      <c r="H27" s="33"/>
      <c r="I27" s="431" t="e">
        <f>ROUND('geg ll'!G108*VLOOKUP($F27,categoriePersVSO,8,FALSE),2)</f>
        <v>#NAME?</v>
      </c>
      <c r="J27" s="431">
        <f>ROUND('geg ll'!G108*tab!C16,2)</f>
        <v>5751601.3799999999</v>
      </c>
      <c r="K27" s="431">
        <f>ROUND('geg ll'!H108*tab!D16,2)</f>
        <v>5751601.3799999999</v>
      </c>
      <c r="L27" s="431">
        <f>ROUND('geg ll'!I108*tab!E16,2)</f>
        <v>5751601.3799999999</v>
      </c>
      <c r="M27" s="431">
        <f>ROUND('geg ll'!J108*tab!F16,2)</f>
        <v>5751601.3799999999</v>
      </c>
      <c r="N27" s="431">
        <f>ROUND('geg ll'!K108*tab!G16,2)</f>
        <v>5751601.3799999999</v>
      </c>
      <c r="O27" s="33"/>
      <c r="P27" s="24"/>
    </row>
    <row r="28" spans="2:31" x14ac:dyDescent="0.2">
      <c r="B28" s="20"/>
      <c r="C28" s="33"/>
      <c r="D28" s="149" t="s">
        <v>1</v>
      </c>
      <c r="E28" s="33"/>
      <c r="F28" s="149" t="s">
        <v>230</v>
      </c>
      <c r="G28" s="64"/>
      <c r="H28" s="33"/>
      <c r="I28" s="431" t="e">
        <f>ROUND('geg ll'!G109*VLOOKUP($F28,categoriePersVSO,8,FALSE),2)</f>
        <v>#NAME?</v>
      </c>
      <c r="J28" s="431">
        <f>ROUND('geg ll'!G109*tab!C17,2)</f>
        <v>848027.05</v>
      </c>
      <c r="K28" s="431">
        <f>ROUND('geg ll'!H109*tab!D17,2)</f>
        <v>848027.05</v>
      </c>
      <c r="L28" s="431">
        <f>ROUND('geg ll'!I109*tab!E17,2)</f>
        <v>848027.05</v>
      </c>
      <c r="M28" s="431">
        <f>ROUND('geg ll'!J109*tab!F17,2)</f>
        <v>848027.05</v>
      </c>
      <c r="N28" s="431">
        <f>ROUND('geg ll'!K109*tab!G17,2)</f>
        <v>848027.05</v>
      </c>
      <c r="O28" s="33"/>
      <c r="P28" s="24"/>
    </row>
    <row r="29" spans="2:31" x14ac:dyDescent="0.2">
      <c r="B29" s="20"/>
      <c r="C29" s="33"/>
      <c r="D29" s="149"/>
      <c r="E29" s="33"/>
      <c r="F29" s="149" t="s">
        <v>231</v>
      </c>
      <c r="G29" s="64"/>
      <c r="H29" s="33"/>
      <c r="I29" s="431" t="e">
        <f>ROUND('geg ll'!G110*VLOOKUP($F29,categoriePersVSO,8,FALSE),2)</f>
        <v>#NAME?</v>
      </c>
      <c r="J29" s="431">
        <f>ROUND('geg ll'!G110*tab!C18,2)</f>
        <v>1132572.8</v>
      </c>
      <c r="K29" s="431">
        <f>ROUND('geg ll'!H110*tab!D18,2)</f>
        <v>1132572.8</v>
      </c>
      <c r="L29" s="431">
        <f>ROUND('geg ll'!I110*tab!E18,2)</f>
        <v>1132572.8</v>
      </c>
      <c r="M29" s="431">
        <f>ROUND('geg ll'!J110*tab!F18,2)</f>
        <v>1132572.8</v>
      </c>
      <c r="N29" s="431">
        <f>ROUND('geg ll'!K110*tab!G18,2)</f>
        <v>1132572.8</v>
      </c>
      <c r="O29" s="33"/>
      <c r="P29" s="24"/>
    </row>
    <row r="30" spans="2:31" x14ac:dyDescent="0.2">
      <c r="B30" s="20"/>
      <c r="C30" s="33"/>
      <c r="D30" s="461" t="str">
        <f>'geg ll'!D112</f>
        <v>School 2</v>
      </c>
      <c r="E30" s="33"/>
      <c r="F30" s="33" t="str">
        <f>IF('geg ll'!F112=1,"categorie 1",IF('geg ll'!F112=2,"categorie 2","categorie 3"))</f>
        <v>categorie 1</v>
      </c>
      <c r="G30" s="64"/>
      <c r="H30" s="33"/>
      <c r="I30" s="431" t="e">
        <f>ROUND('geg ll'!G112*VLOOKUP($F30,categoriePersVSO,8,FALSE),2)</f>
        <v>#NAME?</v>
      </c>
      <c r="J30" s="431">
        <f>ROUND('geg ll'!G112*tab!C16,2)</f>
        <v>0</v>
      </c>
      <c r="K30" s="431">
        <f>ROUND('geg ll'!G112*tab!D16,2)</f>
        <v>0</v>
      </c>
      <c r="L30" s="431">
        <f>ROUND('geg ll'!H112*tab!E16,2)</f>
        <v>0</v>
      </c>
      <c r="M30" s="431">
        <f>ROUND('geg ll'!I112*tab!F16,2)</f>
        <v>0</v>
      </c>
      <c r="N30" s="431">
        <f>ROUND('geg ll'!J112*tab!H16,2)</f>
        <v>0</v>
      </c>
      <c r="O30" s="33"/>
      <c r="P30" s="24"/>
    </row>
    <row r="31" spans="2:31" x14ac:dyDescent="0.2">
      <c r="B31" s="28"/>
      <c r="C31" s="148"/>
      <c r="D31" s="149" t="s">
        <v>1</v>
      </c>
      <c r="E31" s="33"/>
      <c r="F31" s="33" t="str">
        <f>IF('geg ll'!F113=1,"categorie 1",IF('geg ll'!F113=2,"categorie 2","categorie 3"))</f>
        <v>categorie 2</v>
      </c>
      <c r="G31" s="64"/>
      <c r="H31" s="33"/>
      <c r="I31" s="431" t="e">
        <f>ROUND('geg ll'!G113*VLOOKUP($F31,categoriePersVSO,8,FALSE),2)</f>
        <v>#NAME?</v>
      </c>
      <c r="J31" s="431">
        <f>ROUND('geg ll'!G113*tab!C17,2)</f>
        <v>0</v>
      </c>
      <c r="K31" s="431">
        <f>ROUND('geg ll'!G113*tab!D17,2)</f>
        <v>0</v>
      </c>
      <c r="L31" s="431">
        <f>ROUND('geg ll'!H113*tab!E17,2)</f>
        <v>0</v>
      </c>
      <c r="M31" s="431">
        <f>ROUND('geg ll'!I113*tab!F17,2)</f>
        <v>0</v>
      </c>
      <c r="N31" s="431">
        <f>ROUND('geg ll'!J113*tab!H17,2)</f>
        <v>0</v>
      </c>
      <c r="O31" s="148"/>
      <c r="P31" s="29"/>
    </row>
    <row r="32" spans="2:31" x14ac:dyDescent="0.2">
      <c r="B32" s="28"/>
      <c r="C32" s="148"/>
      <c r="D32" s="149"/>
      <c r="E32" s="33"/>
      <c r="F32" s="33" t="str">
        <f>IF('geg ll'!F114=1,"categorie 1",IF('geg ll'!F114=2,"categorie 2","categorie 3"))</f>
        <v>categorie 3</v>
      </c>
      <c r="G32" s="64"/>
      <c r="H32" s="33"/>
      <c r="I32" s="431" t="e">
        <f>ROUND('geg ll'!G114*VLOOKUP($F32,categoriePersVSO,8,FALSE),2)</f>
        <v>#NAME?</v>
      </c>
      <c r="J32" s="431">
        <f>ROUND('geg ll'!G114*tab!C18,2)</f>
        <v>0</v>
      </c>
      <c r="K32" s="431">
        <f>ROUND('geg ll'!G114*tab!D18,2)</f>
        <v>0</v>
      </c>
      <c r="L32" s="431">
        <f>ROUND('geg ll'!H114*tab!E18,2)</f>
        <v>0</v>
      </c>
      <c r="M32" s="431">
        <f>ROUND('geg ll'!I114*tab!F18,2)</f>
        <v>0</v>
      </c>
      <c r="N32" s="431">
        <f>ROUND('geg ll'!J114*tab!H18,2)</f>
        <v>0</v>
      </c>
      <c r="O32" s="148"/>
      <c r="P32" s="29"/>
    </row>
    <row r="33" spans="2:16" x14ac:dyDescent="0.2">
      <c r="B33" s="28"/>
      <c r="C33" s="148"/>
      <c r="D33" s="461" t="str">
        <f>'geg ll'!D116</f>
        <v>School 3</v>
      </c>
      <c r="E33" s="33"/>
      <c r="F33" s="33" t="str">
        <f>IF('geg ll'!F116=1,"categorie 1",IF('geg ll'!F116=2,"categorie 2","categorie 3"))</f>
        <v>categorie 1</v>
      </c>
      <c r="G33" s="64"/>
      <c r="H33" s="33"/>
      <c r="I33" s="431" t="e">
        <f>ROUND('geg ll'!G116*VLOOKUP($F33,categoriePersVSO,8,FALSE),2)</f>
        <v>#NAME?</v>
      </c>
      <c r="J33" s="431">
        <f>ROUND('geg ll'!G116*tab!C16,2)</f>
        <v>0</v>
      </c>
      <c r="K33" s="431">
        <f>ROUND('geg ll'!G116*tab!D16,2)</f>
        <v>0</v>
      </c>
      <c r="L33" s="431">
        <f>ROUND('geg ll'!H116*tab!E16,2)</f>
        <v>0</v>
      </c>
      <c r="M33" s="431">
        <f>ROUND('geg ll'!I116*tab!F16,2)</f>
        <v>0</v>
      </c>
      <c r="N33" s="431">
        <f>ROUND('geg ll'!J116*tab!H16,2)</f>
        <v>0</v>
      </c>
      <c r="O33" s="148"/>
      <c r="P33" s="29"/>
    </row>
    <row r="34" spans="2:16" x14ac:dyDescent="0.2">
      <c r="B34" s="28"/>
      <c r="C34" s="148"/>
      <c r="D34" s="149" t="s">
        <v>1</v>
      </c>
      <c r="E34" s="33"/>
      <c r="F34" s="33" t="str">
        <f>IF('geg ll'!F117=1,"categorie 1",IF('geg ll'!F117=2,"categorie 2","categorie 3"))</f>
        <v>categorie 2</v>
      </c>
      <c r="G34" s="64"/>
      <c r="H34" s="33"/>
      <c r="I34" s="431" t="e">
        <f>ROUND('geg ll'!G117*VLOOKUP($F34,categoriePersVSO,8,FALSE),2)</f>
        <v>#NAME?</v>
      </c>
      <c r="J34" s="431">
        <f>ROUND('geg ll'!G117*tab!C17,2)</f>
        <v>0</v>
      </c>
      <c r="K34" s="431">
        <f>ROUND('geg ll'!G117*tab!D17,2)</f>
        <v>0</v>
      </c>
      <c r="L34" s="431">
        <f>ROUND('geg ll'!H117*tab!E17,2)</f>
        <v>0</v>
      </c>
      <c r="M34" s="431">
        <f>ROUND('geg ll'!I117*tab!F17,2)</f>
        <v>0</v>
      </c>
      <c r="N34" s="431">
        <f>ROUND('geg ll'!J117*tab!H17,2)</f>
        <v>0</v>
      </c>
      <c r="O34" s="148"/>
      <c r="P34" s="29"/>
    </row>
    <row r="35" spans="2:16" x14ac:dyDescent="0.2">
      <c r="B35" s="28"/>
      <c r="C35" s="148"/>
      <c r="D35" s="149"/>
      <c r="E35" s="33"/>
      <c r="F35" s="33" t="str">
        <f>IF('geg ll'!F118=1,"categorie 1",IF('geg ll'!F118=2,"categorie 2","categorie 3"))</f>
        <v>categorie 3</v>
      </c>
      <c r="G35" s="64"/>
      <c r="H35" s="33"/>
      <c r="I35" s="431" t="e">
        <f>ROUND('geg ll'!G118*VLOOKUP($F35,categoriePersVSO,8,FALSE),2)</f>
        <v>#NAME?</v>
      </c>
      <c r="J35" s="431">
        <f>ROUND('geg ll'!G118*tab!C18,2)</f>
        <v>0</v>
      </c>
      <c r="K35" s="431">
        <f>ROUND('geg ll'!G118*tab!D18,2)</f>
        <v>0</v>
      </c>
      <c r="L35" s="431">
        <f>ROUND('geg ll'!H118*tab!E18,2)</f>
        <v>0</v>
      </c>
      <c r="M35" s="431">
        <f>ROUND('geg ll'!I118*tab!F18,2)</f>
        <v>0</v>
      </c>
      <c r="N35" s="431">
        <f>ROUND('geg ll'!J118*tab!H18,2)</f>
        <v>0</v>
      </c>
      <c r="O35" s="148"/>
      <c r="P35" s="29"/>
    </row>
    <row r="36" spans="2:16" x14ac:dyDescent="0.2">
      <c r="B36" s="20"/>
      <c r="C36" s="33"/>
      <c r="D36" s="461" t="str">
        <f>'geg ll'!D120</f>
        <v>School 4</v>
      </c>
      <c r="E36" s="33"/>
      <c r="F36" s="33" t="str">
        <f>IF('geg ll'!F120=1,"categorie 1",IF('geg ll'!F120=2,"categorie 2","categorie 3"))</f>
        <v>categorie 1</v>
      </c>
      <c r="G36" s="64"/>
      <c r="H36" s="33"/>
      <c r="I36" s="431" t="e">
        <f>ROUND('geg ll'!G120*VLOOKUP($F36,categoriePersVSO,8,FALSE),2)</f>
        <v>#NAME?</v>
      </c>
      <c r="J36" s="431">
        <f>ROUND('geg ll'!G120*tab!C16,2)</f>
        <v>0</v>
      </c>
      <c r="K36" s="431">
        <f>ROUND('geg ll'!G120*tab!D16,2)</f>
        <v>0</v>
      </c>
      <c r="L36" s="431">
        <f>ROUND('geg ll'!H120*tab!E16,2)</f>
        <v>0</v>
      </c>
      <c r="M36" s="431">
        <f>ROUND('geg ll'!I120*tab!F16,2)</f>
        <v>0</v>
      </c>
      <c r="N36" s="431">
        <f>ROUND('geg ll'!J120*tab!H16,2)</f>
        <v>0</v>
      </c>
      <c r="O36" s="33"/>
      <c r="P36" s="24"/>
    </row>
    <row r="37" spans="2:16" x14ac:dyDescent="0.2">
      <c r="B37" s="20"/>
      <c r="C37" s="33"/>
      <c r="D37" s="149" t="s">
        <v>1</v>
      </c>
      <c r="E37" s="33"/>
      <c r="F37" s="33" t="str">
        <f>IF('geg ll'!F121=1,"categorie 1",IF('geg ll'!F121=2,"categorie 2","categorie 3"))</f>
        <v>categorie 2</v>
      </c>
      <c r="G37" s="64"/>
      <c r="H37" s="33"/>
      <c r="I37" s="431" t="e">
        <f>ROUND('geg ll'!G121*VLOOKUP($F37,categoriePersVSO,8,FALSE),2)</f>
        <v>#NAME?</v>
      </c>
      <c r="J37" s="431">
        <f>ROUND('geg ll'!G121*tab!C17,2)</f>
        <v>0</v>
      </c>
      <c r="K37" s="431">
        <f>ROUND('geg ll'!G121*tab!D17,2)</f>
        <v>0</v>
      </c>
      <c r="L37" s="431">
        <f>ROUND('geg ll'!H121*tab!E17,2)</f>
        <v>0</v>
      </c>
      <c r="M37" s="431">
        <f>ROUND('geg ll'!I121*tab!F17,2)</f>
        <v>0</v>
      </c>
      <c r="N37" s="431">
        <f>ROUND('geg ll'!J121*tab!H17,2)</f>
        <v>0</v>
      </c>
      <c r="O37" s="33"/>
      <c r="P37" s="24"/>
    </row>
    <row r="38" spans="2:16" x14ac:dyDescent="0.2">
      <c r="B38" s="20"/>
      <c r="C38" s="33"/>
      <c r="D38" s="149"/>
      <c r="E38" s="33"/>
      <c r="F38" s="33" t="str">
        <f>IF('geg ll'!F122=1,"categorie 1",IF('geg ll'!F122=2,"categorie 2","categorie 3"))</f>
        <v>categorie 3</v>
      </c>
      <c r="G38" s="64"/>
      <c r="H38" s="33"/>
      <c r="I38" s="431" t="e">
        <f>ROUND('geg ll'!G122*VLOOKUP($F38,categoriePersVSO,8,FALSE),2)</f>
        <v>#NAME?</v>
      </c>
      <c r="J38" s="431">
        <f>ROUND('geg ll'!G122*tab!C18,2)</f>
        <v>0</v>
      </c>
      <c r="K38" s="431">
        <f>ROUND('geg ll'!G122*tab!D18,2)</f>
        <v>0</v>
      </c>
      <c r="L38" s="431">
        <f>ROUND('geg ll'!H122*tab!E18,2)</f>
        <v>0</v>
      </c>
      <c r="M38" s="431">
        <f>ROUND('geg ll'!I122*tab!F18,2)</f>
        <v>0</v>
      </c>
      <c r="N38" s="431">
        <f>ROUND('geg ll'!J122*tab!H18,2)</f>
        <v>0</v>
      </c>
      <c r="O38" s="33"/>
      <c r="P38" s="24"/>
    </row>
    <row r="39" spans="2:16" x14ac:dyDescent="0.2">
      <c r="B39" s="20"/>
      <c r="C39" s="33"/>
      <c r="D39" s="461" t="str">
        <f>'geg ll'!D124</f>
        <v>School 5</v>
      </c>
      <c r="E39" s="33"/>
      <c r="F39" s="33" t="str">
        <f>IF('geg ll'!F124=1,"categorie 1",IF('geg ll'!F124=2,"categorie 2","categorie 3"))</f>
        <v>categorie 1</v>
      </c>
      <c r="G39" s="64"/>
      <c r="H39" s="33"/>
      <c r="I39" s="431" t="e">
        <f>ROUND('geg ll'!G124*VLOOKUP($F38,categoriePersVSO,8,FALSE),2)</f>
        <v>#NAME?</v>
      </c>
      <c r="J39" s="431">
        <f>ROUND('geg ll'!G124*tab!C16,2)</f>
        <v>0</v>
      </c>
      <c r="K39" s="431">
        <f>ROUND('geg ll'!G124*tab!D16,2)</f>
        <v>0</v>
      </c>
      <c r="L39" s="431">
        <f>ROUND('geg ll'!H124*tab!E16,2)</f>
        <v>0</v>
      </c>
      <c r="M39" s="431">
        <f>ROUND('geg ll'!I124*tab!F16,2)</f>
        <v>0</v>
      </c>
      <c r="N39" s="431">
        <f>ROUND('geg ll'!J124*tab!H16,2)</f>
        <v>0</v>
      </c>
      <c r="O39" s="33"/>
      <c r="P39" s="24"/>
    </row>
    <row r="40" spans="2:16" x14ac:dyDescent="0.2">
      <c r="B40" s="20"/>
      <c r="C40" s="33"/>
      <c r="D40" s="149" t="s">
        <v>1</v>
      </c>
      <c r="E40" s="33"/>
      <c r="F40" s="33" t="str">
        <f>IF('geg ll'!F125=1,"categorie 1",IF('geg ll'!F125=2,"categorie 2","categorie 3"))</f>
        <v>categorie 2</v>
      </c>
      <c r="G40" s="64"/>
      <c r="H40" s="33"/>
      <c r="I40" s="431" t="e">
        <f>ROUND('geg ll'!G125*VLOOKUP($F40,categoriePersVSO,8,FALSE),2)</f>
        <v>#NAME?</v>
      </c>
      <c r="J40" s="431">
        <f>ROUND('geg ll'!G125*tab!C17,2)</f>
        <v>0</v>
      </c>
      <c r="K40" s="431">
        <f>ROUND('geg ll'!G125*tab!D17,2)</f>
        <v>0</v>
      </c>
      <c r="L40" s="431">
        <f>ROUND('geg ll'!H125*tab!E17,2)</f>
        <v>0</v>
      </c>
      <c r="M40" s="431">
        <f>ROUND('geg ll'!I125*tab!F17,2)</f>
        <v>0</v>
      </c>
      <c r="N40" s="431">
        <f>ROUND('geg ll'!J125*tab!H17,2)</f>
        <v>0</v>
      </c>
      <c r="O40" s="33"/>
      <c r="P40" s="24"/>
    </row>
    <row r="41" spans="2:16" x14ac:dyDescent="0.2">
      <c r="B41" s="20"/>
      <c r="C41" s="33"/>
      <c r="D41" s="149"/>
      <c r="E41" s="33"/>
      <c r="F41" s="33" t="str">
        <f>IF('geg ll'!F126=1,"categorie 1",IF('geg ll'!F126=2,"categorie 2","categorie 3"))</f>
        <v>categorie 3</v>
      </c>
      <c r="G41" s="64"/>
      <c r="H41" s="33"/>
      <c r="I41" s="431" t="e">
        <f>ROUND('geg ll'!G126*VLOOKUP($F41,categoriePersVSO,8,FALSE),2)</f>
        <v>#NAME?</v>
      </c>
      <c r="J41" s="431">
        <f>ROUND('geg ll'!G126*tab!C18,2)</f>
        <v>0</v>
      </c>
      <c r="K41" s="431">
        <f>ROUND('geg ll'!G126*tab!D18,2)</f>
        <v>0</v>
      </c>
      <c r="L41" s="431">
        <f>ROUND('geg ll'!H126*tab!E18,2)</f>
        <v>0</v>
      </c>
      <c r="M41" s="431">
        <f>ROUND('geg ll'!I126*tab!F18,2)</f>
        <v>0</v>
      </c>
      <c r="N41" s="431">
        <f>ROUND('geg ll'!J126*tab!H18,2)</f>
        <v>0</v>
      </c>
      <c r="O41" s="33"/>
      <c r="P41" s="24"/>
    </row>
    <row r="42" spans="2:16" x14ac:dyDescent="0.2">
      <c r="B42" s="20"/>
      <c r="C42" s="33"/>
      <c r="D42" s="461" t="str">
        <f>'geg ll'!D128</f>
        <v>School 6</v>
      </c>
      <c r="E42" s="33"/>
      <c r="F42" s="33" t="str">
        <f>IF('geg ll'!F128=1,"categorie 1",IF('geg ll'!F128=2,"categorie 2","categorie 3"))</f>
        <v>categorie 1</v>
      </c>
      <c r="G42" s="64"/>
      <c r="H42" s="33"/>
      <c r="I42" s="431" t="e">
        <f>ROUND('geg ll'!G128*VLOOKUP($F42,categoriePersVSO,8,FALSE),2)</f>
        <v>#NAME?</v>
      </c>
      <c r="J42" s="431">
        <f>ROUND('geg ll'!G128*tab!C16,2)</f>
        <v>0</v>
      </c>
      <c r="K42" s="431">
        <f>ROUND('geg ll'!G128*tab!D16,2)</f>
        <v>0</v>
      </c>
      <c r="L42" s="431">
        <f>ROUND('geg ll'!H128*tab!E16,2)</f>
        <v>0</v>
      </c>
      <c r="M42" s="431">
        <f>ROUND('geg ll'!I128*tab!F16,2)</f>
        <v>0</v>
      </c>
      <c r="N42" s="431">
        <f>ROUND('geg ll'!J128*tab!H16,2)</f>
        <v>0</v>
      </c>
      <c r="O42" s="33"/>
      <c r="P42" s="24"/>
    </row>
    <row r="43" spans="2:16" x14ac:dyDescent="0.2">
      <c r="B43" s="20"/>
      <c r="C43" s="33"/>
      <c r="D43" s="149" t="s">
        <v>1</v>
      </c>
      <c r="E43" s="33"/>
      <c r="F43" s="33" t="str">
        <f>IF('geg ll'!F129=1,"categorie 1",IF('geg ll'!F129=2,"categorie 2","categorie 3"))</f>
        <v>categorie 2</v>
      </c>
      <c r="G43" s="64"/>
      <c r="H43" s="33"/>
      <c r="I43" s="431" t="e">
        <f>ROUND('geg ll'!G129*VLOOKUP($F43,categoriePersVSO,8,FALSE),2)</f>
        <v>#NAME?</v>
      </c>
      <c r="J43" s="431">
        <f>ROUND('geg ll'!G129*tab!C17,2)</f>
        <v>0</v>
      </c>
      <c r="K43" s="431">
        <f>ROUND('geg ll'!G129*tab!D17,2)</f>
        <v>0</v>
      </c>
      <c r="L43" s="431">
        <f>ROUND('geg ll'!H129*tab!E17,2)</f>
        <v>0</v>
      </c>
      <c r="M43" s="431">
        <f>ROUND('geg ll'!I129*tab!F17,2)</f>
        <v>0</v>
      </c>
      <c r="N43" s="431">
        <f>ROUND('geg ll'!J129*tab!H17,2)</f>
        <v>0</v>
      </c>
      <c r="O43" s="33"/>
      <c r="P43" s="24"/>
    </row>
    <row r="44" spans="2:16" x14ac:dyDescent="0.2">
      <c r="B44" s="20"/>
      <c r="C44" s="33"/>
      <c r="D44" s="149"/>
      <c r="E44" s="33"/>
      <c r="F44" s="33" t="str">
        <f>IF('geg ll'!F130=1,"categorie 1",IF('geg ll'!F130=2,"categorie 2","categorie 3"))</f>
        <v>categorie 3</v>
      </c>
      <c r="G44" s="64"/>
      <c r="H44" s="33"/>
      <c r="I44" s="431" t="e">
        <f>ROUND('geg ll'!G130*VLOOKUP($F44,categoriePersVSO,8,FALSE),2)</f>
        <v>#NAME?</v>
      </c>
      <c r="J44" s="431">
        <f>ROUND('geg ll'!G130*tab!C18,2)</f>
        <v>0</v>
      </c>
      <c r="K44" s="431">
        <f>ROUND('geg ll'!G130*tab!D18,2)</f>
        <v>0</v>
      </c>
      <c r="L44" s="431">
        <f>ROUND('geg ll'!H130*tab!E18,2)</f>
        <v>0</v>
      </c>
      <c r="M44" s="431">
        <f>ROUND('geg ll'!I130*tab!F18,2)</f>
        <v>0</v>
      </c>
      <c r="N44" s="431">
        <f>ROUND('geg ll'!J130*tab!H18,2)</f>
        <v>0</v>
      </c>
      <c r="O44" s="33"/>
      <c r="P44" s="24"/>
    </row>
    <row r="45" spans="2:16" x14ac:dyDescent="0.2">
      <c r="B45" s="20"/>
      <c r="C45" s="33"/>
      <c r="D45" s="461" t="str">
        <f>'geg ll'!D132</f>
        <v>School 7</v>
      </c>
      <c r="E45" s="33"/>
      <c r="F45" s="33" t="str">
        <f>IF('geg ll'!F132=1,"categorie 1",IF('geg ll'!F132=2,"categorie 2","categorie 3"))</f>
        <v>categorie 1</v>
      </c>
      <c r="G45" s="64"/>
      <c r="H45" s="33"/>
      <c r="I45" s="431" t="e">
        <f>ROUND('geg ll'!G132*VLOOKUP($F45,categoriePersVSO,8,FALSE),2)</f>
        <v>#NAME?</v>
      </c>
      <c r="J45" s="431">
        <f>ROUND('geg ll'!G132*tab!C16,2)</f>
        <v>0</v>
      </c>
      <c r="K45" s="431">
        <f>ROUND('geg ll'!G132*tab!D16,2)</f>
        <v>0</v>
      </c>
      <c r="L45" s="431">
        <f>ROUND('geg ll'!H132*tab!E16,2)</f>
        <v>0</v>
      </c>
      <c r="M45" s="431">
        <f>ROUND('geg ll'!I132*tab!F16,2)</f>
        <v>0</v>
      </c>
      <c r="N45" s="431">
        <f>ROUND('geg ll'!J132*tab!H16,2)</f>
        <v>0</v>
      </c>
      <c r="O45" s="33"/>
      <c r="P45" s="24"/>
    </row>
    <row r="46" spans="2:16" x14ac:dyDescent="0.2">
      <c r="B46" s="20"/>
      <c r="C46" s="33"/>
      <c r="D46" s="149" t="s">
        <v>1</v>
      </c>
      <c r="E46" s="33"/>
      <c r="F46" s="33" t="str">
        <f>IF('geg ll'!F133=1,"categorie 1",IF('geg ll'!F133=2,"categorie 2","categorie 3"))</f>
        <v>categorie 2</v>
      </c>
      <c r="G46" s="64"/>
      <c r="H46" s="33"/>
      <c r="I46" s="431" t="e">
        <f>ROUND('geg ll'!G133*VLOOKUP($F46,categoriePersVSO,8,FALSE),2)</f>
        <v>#NAME?</v>
      </c>
      <c r="J46" s="431">
        <f>ROUND('geg ll'!G133*tab!C17,2)</f>
        <v>0</v>
      </c>
      <c r="K46" s="431">
        <f>ROUND('geg ll'!G133*tab!D17,2)</f>
        <v>0</v>
      </c>
      <c r="L46" s="431">
        <f>ROUND('geg ll'!H133*tab!E17,2)</f>
        <v>0</v>
      </c>
      <c r="M46" s="431">
        <f>ROUND('geg ll'!I133*tab!F17,2)</f>
        <v>0</v>
      </c>
      <c r="N46" s="431">
        <f>ROUND('geg ll'!J133*tab!H17,2)</f>
        <v>0</v>
      </c>
      <c r="O46" s="33"/>
      <c r="P46" s="24"/>
    </row>
    <row r="47" spans="2:16" x14ac:dyDescent="0.2">
      <c r="B47" s="20"/>
      <c r="C47" s="33"/>
      <c r="D47" s="149"/>
      <c r="E47" s="33"/>
      <c r="F47" s="33" t="str">
        <f>IF('geg ll'!F134=1,"categorie 1",IF('geg ll'!F134=2,"categorie 2","categorie 3"))</f>
        <v>categorie 3</v>
      </c>
      <c r="G47" s="64"/>
      <c r="H47" s="33"/>
      <c r="I47" s="431" t="e">
        <f>ROUND('geg ll'!G134*VLOOKUP($F47,categoriePersVSO,8,FALSE),2)</f>
        <v>#NAME?</v>
      </c>
      <c r="J47" s="431">
        <f>ROUND('geg ll'!G134*tab!C18,2)</f>
        <v>0</v>
      </c>
      <c r="K47" s="431">
        <f>ROUND('geg ll'!G134*tab!D18,2)</f>
        <v>0</v>
      </c>
      <c r="L47" s="431">
        <f>ROUND('geg ll'!H134*tab!E18,2)</f>
        <v>0</v>
      </c>
      <c r="M47" s="431">
        <f>ROUND('geg ll'!I134*tab!F18,2)</f>
        <v>0</v>
      </c>
      <c r="N47" s="431">
        <f>ROUND('geg ll'!J134*tab!H18,2)</f>
        <v>0</v>
      </c>
      <c r="O47" s="33"/>
      <c r="P47" s="24"/>
    </row>
    <row r="48" spans="2:16" x14ac:dyDescent="0.2">
      <c r="B48" s="20"/>
      <c r="C48" s="33"/>
      <c r="D48" s="461" t="str">
        <f>'geg ll'!D136</f>
        <v>School 8</v>
      </c>
      <c r="E48" s="33"/>
      <c r="F48" s="33" t="str">
        <f>IF('geg ll'!F136=1,"categorie 1",IF('geg ll'!F136=2,"categorie 2","categorie 3"))</f>
        <v>categorie 1</v>
      </c>
      <c r="G48" s="64"/>
      <c r="H48" s="33"/>
      <c r="I48" s="431" t="e">
        <f>ROUND('geg ll'!G136*VLOOKUP($F48,categoriePersVSO,8,FALSE),2)</f>
        <v>#NAME?</v>
      </c>
      <c r="J48" s="431">
        <f>ROUND('geg ll'!G136*tab!C16,2)</f>
        <v>0</v>
      </c>
      <c r="K48" s="431">
        <f>ROUND('geg ll'!G136*tab!D16,2)</f>
        <v>0</v>
      </c>
      <c r="L48" s="431">
        <f>ROUND('geg ll'!H136*tab!E16,2)</f>
        <v>0</v>
      </c>
      <c r="M48" s="431">
        <f>ROUND('geg ll'!I136*tab!F16,2)</f>
        <v>0</v>
      </c>
      <c r="N48" s="431">
        <f>ROUND('geg ll'!J136*tab!H16,2)</f>
        <v>0</v>
      </c>
      <c r="O48" s="33"/>
      <c r="P48" s="24"/>
    </row>
    <row r="49" spans="2:16" x14ac:dyDescent="0.2">
      <c r="B49" s="20"/>
      <c r="C49" s="33"/>
      <c r="D49" s="149" t="s">
        <v>1</v>
      </c>
      <c r="E49" s="33"/>
      <c r="F49" s="33" t="str">
        <f>IF('geg ll'!F137=1,"categorie 1",IF('geg ll'!F137=2,"categorie 2","categorie 3"))</f>
        <v>categorie 2</v>
      </c>
      <c r="G49" s="64"/>
      <c r="H49" s="33"/>
      <c r="I49" s="431" t="e">
        <f>ROUND('geg ll'!G137*VLOOKUP($F48,categoriePersVSO,8,FALSE),2)</f>
        <v>#NAME?</v>
      </c>
      <c r="J49" s="431">
        <f>ROUND('geg ll'!G137*tab!C17,2)</f>
        <v>0</v>
      </c>
      <c r="K49" s="431">
        <f>ROUND('geg ll'!G137*tab!D17,2)</f>
        <v>0</v>
      </c>
      <c r="L49" s="431">
        <f>ROUND('geg ll'!H137*tab!E17,2)</f>
        <v>0</v>
      </c>
      <c r="M49" s="431">
        <f>ROUND('geg ll'!I137*tab!F17,2)</f>
        <v>0</v>
      </c>
      <c r="N49" s="431">
        <f>ROUND('geg ll'!J137*tab!H17,2)</f>
        <v>0</v>
      </c>
      <c r="O49" s="33"/>
      <c r="P49" s="24"/>
    </row>
    <row r="50" spans="2:16" x14ac:dyDescent="0.2">
      <c r="B50" s="20"/>
      <c r="C50" s="33"/>
      <c r="D50" s="149"/>
      <c r="E50" s="33"/>
      <c r="F50" s="33" t="str">
        <f>IF('geg ll'!F138=1,"categorie 1",IF('geg ll'!F138=2,"categorie 2","categorie 3"))</f>
        <v>categorie 3</v>
      </c>
      <c r="G50" s="64"/>
      <c r="H50" s="33"/>
      <c r="I50" s="431" t="e">
        <f>ROUND('geg ll'!G138*VLOOKUP($F50,categoriePersVSO,8,FALSE),2)</f>
        <v>#NAME?</v>
      </c>
      <c r="J50" s="431">
        <f>ROUND('geg ll'!G138*tab!C18,2)</f>
        <v>0</v>
      </c>
      <c r="K50" s="431">
        <f>ROUND('geg ll'!G138*tab!D18,2)</f>
        <v>0</v>
      </c>
      <c r="L50" s="431">
        <f>ROUND('geg ll'!H138*tab!E18,2)</f>
        <v>0</v>
      </c>
      <c r="M50" s="431">
        <f>ROUND('geg ll'!I138*tab!F18,2)</f>
        <v>0</v>
      </c>
      <c r="N50" s="431">
        <f>ROUND('geg ll'!J138*tab!H18,2)</f>
        <v>0</v>
      </c>
      <c r="O50" s="33"/>
      <c r="P50" s="24"/>
    </row>
    <row r="51" spans="2:16" x14ac:dyDescent="0.2">
      <c r="B51" s="20"/>
      <c r="C51" s="33"/>
      <c r="D51" s="461" t="str">
        <f>'geg ll'!D140</f>
        <v>School 9</v>
      </c>
      <c r="E51" s="33"/>
      <c r="F51" s="33" t="str">
        <f>IF('geg ll'!F140=1,"categorie 1",IF('geg ll'!F140=2,"categorie 2","categorie 3"))</f>
        <v>categorie 1</v>
      </c>
      <c r="G51" s="64"/>
      <c r="H51" s="33"/>
      <c r="I51" s="431" t="e">
        <f>ROUND('geg ll'!G140*VLOOKUP($F51,categoriePersVSO,8,FALSE),2)</f>
        <v>#NAME?</v>
      </c>
      <c r="J51" s="431">
        <f>ROUND('geg ll'!G140*tab!C16,2)</f>
        <v>0</v>
      </c>
      <c r="K51" s="431">
        <f>ROUND('geg ll'!G140*tab!D16,2)</f>
        <v>0</v>
      </c>
      <c r="L51" s="431">
        <f>ROUND('geg ll'!H140*tab!E16,2)</f>
        <v>0</v>
      </c>
      <c r="M51" s="431">
        <f>ROUND('geg ll'!I140*tab!F16,2)</f>
        <v>0</v>
      </c>
      <c r="N51" s="431">
        <f>ROUND('geg ll'!J140*tab!H16,2)</f>
        <v>0</v>
      </c>
      <c r="O51" s="33"/>
      <c r="P51" s="24"/>
    </row>
    <row r="52" spans="2:16" x14ac:dyDescent="0.2">
      <c r="B52" s="20"/>
      <c r="C52" s="33"/>
      <c r="D52" s="149" t="s">
        <v>1</v>
      </c>
      <c r="E52" s="33"/>
      <c r="F52" s="33" t="str">
        <f>IF('geg ll'!F141=1,"categorie 1",IF('geg ll'!F141=2,"categorie 2","categorie 3"))</f>
        <v>categorie 2</v>
      </c>
      <c r="G52" s="64"/>
      <c r="H52" s="33"/>
      <c r="I52" s="431" t="e">
        <f>ROUND('geg ll'!G141*VLOOKUP($F52,categoriePersVSO,8,FALSE),2)</f>
        <v>#NAME?</v>
      </c>
      <c r="J52" s="431">
        <f>ROUND('geg ll'!G141*tab!C17,2)</f>
        <v>0</v>
      </c>
      <c r="K52" s="431">
        <f>ROUND('geg ll'!G141*tab!D17,2)</f>
        <v>0</v>
      </c>
      <c r="L52" s="431">
        <f>ROUND('geg ll'!H141*tab!E17,2)</f>
        <v>0</v>
      </c>
      <c r="M52" s="431">
        <f>ROUND('geg ll'!I141*tab!F17,2)</f>
        <v>0</v>
      </c>
      <c r="N52" s="431">
        <f>ROUND('geg ll'!J141*tab!H17,2)</f>
        <v>0</v>
      </c>
      <c r="O52" s="33"/>
      <c r="P52" s="24"/>
    </row>
    <row r="53" spans="2:16" x14ac:dyDescent="0.2">
      <c r="B53" s="20"/>
      <c r="C53" s="33"/>
      <c r="D53" s="149"/>
      <c r="E53" s="33"/>
      <c r="F53" s="33" t="str">
        <f>IF('geg ll'!F142=1,"categorie 1",IF('geg ll'!F142=2,"categorie 2","categorie 3"))</f>
        <v>categorie 3</v>
      </c>
      <c r="G53" s="64"/>
      <c r="H53" s="33"/>
      <c r="I53" s="431" t="e">
        <f>ROUND('geg ll'!G142*VLOOKUP($F53,categoriePersVSO,8,FALSE),2)</f>
        <v>#NAME?</v>
      </c>
      <c r="J53" s="431">
        <f>ROUND('geg ll'!G142*tab!C18,2)</f>
        <v>0</v>
      </c>
      <c r="K53" s="431">
        <f>ROUND('geg ll'!G142*tab!D18,2)</f>
        <v>0</v>
      </c>
      <c r="L53" s="431">
        <f>ROUND('geg ll'!H142*tab!E18,2)</f>
        <v>0</v>
      </c>
      <c r="M53" s="431">
        <f>ROUND('geg ll'!I142*tab!F18,2)</f>
        <v>0</v>
      </c>
      <c r="N53" s="431">
        <f>ROUND('geg ll'!J142*tab!H18,2)</f>
        <v>0</v>
      </c>
      <c r="O53" s="33"/>
      <c r="P53" s="24"/>
    </row>
    <row r="54" spans="2:16" x14ac:dyDescent="0.2">
      <c r="B54" s="20"/>
      <c r="C54" s="33"/>
      <c r="D54" s="461" t="str">
        <f>'geg ll'!D144</f>
        <v>School 10</v>
      </c>
      <c r="E54" s="33"/>
      <c r="F54" s="33" t="str">
        <f>IF('geg ll'!F144=1,"categorie 1",IF('geg ll'!F144=2,"categorie 2","categorie 3"))</f>
        <v>categorie 1</v>
      </c>
      <c r="G54" s="64"/>
      <c r="H54" s="33"/>
      <c r="I54" s="431" t="e">
        <f>ROUND('geg ll'!G144*VLOOKUP($F54,categoriePersVSO,8,FALSE),2)</f>
        <v>#NAME?</v>
      </c>
      <c r="J54" s="431">
        <f>ROUND('geg ll'!G144*tab!C16,2)</f>
        <v>0</v>
      </c>
      <c r="K54" s="431">
        <f>ROUND('geg ll'!G144*tab!D16,2)</f>
        <v>0</v>
      </c>
      <c r="L54" s="431">
        <f>ROUND('geg ll'!H144*tab!E16,2)</f>
        <v>0</v>
      </c>
      <c r="M54" s="431">
        <f>ROUND('geg ll'!I144*tab!F16,2)</f>
        <v>0</v>
      </c>
      <c r="N54" s="431">
        <f>ROUND('geg ll'!J144*tab!H16,2)</f>
        <v>0</v>
      </c>
      <c r="O54" s="33"/>
      <c r="P54" s="24"/>
    </row>
    <row r="55" spans="2:16" x14ac:dyDescent="0.2">
      <c r="B55" s="20"/>
      <c r="C55" s="33"/>
      <c r="D55" s="149" t="s">
        <v>1</v>
      </c>
      <c r="E55" s="33"/>
      <c r="F55" s="33" t="str">
        <f>IF('geg ll'!F145=1,"categorie 1",IF('geg ll'!F145=2,"categorie 2","categorie 3"))</f>
        <v>categorie 2</v>
      </c>
      <c r="G55" s="64"/>
      <c r="H55" s="33"/>
      <c r="I55" s="431" t="e">
        <f>ROUND('geg ll'!G145*VLOOKUP($F55,categoriePersVSO,8,FALSE),2)</f>
        <v>#NAME?</v>
      </c>
      <c r="J55" s="431">
        <f>ROUND('geg ll'!G145*tab!C17,2)</f>
        <v>0</v>
      </c>
      <c r="K55" s="431">
        <f>ROUND('geg ll'!G145*tab!D17,2)</f>
        <v>0</v>
      </c>
      <c r="L55" s="431">
        <f>ROUND('geg ll'!H145*tab!E17,2)</f>
        <v>0</v>
      </c>
      <c r="M55" s="431">
        <f>ROUND('geg ll'!I145*tab!F17,2)</f>
        <v>0</v>
      </c>
      <c r="N55" s="431">
        <f>ROUND('geg ll'!J145*tab!H17,2)</f>
        <v>0</v>
      </c>
      <c r="O55" s="33"/>
      <c r="P55" s="24"/>
    </row>
    <row r="56" spans="2:16" x14ac:dyDescent="0.2">
      <c r="B56" s="20"/>
      <c r="C56" s="33"/>
      <c r="D56" s="149"/>
      <c r="E56" s="33"/>
      <c r="F56" s="33" t="str">
        <f>IF('geg ll'!F146=1,"categorie 1",IF('geg ll'!F146=2,"categorie 2","categorie 3"))</f>
        <v>categorie 3</v>
      </c>
      <c r="G56" s="64"/>
      <c r="H56" s="33"/>
      <c r="I56" s="431" t="e">
        <f>ROUND('geg ll'!G146*VLOOKUP($F56,categoriePersVSO,8,FALSE),2)</f>
        <v>#NAME?</v>
      </c>
      <c r="J56" s="431">
        <f>ROUND('geg ll'!G146*tab!C18,2)</f>
        <v>0</v>
      </c>
      <c r="K56" s="431">
        <f>ROUND('geg ll'!G146*tab!D18,2)</f>
        <v>0</v>
      </c>
      <c r="L56" s="431">
        <f>ROUND('geg ll'!H146*tab!E18,2)</f>
        <v>0</v>
      </c>
      <c r="M56" s="431">
        <f>ROUND('geg ll'!I146*tab!F18,2)</f>
        <v>0</v>
      </c>
      <c r="N56" s="431">
        <f>ROUND('geg ll'!J146*tab!H18,2)</f>
        <v>0</v>
      </c>
      <c r="O56" s="33"/>
      <c r="P56" s="24"/>
    </row>
    <row r="57" spans="2:16" x14ac:dyDescent="0.2">
      <c r="B57" s="20"/>
      <c r="C57" s="33"/>
      <c r="D57" s="461" t="str">
        <f>'geg ll'!D148</f>
        <v>School 11</v>
      </c>
      <c r="E57" s="33"/>
      <c r="F57" s="33" t="str">
        <f>IF('geg ll'!F148=1,"categorie 1",IF('geg ll'!F148=2,"categorie 2","categorie 3"))</f>
        <v>categorie 1</v>
      </c>
      <c r="G57" s="64"/>
      <c r="H57" s="33"/>
      <c r="I57" s="431" t="e">
        <f>ROUND('geg ll'!G148*VLOOKUP($F57,categoriePersVSO,8,FALSE),2)</f>
        <v>#NAME?</v>
      </c>
      <c r="J57" s="431">
        <f>ROUND('geg ll'!G148*tab!C16,2)</f>
        <v>0</v>
      </c>
      <c r="K57" s="431">
        <f>ROUND('geg ll'!G148*tab!D16,2)</f>
        <v>0</v>
      </c>
      <c r="L57" s="431">
        <f>ROUND('geg ll'!H148*tab!E16,2)</f>
        <v>0</v>
      </c>
      <c r="M57" s="431">
        <f>ROUND('geg ll'!I148*tab!F16,2)</f>
        <v>0</v>
      </c>
      <c r="N57" s="431">
        <f>ROUND('geg ll'!J148*tab!H16,2)</f>
        <v>0</v>
      </c>
      <c r="O57" s="33"/>
      <c r="P57" s="24"/>
    </row>
    <row r="58" spans="2:16" x14ac:dyDescent="0.2">
      <c r="B58" s="20"/>
      <c r="C58" s="33"/>
      <c r="D58" s="149" t="s">
        <v>1</v>
      </c>
      <c r="E58" s="33"/>
      <c r="F58" s="33" t="str">
        <f>IF('geg ll'!F149=1,"categorie 1",IF('geg ll'!F149=2,"categorie 2","categorie 3"))</f>
        <v>categorie 2</v>
      </c>
      <c r="G58" s="64"/>
      <c r="H58" s="33"/>
      <c r="I58" s="431" t="e">
        <f>ROUND('geg ll'!G149*VLOOKUP($F58,categoriePersVSO,8,FALSE),2)</f>
        <v>#NAME?</v>
      </c>
      <c r="J58" s="431">
        <f>ROUND('geg ll'!G149*tab!C17,2)</f>
        <v>0</v>
      </c>
      <c r="K58" s="431">
        <f>ROUND('geg ll'!G149*tab!D17,2)</f>
        <v>0</v>
      </c>
      <c r="L58" s="431">
        <f>ROUND('geg ll'!H149*tab!E17,2)</f>
        <v>0</v>
      </c>
      <c r="M58" s="431">
        <f>ROUND('geg ll'!I149*tab!F17,2)</f>
        <v>0</v>
      </c>
      <c r="N58" s="431">
        <f>ROUND('geg ll'!J149*tab!H17,2)</f>
        <v>0</v>
      </c>
      <c r="O58" s="33"/>
      <c r="P58" s="24"/>
    </row>
    <row r="59" spans="2:16" x14ac:dyDescent="0.2">
      <c r="B59" s="20"/>
      <c r="C59" s="33"/>
      <c r="D59" s="149"/>
      <c r="E59" s="33"/>
      <c r="F59" s="33" t="str">
        <f>IF('geg ll'!F150=1,"categorie 1",IF('geg ll'!F150=2,"categorie 2","categorie 3"))</f>
        <v>categorie 3</v>
      </c>
      <c r="G59" s="64"/>
      <c r="H59" s="33"/>
      <c r="I59" s="431" t="e">
        <f>ROUND('geg ll'!G150*VLOOKUP($F58,categoriePersVSO,8,FALSE),2)</f>
        <v>#NAME?</v>
      </c>
      <c r="J59" s="431">
        <f>ROUND('geg ll'!G150*tab!C18,2)</f>
        <v>0</v>
      </c>
      <c r="K59" s="431">
        <f>ROUND('geg ll'!G150*tab!D18,2)</f>
        <v>0</v>
      </c>
      <c r="L59" s="431">
        <f>ROUND('geg ll'!H150*tab!E18,2)</f>
        <v>0</v>
      </c>
      <c r="M59" s="431">
        <f>ROUND('geg ll'!I150*tab!F18,2)</f>
        <v>0</v>
      </c>
      <c r="N59" s="431">
        <f>ROUND('geg ll'!J150*tab!H18,2)</f>
        <v>0</v>
      </c>
      <c r="O59" s="33"/>
      <c r="P59" s="24"/>
    </row>
    <row r="60" spans="2:16" x14ac:dyDescent="0.2">
      <c r="B60" s="20"/>
      <c r="C60" s="33"/>
      <c r="D60" s="461" t="str">
        <f>'geg ll'!D152</f>
        <v>School 12</v>
      </c>
      <c r="E60" s="33"/>
      <c r="F60" s="33" t="str">
        <f>IF('geg ll'!F152=1,"categorie 1",IF('geg ll'!F152=2,"categorie 2","categorie 3"))</f>
        <v>categorie 1</v>
      </c>
      <c r="G60" s="64"/>
      <c r="H60" s="33"/>
      <c r="I60" s="431" t="e">
        <f>ROUND('geg ll'!G152*VLOOKUP($F60,categoriePersVSO,8,FALSE),2)</f>
        <v>#NAME?</v>
      </c>
      <c r="J60" s="431">
        <f>ROUND('geg ll'!G152*tab!C16,2)</f>
        <v>0</v>
      </c>
      <c r="K60" s="431">
        <f>ROUND('geg ll'!G152*tab!D16,2)</f>
        <v>0</v>
      </c>
      <c r="L60" s="431">
        <f>ROUND('geg ll'!H152*tab!E16,2)</f>
        <v>0</v>
      </c>
      <c r="M60" s="431">
        <f>ROUND('geg ll'!I152*tab!F16,2)</f>
        <v>0</v>
      </c>
      <c r="N60" s="431">
        <f>ROUND('geg ll'!J152*tab!H16,2)</f>
        <v>0</v>
      </c>
      <c r="O60" s="33"/>
      <c r="P60" s="24"/>
    </row>
    <row r="61" spans="2:16" x14ac:dyDescent="0.2">
      <c r="B61" s="20"/>
      <c r="C61" s="33"/>
      <c r="D61" s="149" t="s">
        <v>1</v>
      </c>
      <c r="E61" s="33"/>
      <c r="F61" s="33" t="str">
        <f>IF('geg ll'!F153=1,"categorie 1",IF('geg ll'!F153=2,"categorie 2","categorie 3"))</f>
        <v>categorie 2</v>
      </c>
      <c r="G61" s="64"/>
      <c r="H61" s="33"/>
      <c r="I61" s="431" t="e">
        <f>ROUND('geg ll'!G153*VLOOKUP($F61,categoriePersVSO,8,FALSE),2)</f>
        <v>#NAME?</v>
      </c>
      <c r="J61" s="431">
        <f>ROUND('geg ll'!G153*tab!C17,2)</f>
        <v>0</v>
      </c>
      <c r="K61" s="431">
        <f>ROUND('geg ll'!G153*tab!D17,2)</f>
        <v>0</v>
      </c>
      <c r="L61" s="431">
        <f>ROUND('geg ll'!H153*tab!E17,2)</f>
        <v>0</v>
      </c>
      <c r="M61" s="431">
        <f>ROUND('geg ll'!I153*tab!F17,2)</f>
        <v>0</v>
      </c>
      <c r="N61" s="431">
        <f>ROUND('geg ll'!J153*tab!H17,2)</f>
        <v>0</v>
      </c>
      <c r="O61" s="33"/>
      <c r="P61" s="24"/>
    </row>
    <row r="62" spans="2:16" x14ac:dyDescent="0.2">
      <c r="B62" s="20"/>
      <c r="C62" s="33"/>
      <c r="D62" s="149"/>
      <c r="E62" s="33"/>
      <c r="F62" s="33" t="str">
        <f>IF('geg ll'!F154=1,"categorie 1",IF('geg ll'!F154=2,"categorie 2","categorie 3"))</f>
        <v>categorie 3</v>
      </c>
      <c r="G62" s="64"/>
      <c r="H62" s="33"/>
      <c r="I62" s="431" t="e">
        <f>ROUND('geg ll'!G154*VLOOKUP($F62,categoriePersVSO,8,FALSE),2)</f>
        <v>#NAME?</v>
      </c>
      <c r="J62" s="431">
        <f>ROUND('geg ll'!G154*tab!C18,2)</f>
        <v>0</v>
      </c>
      <c r="K62" s="431">
        <f>ROUND('geg ll'!G154*tab!D18,2)</f>
        <v>0</v>
      </c>
      <c r="L62" s="431">
        <f>ROUND('geg ll'!H154*tab!E18,2)</f>
        <v>0</v>
      </c>
      <c r="M62" s="431">
        <f>ROUND('geg ll'!I154*tab!F18,2)</f>
        <v>0</v>
      </c>
      <c r="N62" s="431">
        <f>ROUND('geg ll'!J154*tab!H18,2)</f>
        <v>0</v>
      </c>
      <c r="O62" s="33"/>
      <c r="P62" s="24"/>
    </row>
    <row r="63" spans="2:16" x14ac:dyDescent="0.2">
      <c r="B63" s="20"/>
      <c r="C63" s="33"/>
      <c r="D63" s="461" t="str">
        <f>'geg ll'!D156</f>
        <v>School 13</v>
      </c>
      <c r="E63" s="33"/>
      <c r="F63" s="33" t="str">
        <f>IF('geg ll'!F156=1,"categorie 1",IF('geg ll'!F156=2,"categorie 2","categorie 3"))</f>
        <v>categorie 1</v>
      </c>
      <c r="G63" s="64"/>
      <c r="H63" s="33"/>
      <c r="I63" s="431" t="e">
        <f>ROUND('geg ll'!G156*VLOOKUP($F63,categoriePersVSO,8,FALSE),2)</f>
        <v>#NAME?</v>
      </c>
      <c r="J63" s="431">
        <f>ROUND('geg ll'!G156*tab!C16,2)</f>
        <v>0</v>
      </c>
      <c r="K63" s="431">
        <f>ROUND('geg ll'!G156*tab!D16,2)</f>
        <v>0</v>
      </c>
      <c r="L63" s="431">
        <f>ROUND('geg ll'!H156*tab!E16,2)</f>
        <v>0</v>
      </c>
      <c r="M63" s="431">
        <f>ROUND('geg ll'!I156*tab!F16,2)</f>
        <v>0</v>
      </c>
      <c r="N63" s="431">
        <f>ROUND('geg ll'!J156*tab!H16,2)</f>
        <v>0</v>
      </c>
      <c r="O63" s="33"/>
      <c r="P63" s="24"/>
    </row>
    <row r="64" spans="2:16" x14ac:dyDescent="0.2">
      <c r="B64" s="20"/>
      <c r="C64" s="33"/>
      <c r="D64" s="149" t="s">
        <v>1</v>
      </c>
      <c r="E64" s="33"/>
      <c r="F64" s="33" t="str">
        <f>IF('geg ll'!F157=1,"categorie 1",IF('geg ll'!F157=2,"categorie 2","categorie 3"))</f>
        <v>categorie 2</v>
      </c>
      <c r="G64" s="64"/>
      <c r="H64" s="33"/>
      <c r="I64" s="431" t="e">
        <f>ROUND('geg ll'!G157*VLOOKUP($F64,categoriePersVSO,8,FALSE),2)</f>
        <v>#NAME?</v>
      </c>
      <c r="J64" s="431">
        <f>ROUND('geg ll'!G157*tab!C17,2)</f>
        <v>0</v>
      </c>
      <c r="K64" s="431">
        <f>ROUND('geg ll'!G157*tab!D17,2)</f>
        <v>0</v>
      </c>
      <c r="L64" s="431">
        <f>ROUND('geg ll'!H157*tab!E17,2)</f>
        <v>0</v>
      </c>
      <c r="M64" s="431">
        <f>ROUND('geg ll'!I157*tab!F17,2)</f>
        <v>0</v>
      </c>
      <c r="N64" s="431">
        <f>ROUND('geg ll'!J157*tab!H17,2)</f>
        <v>0</v>
      </c>
      <c r="O64" s="33"/>
      <c r="P64" s="24"/>
    </row>
    <row r="65" spans="2:31" x14ac:dyDescent="0.2">
      <c r="B65" s="20"/>
      <c r="C65" s="33"/>
      <c r="D65" s="149"/>
      <c r="E65" s="33"/>
      <c r="F65" s="33" t="str">
        <f>IF('geg ll'!F158=1,"categorie 1",IF('geg ll'!F158=2,"categorie 2","categorie 3"))</f>
        <v>categorie 3</v>
      </c>
      <c r="G65" s="64"/>
      <c r="H65" s="33"/>
      <c r="I65" s="431" t="e">
        <f>ROUND('geg ll'!G158*VLOOKUP($F65,categoriePersVSO,8,FALSE),2)</f>
        <v>#NAME?</v>
      </c>
      <c r="J65" s="431">
        <f>ROUND('geg ll'!G158*tab!C18,2)</f>
        <v>0</v>
      </c>
      <c r="K65" s="431">
        <f>ROUND('geg ll'!G158*tab!D18,2)</f>
        <v>0</v>
      </c>
      <c r="L65" s="431">
        <f>ROUND('geg ll'!H158*tab!E18,2)</f>
        <v>0</v>
      </c>
      <c r="M65" s="431">
        <f>ROUND('geg ll'!I158*tab!F18,2)</f>
        <v>0</v>
      </c>
      <c r="N65" s="431">
        <f>ROUND('geg ll'!J158*tab!H18,2)</f>
        <v>0</v>
      </c>
      <c r="O65" s="33"/>
      <c r="P65" s="24"/>
    </row>
    <row r="66" spans="2:31" x14ac:dyDescent="0.2">
      <c r="B66" s="20"/>
      <c r="C66" s="33"/>
      <c r="D66" s="461" t="str">
        <f>'geg ll'!D160</f>
        <v>School 14</v>
      </c>
      <c r="E66" s="33"/>
      <c r="F66" s="33" t="str">
        <f>IF('geg ll'!F160=1,"categorie 1",IF('geg ll'!F160=2,"categorie 2","categorie 3"))</f>
        <v>categorie 1</v>
      </c>
      <c r="G66" s="64"/>
      <c r="H66" s="33"/>
      <c r="I66" s="431" t="e">
        <f>ROUND('geg ll'!G160*VLOOKUP($F66,categoriePersVSO,8,FALSE),2)</f>
        <v>#NAME?</v>
      </c>
      <c r="J66" s="431">
        <f>ROUND('geg ll'!G160*tab!C16,2)</f>
        <v>0</v>
      </c>
      <c r="K66" s="431">
        <f>ROUND('geg ll'!G160*tab!D16,2)</f>
        <v>0</v>
      </c>
      <c r="L66" s="431">
        <f>ROUND('geg ll'!H160*tab!E16,2)</f>
        <v>0</v>
      </c>
      <c r="M66" s="431">
        <f>ROUND('geg ll'!I160*tab!F16,2)</f>
        <v>0</v>
      </c>
      <c r="N66" s="431">
        <f>ROUND('geg ll'!J160*tab!H16,2)</f>
        <v>0</v>
      </c>
      <c r="O66" s="33"/>
      <c r="P66" s="24"/>
    </row>
    <row r="67" spans="2:31" x14ac:dyDescent="0.2">
      <c r="B67" s="20"/>
      <c r="C67" s="33"/>
      <c r="D67" s="149" t="s">
        <v>1</v>
      </c>
      <c r="E67" s="33"/>
      <c r="F67" s="33" t="str">
        <f>IF('geg ll'!F161=1,"categorie 1",IF('geg ll'!F161=2,"categorie 2","categorie 3"))</f>
        <v>categorie 2</v>
      </c>
      <c r="G67" s="64"/>
      <c r="H67" s="33"/>
      <c r="I67" s="431" t="e">
        <f>ROUND('geg ll'!G161*VLOOKUP($F67,categoriePersVSO,8,FALSE),2)</f>
        <v>#NAME?</v>
      </c>
      <c r="J67" s="431">
        <f>ROUND('geg ll'!G161*tab!C17,2)</f>
        <v>0</v>
      </c>
      <c r="K67" s="431">
        <f>ROUND('geg ll'!G161*tab!D17,2)</f>
        <v>0</v>
      </c>
      <c r="L67" s="431">
        <f>ROUND('geg ll'!H161*tab!E17,2)</f>
        <v>0</v>
      </c>
      <c r="M67" s="431">
        <f>ROUND('geg ll'!I161*tab!F17,2)</f>
        <v>0</v>
      </c>
      <c r="N67" s="431">
        <f>ROUND('geg ll'!J161*tab!H17,2)</f>
        <v>0</v>
      </c>
      <c r="O67" s="33"/>
      <c r="P67" s="24"/>
    </row>
    <row r="68" spans="2:31" x14ac:dyDescent="0.2">
      <c r="B68" s="20"/>
      <c r="C68" s="33"/>
      <c r="D68" s="149"/>
      <c r="E68" s="33"/>
      <c r="F68" s="33" t="str">
        <f>IF('geg ll'!F162=1,"categorie 1",IF('geg ll'!F162=2,"categorie 2","categorie 3"))</f>
        <v>categorie 3</v>
      </c>
      <c r="G68" s="64"/>
      <c r="H68" s="33"/>
      <c r="I68" s="431" t="e">
        <f>ROUND('geg ll'!G162*VLOOKUP($F68,categoriePersVSO,8,FALSE),2)</f>
        <v>#NAME?</v>
      </c>
      <c r="J68" s="431">
        <f>ROUND('geg ll'!G162*tab!C18,2)</f>
        <v>0</v>
      </c>
      <c r="K68" s="431">
        <f>ROUND('geg ll'!G162*tab!D18,2)</f>
        <v>0</v>
      </c>
      <c r="L68" s="431">
        <f>ROUND('geg ll'!H162*tab!E18,2)</f>
        <v>0</v>
      </c>
      <c r="M68" s="431">
        <f>ROUND('geg ll'!I162*tab!F18,2)</f>
        <v>0</v>
      </c>
      <c r="N68" s="431">
        <f>ROUND('geg ll'!J162*tab!H18,2)</f>
        <v>0</v>
      </c>
      <c r="O68" s="33"/>
      <c r="P68" s="24"/>
    </row>
    <row r="69" spans="2:31" x14ac:dyDescent="0.2">
      <c r="B69" s="20"/>
      <c r="C69" s="33"/>
      <c r="D69" s="461" t="str">
        <f>'geg ll'!D164</f>
        <v>School 15</v>
      </c>
      <c r="E69" s="33"/>
      <c r="F69" s="33" t="str">
        <f>IF('geg ll'!F164=1,"categorie 1",IF('geg ll'!F164=2,"categorie 2","categorie 3"))</f>
        <v>categorie 1</v>
      </c>
      <c r="G69" s="64"/>
      <c r="H69" s="33"/>
      <c r="I69" s="431" t="e">
        <f>ROUND('geg ll'!G164*VLOOKUP($F68,categoriePersVSO,8,FALSE),2)</f>
        <v>#NAME?</v>
      </c>
      <c r="J69" s="431">
        <f>ROUND('geg ll'!G164*tab!C16,2)</f>
        <v>0</v>
      </c>
      <c r="K69" s="431">
        <f>ROUND('geg ll'!G164*tab!D16,2)</f>
        <v>0</v>
      </c>
      <c r="L69" s="431">
        <f>ROUND('geg ll'!H164*tab!E16,2)</f>
        <v>0</v>
      </c>
      <c r="M69" s="431">
        <f>ROUND('geg ll'!I164*tab!F16,2)</f>
        <v>0</v>
      </c>
      <c r="N69" s="431">
        <f>ROUND('geg ll'!J164*tab!H16,2)</f>
        <v>0</v>
      </c>
      <c r="O69" s="33"/>
      <c r="P69" s="24"/>
    </row>
    <row r="70" spans="2:31" x14ac:dyDescent="0.2">
      <c r="B70" s="20"/>
      <c r="C70" s="33"/>
      <c r="D70" s="149" t="s">
        <v>1</v>
      </c>
      <c r="E70" s="33"/>
      <c r="F70" s="33" t="str">
        <f>IF('geg ll'!F165=1,"categorie 1",IF('geg ll'!F165=2,"categorie 2","categorie 3"))</f>
        <v>categorie 2</v>
      </c>
      <c r="G70" s="64"/>
      <c r="H70" s="33"/>
      <c r="I70" s="431" t="e">
        <f>ROUND('geg ll'!G165*VLOOKUP($F70,categoriePersVSO,8,FALSE),2)</f>
        <v>#NAME?</v>
      </c>
      <c r="J70" s="431">
        <f>ROUND('geg ll'!G165*tab!C17,2)</f>
        <v>0</v>
      </c>
      <c r="K70" s="431">
        <f>ROUND('geg ll'!G165*tab!D17,2)</f>
        <v>0</v>
      </c>
      <c r="L70" s="431">
        <f>ROUND('geg ll'!H165*tab!E17,2)</f>
        <v>0</v>
      </c>
      <c r="M70" s="431">
        <f>ROUND('geg ll'!I165*tab!F17,2)</f>
        <v>0</v>
      </c>
      <c r="N70" s="431">
        <f>ROUND('geg ll'!J165*tab!H17,2)</f>
        <v>0</v>
      </c>
      <c r="O70" s="33"/>
      <c r="P70" s="24"/>
    </row>
    <row r="71" spans="2:31" x14ac:dyDescent="0.2">
      <c r="B71" s="20"/>
      <c r="C71" s="33"/>
      <c r="D71" s="149"/>
      <c r="E71" s="33"/>
      <c r="F71" s="33" t="str">
        <f>IF('geg ll'!F166=1,"categorie 1",IF('geg ll'!F166=2,"categorie 2","categorie 3"))</f>
        <v>categorie 3</v>
      </c>
      <c r="G71" s="64"/>
      <c r="H71" s="33"/>
      <c r="I71" s="431" t="e">
        <f>ROUND('geg ll'!G166*VLOOKUP($F71,categoriePersVSO,8,FALSE),2)</f>
        <v>#NAME?</v>
      </c>
      <c r="J71" s="431">
        <f>ROUND('geg ll'!G166*tab!C18,2)</f>
        <v>0</v>
      </c>
      <c r="K71" s="431">
        <f>ROUND('geg ll'!G166*tab!D18,2)</f>
        <v>0</v>
      </c>
      <c r="L71" s="431">
        <f>ROUND('geg ll'!H166*tab!E18,2)</f>
        <v>0</v>
      </c>
      <c r="M71" s="431">
        <f>ROUND('geg ll'!I166*tab!F18,2)</f>
        <v>0</v>
      </c>
      <c r="N71" s="431">
        <f>ROUND('geg ll'!J166*tab!H18,2)</f>
        <v>0</v>
      </c>
      <c r="O71" s="33"/>
      <c r="P71" s="24"/>
      <c r="R71" s="630"/>
      <c r="S71" s="630"/>
      <c r="T71" s="630"/>
      <c r="U71" s="630"/>
      <c r="V71" s="630"/>
      <c r="W71" s="630"/>
      <c r="X71" s="630"/>
      <c r="Y71" s="630"/>
      <c r="Z71" s="630"/>
      <c r="AA71" s="630"/>
      <c r="AB71" s="630"/>
      <c r="AC71" s="630"/>
      <c r="AD71" s="630"/>
      <c r="AE71" s="630"/>
    </row>
    <row r="72" spans="2:31" x14ac:dyDescent="0.2">
      <c r="B72" s="20"/>
      <c r="C72" s="33"/>
      <c r="D72" s="461" t="str">
        <f>+'geg ll'!D168</f>
        <v>School 16</v>
      </c>
      <c r="E72" s="33"/>
      <c r="F72" s="33" t="str">
        <f>IF('geg ll'!F168=1,"categorie 1",IF('geg ll'!F168=2,"categorie 2","categorie 3"))</f>
        <v>categorie 1</v>
      </c>
      <c r="G72" s="64"/>
      <c r="H72" s="33"/>
      <c r="I72" s="431" t="e">
        <f>ROUND('geg ll'!G168*VLOOKUP($F72,categoriePersVSO,8,FALSE),2)</f>
        <v>#NAME?</v>
      </c>
      <c r="J72" s="431">
        <f>ROUND('geg ll'!G168*tab!C16,2)</f>
        <v>0</v>
      </c>
      <c r="K72" s="431">
        <f>ROUND('geg ll'!G168*tab!D16,2)</f>
        <v>0</v>
      </c>
      <c r="L72" s="431">
        <f>ROUND('geg ll'!H168*tab!E16,2)</f>
        <v>0</v>
      </c>
      <c r="M72" s="431">
        <f>ROUND('geg ll'!I168*tab!F16,2)</f>
        <v>0</v>
      </c>
      <c r="N72" s="431">
        <f>ROUND('geg ll'!J168*tab!H16,2)</f>
        <v>0</v>
      </c>
      <c r="O72" s="33"/>
      <c r="P72" s="24"/>
      <c r="R72" s="630"/>
      <c r="S72" s="630"/>
      <c r="T72" s="630"/>
      <c r="U72" s="630"/>
      <c r="V72" s="630"/>
      <c r="W72" s="630"/>
      <c r="X72" s="630"/>
      <c r="Y72" s="630"/>
      <c r="Z72" s="630"/>
      <c r="AA72" s="630"/>
      <c r="AB72" s="630"/>
      <c r="AC72" s="630"/>
      <c r="AD72" s="630"/>
      <c r="AE72" s="630"/>
    </row>
    <row r="73" spans="2:31" x14ac:dyDescent="0.2">
      <c r="B73" s="20"/>
      <c r="C73" s="33"/>
      <c r="D73" s="149"/>
      <c r="E73" s="33"/>
      <c r="F73" s="33" t="str">
        <f>IF('geg ll'!F169=1,"categorie 1",IF('geg ll'!F169=2,"categorie 2","categorie 3"))</f>
        <v>categorie 2</v>
      </c>
      <c r="G73" s="64"/>
      <c r="H73" s="33"/>
      <c r="I73" s="431" t="e">
        <f>ROUND('geg ll'!G169*VLOOKUP($F73,categoriePersVSO,8,FALSE),2)</f>
        <v>#NAME?</v>
      </c>
      <c r="J73" s="431">
        <f>ROUND('geg ll'!G169*tab!C17,2)</f>
        <v>0</v>
      </c>
      <c r="K73" s="431">
        <f>ROUND('geg ll'!G169*tab!D17,2)</f>
        <v>0</v>
      </c>
      <c r="L73" s="431">
        <f>ROUND('geg ll'!H169*tab!E17,2)</f>
        <v>0</v>
      </c>
      <c r="M73" s="431">
        <f>ROUND('geg ll'!I169*tab!F17,2)</f>
        <v>0</v>
      </c>
      <c r="N73" s="431">
        <f>ROUND('geg ll'!J169*tab!H17,2)</f>
        <v>0</v>
      </c>
      <c r="O73" s="33"/>
      <c r="P73" s="24"/>
      <c r="R73" s="630"/>
      <c r="S73" s="630"/>
      <c r="T73" s="630"/>
      <c r="U73" s="630"/>
      <c r="V73" s="630"/>
      <c r="W73" s="630"/>
      <c r="X73" s="630"/>
      <c r="Y73" s="630"/>
      <c r="Z73" s="630"/>
      <c r="AA73" s="630"/>
      <c r="AB73" s="630"/>
      <c r="AC73" s="630"/>
      <c r="AD73" s="630"/>
      <c r="AE73" s="630"/>
    </row>
    <row r="74" spans="2:31" x14ac:dyDescent="0.2">
      <c r="B74" s="20"/>
      <c r="C74" s="33"/>
      <c r="D74" s="149"/>
      <c r="E74" s="33"/>
      <c r="F74" s="33" t="str">
        <f>IF('geg ll'!F170=1,"categorie 1",IF('geg ll'!F170=2,"categorie 2","categorie 3"))</f>
        <v>categorie 3</v>
      </c>
      <c r="G74" s="64"/>
      <c r="H74" s="33"/>
      <c r="I74" s="431" t="e">
        <f>ROUND('geg ll'!G170*VLOOKUP($F74,categoriePersVSO,8,FALSE),2)</f>
        <v>#NAME?</v>
      </c>
      <c r="J74" s="431">
        <f>ROUND('geg ll'!G170*tab!C18,2)</f>
        <v>0</v>
      </c>
      <c r="K74" s="431">
        <f>ROUND('geg ll'!G170*tab!D18,2)</f>
        <v>0</v>
      </c>
      <c r="L74" s="431">
        <f>ROUND('geg ll'!H170*tab!E18,2)</f>
        <v>0</v>
      </c>
      <c r="M74" s="431">
        <f>ROUND('geg ll'!I170*tab!F18,2)</f>
        <v>0</v>
      </c>
      <c r="N74" s="431">
        <f>ROUND('geg ll'!J170*tab!H18,2)</f>
        <v>0</v>
      </c>
      <c r="O74" s="33"/>
      <c r="P74" s="24"/>
      <c r="R74" s="630"/>
      <c r="S74" s="630"/>
      <c r="T74" s="630"/>
      <c r="U74" s="630"/>
      <c r="V74" s="630"/>
      <c r="W74" s="630"/>
      <c r="X74" s="630"/>
      <c r="Y74" s="630"/>
      <c r="Z74" s="630"/>
      <c r="AA74" s="630"/>
      <c r="AB74" s="630"/>
      <c r="AC74" s="630"/>
      <c r="AD74" s="630"/>
      <c r="AE74" s="630"/>
    </row>
    <row r="75" spans="2:31" x14ac:dyDescent="0.2">
      <c r="B75" s="20"/>
      <c r="C75" s="33"/>
      <c r="D75" s="461" t="str">
        <f>+'geg ll'!D172</f>
        <v>School 17</v>
      </c>
      <c r="E75" s="33"/>
      <c r="F75" s="33" t="str">
        <f>IF('geg ll'!F172=1,"categorie 1",IF('geg ll'!F172=2,"categorie 2","categorie 3"))</f>
        <v>categorie 1</v>
      </c>
      <c r="G75" s="64"/>
      <c r="H75" s="33"/>
      <c r="I75" s="431" t="e">
        <f>ROUND('geg ll'!G172*VLOOKUP($F75,categoriePersVSO,8,FALSE),2)</f>
        <v>#NAME?</v>
      </c>
      <c r="J75" s="431">
        <f>ROUND('geg ll'!G172*tab!C16,2)</f>
        <v>0</v>
      </c>
      <c r="K75" s="431">
        <f>ROUND('geg ll'!G172*tab!D16,2)</f>
        <v>0</v>
      </c>
      <c r="L75" s="431">
        <f>ROUND('geg ll'!H172*tab!E16,2)</f>
        <v>0</v>
      </c>
      <c r="M75" s="431">
        <f>ROUND('geg ll'!I172*tab!F16,2)</f>
        <v>0</v>
      </c>
      <c r="N75" s="431">
        <f>ROUND('geg ll'!J172*tab!H16,2)</f>
        <v>0</v>
      </c>
      <c r="O75" s="33"/>
      <c r="P75" s="24"/>
      <c r="R75" s="630"/>
      <c r="S75" s="630"/>
      <c r="T75" s="630"/>
      <c r="U75" s="630"/>
      <c r="V75" s="630"/>
      <c r="W75" s="630"/>
      <c r="X75" s="630"/>
      <c r="Y75" s="630"/>
      <c r="Z75" s="630"/>
      <c r="AA75" s="630"/>
      <c r="AB75" s="630"/>
      <c r="AC75" s="630"/>
      <c r="AD75" s="630"/>
      <c r="AE75" s="630"/>
    </row>
    <row r="76" spans="2:31" x14ac:dyDescent="0.2">
      <c r="B76" s="20"/>
      <c r="C76" s="33"/>
      <c r="D76" s="149"/>
      <c r="E76" s="33"/>
      <c r="F76" s="33" t="str">
        <f>IF('geg ll'!F173=1,"categorie 1",IF('geg ll'!F173=2,"categorie 2","categorie 3"))</f>
        <v>categorie 2</v>
      </c>
      <c r="G76" s="64"/>
      <c r="H76" s="33"/>
      <c r="I76" s="431" t="e">
        <f>ROUND('geg ll'!G173*VLOOKUP($F76,categoriePersVSO,8,FALSE),2)</f>
        <v>#NAME?</v>
      </c>
      <c r="J76" s="431">
        <f>ROUND('geg ll'!G173*tab!C17,2)</f>
        <v>0</v>
      </c>
      <c r="K76" s="431">
        <f>ROUND('geg ll'!G173*tab!D17,2)</f>
        <v>0</v>
      </c>
      <c r="L76" s="431">
        <f>ROUND('geg ll'!H173*tab!E17,2)</f>
        <v>0</v>
      </c>
      <c r="M76" s="431">
        <f>ROUND('geg ll'!I173*tab!F17,2)</f>
        <v>0</v>
      </c>
      <c r="N76" s="431">
        <f>ROUND('geg ll'!J173*tab!H17,2)</f>
        <v>0</v>
      </c>
      <c r="O76" s="33"/>
      <c r="P76" s="24"/>
      <c r="R76" s="630"/>
      <c r="S76" s="630"/>
      <c r="T76" s="630"/>
      <c r="U76" s="630"/>
      <c r="V76" s="630"/>
      <c r="W76" s="630"/>
      <c r="X76" s="630"/>
      <c r="Y76" s="630"/>
      <c r="Z76" s="630"/>
      <c r="AA76" s="630"/>
      <c r="AB76" s="630"/>
      <c r="AC76" s="630"/>
      <c r="AD76" s="630"/>
      <c r="AE76" s="630"/>
    </row>
    <row r="77" spans="2:31" x14ac:dyDescent="0.2">
      <c r="B77" s="20"/>
      <c r="C77" s="33"/>
      <c r="D77" s="149"/>
      <c r="E77" s="33"/>
      <c r="F77" s="33" t="str">
        <f>IF('geg ll'!F174=1,"categorie 1",IF('geg ll'!F174=2,"categorie 2","categorie 3"))</f>
        <v>categorie 3</v>
      </c>
      <c r="G77" s="64"/>
      <c r="H77" s="33"/>
      <c r="I77" s="431" t="e">
        <f>ROUND('geg ll'!G174*VLOOKUP($F77,categoriePersVSO,8,FALSE),2)</f>
        <v>#NAME?</v>
      </c>
      <c r="J77" s="431">
        <f>ROUND('geg ll'!G174*tab!C18,2)</f>
        <v>0</v>
      </c>
      <c r="K77" s="431">
        <f>ROUND('geg ll'!G174*tab!D18,2)</f>
        <v>0</v>
      </c>
      <c r="L77" s="431">
        <f>ROUND('geg ll'!H174*tab!E18,2)</f>
        <v>0</v>
      </c>
      <c r="M77" s="431">
        <f>ROUND('geg ll'!I174*tab!F18,2)</f>
        <v>0</v>
      </c>
      <c r="N77" s="431">
        <f>ROUND('geg ll'!J174*tab!H18,2)</f>
        <v>0</v>
      </c>
      <c r="O77" s="33"/>
      <c r="P77" s="24"/>
      <c r="R77" s="630"/>
      <c r="S77" s="630"/>
      <c r="T77" s="630"/>
      <c r="U77" s="630"/>
      <c r="V77" s="630"/>
      <c r="W77" s="630"/>
      <c r="X77" s="630"/>
      <c r="Y77" s="630"/>
      <c r="Z77" s="630"/>
      <c r="AA77" s="630"/>
      <c r="AB77" s="630"/>
      <c r="AC77" s="630"/>
      <c r="AD77" s="630"/>
      <c r="AE77" s="630"/>
    </row>
    <row r="78" spans="2:31" x14ac:dyDescent="0.2">
      <c r="B78" s="20"/>
      <c r="C78" s="33"/>
      <c r="D78" s="461" t="str">
        <f>+'geg ll'!D176</f>
        <v>School 18</v>
      </c>
      <c r="E78" s="33"/>
      <c r="F78" s="33" t="str">
        <f>IF('geg ll'!F176=1,"categorie 1",IF('geg ll'!F176=2,"categorie 2","categorie 3"))</f>
        <v>categorie 1</v>
      </c>
      <c r="G78" s="64"/>
      <c r="H78" s="33"/>
      <c r="I78" s="431" t="e">
        <f>ROUND('geg ll'!G176*VLOOKUP($F78,categoriePersVSO,8,FALSE),2)</f>
        <v>#NAME?</v>
      </c>
      <c r="J78" s="431">
        <f>ROUND('geg ll'!G176*tab!C16,2)</f>
        <v>0</v>
      </c>
      <c r="K78" s="431">
        <f>ROUND('geg ll'!G176*tab!D16,2)</f>
        <v>0</v>
      </c>
      <c r="L78" s="431">
        <f>ROUND('geg ll'!H176*tab!E16,2)</f>
        <v>0</v>
      </c>
      <c r="M78" s="431">
        <f>ROUND('geg ll'!I176*tab!F16,2)</f>
        <v>0</v>
      </c>
      <c r="N78" s="431">
        <f>ROUND('geg ll'!J176*tab!H16,2)</f>
        <v>0</v>
      </c>
      <c r="O78" s="33"/>
      <c r="P78" s="24"/>
      <c r="R78" s="630"/>
      <c r="S78" s="630"/>
      <c r="T78" s="630"/>
      <c r="U78" s="630"/>
      <c r="V78" s="630"/>
      <c r="W78" s="630"/>
      <c r="X78" s="630"/>
      <c r="Y78" s="630"/>
      <c r="Z78" s="630"/>
      <c r="AA78" s="630"/>
      <c r="AB78" s="630"/>
      <c r="AC78" s="630"/>
      <c r="AD78" s="630"/>
      <c r="AE78" s="630"/>
    </row>
    <row r="79" spans="2:31" x14ac:dyDescent="0.2">
      <c r="B79" s="20"/>
      <c r="C79" s="33"/>
      <c r="D79" s="149"/>
      <c r="E79" s="33"/>
      <c r="F79" s="33" t="str">
        <f>IF('geg ll'!F177=1,"categorie 1",IF('geg ll'!F177=2,"categorie 2","categorie 3"))</f>
        <v>categorie 2</v>
      </c>
      <c r="G79" s="64"/>
      <c r="H79" s="33"/>
      <c r="I79" s="431" t="e">
        <f>ROUND('geg ll'!G177*VLOOKUP($F78,categoriePersVSO,8,FALSE),2)</f>
        <v>#NAME?</v>
      </c>
      <c r="J79" s="431">
        <f>ROUND('geg ll'!G177*tab!C17,2)</f>
        <v>0</v>
      </c>
      <c r="K79" s="431">
        <f>ROUND('geg ll'!G177*tab!D17,2)</f>
        <v>0</v>
      </c>
      <c r="L79" s="431">
        <f>ROUND('geg ll'!H177*tab!E17,2)</f>
        <v>0</v>
      </c>
      <c r="M79" s="431">
        <f>ROUND('geg ll'!I177*tab!F17,2)</f>
        <v>0</v>
      </c>
      <c r="N79" s="431">
        <f>ROUND('geg ll'!J177*tab!H17,2)</f>
        <v>0</v>
      </c>
      <c r="O79" s="33"/>
      <c r="P79" s="24"/>
      <c r="R79" s="630"/>
      <c r="S79" s="630"/>
      <c r="T79" s="630"/>
      <c r="U79" s="630"/>
      <c r="V79" s="630"/>
      <c r="W79" s="630"/>
      <c r="X79" s="630"/>
      <c r="Y79" s="630"/>
      <c r="Z79" s="630"/>
      <c r="AA79" s="630"/>
      <c r="AB79" s="630"/>
      <c r="AC79" s="630"/>
      <c r="AD79" s="630"/>
      <c r="AE79" s="630"/>
    </row>
    <row r="80" spans="2:31" x14ac:dyDescent="0.2">
      <c r="B80" s="20"/>
      <c r="C80" s="33"/>
      <c r="D80" s="149"/>
      <c r="E80" s="33"/>
      <c r="F80" s="33" t="str">
        <f>IF('geg ll'!F178=1,"categorie 1",IF('geg ll'!F178=2,"categorie 2","categorie 3"))</f>
        <v>categorie 3</v>
      </c>
      <c r="G80" s="64"/>
      <c r="H80" s="33"/>
      <c r="I80" s="431" t="e">
        <f>ROUND('geg ll'!G178*VLOOKUP($F80,categoriePersVSO,8,FALSE),2)</f>
        <v>#NAME?</v>
      </c>
      <c r="J80" s="431">
        <f>ROUND('geg ll'!G178*tab!C18,2)</f>
        <v>0</v>
      </c>
      <c r="K80" s="431">
        <f>ROUND('geg ll'!G178*tab!D18,2)</f>
        <v>0</v>
      </c>
      <c r="L80" s="431">
        <f>ROUND('geg ll'!H178*tab!E18,2)</f>
        <v>0</v>
      </c>
      <c r="M80" s="431">
        <f>ROUND('geg ll'!I178*tab!F18,2)</f>
        <v>0</v>
      </c>
      <c r="N80" s="431">
        <f>ROUND('geg ll'!J178*tab!H18,2)</f>
        <v>0</v>
      </c>
      <c r="O80" s="33"/>
      <c r="P80" s="24"/>
    </row>
    <row r="81" spans="2:16" x14ac:dyDescent="0.2">
      <c r="B81" s="20"/>
      <c r="C81" s="33"/>
      <c r="D81" s="461" t="str">
        <f>+'geg ll'!D180</f>
        <v>School 19</v>
      </c>
      <c r="E81" s="33"/>
      <c r="F81" s="33" t="str">
        <f>IF('geg ll'!F180=1,"categorie 1",IF('geg ll'!F180=2,"categorie 2","categorie 3"))</f>
        <v>categorie 1</v>
      </c>
      <c r="G81" s="64"/>
      <c r="H81" s="33"/>
      <c r="I81" s="431" t="e">
        <f>ROUND('geg ll'!G180*VLOOKUP($F81,categoriePersVSO,8,FALSE),2)</f>
        <v>#NAME?</v>
      </c>
      <c r="J81" s="431">
        <f>ROUND('geg ll'!G180*tab!C16,2)</f>
        <v>0</v>
      </c>
      <c r="K81" s="431">
        <f>ROUND('geg ll'!G180*tab!D16,2)</f>
        <v>0</v>
      </c>
      <c r="L81" s="431">
        <f>ROUND('geg ll'!H180*tab!E16,2)</f>
        <v>0</v>
      </c>
      <c r="M81" s="431">
        <f>ROUND('geg ll'!I180*tab!F16,2)</f>
        <v>0</v>
      </c>
      <c r="N81" s="431">
        <f>ROUND('geg ll'!J180*tab!H16,2)</f>
        <v>0</v>
      </c>
      <c r="O81" s="33"/>
      <c r="P81" s="24"/>
    </row>
    <row r="82" spans="2:16" x14ac:dyDescent="0.2">
      <c r="B82" s="20"/>
      <c r="C82" s="33"/>
      <c r="D82" s="149"/>
      <c r="E82" s="33"/>
      <c r="F82" s="33" t="str">
        <f>IF('geg ll'!F181=1,"categorie 1",IF('geg ll'!F181=2,"categorie 2","categorie 3"))</f>
        <v>categorie 2</v>
      </c>
      <c r="G82" s="64"/>
      <c r="H82" s="33"/>
      <c r="I82" s="431" t="e">
        <f>ROUND('geg ll'!G181*VLOOKUP($F82,categoriePersVSO,8,FALSE),2)</f>
        <v>#NAME?</v>
      </c>
      <c r="J82" s="431">
        <f>ROUND('geg ll'!G181*tab!C17,2)</f>
        <v>0</v>
      </c>
      <c r="K82" s="431">
        <f>ROUND('geg ll'!G181*tab!D17,2)</f>
        <v>0</v>
      </c>
      <c r="L82" s="431">
        <f>ROUND('geg ll'!H181*tab!E17,2)</f>
        <v>0</v>
      </c>
      <c r="M82" s="431">
        <f>ROUND('geg ll'!I181*tab!F17,2)</f>
        <v>0</v>
      </c>
      <c r="N82" s="431">
        <f>ROUND('geg ll'!J181*tab!H17,2)</f>
        <v>0</v>
      </c>
      <c r="O82" s="33"/>
      <c r="P82" s="24"/>
    </row>
    <row r="83" spans="2:16" x14ac:dyDescent="0.2">
      <c r="B83" s="20"/>
      <c r="C83" s="33"/>
      <c r="D83" s="149"/>
      <c r="E83" s="33"/>
      <c r="F83" s="33" t="str">
        <f>IF('geg ll'!F182=1,"categorie 1",IF('geg ll'!F182=2,"categorie 2","categorie 3"))</f>
        <v>categorie 3</v>
      </c>
      <c r="G83" s="64"/>
      <c r="H83" s="33"/>
      <c r="I83" s="431" t="e">
        <f>ROUND('geg ll'!G182*VLOOKUP($F83,categoriePersVSO,8,FALSE),2)</f>
        <v>#NAME?</v>
      </c>
      <c r="J83" s="431">
        <f>ROUND('geg ll'!G182*tab!C18,2)</f>
        <v>0</v>
      </c>
      <c r="K83" s="431">
        <f>ROUND('geg ll'!G182*tab!D18,2)</f>
        <v>0</v>
      </c>
      <c r="L83" s="431">
        <f>ROUND('geg ll'!H182*tab!E18,2)</f>
        <v>0</v>
      </c>
      <c r="M83" s="431">
        <f>ROUND('geg ll'!I182*tab!F18,2)</f>
        <v>0</v>
      </c>
      <c r="N83" s="431">
        <f>ROUND('geg ll'!J182*tab!H18,2)</f>
        <v>0</v>
      </c>
      <c r="O83" s="33"/>
      <c r="P83" s="24"/>
    </row>
    <row r="84" spans="2:16" x14ac:dyDescent="0.2">
      <c r="B84" s="20"/>
      <c r="C84" s="33"/>
      <c r="D84" s="461" t="str">
        <f>+'geg ll'!D184</f>
        <v>School 20</v>
      </c>
      <c r="E84" s="33"/>
      <c r="F84" s="33" t="str">
        <f>IF('geg ll'!F184=1,"categorie 1",IF('geg ll'!F184=2,"categorie 2","categorie 3"))</f>
        <v>categorie 1</v>
      </c>
      <c r="G84" s="64"/>
      <c r="H84" s="33"/>
      <c r="I84" s="431" t="e">
        <f>ROUND('geg ll'!G184*VLOOKUP($F84,categoriePersVSO,8,FALSE),2)</f>
        <v>#NAME?</v>
      </c>
      <c r="J84" s="431">
        <f>ROUND('geg ll'!G184*tab!C16,2)</f>
        <v>0</v>
      </c>
      <c r="K84" s="431">
        <f>ROUND('geg ll'!G184*tab!D16,2)</f>
        <v>0</v>
      </c>
      <c r="L84" s="431">
        <f>ROUND('geg ll'!H184*tab!E16,2)</f>
        <v>0</v>
      </c>
      <c r="M84" s="431">
        <f>ROUND('geg ll'!I184*tab!F16,2)</f>
        <v>0</v>
      </c>
      <c r="N84" s="431">
        <f>ROUND('geg ll'!J184*tab!H16,2)</f>
        <v>0</v>
      </c>
      <c r="O84" s="33"/>
      <c r="P84" s="24"/>
    </row>
    <row r="85" spans="2:16" x14ac:dyDescent="0.2">
      <c r="B85" s="20"/>
      <c r="C85" s="33"/>
      <c r="D85" s="149"/>
      <c r="E85" s="33"/>
      <c r="F85" s="33" t="str">
        <f>IF('geg ll'!F185=1,"categorie 1",IF('geg ll'!F185=2,"categorie 2","categorie 3"))</f>
        <v>categorie 2</v>
      </c>
      <c r="G85" s="64"/>
      <c r="H85" s="33"/>
      <c r="I85" s="431" t="e">
        <f>ROUND('geg ll'!G185*VLOOKUP($F85,categoriePersVSO,8,FALSE),2)</f>
        <v>#NAME?</v>
      </c>
      <c r="J85" s="431">
        <f>ROUND('geg ll'!G185*tab!C17,2)</f>
        <v>0</v>
      </c>
      <c r="K85" s="431">
        <f>ROUND('geg ll'!G185*tab!D17,2)</f>
        <v>0</v>
      </c>
      <c r="L85" s="431">
        <f>ROUND('geg ll'!H185*tab!E17,2)</f>
        <v>0</v>
      </c>
      <c r="M85" s="431">
        <f>ROUND('geg ll'!I185*tab!F17,2)</f>
        <v>0</v>
      </c>
      <c r="N85" s="431">
        <f>ROUND('geg ll'!J185*tab!H17,2)</f>
        <v>0</v>
      </c>
      <c r="O85" s="33"/>
      <c r="P85" s="24"/>
    </row>
    <row r="86" spans="2:16" x14ac:dyDescent="0.2">
      <c r="B86" s="20"/>
      <c r="C86" s="33"/>
      <c r="D86" s="149"/>
      <c r="E86" s="33"/>
      <c r="F86" s="33" t="str">
        <f>IF('geg ll'!F186=1,"categorie 1",IF('geg ll'!F186=2,"categorie 2","categorie 3"))</f>
        <v>categorie 3</v>
      </c>
      <c r="G86" s="64"/>
      <c r="H86" s="33"/>
      <c r="I86" s="431" t="e">
        <f>ROUND('geg ll'!G186*VLOOKUP($F86,categoriePersVSO,8,FALSE),2)</f>
        <v>#NAME?</v>
      </c>
      <c r="J86" s="431">
        <f>ROUND('geg ll'!G186*tab!C18,2)</f>
        <v>0</v>
      </c>
      <c r="K86" s="431">
        <f>ROUND('geg ll'!G186*tab!D18,2)</f>
        <v>0</v>
      </c>
      <c r="L86" s="431">
        <f>ROUND('geg ll'!H186*tab!E18,2)</f>
        <v>0</v>
      </c>
      <c r="M86" s="431">
        <f>ROUND('geg ll'!I186*tab!F18,2)</f>
        <v>0</v>
      </c>
      <c r="N86" s="431">
        <f>ROUND('geg ll'!J186*tab!H18,2)</f>
        <v>0</v>
      </c>
      <c r="O86" s="33"/>
      <c r="P86" s="24"/>
    </row>
    <row r="87" spans="2:16" x14ac:dyDescent="0.2">
      <c r="B87" s="20"/>
      <c r="C87" s="33"/>
      <c r="D87" s="461" t="str">
        <f>+'geg ll'!D188</f>
        <v>School 21</v>
      </c>
      <c r="E87" s="33"/>
      <c r="F87" s="33" t="str">
        <f>IF('geg ll'!F188=1,"categorie 1",IF('geg ll'!F188=2,"categorie 2","categorie 3"))</f>
        <v>categorie 1</v>
      </c>
      <c r="G87" s="64"/>
      <c r="H87" s="33"/>
      <c r="I87" s="431" t="e">
        <f>ROUND('geg ll'!G188*VLOOKUP($F87,categoriePersVSO,8,FALSE),2)</f>
        <v>#NAME?</v>
      </c>
      <c r="J87" s="431">
        <f>ROUND('geg ll'!G188*tab!C16,2)</f>
        <v>0</v>
      </c>
      <c r="K87" s="431">
        <f>ROUND('geg ll'!G188*tab!D16,2)</f>
        <v>0</v>
      </c>
      <c r="L87" s="431">
        <f>ROUND('geg ll'!H188*tab!E16,2)</f>
        <v>0</v>
      </c>
      <c r="M87" s="431">
        <f>ROUND('geg ll'!I188*tab!F16,2)</f>
        <v>0</v>
      </c>
      <c r="N87" s="431">
        <f>ROUND('geg ll'!J188*tab!H16,2)</f>
        <v>0</v>
      </c>
      <c r="O87" s="33"/>
      <c r="P87" s="24"/>
    </row>
    <row r="88" spans="2:16" x14ac:dyDescent="0.2">
      <c r="B88" s="20"/>
      <c r="C88" s="33"/>
      <c r="D88" s="149"/>
      <c r="E88" s="33"/>
      <c r="F88" s="33" t="str">
        <f>IF('geg ll'!F189=1,"categorie 1",IF('geg ll'!F189=2,"categorie 2","categorie 3"))</f>
        <v>categorie 2</v>
      </c>
      <c r="G88" s="64"/>
      <c r="H88" s="33"/>
      <c r="I88" s="431" t="e">
        <f>ROUND('geg ll'!G189*VLOOKUP($F88,categoriePersVSO,8,FALSE),2)</f>
        <v>#NAME?</v>
      </c>
      <c r="J88" s="431">
        <f>ROUND('geg ll'!G189*tab!C17,2)</f>
        <v>0</v>
      </c>
      <c r="K88" s="431">
        <f>ROUND('geg ll'!G189*tab!D17,2)</f>
        <v>0</v>
      </c>
      <c r="L88" s="431">
        <f>ROUND('geg ll'!H189*tab!E17,2)</f>
        <v>0</v>
      </c>
      <c r="M88" s="431">
        <f>ROUND('geg ll'!I189*tab!F17,2)</f>
        <v>0</v>
      </c>
      <c r="N88" s="431">
        <f>ROUND('geg ll'!J189*tab!H17,2)</f>
        <v>0</v>
      </c>
      <c r="O88" s="33"/>
      <c r="P88" s="24"/>
    </row>
    <row r="89" spans="2:16" x14ac:dyDescent="0.2">
      <c r="B89" s="20"/>
      <c r="C89" s="33"/>
      <c r="D89" s="149"/>
      <c r="E89" s="33"/>
      <c r="F89" s="33" t="str">
        <f>IF('geg ll'!F190=1,"categorie 1",IF('geg ll'!F190=2,"categorie 2","categorie 3"))</f>
        <v>categorie 3</v>
      </c>
      <c r="G89" s="64"/>
      <c r="H89" s="33"/>
      <c r="I89" s="431" t="e">
        <f>ROUND('geg ll'!G190*VLOOKUP($F88,categoriePersVSO,8,FALSE),2)</f>
        <v>#NAME?</v>
      </c>
      <c r="J89" s="431">
        <f>ROUND('geg ll'!G190*tab!C18,2)</f>
        <v>0</v>
      </c>
      <c r="K89" s="431">
        <f>ROUND('geg ll'!G190*tab!D18,2)</f>
        <v>0</v>
      </c>
      <c r="L89" s="431">
        <f>ROUND('geg ll'!H190*tab!E18,2)</f>
        <v>0</v>
      </c>
      <c r="M89" s="431">
        <f>ROUND('geg ll'!I190*tab!F18,2)</f>
        <v>0</v>
      </c>
      <c r="N89" s="431">
        <f>ROUND('geg ll'!J190*tab!H18,2)</f>
        <v>0</v>
      </c>
      <c r="O89" s="33"/>
      <c r="P89" s="24"/>
    </row>
    <row r="90" spans="2:16" x14ac:dyDescent="0.2">
      <c r="B90" s="20"/>
      <c r="C90" s="33"/>
      <c r="D90" s="461" t="str">
        <f>+'geg ll'!D192</f>
        <v>School 22</v>
      </c>
      <c r="E90" s="33"/>
      <c r="F90" s="33" t="str">
        <f>IF('geg ll'!F192=1,"categorie 1",IF('geg ll'!F192=2,"categorie 2","categorie 3"))</f>
        <v>categorie 1</v>
      </c>
      <c r="G90" s="64"/>
      <c r="H90" s="33"/>
      <c r="I90" s="431" t="e">
        <f>ROUND('geg ll'!G192*VLOOKUP($F90,categoriePersVSO,8,FALSE),2)</f>
        <v>#NAME?</v>
      </c>
      <c r="J90" s="431">
        <f>ROUND('geg ll'!G192*tab!C16,2)</f>
        <v>0</v>
      </c>
      <c r="K90" s="431">
        <f>ROUND('geg ll'!G192*tab!D16,2)</f>
        <v>0</v>
      </c>
      <c r="L90" s="431">
        <f>ROUND('geg ll'!H192*tab!E16,2)</f>
        <v>0</v>
      </c>
      <c r="M90" s="431">
        <f>ROUND('geg ll'!I192*tab!F16,2)</f>
        <v>0</v>
      </c>
      <c r="N90" s="431">
        <f>ROUND('geg ll'!J192*tab!H16,2)</f>
        <v>0</v>
      </c>
      <c r="O90" s="33"/>
      <c r="P90" s="24"/>
    </row>
    <row r="91" spans="2:16" x14ac:dyDescent="0.2">
      <c r="B91" s="20"/>
      <c r="C91" s="33"/>
      <c r="D91" s="149"/>
      <c r="E91" s="33"/>
      <c r="F91" s="33" t="str">
        <f>IF('geg ll'!F193=1,"categorie 1",IF('geg ll'!F193=2,"categorie 2","categorie 3"))</f>
        <v>categorie 2</v>
      </c>
      <c r="G91" s="64"/>
      <c r="H91" s="33"/>
      <c r="I91" s="431" t="e">
        <f>ROUND('geg ll'!G193*VLOOKUP($F91,categoriePersVSO,8,FALSE),2)</f>
        <v>#NAME?</v>
      </c>
      <c r="J91" s="431">
        <f>ROUND('geg ll'!G193*tab!C17,2)</f>
        <v>0</v>
      </c>
      <c r="K91" s="431">
        <f>ROUND('geg ll'!G193*tab!D17,2)</f>
        <v>0</v>
      </c>
      <c r="L91" s="431">
        <f>ROUND('geg ll'!H193*tab!E17,2)</f>
        <v>0</v>
      </c>
      <c r="M91" s="431">
        <f>ROUND('geg ll'!I193*tab!F17,2)</f>
        <v>0</v>
      </c>
      <c r="N91" s="431">
        <f>ROUND('geg ll'!J193*tab!H17,2)</f>
        <v>0</v>
      </c>
      <c r="O91" s="33"/>
      <c r="P91" s="24"/>
    </row>
    <row r="92" spans="2:16" x14ac:dyDescent="0.2">
      <c r="B92" s="20"/>
      <c r="C92" s="33"/>
      <c r="D92" s="149"/>
      <c r="E92" s="33"/>
      <c r="F92" s="33" t="str">
        <f>IF('geg ll'!F194=1,"categorie 1",IF('geg ll'!F194=2,"categorie 2","categorie 3"))</f>
        <v>categorie 3</v>
      </c>
      <c r="G92" s="64"/>
      <c r="H92" s="33"/>
      <c r="I92" s="431" t="e">
        <f>ROUND('geg ll'!G194*VLOOKUP($F92,categoriePersVSO,8,FALSE),2)</f>
        <v>#NAME?</v>
      </c>
      <c r="J92" s="431">
        <f>ROUND('geg ll'!G194*tab!C18,2)</f>
        <v>0</v>
      </c>
      <c r="K92" s="431">
        <f>ROUND('geg ll'!G194*tab!D18,2)</f>
        <v>0</v>
      </c>
      <c r="L92" s="431">
        <f>ROUND('geg ll'!H194*tab!E18,2)</f>
        <v>0</v>
      </c>
      <c r="M92" s="431">
        <f>ROUND('geg ll'!I194*tab!F18,2)</f>
        <v>0</v>
      </c>
      <c r="N92" s="431">
        <f>ROUND('geg ll'!J194*tab!H18,2)</f>
        <v>0</v>
      </c>
      <c r="O92" s="33"/>
      <c r="P92" s="24"/>
    </row>
    <row r="93" spans="2:16" x14ac:dyDescent="0.2">
      <c r="B93" s="20"/>
      <c r="C93" s="33"/>
      <c r="D93" s="461" t="str">
        <f>+'geg ll'!D196</f>
        <v>School 23</v>
      </c>
      <c r="E93" s="33"/>
      <c r="F93" s="33" t="str">
        <f>IF('geg ll'!F196=1,"categorie 1",IF('geg ll'!F196=2,"categorie 2","categorie 3"))</f>
        <v>categorie 1</v>
      </c>
      <c r="G93" s="64"/>
      <c r="H93" s="33"/>
      <c r="I93" s="431" t="e">
        <f>ROUND('geg ll'!G196*VLOOKUP($F93,categoriePersVSO,8,FALSE),2)</f>
        <v>#NAME?</v>
      </c>
      <c r="J93" s="431">
        <f>ROUND('geg ll'!G196*tab!C16,2)</f>
        <v>0</v>
      </c>
      <c r="K93" s="431">
        <f>ROUND('geg ll'!G196*tab!D16,2)</f>
        <v>0</v>
      </c>
      <c r="L93" s="431">
        <f>ROUND('geg ll'!H196*tab!E16,2)</f>
        <v>0</v>
      </c>
      <c r="M93" s="431">
        <f>ROUND('geg ll'!I196*tab!F16,2)</f>
        <v>0</v>
      </c>
      <c r="N93" s="431">
        <f>ROUND('geg ll'!J196*tab!H16,2)</f>
        <v>0</v>
      </c>
      <c r="O93" s="33"/>
      <c r="P93" s="24"/>
    </row>
    <row r="94" spans="2:16" x14ac:dyDescent="0.2">
      <c r="B94" s="20"/>
      <c r="C94" s="33"/>
      <c r="D94" s="149"/>
      <c r="E94" s="33"/>
      <c r="F94" s="33" t="str">
        <f>IF('geg ll'!F197=1,"categorie 1",IF('geg ll'!F197=2,"categorie 2","categorie 3"))</f>
        <v>categorie 2</v>
      </c>
      <c r="G94" s="64"/>
      <c r="H94" s="33"/>
      <c r="I94" s="431" t="e">
        <f>ROUND('geg ll'!G197*VLOOKUP($F94,categoriePersVSO,8,FALSE),2)</f>
        <v>#NAME?</v>
      </c>
      <c r="J94" s="431">
        <f>ROUND('geg ll'!G197*tab!C17,2)</f>
        <v>0</v>
      </c>
      <c r="K94" s="431">
        <f>ROUND('geg ll'!G197*tab!D17,2)</f>
        <v>0</v>
      </c>
      <c r="L94" s="431">
        <f>ROUND('geg ll'!H197*tab!E17,2)</f>
        <v>0</v>
      </c>
      <c r="M94" s="431">
        <f>ROUND('geg ll'!I197*tab!F17,2)</f>
        <v>0</v>
      </c>
      <c r="N94" s="431">
        <f>ROUND('geg ll'!J197*tab!H17,2)</f>
        <v>0</v>
      </c>
      <c r="O94" s="33"/>
      <c r="P94" s="24"/>
    </row>
    <row r="95" spans="2:16" x14ac:dyDescent="0.2">
      <c r="B95" s="20"/>
      <c r="C95" s="33"/>
      <c r="D95" s="149"/>
      <c r="E95" s="33"/>
      <c r="F95" s="33" t="str">
        <f>IF('geg ll'!F198=1,"categorie 1",IF('geg ll'!F198=2,"categorie 2","categorie 3"))</f>
        <v>categorie 3</v>
      </c>
      <c r="G95" s="64"/>
      <c r="H95" s="33"/>
      <c r="I95" s="431" t="e">
        <f>ROUND('geg ll'!G198*VLOOKUP($F95,categoriePersVSO,8,FALSE),2)</f>
        <v>#NAME?</v>
      </c>
      <c r="J95" s="431">
        <f>ROUND('geg ll'!G198*tab!C18,2)</f>
        <v>0</v>
      </c>
      <c r="K95" s="431">
        <f>ROUND('geg ll'!G198*tab!D18,2)</f>
        <v>0</v>
      </c>
      <c r="L95" s="431">
        <f>ROUND('geg ll'!H198*tab!E18,2)</f>
        <v>0</v>
      </c>
      <c r="M95" s="431">
        <f>ROUND('geg ll'!I198*tab!F18,2)</f>
        <v>0</v>
      </c>
      <c r="N95" s="431">
        <f>ROUND('geg ll'!J198*tab!H18,2)</f>
        <v>0</v>
      </c>
      <c r="O95" s="33"/>
      <c r="P95" s="24"/>
    </row>
    <row r="96" spans="2:16" x14ac:dyDescent="0.2">
      <c r="B96" s="20"/>
      <c r="C96" s="33"/>
      <c r="D96" s="461" t="str">
        <f>+'geg ll'!D200</f>
        <v>School 24</v>
      </c>
      <c r="E96" s="33"/>
      <c r="F96" s="33" t="str">
        <f>IF('geg ll'!F200=1,"categorie 1",IF('geg ll'!F200=2,"categorie 2","categorie 3"))</f>
        <v>categorie 1</v>
      </c>
      <c r="G96" s="64"/>
      <c r="H96" s="33"/>
      <c r="I96" s="431" t="e">
        <f>ROUND('geg ll'!G200*VLOOKUP($F96,categoriePersVSO,8,FALSE),2)</f>
        <v>#NAME?</v>
      </c>
      <c r="J96" s="431">
        <f>ROUND('geg ll'!G200*tab!C16,2)</f>
        <v>0</v>
      </c>
      <c r="K96" s="431">
        <f>ROUND('geg ll'!G200*tab!D16,2)</f>
        <v>0</v>
      </c>
      <c r="L96" s="431">
        <f>ROUND('geg ll'!H200*tab!E16,2)</f>
        <v>0</v>
      </c>
      <c r="M96" s="431">
        <f>ROUND('geg ll'!I200*tab!F16,2)</f>
        <v>0</v>
      </c>
      <c r="N96" s="431">
        <f>ROUND('geg ll'!J200*tab!H16,2)</f>
        <v>0</v>
      </c>
      <c r="O96" s="33"/>
      <c r="P96" s="24"/>
    </row>
    <row r="97" spans="2:16" x14ac:dyDescent="0.2">
      <c r="B97" s="20"/>
      <c r="C97" s="33"/>
      <c r="D97" s="149"/>
      <c r="E97" s="33"/>
      <c r="F97" s="33" t="str">
        <f>IF('geg ll'!F201=1,"categorie 1",IF('geg ll'!F201=2,"categorie 2","categorie 3"))</f>
        <v>categorie 2</v>
      </c>
      <c r="G97" s="64"/>
      <c r="H97" s="33"/>
      <c r="I97" s="431" t="e">
        <f>ROUND('geg ll'!G201*VLOOKUP($F97,categoriePersVSO,8,FALSE),2)</f>
        <v>#NAME?</v>
      </c>
      <c r="J97" s="431">
        <f>ROUND('geg ll'!G201*tab!C17,2)</f>
        <v>0</v>
      </c>
      <c r="K97" s="431">
        <f>ROUND('geg ll'!G201*tab!D17,2)</f>
        <v>0</v>
      </c>
      <c r="L97" s="431">
        <f>ROUND('geg ll'!H201*tab!E17,2)</f>
        <v>0</v>
      </c>
      <c r="M97" s="431">
        <f>ROUND('geg ll'!I201*tab!F17,2)</f>
        <v>0</v>
      </c>
      <c r="N97" s="431">
        <f>ROUND('geg ll'!J201*tab!H17,2)</f>
        <v>0</v>
      </c>
      <c r="O97" s="33"/>
      <c r="P97" s="24"/>
    </row>
    <row r="98" spans="2:16" x14ac:dyDescent="0.2">
      <c r="B98" s="20"/>
      <c r="C98" s="33"/>
      <c r="D98" s="149"/>
      <c r="E98" s="33"/>
      <c r="F98" s="33" t="str">
        <f>IF('geg ll'!F202=1,"categorie 1",IF('geg ll'!F202=2,"categorie 2","categorie 3"))</f>
        <v>categorie 3</v>
      </c>
      <c r="G98" s="64"/>
      <c r="H98" s="33"/>
      <c r="I98" s="431" t="e">
        <f>ROUND('geg ll'!G202*VLOOKUP($F98,categoriePersVSO,8,FALSE),2)</f>
        <v>#NAME?</v>
      </c>
      <c r="J98" s="431">
        <f>ROUND('geg ll'!G202*tab!C18,2)</f>
        <v>0</v>
      </c>
      <c r="K98" s="431">
        <f>ROUND('geg ll'!G202*tab!D18,2)</f>
        <v>0</v>
      </c>
      <c r="L98" s="431">
        <f>ROUND('geg ll'!H202*tab!E18,2)</f>
        <v>0</v>
      </c>
      <c r="M98" s="431">
        <f>ROUND('geg ll'!I202*tab!F18,2)</f>
        <v>0</v>
      </c>
      <c r="N98" s="431">
        <f>ROUND('geg ll'!J202*tab!H18,2)</f>
        <v>0</v>
      </c>
      <c r="O98" s="33"/>
      <c r="P98" s="24"/>
    </row>
    <row r="99" spans="2:16" x14ac:dyDescent="0.2">
      <c r="B99" s="20"/>
      <c r="C99" s="33"/>
      <c r="D99" s="461" t="str">
        <f>+'geg ll'!D204</f>
        <v>School 25</v>
      </c>
      <c r="E99" s="33"/>
      <c r="F99" s="33" t="str">
        <f>IF('geg ll'!F204=1,"categorie 1",IF('geg ll'!F204=2,"categorie 2","categorie 3"))</f>
        <v>categorie 1</v>
      </c>
      <c r="G99" s="64"/>
      <c r="H99" s="33"/>
      <c r="I99" s="431" t="e">
        <f>ROUND('geg ll'!G204*VLOOKUP($F98,categoriePersVSO,8,FALSE),2)</f>
        <v>#NAME?</v>
      </c>
      <c r="J99" s="431">
        <f>ROUND('geg ll'!G204*tab!C16,2)</f>
        <v>0</v>
      </c>
      <c r="K99" s="431">
        <f>ROUND('geg ll'!G204*tab!D16,2)</f>
        <v>0</v>
      </c>
      <c r="L99" s="431">
        <f>ROUND('geg ll'!H204*tab!E16,2)</f>
        <v>0</v>
      </c>
      <c r="M99" s="431">
        <f>ROUND('geg ll'!I204*tab!F16,2)</f>
        <v>0</v>
      </c>
      <c r="N99" s="431">
        <f>ROUND('geg ll'!J204*tab!H16,2)</f>
        <v>0</v>
      </c>
      <c r="O99" s="33"/>
      <c r="P99" s="24"/>
    </row>
    <row r="100" spans="2:16" x14ac:dyDescent="0.2">
      <c r="B100" s="20"/>
      <c r="C100" s="33"/>
      <c r="D100" s="149"/>
      <c r="E100" s="33"/>
      <c r="F100" s="33" t="str">
        <f>IF('geg ll'!F205=1,"categorie 1",IF('geg ll'!F205=2,"categorie 2","categorie 3"))</f>
        <v>categorie 2</v>
      </c>
      <c r="G100" s="64"/>
      <c r="H100" s="33"/>
      <c r="I100" s="431" t="e">
        <f>ROUND('geg ll'!G205*VLOOKUP($F100,categoriePersVSO,8,FALSE),2)</f>
        <v>#NAME?</v>
      </c>
      <c r="J100" s="431">
        <f>ROUND('geg ll'!G205*tab!C17,2)</f>
        <v>0</v>
      </c>
      <c r="K100" s="431">
        <f>ROUND('geg ll'!G205*tab!D17,2)</f>
        <v>0</v>
      </c>
      <c r="L100" s="431">
        <f>ROUND('geg ll'!H205*tab!E17,2)</f>
        <v>0</v>
      </c>
      <c r="M100" s="431">
        <f>ROUND('geg ll'!I205*tab!F17,2)</f>
        <v>0</v>
      </c>
      <c r="N100" s="431">
        <f>ROUND('geg ll'!J205*tab!H17,2)</f>
        <v>0</v>
      </c>
      <c r="O100" s="33"/>
      <c r="P100" s="24"/>
    </row>
    <row r="101" spans="2:16" x14ac:dyDescent="0.2">
      <c r="B101" s="20"/>
      <c r="C101" s="33"/>
      <c r="D101" s="149"/>
      <c r="E101" s="33"/>
      <c r="F101" s="33" t="str">
        <f>IF('geg ll'!F206=1,"categorie 1",IF('geg ll'!F206=2,"categorie 2","categorie 3"))</f>
        <v>categorie 3</v>
      </c>
      <c r="G101" s="64"/>
      <c r="H101" s="33"/>
      <c r="I101" s="431" t="e">
        <f>ROUND('geg ll'!G206*VLOOKUP($F101,categoriePersVSO,8,FALSE),2)</f>
        <v>#NAME?</v>
      </c>
      <c r="J101" s="431">
        <f>ROUND('geg ll'!G206*tab!C18,2)</f>
        <v>0</v>
      </c>
      <c r="K101" s="431">
        <f>ROUND('geg ll'!G206*tab!D18,2)</f>
        <v>0</v>
      </c>
      <c r="L101" s="431">
        <f>ROUND('geg ll'!H206*tab!E18,2)</f>
        <v>0</v>
      </c>
      <c r="M101" s="431">
        <f>ROUND('geg ll'!I206*tab!F18,2)</f>
        <v>0</v>
      </c>
      <c r="N101" s="431">
        <f>ROUND('geg ll'!J206*tab!H18,2)</f>
        <v>0</v>
      </c>
      <c r="O101" s="33"/>
      <c r="P101" s="24"/>
    </row>
    <row r="102" spans="2:16" x14ac:dyDescent="0.2">
      <c r="B102" s="20"/>
      <c r="C102" s="33"/>
      <c r="D102" s="461" t="str">
        <f>+'geg ll'!D208</f>
        <v>School 26</v>
      </c>
      <c r="E102" s="33"/>
      <c r="F102" s="33" t="str">
        <f>IF('geg ll'!F208=1,"categorie 1",IF('geg ll'!F208=2,"categorie 2","categorie 3"))</f>
        <v>categorie 1</v>
      </c>
      <c r="G102" s="64"/>
      <c r="H102" s="33"/>
      <c r="I102" s="431" t="e">
        <f>ROUND('geg ll'!G208*VLOOKUP($F102,categoriePersVSO,8,FALSE),2)</f>
        <v>#NAME?</v>
      </c>
      <c r="J102" s="431">
        <f>ROUND('geg ll'!G208*tab!C16,2)</f>
        <v>0</v>
      </c>
      <c r="K102" s="431">
        <f>ROUND('geg ll'!G208*tab!D16,2)</f>
        <v>0</v>
      </c>
      <c r="L102" s="431">
        <f>ROUND('geg ll'!H208*tab!E16,2)</f>
        <v>0</v>
      </c>
      <c r="M102" s="431">
        <f>ROUND('geg ll'!I208*tab!F16,2)</f>
        <v>0</v>
      </c>
      <c r="N102" s="431">
        <f>ROUND('geg ll'!J208*tab!H16,2)</f>
        <v>0</v>
      </c>
      <c r="O102" s="33"/>
      <c r="P102" s="24"/>
    </row>
    <row r="103" spans="2:16" x14ac:dyDescent="0.2">
      <c r="B103" s="20"/>
      <c r="C103" s="33"/>
      <c r="D103" s="149"/>
      <c r="E103" s="33"/>
      <c r="F103" s="33" t="str">
        <f>IF('geg ll'!F209=1,"categorie 1",IF('geg ll'!F209=2,"categorie 2","categorie 3"))</f>
        <v>categorie 2</v>
      </c>
      <c r="G103" s="64"/>
      <c r="H103" s="33"/>
      <c r="I103" s="431" t="e">
        <f>ROUND('geg ll'!G209*VLOOKUP($F103,categoriePersVSO,8,FALSE),2)</f>
        <v>#NAME?</v>
      </c>
      <c r="J103" s="431">
        <f>ROUND('geg ll'!G209*tab!C17,2)</f>
        <v>0</v>
      </c>
      <c r="K103" s="431">
        <f>ROUND('geg ll'!G209*tab!D17,2)</f>
        <v>0</v>
      </c>
      <c r="L103" s="431">
        <f>ROUND('geg ll'!H209*tab!E17,2)</f>
        <v>0</v>
      </c>
      <c r="M103" s="431">
        <f>ROUND('geg ll'!I209*tab!F17,2)</f>
        <v>0</v>
      </c>
      <c r="N103" s="431">
        <f>ROUND('geg ll'!J209*tab!H17,2)</f>
        <v>0</v>
      </c>
      <c r="O103" s="33"/>
      <c r="P103" s="24"/>
    </row>
    <row r="104" spans="2:16" x14ac:dyDescent="0.2">
      <c r="B104" s="20"/>
      <c r="C104" s="33"/>
      <c r="D104" s="149"/>
      <c r="E104" s="33"/>
      <c r="F104" s="33" t="str">
        <f>IF('geg ll'!F210=1,"categorie 1",IF('geg ll'!F210=2,"categorie 2","categorie 3"))</f>
        <v>categorie 3</v>
      </c>
      <c r="G104" s="64"/>
      <c r="H104" s="33"/>
      <c r="I104" s="431" t="e">
        <f>ROUND('geg ll'!G210*VLOOKUP($F104,categoriePersVSO,8,FALSE),2)</f>
        <v>#NAME?</v>
      </c>
      <c r="J104" s="431">
        <f>ROUND('geg ll'!G210*tab!C18,2)</f>
        <v>0</v>
      </c>
      <c r="K104" s="431">
        <f>ROUND('geg ll'!G210*tab!D18,2)</f>
        <v>0</v>
      </c>
      <c r="L104" s="431">
        <f>ROUND('geg ll'!H210*tab!E18,2)</f>
        <v>0</v>
      </c>
      <c r="M104" s="431">
        <f>ROUND('geg ll'!I210*tab!F18,2)</f>
        <v>0</v>
      </c>
      <c r="N104" s="431">
        <f>ROUND('geg ll'!J210*tab!H18,2)</f>
        <v>0</v>
      </c>
      <c r="O104" s="33"/>
      <c r="P104" s="24"/>
    </row>
    <row r="105" spans="2:16" x14ac:dyDescent="0.2">
      <c r="B105" s="20"/>
      <c r="C105" s="33"/>
      <c r="D105" s="461" t="str">
        <f>+'geg ll'!D212</f>
        <v>School 27</v>
      </c>
      <c r="E105" s="33"/>
      <c r="F105" s="33" t="str">
        <f>IF('geg ll'!F212=1,"categorie 1",IF('geg ll'!F212=2,"categorie 2","categorie 3"))</f>
        <v>categorie 1</v>
      </c>
      <c r="G105" s="64"/>
      <c r="H105" s="33"/>
      <c r="I105" s="431" t="e">
        <f>ROUND('geg ll'!G212*VLOOKUP($F105,categoriePersVSO,8,FALSE),2)</f>
        <v>#NAME?</v>
      </c>
      <c r="J105" s="431">
        <f>ROUND('geg ll'!G212*tab!C16,2)</f>
        <v>0</v>
      </c>
      <c r="K105" s="431">
        <f>ROUND('geg ll'!G212*tab!D16,2)</f>
        <v>0</v>
      </c>
      <c r="L105" s="431">
        <f>ROUND('geg ll'!H212*tab!E16,2)</f>
        <v>0</v>
      </c>
      <c r="M105" s="431">
        <f>ROUND('geg ll'!I212*tab!F16,2)</f>
        <v>0</v>
      </c>
      <c r="N105" s="431">
        <f>ROUND('geg ll'!J212*tab!H16,2)</f>
        <v>0</v>
      </c>
      <c r="O105" s="33"/>
      <c r="P105" s="24"/>
    </row>
    <row r="106" spans="2:16" x14ac:dyDescent="0.2">
      <c r="B106" s="20"/>
      <c r="C106" s="33"/>
      <c r="D106" s="149"/>
      <c r="E106" s="33"/>
      <c r="F106" s="33" t="str">
        <f>IF('geg ll'!F213=1,"categorie 1",IF('geg ll'!F213=2,"categorie 2","categorie 3"))</f>
        <v>categorie 2</v>
      </c>
      <c r="G106" s="64"/>
      <c r="H106" s="33"/>
      <c r="I106" s="431" t="e">
        <f>ROUND('geg ll'!G213*VLOOKUP($F106,categoriePersVSO,8,FALSE),2)</f>
        <v>#NAME?</v>
      </c>
      <c r="J106" s="431">
        <f>ROUND('geg ll'!G213*tab!C17,2)</f>
        <v>0</v>
      </c>
      <c r="K106" s="431">
        <f>ROUND('geg ll'!G213*tab!D17,2)</f>
        <v>0</v>
      </c>
      <c r="L106" s="431">
        <f>ROUND('geg ll'!H213*tab!E17,2)</f>
        <v>0</v>
      </c>
      <c r="M106" s="431">
        <f>ROUND('geg ll'!I213*tab!F17,2)</f>
        <v>0</v>
      </c>
      <c r="N106" s="431">
        <f>ROUND('geg ll'!J213*tab!H17,2)</f>
        <v>0</v>
      </c>
      <c r="O106" s="33"/>
      <c r="P106" s="24"/>
    </row>
    <row r="107" spans="2:16" x14ac:dyDescent="0.2">
      <c r="B107" s="20"/>
      <c r="C107" s="33"/>
      <c r="D107" s="149"/>
      <c r="E107" s="33"/>
      <c r="F107" s="33" t="str">
        <f>IF('geg ll'!F214=1,"categorie 1",IF('geg ll'!F214=2,"categorie 2","categorie 3"))</f>
        <v>categorie 3</v>
      </c>
      <c r="G107" s="64"/>
      <c r="H107" s="33"/>
      <c r="I107" s="431" t="e">
        <f>ROUND('geg ll'!G214*VLOOKUP($F107,categoriePersVSO,8,FALSE),2)</f>
        <v>#NAME?</v>
      </c>
      <c r="J107" s="431">
        <f>ROUND('geg ll'!G214*tab!C18,2)</f>
        <v>0</v>
      </c>
      <c r="K107" s="431">
        <f>ROUND('geg ll'!G214*tab!D18,2)</f>
        <v>0</v>
      </c>
      <c r="L107" s="431">
        <f>ROUND('geg ll'!H214*tab!E18,2)</f>
        <v>0</v>
      </c>
      <c r="M107" s="431">
        <f>ROUND('geg ll'!I214*tab!F18,2)</f>
        <v>0</v>
      </c>
      <c r="N107" s="431">
        <f>ROUND('geg ll'!J214*tab!H18,2)</f>
        <v>0</v>
      </c>
      <c r="O107" s="33"/>
      <c r="P107" s="24"/>
    </row>
    <row r="108" spans="2:16" x14ac:dyDescent="0.2">
      <c r="B108" s="20"/>
      <c r="C108" s="33"/>
      <c r="D108" s="461" t="str">
        <f>+'geg ll'!D216</f>
        <v>School 28</v>
      </c>
      <c r="E108" s="33"/>
      <c r="F108" s="33" t="str">
        <f>IF('geg ll'!F216=1,"categorie 1",IF('geg ll'!F216=2,"categorie 2","categorie 3"))</f>
        <v>categorie 1</v>
      </c>
      <c r="G108" s="64"/>
      <c r="H108" s="33"/>
      <c r="I108" s="431" t="e">
        <f>ROUND('geg ll'!G216*VLOOKUP($F108,categoriePersVSO,8,FALSE),2)</f>
        <v>#NAME?</v>
      </c>
      <c r="J108" s="431">
        <f>ROUND('geg ll'!G216*tab!C16,2)</f>
        <v>0</v>
      </c>
      <c r="K108" s="431">
        <f>ROUND('geg ll'!G216*tab!D16,2)</f>
        <v>0</v>
      </c>
      <c r="L108" s="431">
        <f>ROUND('geg ll'!H216*tab!E16,2)</f>
        <v>0</v>
      </c>
      <c r="M108" s="431">
        <f>ROUND('geg ll'!I216*tab!F16,2)</f>
        <v>0</v>
      </c>
      <c r="N108" s="431">
        <f>ROUND('geg ll'!J216*tab!H16,2)</f>
        <v>0</v>
      </c>
      <c r="O108" s="33"/>
      <c r="P108" s="24"/>
    </row>
    <row r="109" spans="2:16" x14ac:dyDescent="0.2">
      <c r="B109" s="20"/>
      <c r="C109" s="33"/>
      <c r="D109" s="149"/>
      <c r="E109" s="33"/>
      <c r="F109" s="33" t="str">
        <f>IF('geg ll'!F217=1,"categorie 1",IF('geg ll'!F217=2,"categorie 2","categorie 3"))</f>
        <v>categorie 2</v>
      </c>
      <c r="G109" s="64"/>
      <c r="H109" s="33"/>
      <c r="I109" s="431" t="e">
        <f>ROUND('geg ll'!G217*VLOOKUP($F108,categoriePersVSO,8,FALSE),2)</f>
        <v>#NAME?</v>
      </c>
      <c r="J109" s="431">
        <f>ROUND('geg ll'!G217*tab!C17,2)</f>
        <v>0</v>
      </c>
      <c r="K109" s="431">
        <f>ROUND('geg ll'!G217*tab!D17,2)</f>
        <v>0</v>
      </c>
      <c r="L109" s="431">
        <f>ROUND('geg ll'!H217*tab!E17,2)</f>
        <v>0</v>
      </c>
      <c r="M109" s="431">
        <f>ROUND('geg ll'!I217*tab!F17,2)</f>
        <v>0</v>
      </c>
      <c r="N109" s="431">
        <f>ROUND('geg ll'!J217*tab!H17,2)</f>
        <v>0</v>
      </c>
      <c r="O109" s="33"/>
      <c r="P109" s="24"/>
    </row>
    <row r="110" spans="2:16" x14ac:dyDescent="0.2">
      <c r="B110" s="20"/>
      <c r="C110" s="33"/>
      <c r="D110" s="149"/>
      <c r="E110" s="33"/>
      <c r="F110" s="33" t="str">
        <f>IF('geg ll'!F218=1,"categorie 1",IF('geg ll'!F218=2,"categorie 2","categorie 3"))</f>
        <v>categorie 3</v>
      </c>
      <c r="G110" s="64"/>
      <c r="H110" s="33"/>
      <c r="I110" s="431" t="e">
        <f>ROUND('geg ll'!G218*VLOOKUP($F110,categoriePersVSO,8,FALSE),2)</f>
        <v>#NAME?</v>
      </c>
      <c r="J110" s="431">
        <f>ROUND('geg ll'!G218*tab!C18,2)</f>
        <v>0</v>
      </c>
      <c r="K110" s="431">
        <f>ROUND('geg ll'!G218*tab!D18,2)</f>
        <v>0</v>
      </c>
      <c r="L110" s="431">
        <f>ROUND('geg ll'!H218*tab!E18,2)</f>
        <v>0</v>
      </c>
      <c r="M110" s="431">
        <f>ROUND('geg ll'!I218*tab!F18,2)</f>
        <v>0</v>
      </c>
      <c r="N110" s="431">
        <f>ROUND('geg ll'!J218*tab!H18,2)</f>
        <v>0</v>
      </c>
      <c r="O110" s="33"/>
      <c r="P110" s="24"/>
    </row>
    <row r="111" spans="2:16" x14ac:dyDescent="0.2">
      <c r="B111" s="20"/>
      <c r="C111" s="33"/>
      <c r="D111" s="461" t="str">
        <f>+'geg ll'!D220</f>
        <v>School 29</v>
      </c>
      <c r="E111" s="33"/>
      <c r="F111" s="33" t="str">
        <f>IF('geg ll'!F220=1,"categorie 1",IF('geg ll'!F220=2,"categorie 2","categorie 3"))</f>
        <v>categorie 1</v>
      </c>
      <c r="G111" s="64"/>
      <c r="H111" s="33"/>
      <c r="I111" s="431" t="e">
        <f>ROUND('geg ll'!G220*VLOOKUP($F111,categoriePersVSO,8,FALSE),2)</f>
        <v>#NAME?</v>
      </c>
      <c r="J111" s="431">
        <f>ROUND('geg ll'!G220*tab!C16,2)</f>
        <v>0</v>
      </c>
      <c r="K111" s="431">
        <f>ROUND('geg ll'!G220*tab!D16,2)</f>
        <v>0</v>
      </c>
      <c r="L111" s="431">
        <f>ROUND('geg ll'!H220*tab!E16,2)</f>
        <v>0</v>
      </c>
      <c r="M111" s="431">
        <f>ROUND('geg ll'!I220*tab!F16,2)</f>
        <v>0</v>
      </c>
      <c r="N111" s="431">
        <f>ROUND('geg ll'!J220*tab!H16,2)</f>
        <v>0</v>
      </c>
      <c r="O111" s="33"/>
      <c r="P111" s="24"/>
    </row>
    <row r="112" spans="2:16" x14ac:dyDescent="0.2">
      <c r="B112" s="20"/>
      <c r="C112" s="33"/>
      <c r="D112" s="149"/>
      <c r="E112" s="33"/>
      <c r="F112" s="33" t="str">
        <f>IF('geg ll'!F221=1,"categorie 1",IF('geg ll'!F221=2,"categorie 2","categorie 3"))</f>
        <v>categorie 2</v>
      </c>
      <c r="G112" s="64"/>
      <c r="H112" s="33"/>
      <c r="I112" s="431" t="e">
        <f>ROUND('geg ll'!G221*VLOOKUP($F112,categoriePersVSO,8,FALSE),2)</f>
        <v>#NAME?</v>
      </c>
      <c r="J112" s="431">
        <f>ROUND('geg ll'!G221*tab!C17,2)</f>
        <v>0</v>
      </c>
      <c r="K112" s="431">
        <f>ROUND('geg ll'!G221*tab!D17,2)</f>
        <v>0</v>
      </c>
      <c r="L112" s="431">
        <f>ROUND('geg ll'!H221*tab!E17,2)</f>
        <v>0</v>
      </c>
      <c r="M112" s="431">
        <f>ROUND('geg ll'!I221*tab!F17,2)</f>
        <v>0</v>
      </c>
      <c r="N112" s="431">
        <f>ROUND('geg ll'!J221*tab!H17,2)</f>
        <v>0</v>
      </c>
      <c r="O112" s="33"/>
      <c r="P112" s="24"/>
    </row>
    <row r="113" spans="2:16" x14ac:dyDescent="0.2">
      <c r="B113" s="20"/>
      <c r="C113" s="33"/>
      <c r="D113" s="149"/>
      <c r="E113" s="33"/>
      <c r="F113" s="33" t="str">
        <f>IF('geg ll'!F222=1,"categorie 1",IF('geg ll'!F222=2,"categorie 2","categorie 3"))</f>
        <v>categorie 3</v>
      </c>
      <c r="G113" s="64"/>
      <c r="H113" s="33"/>
      <c r="I113" s="431" t="e">
        <f>ROUND('geg ll'!G222*VLOOKUP($F113,categoriePersVSO,8,FALSE),2)</f>
        <v>#NAME?</v>
      </c>
      <c r="J113" s="431">
        <f>ROUND('geg ll'!G222*tab!C18,2)</f>
        <v>0</v>
      </c>
      <c r="K113" s="431">
        <f>ROUND('geg ll'!G222*tab!D18,2)</f>
        <v>0</v>
      </c>
      <c r="L113" s="431">
        <f>ROUND('geg ll'!H222*tab!E18,2)</f>
        <v>0</v>
      </c>
      <c r="M113" s="431">
        <f>ROUND('geg ll'!I222*tab!F18,2)</f>
        <v>0</v>
      </c>
      <c r="N113" s="431">
        <f>ROUND('geg ll'!J222*tab!H18,2)</f>
        <v>0</v>
      </c>
      <c r="O113" s="33"/>
      <c r="P113" s="24"/>
    </row>
    <row r="114" spans="2:16" x14ac:dyDescent="0.2">
      <c r="B114" s="20"/>
      <c r="C114" s="33"/>
      <c r="D114" s="461" t="str">
        <f>+'geg ll'!D224</f>
        <v>School 30</v>
      </c>
      <c r="E114" s="33"/>
      <c r="F114" s="33" t="str">
        <f>IF('geg ll'!F224=1,"categorie 1",IF('geg ll'!F224=2,"categorie 2","categorie 3"))</f>
        <v>categorie 1</v>
      </c>
      <c r="G114" s="64"/>
      <c r="H114" s="33"/>
      <c r="I114" s="431" t="e">
        <f>ROUND('geg ll'!G224*VLOOKUP($F114,categoriePersVSO,8,FALSE),2)</f>
        <v>#NAME?</v>
      </c>
      <c r="J114" s="431">
        <f>ROUND('geg ll'!G224*tab!C16,2)</f>
        <v>0</v>
      </c>
      <c r="K114" s="431">
        <f>ROUND('geg ll'!G224*tab!D16,2)</f>
        <v>0</v>
      </c>
      <c r="L114" s="431">
        <f>ROUND('geg ll'!H224*tab!E16,2)</f>
        <v>0</v>
      </c>
      <c r="M114" s="431">
        <f>ROUND('geg ll'!I224*tab!F16,2)</f>
        <v>0</v>
      </c>
      <c r="N114" s="431">
        <f>ROUND('geg ll'!J224*tab!H16,2)</f>
        <v>0</v>
      </c>
      <c r="O114" s="33"/>
      <c r="P114" s="24"/>
    </row>
    <row r="115" spans="2:16" x14ac:dyDescent="0.2">
      <c r="B115" s="20"/>
      <c r="C115" s="33"/>
      <c r="D115" s="149"/>
      <c r="E115" s="33"/>
      <c r="F115" s="33" t="str">
        <f>IF('geg ll'!F225=1,"categorie 1",IF('geg ll'!F225=2,"categorie 2","categorie 3"))</f>
        <v>categorie 2</v>
      </c>
      <c r="G115" s="64"/>
      <c r="H115" s="33"/>
      <c r="I115" s="431" t="e">
        <f>ROUND('geg ll'!G225*VLOOKUP($F115,categoriePersVSO,8,FALSE),2)</f>
        <v>#NAME?</v>
      </c>
      <c r="J115" s="431">
        <f>ROUND('geg ll'!G225*tab!C17,2)</f>
        <v>0</v>
      </c>
      <c r="K115" s="431">
        <f>ROUND('geg ll'!G225*tab!D17,2)</f>
        <v>0</v>
      </c>
      <c r="L115" s="431">
        <f>ROUND('geg ll'!H225*tab!E17,2)</f>
        <v>0</v>
      </c>
      <c r="M115" s="431">
        <f>ROUND('geg ll'!I225*tab!F17,2)</f>
        <v>0</v>
      </c>
      <c r="N115" s="431">
        <f>ROUND('geg ll'!J225*tab!H17,2)</f>
        <v>0</v>
      </c>
      <c r="O115" s="33"/>
      <c r="P115" s="24"/>
    </row>
    <row r="116" spans="2:16" x14ac:dyDescent="0.2">
      <c r="B116" s="20"/>
      <c r="C116" s="33"/>
      <c r="D116" s="149"/>
      <c r="E116" s="33"/>
      <c r="F116" s="33" t="str">
        <f>IF('geg ll'!F226=1,"categorie 1",IF('geg ll'!F226=2,"categorie 2","categorie 3"))</f>
        <v>categorie 3</v>
      </c>
      <c r="G116" s="64"/>
      <c r="H116" s="33"/>
      <c r="I116" s="431" t="e">
        <f>ROUND('geg ll'!G226*VLOOKUP($F116,categoriePersVSO,8,FALSE),2)</f>
        <v>#NAME?</v>
      </c>
      <c r="J116" s="431">
        <f>ROUND('geg ll'!G226*tab!C18,2)</f>
        <v>0</v>
      </c>
      <c r="K116" s="431">
        <f>ROUND('geg ll'!G226*tab!D18,2)</f>
        <v>0</v>
      </c>
      <c r="L116" s="431">
        <f>ROUND('geg ll'!H226*tab!E18,2)</f>
        <v>0</v>
      </c>
      <c r="M116" s="431">
        <f>ROUND('geg ll'!I226*tab!F18,2)</f>
        <v>0</v>
      </c>
      <c r="N116" s="431">
        <f>ROUND('geg ll'!J226*tab!H18,2)</f>
        <v>0</v>
      </c>
      <c r="O116" s="33"/>
      <c r="P116" s="24"/>
    </row>
    <row r="117" spans="2:16" x14ac:dyDescent="0.2">
      <c r="B117" s="20"/>
      <c r="C117" s="33"/>
      <c r="D117" s="461" t="str">
        <f>+'geg ll'!D228</f>
        <v>School 31</v>
      </c>
      <c r="E117" s="33"/>
      <c r="F117" s="33" t="str">
        <f>IF('geg ll'!F228=1,"categorie 1",IF('geg ll'!F228=2,"categorie 2","categorie 3"))</f>
        <v>categorie 1</v>
      </c>
      <c r="G117" s="64"/>
      <c r="H117" s="33"/>
      <c r="I117" s="431" t="e">
        <f>ROUND('geg ll'!G228*VLOOKUP($F117,categoriePersVSO,8,FALSE),2)</f>
        <v>#NAME?</v>
      </c>
      <c r="J117" s="431">
        <f>ROUND('geg ll'!G228*tab!C16,2)</f>
        <v>0</v>
      </c>
      <c r="K117" s="431">
        <f>ROUND('geg ll'!G228*tab!D16,2)</f>
        <v>0</v>
      </c>
      <c r="L117" s="431">
        <f>ROUND('geg ll'!H228*tab!E16,2)</f>
        <v>0</v>
      </c>
      <c r="M117" s="431">
        <f>ROUND('geg ll'!I228*tab!F16,2)</f>
        <v>0</v>
      </c>
      <c r="N117" s="431">
        <f>ROUND('geg ll'!J228*tab!H16,2)</f>
        <v>0</v>
      </c>
      <c r="O117" s="33"/>
      <c r="P117" s="24"/>
    </row>
    <row r="118" spans="2:16" x14ac:dyDescent="0.2">
      <c r="B118" s="20"/>
      <c r="C118" s="33"/>
      <c r="D118" s="149"/>
      <c r="E118" s="33"/>
      <c r="F118" s="33" t="str">
        <f>IF('geg ll'!F229=1,"categorie 1",IF('geg ll'!F229=2,"categorie 2","categorie 3"))</f>
        <v>categorie 2</v>
      </c>
      <c r="G118" s="64"/>
      <c r="H118" s="33"/>
      <c r="I118" s="431" t="e">
        <f>ROUND('geg ll'!G229*VLOOKUP($F118,categoriePersVSO,8,FALSE),2)</f>
        <v>#NAME?</v>
      </c>
      <c r="J118" s="431">
        <f>ROUND('geg ll'!G229*tab!C17,2)</f>
        <v>0</v>
      </c>
      <c r="K118" s="431">
        <f>ROUND('geg ll'!G229*tab!D17,2)</f>
        <v>0</v>
      </c>
      <c r="L118" s="431">
        <f>ROUND('geg ll'!H229*tab!E17,2)</f>
        <v>0</v>
      </c>
      <c r="M118" s="431">
        <f>ROUND('geg ll'!I229*tab!F17,2)</f>
        <v>0</v>
      </c>
      <c r="N118" s="431">
        <f>ROUND('geg ll'!J229*tab!H17,2)</f>
        <v>0</v>
      </c>
      <c r="O118" s="33"/>
      <c r="P118" s="24"/>
    </row>
    <row r="119" spans="2:16" x14ac:dyDescent="0.2">
      <c r="B119" s="20"/>
      <c r="C119" s="33"/>
      <c r="D119" s="149"/>
      <c r="E119" s="33"/>
      <c r="F119" s="33" t="str">
        <f>IF('geg ll'!F230=1,"categorie 1",IF('geg ll'!F230=2,"categorie 2","categorie 3"))</f>
        <v>categorie 3</v>
      </c>
      <c r="G119" s="64"/>
      <c r="H119" s="33"/>
      <c r="I119" s="431" t="e">
        <f>ROUND('geg ll'!G230*VLOOKUP($F118,categoriePersVSO,8,FALSE),2)</f>
        <v>#NAME?</v>
      </c>
      <c r="J119" s="431">
        <f>ROUND('geg ll'!G230*tab!C18,2)</f>
        <v>0</v>
      </c>
      <c r="K119" s="431">
        <f>ROUND('geg ll'!G230*tab!D18,2)</f>
        <v>0</v>
      </c>
      <c r="L119" s="431">
        <f>ROUND('geg ll'!H230*tab!E18,2)</f>
        <v>0</v>
      </c>
      <c r="M119" s="431">
        <f>ROUND('geg ll'!I230*tab!F18,2)</f>
        <v>0</v>
      </c>
      <c r="N119" s="431">
        <f>ROUND('geg ll'!J230*tab!H18,2)</f>
        <v>0</v>
      </c>
      <c r="O119" s="33"/>
      <c r="P119" s="24"/>
    </row>
    <row r="120" spans="2:16" x14ac:dyDescent="0.2">
      <c r="B120" s="20"/>
      <c r="C120" s="33"/>
      <c r="D120" s="461" t="str">
        <f>+'geg ll'!D232</f>
        <v>School 32</v>
      </c>
      <c r="E120" s="33"/>
      <c r="F120" s="33" t="str">
        <f>IF('geg ll'!F232=1,"categorie 1",IF('geg ll'!F232=2,"categorie 2","categorie 3"))</f>
        <v>categorie 1</v>
      </c>
      <c r="G120" s="64"/>
      <c r="H120" s="33"/>
      <c r="I120" s="431" t="e">
        <f>ROUND('geg ll'!G232*VLOOKUP($F120,categoriePersVSO,8,FALSE),2)</f>
        <v>#NAME?</v>
      </c>
      <c r="J120" s="431">
        <f>ROUND('geg ll'!G232*tab!C16,2)</f>
        <v>0</v>
      </c>
      <c r="K120" s="431">
        <f>ROUND('geg ll'!G232*tab!D16,2)</f>
        <v>0</v>
      </c>
      <c r="L120" s="431">
        <f>ROUND('geg ll'!H232*tab!E16,2)</f>
        <v>0</v>
      </c>
      <c r="M120" s="431">
        <f>ROUND('geg ll'!I232*tab!F16,2)</f>
        <v>0</v>
      </c>
      <c r="N120" s="431">
        <f>ROUND('geg ll'!J232*tab!H16,2)</f>
        <v>0</v>
      </c>
      <c r="O120" s="33"/>
      <c r="P120" s="24"/>
    </row>
    <row r="121" spans="2:16" x14ac:dyDescent="0.2">
      <c r="B121" s="20"/>
      <c r="C121" s="33"/>
      <c r="D121" s="149"/>
      <c r="E121" s="33"/>
      <c r="F121" s="33" t="str">
        <f>IF('geg ll'!F233=1,"categorie 1",IF('geg ll'!F233=2,"categorie 2","categorie 3"))</f>
        <v>categorie 2</v>
      </c>
      <c r="G121" s="64"/>
      <c r="H121" s="33"/>
      <c r="I121" s="431" t="e">
        <f>ROUND('geg ll'!G233*VLOOKUP($F121,categoriePersVSO,8,FALSE),2)</f>
        <v>#NAME?</v>
      </c>
      <c r="J121" s="431">
        <f>ROUND('geg ll'!G233*tab!C17,2)</f>
        <v>0</v>
      </c>
      <c r="K121" s="431">
        <f>ROUND('geg ll'!G233*tab!D17,2)</f>
        <v>0</v>
      </c>
      <c r="L121" s="431">
        <f>ROUND('geg ll'!H233*tab!E17,2)</f>
        <v>0</v>
      </c>
      <c r="M121" s="431">
        <f>ROUND('geg ll'!I233*tab!F17,2)</f>
        <v>0</v>
      </c>
      <c r="N121" s="431">
        <f>ROUND('geg ll'!J233*tab!H17,2)</f>
        <v>0</v>
      </c>
      <c r="O121" s="33"/>
      <c r="P121" s="24"/>
    </row>
    <row r="122" spans="2:16" x14ac:dyDescent="0.2">
      <c r="B122" s="20"/>
      <c r="C122" s="33"/>
      <c r="D122" s="149"/>
      <c r="E122" s="33"/>
      <c r="F122" s="33" t="str">
        <f>IF('geg ll'!F234=1,"categorie 1",IF('geg ll'!F234=2,"categorie 2","categorie 3"))</f>
        <v>categorie 3</v>
      </c>
      <c r="G122" s="64"/>
      <c r="H122" s="33"/>
      <c r="I122" s="431" t="e">
        <f>ROUND('geg ll'!G234*VLOOKUP($F122,categoriePersVSO,8,FALSE),2)</f>
        <v>#NAME?</v>
      </c>
      <c r="J122" s="431">
        <f>ROUND('geg ll'!G234*tab!C18,2)</f>
        <v>0</v>
      </c>
      <c r="K122" s="431">
        <f>ROUND('geg ll'!G234*tab!D18,2)</f>
        <v>0</v>
      </c>
      <c r="L122" s="431">
        <f>ROUND('geg ll'!H234*tab!E18,2)</f>
        <v>0</v>
      </c>
      <c r="M122" s="431">
        <f>ROUND('geg ll'!I234*tab!F18,2)</f>
        <v>0</v>
      </c>
      <c r="N122" s="431">
        <f>ROUND('geg ll'!J234*tab!H18,2)</f>
        <v>0</v>
      </c>
      <c r="O122" s="33"/>
      <c r="P122" s="24"/>
    </row>
    <row r="123" spans="2:16" x14ac:dyDescent="0.2">
      <c r="B123" s="20"/>
      <c r="C123" s="33"/>
      <c r="D123" s="461" t="str">
        <f>+'geg ll'!D236</f>
        <v>School 33</v>
      </c>
      <c r="E123" s="33"/>
      <c r="F123" s="33" t="str">
        <f>IF('geg ll'!F236=1,"categorie 1",IF('geg ll'!F236=2,"categorie 2","categorie 3"))</f>
        <v>categorie 1</v>
      </c>
      <c r="G123" s="64"/>
      <c r="H123" s="33"/>
      <c r="I123" s="431" t="e">
        <f>ROUND('geg ll'!G236*VLOOKUP($F123,categoriePersVSO,8,FALSE),2)</f>
        <v>#NAME?</v>
      </c>
      <c r="J123" s="431">
        <f>ROUND('geg ll'!G236*tab!C16,2)</f>
        <v>0</v>
      </c>
      <c r="K123" s="431">
        <f>ROUND('geg ll'!G236*tab!D16,2)</f>
        <v>0</v>
      </c>
      <c r="L123" s="431">
        <f>ROUND('geg ll'!H236*tab!E16,2)</f>
        <v>0</v>
      </c>
      <c r="M123" s="431">
        <f>ROUND('geg ll'!I236*tab!F16,2)</f>
        <v>0</v>
      </c>
      <c r="N123" s="431">
        <f>ROUND('geg ll'!J236*tab!H16,2)</f>
        <v>0</v>
      </c>
      <c r="O123" s="33"/>
      <c r="P123" s="24"/>
    </row>
    <row r="124" spans="2:16" x14ac:dyDescent="0.2">
      <c r="B124" s="20"/>
      <c r="C124" s="33"/>
      <c r="D124" s="149"/>
      <c r="E124" s="33"/>
      <c r="F124" s="33" t="str">
        <f>IF('geg ll'!F237=1,"categorie 1",IF('geg ll'!F237=2,"categorie 2","categorie 3"))</f>
        <v>categorie 2</v>
      </c>
      <c r="G124" s="64"/>
      <c r="H124" s="33"/>
      <c r="I124" s="431" t="e">
        <f>ROUND('geg ll'!G237*VLOOKUP($F124,categoriePersVSO,8,FALSE),2)</f>
        <v>#NAME?</v>
      </c>
      <c r="J124" s="431">
        <f>ROUND('geg ll'!G237*tab!C17,2)</f>
        <v>0</v>
      </c>
      <c r="K124" s="431">
        <f>ROUND('geg ll'!G237*tab!D17,2)</f>
        <v>0</v>
      </c>
      <c r="L124" s="431">
        <f>ROUND('geg ll'!H237*tab!E17,2)</f>
        <v>0</v>
      </c>
      <c r="M124" s="431">
        <f>ROUND('geg ll'!I237*tab!F17,2)</f>
        <v>0</v>
      </c>
      <c r="N124" s="431">
        <f>ROUND('geg ll'!J237*tab!H17,2)</f>
        <v>0</v>
      </c>
      <c r="O124" s="33"/>
      <c r="P124" s="24"/>
    </row>
    <row r="125" spans="2:16" x14ac:dyDescent="0.2">
      <c r="B125" s="20"/>
      <c r="C125" s="33"/>
      <c r="D125" s="149"/>
      <c r="E125" s="33"/>
      <c r="F125" s="33" t="str">
        <f>IF('geg ll'!F238=1,"categorie 1",IF('geg ll'!F238=2,"categorie 2","categorie 3"))</f>
        <v>categorie 3</v>
      </c>
      <c r="G125" s="64"/>
      <c r="H125" s="33"/>
      <c r="I125" s="431" t="e">
        <f>ROUND('geg ll'!G238*VLOOKUP($F125,categoriePersVSO,8,FALSE),2)</f>
        <v>#NAME?</v>
      </c>
      <c r="J125" s="431">
        <f>ROUND('geg ll'!G238*tab!C18,2)</f>
        <v>0</v>
      </c>
      <c r="K125" s="431">
        <f>ROUND('geg ll'!G238*tab!D18,2)</f>
        <v>0</v>
      </c>
      <c r="L125" s="431">
        <f>ROUND('geg ll'!H238*tab!E18,2)</f>
        <v>0</v>
      </c>
      <c r="M125" s="431">
        <f>ROUND('geg ll'!I238*tab!F18,2)</f>
        <v>0</v>
      </c>
      <c r="N125" s="431">
        <f>ROUND('geg ll'!J238*tab!H18,2)</f>
        <v>0</v>
      </c>
      <c r="O125" s="33"/>
      <c r="P125" s="24"/>
    </row>
    <row r="126" spans="2:16" x14ac:dyDescent="0.2">
      <c r="B126" s="20"/>
      <c r="C126" s="33"/>
      <c r="D126" s="461" t="str">
        <f>+'geg ll'!D240</f>
        <v>School 34</v>
      </c>
      <c r="E126" s="33"/>
      <c r="F126" s="33" t="str">
        <f>IF('geg ll'!F240=1,"categorie 1",IF('geg ll'!F240=2,"categorie 2","categorie 3"))</f>
        <v>categorie 1</v>
      </c>
      <c r="G126" s="64"/>
      <c r="H126" s="33"/>
      <c r="I126" s="431" t="e">
        <f>ROUND('geg ll'!G240*VLOOKUP($F126,categoriePersVSO,8,FALSE),2)</f>
        <v>#NAME?</v>
      </c>
      <c r="J126" s="431">
        <f>ROUND('geg ll'!G240*tab!C16,2)</f>
        <v>0</v>
      </c>
      <c r="K126" s="431">
        <f>ROUND('geg ll'!G240*tab!D16,2)</f>
        <v>0</v>
      </c>
      <c r="L126" s="431">
        <f>ROUND('geg ll'!H240*tab!E16,2)</f>
        <v>0</v>
      </c>
      <c r="M126" s="431">
        <f>ROUND('geg ll'!I240*tab!F16,2)</f>
        <v>0</v>
      </c>
      <c r="N126" s="431">
        <f>ROUND('geg ll'!J240*tab!H16,2)</f>
        <v>0</v>
      </c>
      <c r="O126" s="33"/>
      <c r="P126" s="24"/>
    </row>
    <row r="127" spans="2:16" x14ac:dyDescent="0.2">
      <c r="B127" s="20"/>
      <c r="C127" s="33"/>
      <c r="D127" s="149"/>
      <c r="E127" s="33"/>
      <c r="F127" s="33" t="str">
        <f>IF('geg ll'!F241=1,"categorie 1",IF('geg ll'!F241=2,"categorie 2","categorie 3"))</f>
        <v>categorie 2</v>
      </c>
      <c r="G127" s="64"/>
      <c r="H127" s="33"/>
      <c r="I127" s="431" t="e">
        <f>ROUND('geg ll'!G241*VLOOKUP($F127,categoriePersVSO,8,FALSE),2)</f>
        <v>#NAME?</v>
      </c>
      <c r="J127" s="431">
        <f>ROUND('geg ll'!G241*tab!C17,2)</f>
        <v>0</v>
      </c>
      <c r="K127" s="431">
        <f>ROUND('geg ll'!G241*tab!D17,2)</f>
        <v>0</v>
      </c>
      <c r="L127" s="431">
        <f>ROUND('geg ll'!H241*tab!E17,2)</f>
        <v>0</v>
      </c>
      <c r="M127" s="431">
        <f>ROUND('geg ll'!I241*tab!F17,2)</f>
        <v>0</v>
      </c>
      <c r="N127" s="431">
        <f>ROUND('geg ll'!J241*tab!H17,2)</f>
        <v>0</v>
      </c>
      <c r="O127" s="33"/>
      <c r="P127" s="24"/>
    </row>
    <row r="128" spans="2:16" x14ac:dyDescent="0.2">
      <c r="B128" s="20"/>
      <c r="C128" s="33"/>
      <c r="D128" s="149"/>
      <c r="E128" s="33"/>
      <c r="F128" s="33" t="str">
        <f>IF('geg ll'!F242=1,"categorie 1",IF('geg ll'!F242=2,"categorie 2","categorie 3"))</f>
        <v>categorie 3</v>
      </c>
      <c r="G128" s="64"/>
      <c r="H128" s="33"/>
      <c r="I128" s="431" t="e">
        <f>ROUND('geg ll'!G242*VLOOKUP($F128,categoriePersVSO,8,FALSE),2)</f>
        <v>#NAME?</v>
      </c>
      <c r="J128" s="431">
        <f>ROUND('geg ll'!G242*tab!C18,2)</f>
        <v>0</v>
      </c>
      <c r="K128" s="431">
        <f>ROUND('geg ll'!G242*tab!D18,2)</f>
        <v>0</v>
      </c>
      <c r="L128" s="431">
        <f>ROUND('geg ll'!H242*tab!E18,2)</f>
        <v>0</v>
      </c>
      <c r="M128" s="431">
        <f>ROUND('geg ll'!I242*tab!F18,2)</f>
        <v>0</v>
      </c>
      <c r="N128" s="431">
        <f>ROUND('geg ll'!J242*tab!H18,2)</f>
        <v>0</v>
      </c>
      <c r="O128" s="33"/>
      <c r="P128" s="24"/>
    </row>
    <row r="129" spans="2:16" x14ac:dyDescent="0.2">
      <c r="B129" s="20"/>
      <c r="C129" s="33"/>
      <c r="D129" s="461" t="str">
        <f>+'geg ll'!D244</f>
        <v>School 35</v>
      </c>
      <c r="E129" s="33"/>
      <c r="F129" s="33" t="str">
        <f>IF('geg ll'!F244=1,"categorie 1",IF('geg ll'!F244=2,"categorie 2","categorie 3"))</f>
        <v>categorie 1</v>
      </c>
      <c r="G129" s="64"/>
      <c r="H129" s="33"/>
      <c r="I129" s="431" t="e">
        <f>ROUND('geg ll'!G244*VLOOKUP($F128,categoriePersVSO,8,FALSE),2)</f>
        <v>#NAME?</v>
      </c>
      <c r="J129" s="431">
        <f>ROUND('geg ll'!G244*tab!C16,2)</f>
        <v>0</v>
      </c>
      <c r="K129" s="431">
        <f>ROUND('geg ll'!G244*tab!D16,2)</f>
        <v>0</v>
      </c>
      <c r="L129" s="431">
        <f>ROUND('geg ll'!H244*tab!E16,2)</f>
        <v>0</v>
      </c>
      <c r="M129" s="431">
        <f>ROUND('geg ll'!I244*tab!F16,2)</f>
        <v>0</v>
      </c>
      <c r="N129" s="431">
        <f>ROUND('geg ll'!J244*tab!H16,2)</f>
        <v>0</v>
      </c>
      <c r="O129" s="33"/>
      <c r="P129" s="24"/>
    </row>
    <row r="130" spans="2:16" x14ac:dyDescent="0.2">
      <c r="B130" s="20"/>
      <c r="C130" s="33"/>
      <c r="D130" s="149"/>
      <c r="E130" s="33"/>
      <c r="F130" s="33" t="str">
        <f>IF('geg ll'!F245=1,"categorie 1",IF('geg ll'!F245=2,"categorie 2","categorie 3"))</f>
        <v>categorie 2</v>
      </c>
      <c r="G130" s="64"/>
      <c r="H130" s="33"/>
      <c r="I130" s="431" t="e">
        <f>ROUND('geg ll'!G245*VLOOKUP($F130,categoriePersVSO,8,FALSE),2)</f>
        <v>#NAME?</v>
      </c>
      <c r="J130" s="431">
        <f>ROUND('geg ll'!G245*tab!C17,2)</f>
        <v>0</v>
      </c>
      <c r="K130" s="431">
        <f>ROUND('geg ll'!G245*tab!D17,2)</f>
        <v>0</v>
      </c>
      <c r="L130" s="431">
        <f>ROUND('geg ll'!H245*tab!E17,2)</f>
        <v>0</v>
      </c>
      <c r="M130" s="431">
        <f>ROUND('geg ll'!I245*tab!F17,2)</f>
        <v>0</v>
      </c>
      <c r="N130" s="431">
        <f>ROUND('geg ll'!J245*tab!H17,2)</f>
        <v>0</v>
      </c>
      <c r="O130" s="33"/>
      <c r="P130" s="24"/>
    </row>
    <row r="131" spans="2:16" x14ac:dyDescent="0.2">
      <c r="B131" s="20"/>
      <c r="C131" s="33"/>
      <c r="D131" s="149"/>
      <c r="E131" s="33"/>
      <c r="F131" s="33" t="str">
        <f>IF('geg ll'!F246=1,"categorie 1",IF('geg ll'!F246=2,"categorie 2","categorie 3"))</f>
        <v>categorie 3</v>
      </c>
      <c r="G131" s="64"/>
      <c r="H131" s="33"/>
      <c r="I131" s="431" t="e">
        <f>ROUND('geg ll'!G246*VLOOKUP($F131,categoriePersVSO,8,FALSE),2)</f>
        <v>#NAME?</v>
      </c>
      <c r="J131" s="431">
        <f>ROUND('geg ll'!G246*tab!C18,2)</f>
        <v>0</v>
      </c>
      <c r="K131" s="431">
        <f>ROUND('geg ll'!G246*tab!D18,2)</f>
        <v>0</v>
      </c>
      <c r="L131" s="431">
        <f>ROUND('geg ll'!H246*tab!E18,2)</f>
        <v>0</v>
      </c>
      <c r="M131" s="431">
        <f>ROUND('geg ll'!I246*tab!F18,2)</f>
        <v>0</v>
      </c>
      <c r="N131" s="431">
        <f>ROUND('geg ll'!J246*tab!H18,2)</f>
        <v>0</v>
      </c>
      <c r="O131" s="33"/>
      <c r="P131" s="24"/>
    </row>
    <row r="132" spans="2:16" x14ac:dyDescent="0.2">
      <c r="B132" s="20"/>
      <c r="C132" s="33"/>
      <c r="D132" s="149"/>
      <c r="E132" s="635"/>
      <c r="F132" s="635"/>
      <c r="G132" s="635"/>
      <c r="H132" s="635"/>
      <c r="I132" s="635"/>
      <c r="J132" s="635"/>
      <c r="K132" s="635"/>
      <c r="L132" s="635"/>
      <c r="M132" s="635"/>
      <c r="N132" s="635"/>
      <c r="O132" s="635"/>
      <c r="P132" s="24"/>
    </row>
    <row r="133" spans="2:16" x14ac:dyDescent="0.2">
      <c r="B133" s="20"/>
      <c r="C133" s="33"/>
      <c r="D133" s="153" t="s">
        <v>639</v>
      </c>
      <c r="E133" s="33"/>
      <c r="F133" s="35"/>
      <c r="G133" s="35"/>
      <c r="H133" s="33"/>
      <c r="I133" s="428" t="e">
        <f t="shared" ref="I133:N133" si="4">SUM(I27:I71)+SUM(I72:I131)</f>
        <v>#NAME?</v>
      </c>
      <c r="J133" s="428">
        <f t="shared" si="4"/>
        <v>7732201.2299999995</v>
      </c>
      <c r="K133" s="428">
        <f t="shared" si="4"/>
        <v>7732201.2299999995</v>
      </c>
      <c r="L133" s="428">
        <f t="shared" si="4"/>
        <v>7732201.2299999995</v>
      </c>
      <c r="M133" s="428">
        <f t="shared" si="4"/>
        <v>7732201.2299999995</v>
      </c>
      <c r="N133" s="428">
        <f t="shared" si="4"/>
        <v>7732201.2299999995</v>
      </c>
      <c r="O133" s="33"/>
      <c r="P133" s="24"/>
    </row>
    <row r="134" spans="2:16" x14ac:dyDescent="0.2">
      <c r="B134" s="20"/>
      <c r="C134" s="33"/>
      <c r="D134" s="153"/>
      <c r="E134" s="33"/>
      <c r="F134" s="35"/>
      <c r="G134" s="35"/>
      <c r="H134" s="33"/>
      <c r="I134" s="149"/>
      <c r="J134" s="33"/>
      <c r="K134" s="33"/>
      <c r="L134" s="33"/>
      <c r="M134" s="33"/>
      <c r="N134" s="33"/>
      <c r="O134" s="33"/>
      <c r="P134" s="24"/>
    </row>
    <row r="135" spans="2:16" x14ac:dyDescent="0.2">
      <c r="B135" s="20"/>
      <c r="C135" s="21"/>
      <c r="D135" s="5"/>
      <c r="E135" s="21"/>
      <c r="F135" s="21"/>
      <c r="G135" s="21"/>
      <c r="H135" s="21"/>
      <c r="I135" s="21"/>
      <c r="J135" s="21"/>
      <c r="K135" s="21"/>
      <c r="L135" s="21"/>
      <c r="M135" s="21"/>
      <c r="N135" s="21"/>
      <c r="O135" s="21"/>
      <c r="P135" s="24"/>
    </row>
    <row r="136" spans="2:16" x14ac:dyDescent="0.2">
      <c r="B136" s="20"/>
      <c r="C136" s="129"/>
      <c r="D136" s="75"/>
      <c r="E136" s="129"/>
      <c r="F136" s="129"/>
      <c r="G136" s="129"/>
      <c r="H136" s="129"/>
      <c r="I136" s="129"/>
      <c r="J136" s="129"/>
      <c r="K136" s="129"/>
      <c r="L136" s="129"/>
      <c r="M136" s="129"/>
      <c r="N136" s="129"/>
      <c r="O136" s="129"/>
      <c r="P136" s="24"/>
    </row>
    <row r="145" spans="1:45" x14ac:dyDescent="0.2">
      <c r="D145" s="9"/>
    </row>
    <row r="146" spans="1:45" x14ac:dyDescent="0.2">
      <c r="D146" s="9"/>
    </row>
    <row r="147" spans="1:45" x14ac:dyDescent="0.2">
      <c r="D147" s="9"/>
    </row>
    <row r="148" spans="1:45" x14ac:dyDescent="0.2">
      <c r="D148" s="9"/>
      <c r="AG148" s="308"/>
    </row>
    <row r="149" spans="1:45" x14ac:dyDescent="0.2">
      <c r="D149" s="9"/>
      <c r="AE149" s="630"/>
      <c r="AF149" s="630"/>
      <c r="AG149" s="309"/>
    </row>
    <row r="150" spans="1:45" x14ac:dyDescent="0.2">
      <c r="AE150" s="630"/>
      <c r="AF150" s="630"/>
      <c r="AG150" s="308"/>
      <c r="AS150" s="310"/>
    </row>
    <row r="151" spans="1:45" x14ac:dyDescent="0.2">
      <c r="D151" s="9"/>
      <c r="AE151" s="630"/>
      <c r="AF151" s="630"/>
      <c r="AG151" s="311"/>
      <c r="AS151" s="310"/>
    </row>
    <row r="152" spans="1:45" x14ac:dyDescent="0.2">
      <c r="D152" s="9"/>
      <c r="AE152" s="630"/>
      <c r="AF152" s="630"/>
      <c r="AG152" s="308"/>
    </row>
    <row r="153" spans="1:45" x14ac:dyDescent="0.2">
      <c r="D153" s="9"/>
      <c r="AE153" s="630"/>
      <c r="AF153" s="630"/>
      <c r="AG153" s="308"/>
    </row>
    <row r="156" spans="1:45" x14ac:dyDescent="0.2">
      <c r="A156" s="103"/>
    </row>
    <row r="159" spans="1:45" x14ac:dyDescent="0.2">
      <c r="AK159" s="312"/>
      <c r="AL159" s="312"/>
      <c r="AM159" s="312"/>
      <c r="AN159" s="312"/>
      <c r="AO159" s="312"/>
    </row>
    <row r="160" spans="1:45" x14ac:dyDescent="0.2">
      <c r="AK160" s="312"/>
      <c r="AL160" s="312"/>
      <c r="AM160" s="312"/>
      <c r="AN160" s="312"/>
      <c r="AO160" s="312"/>
    </row>
    <row r="161" spans="1:41" x14ac:dyDescent="0.2">
      <c r="AK161" s="312"/>
      <c r="AL161" s="312"/>
      <c r="AM161" s="312"/>
      <c r="AN161" s="312"/>
      <c r="AO161" s="312"/>
    </row>
    <row r="162" spans="1:41" x14ac:dyDescent="0.2">
      <c r="AK162" s="312"/>
      <c r="AL162" s="312"/>
      <c r="AM162" s="312"/>
      <c r="AN162" s="312"/>
      <c r="AO162" s="312"/>
    </row>
    <row r="163" spans="1:41" x14ac:dyDescent="0.2">
      <c r="AK163" s="312"/>
      <c r="AL163" s="312"/>
      <c r="AM163" s="312"/>
      <c r="AN163" s="312"/>
      <c r="AO163" s="312"/>
    </row>
    <row r="164" spans="1:41" x14ac:dyDescent="0.2">
      <c r="AK164" s="312"/>
      <c r="AL164" s="312"/>
      <c r="AM164" s="312"/>
      <c r="AN164" s="312"/>
      <c r="AO164" s="312"/>
    </row>
    <row r="165" spans="1:41" x14ac:dyDescent="0.2">
      <c r="AK165" s="312"/>
      <c r="AL165" s="312"/>
      <c r="AM165" s="312"/>
      <c r="AN165" s="312"/>
      <c r="AO165" s="312"/>
    </row>
    <row r="166" spans="1:41" x14ac:dyDescent="0.2">
      <c r="AK166" s="312"/>
      <c r="AL166" s="312"/>
      <c r="AM166" s="312"/>
      <c r="AN166" s="312"/>
      <c r="AO166" s="312"/>
    </row>
    <row r="167" spans="1:41" x14ac:dyDescent="0.2">
      <c r="AK167" s="312"/>
      <c r="AL167" s="312"/>
      <c r="AM167" s="312"/>
      <c r="AN167" s="312"/>
      <c r="AO167" s="312"/>
    </row>
    <row r="168" spans="1:41" x14ac:dyDescent="0.2">
      <c r="AK168" s="312"/>
      <c r="AL168" s="312"/>
      <c r="AM168" s="312"/>
      <c r="AN168" s="312"/>
      <c r="AO168" s="312"/>
    </row>
    <row r="169" spans="1:41" x14ac:dyDescent="0.2">
      <c r="AK169" s="312"/>
      <c r="AL169" s="312"/>
      <c r="AM169" s="312"/>
      <c r="AN169" s="312"/>
      <c r="AO169" s="312"/>
    </row>
    <row r="173" spans="1:41" s="103" customFormat="1" x14ac:dyDescent="0.2">
      <c r="A173" s="6"/>
      <c r="B173" s="6"/>
      <c r="C173" s="6"/>
      <c r="D173" s="6"/>
      <c r="E173" s="6"/>
      <c r="F173" s="6"/>
      <c r="G173" s="6"/>
      <c r="H173" s="6"/>
      <c r="I173" s="6"/>
      <c r="J173" s="6"/>
      <c r="K173" s="6"/>
      <c r="L173" s="6"/>
      <c r="M173" s="6"/>
      <c r="N173" s="6"/>
      <c r="O173" s="6"/>
      <c r="P173" s="6"/>
      <c r="S173" s="6"/>
      <c r="T173" s="6"/>
      <c r="U173" s="6"/>
      <c r="V173" s="6"/>
      <c r="W173" s="6"/>
      <c r="X173" s="6"/>
      <c r="Y173" s="6"/>
      <c r="Z173" s="6"/>
      <c r="AA173" s="6"/>
      <c r="AB173" s="6"/>
      <c r="AC173" s="6"/>
      <c r="AD173" s="6"/>
      <c r="AE173" s="6"/>
    </row>
  </sheetData>
  <sheetProtection algorithmName="SHA-512" hashValue="tYFqqE9G3kIi5mBfciyQkkfkb/J/blHq74vRWkxkqscPZ+92xw7BguSMmHHl5QRJKasQtWtLZEyrkccfg1Ry8w==" saltValue="Q7HckfB0DWA1+Sl8F5c6fw==" spinCount="100000" sheet="1" objects="1" scenarios="1"/>
  <phoneticPr fontId="0" type="noConversion"/>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77" min="17" max="3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438"/>
  <sheetViews>
    <sheetView showGridLines="0" zoomScale="80" zoomScaleNormal="80" zoomScaleSheetLayoutView="85" workbookViewId="0">
      <selection activeCell="B2" sqref="B2"/>
    </sheetView>
  </sheetViews>
  <sheetFormatPr defaultRowHeight="12.75" x14ac:dyDescent="0.2"/>
  <cols>
    <col min="1" max="1" width="3.7109375" style="6" customWidth="1"/>
    <col min="2" max="3" width="2.7109375" style="6" customWidth="1"/>
    <col min="4" max="4" width="51.5703125" style="6" customWidth="1"/>
    <col min="5" max="5" width="0.85546875" style="6" customWidth="1"/>
    <col min="6" max="6" width="10.28515625" style="130" customWidth="1"/>
    <col min="7" max="7" width="1.28515625" style="130" customWidth="1"/>
    <col min="8" max="8" width="3.28515625" style="130" hidden="1" customWidth="1"/>
    <col min="9" max="13" width="14.85546875" style="130" customWidth="1"/>
    <col min="14" max="16" width="2.7109375" style="6" customWidth="1"/>
    <col min="17" max="21" width="14.85546875" style="6" customWidth="1"/>
    <col min="22" max="16384" width="9.140625" style="6"/>
  </cols>
  <sheetData>
    <row r="2" spans="2:15" x14ac:dyDescent="0.2">
      <c r="B2" s="17"/>
      <c r="C2" s="18"/>
      <c r="D2" s="18"/>
      <c r="E2" s="18"/>
      <c r="F2" s="133"/>
      <c r="G2" s="133"/>
      <c r="H2" s="133"/>
      <c r="I2" s="133"/>
      <c r="J2" s="133"/>
      <c r="K2" s="133"/>
      <c r="L2" s="133"/>
      <c r="M2" s="133"/>
      <c r="N2" s="18"/>
      <c r="O2" s="19"/>
    </row>
    <row r="3" spans="2:15" x14ac:dyDescent="0.2">
      <c r="B3" s="20"/>
      <c r="C3" s="21"/>
      <c r="D3" s="22"/>
      <c r="E3" s="21"/>
      <c r="F3" s="23"/>
      <c r="G3" s="23"/>
      <c r="H3" s="23"/>
      <c r="I3" s="23"/>
      <c r="J3" s="23"/>
      <c r="K3" s="23"/>
      <c r="L3" s="23"/>
      <c r="M3" s="23"/>
      <c r="N3" s="21"/>
      <c r="O3" s="24"/>
    </row>
    <row r="4" spans="2:15" s="132" customFormat="1" ht="18.75" x14ac:dyDescent="0.3">
      <c r="B4" s="134"/>
      <c r="C4" s="472" t="s">
        <v>3</v>
      </c>
      <c r="D4" s="136"/>
      <c r="E4" s="136"/>
      <c r="F4" s="137"/>
      <c r="G4" s="137"/>
      <c r="H4" s="137"/>
      <c r="I4" s="137"/>
      <c r="J4" s="137"/>
      <c r="K4" s="137"/>
      <c r="L4" s="137"/>
      <c r="M4" s="137"/>
      <c r="N4" s="136"/>
      <c r="O4" s="138"/>
    </row>
    <row r="5" spans="2:15" s="8" customFormat="1" ht="18.75" x14ac:dyDescent="0.3">
      <c r="B5" s="25"/>
      <c r="C5" s="972" t="str">
        <f>'geg ll'!C5</f>
        <v>Voorbeeld SWV VO Alkmaar</v>
      </c>
      <c r="D5" s="26"/>
      <c r="E5" s="26"/>
      <c r="F5" s="139"/>
      <c r="G5" s="139"/>
      <c r="H5" s="139"/>
      <c r="I5" s="139"/>
      <c r="J5" s="139"/>
      <c r="K5" s="139"/>
      <c r="L5" s="139"/>
      <c r="M5" s="139"/>
      <c r="N5" s="26"/>
      <c r="O5" s="27"/>
    </row>
    <row r="6" spans="2:15" x14ac:dyDescent="0.2">
      <c r="B6" s="20"/>
      <c r="C6" s="21"/>
      <c r="D6" s="22"/>
      <c r="E6" s="21"/>
      <c r="F6" s="23"/>
      <c r="G6" s="23"/>
      <c r="H6" s="23"/>
      <c r="I6" s="23"/>
      <c r="J6" s="23"/>
      <c r="K6" s="23"/>
      <c r="L6" s="23"/>
      <c r="M6" s="23"/>
      <c r="N6" s="21"/>
      <c r="O6" s="24"/>
    </row>
    <row r="7" spans="2:15" x14ac:dyDescent="0.2">
      <c r="B7" s="20"/>
      <c r="C7" s="21"/>
      <c r="D7" s="22"/>
      <c r="E7" s="21"/>
      <c r="F7" s="23"/>
      <c r="G7" s="23"/>
      <c r="H7" s="23"/>
      <c r="I7" s="23"/>
      <c r="J7" s="23"/>
      <c r="K7" s="23"/>
      <c r="L7" s="23"/>
      <c r="M7" s="23"/>
      <c r="N7" s="21"/>
      <c r="O7" s="24"/>
    </row>
    <row r="8" spans="2:15" s="165" customFormat="1" x14ac:dyDescent="0.2">
      <c r="B8" s="166"/>
      <c r="C8" s="167"/>
      <c r="D8" s="478" t="s">
        <v>105</v>
      </c>
      <c r="E8" s="465"/>
      <c r="F8" s="477"/>
      <c r="G8" s="477"/>
      <c r="H8" s="479" t="e">
        <f>tab!#REF!</f>
        <v>#REF!</v>
      </c>
      <c r="I8" s="479">
        <f>tab!C4</f>
        <v>2023</v>
      </c>
      <c r="J8" s="479">
        <f>tab!D4</f>
        <v>2024</v>
      </c>
      <c r="K8" s="479">
        <f>tab!E4</f>
        <v>2025</v>
      </c>
      <c r="L8" s="479">
        <f>tab!F4</f>
        <v>2026</v>
      </c>
      <c r="M8" s="479">
        <f>tab!G4</f>
        <v>2027</v>
      </c>
      <c r="N8" s="167"/>
      <c r="O8" s="168"/>
    </row>
    <row r="9" spans="2:15" x14ac:dyDescent="0.2">
      <c r="B9" s="20"/>
      <c r="C9" s="21"/>
      <c r="D9" s="22"/>
      <c r="E9" s="21"/>
      <c r="F9" s="23"/>
      <c r="G9" s="23"/>
      <c r="H9" s="21"/>
      <c r="I9" s="21"/>
      <c r="J9" s="21"/>
      <c r="K9" s="21"/>
      <c r="L9" s="21"/>
      <c r="M9" s="21"/>
      <c r="N9" s="21"/>
      <c r="O9" s="24"/>
    </row>
    <row r="10" spans="2:15" x14ac:dyDescent="0.2">
      <c r="B10" s="20"/>
      <c r="C10" s="33"/>
      <c r="D10" s="35"/>
      <c r="E10" s="33"/>
      <c r="F10" s="144"/>
      <c r="G10" s="144"/>
      <c r="H10" s="144"/>
      <c r="I10" s="144"/>
      <c r="J10" s="144"/>
      <c r="K10" s="144"/>
      <c r="L10" s="144"/>
      <c r="M10" s="144"/>
      <c r="N10" s="33"/>
      <c r="O10" s="24"/>
    </row>
    <row r="11" spans="2:15" x14ac:dyDescent="0.2">
      <c r="B11" s="20"/>
      <c r="C11" s="33"/>
      <c r="D11" s="462" t="s">
        <v>2</v>
      </c>
      <c r="E11" s="33"/>
      <c r="F11" s="144"/>
      <c r="G11" s="144"/>
      <c r="H11" s="144"/>
      <c r="I11" s="144"/>
      <c r="J11" s="144"/>
      <c r="K11" s="144"/>
      <c r="L11" s="144"/>
      <c r="M11" s="144"/>
      <c r="N11" s="33"/>
      <c r="O11" s="24"/>
    </row>
    <row r="12" spans="2:15" x14ac:dyDescent="0.2">
      <c r="B12" s="20"/>
      <c r="C12" s="33"/>
      <c r="D12" s="35"/>
      <c r="E12" s="33"/>
      <c r="F12" s="144"/>
      <c r="G12" s="144"/>
      <c r="H12" s="144"/>
      <c r="I12" s="144"/>
      <c r="J12" s="144"/>
      <c r="K12" s="144"/>
      <c r="L12" s="144"/>
      <c r="M12" s="144"/>
      <c r="N12" s="33"/>
      <c r="O12" s="24"/>
    </row>
    <row r="13" spans="2:15" ht="15.75" x14ac:dyDescent="0.25">
      <c r="B13" s="20"/>
      <c r="C13" s="33"/>
      <c r="D13" s="783" t="s">
        <v>18</v>
      </c>
      <c r="E13" s="33"/>
      <c r="F13" s="144"/>
      <c r="G13" s="144"/>
      <c r="H13" s="144"/>
      <c r="I13" s="144"/>
      <c r="J13" s="144"/>
      <c r="K13" s="144"/>
      <c r="L13" s="144"/>
      <c r="M13" s="144"/>
      <c r="N13" s="33"/>
      <c r="O13" s="24"/>
    </row>
    <row r="14" spans="2:15" x14ac:dyDescent="0.2">
      <c r="B14" s="20"/>
      <c r="C14" s="33"/>
      <c r="D14" s="36" t="s">
        <v>185</v>
      </c>
      <c r="E14" s="33"/>
      <c r="F14" s="144"/>
      <c r="G14" s="144"/>
      <c r="H14" s="144"/>
      <c r="I14" s="144"/>
      <c r="J14" s="144"/>
      <c r="K14" s="144"/>
      <c r="L14" s="144"/>
      <c r="M14" s="144"/>
      <c r="N14" s="33"/>
      <c r="O14" s="24"/>
    </row>
    <row r="15" spans="2:15" x14ac:dyDescent="0.2">
      <c r="B15" s="675"/>
      <c r="C15" s="33"/>
      <c r="D15" s="153" t="s">
        <v>496</v>
      </c>
      <c r="E15" s="33"/>
      <c r="F15" s="144"/>
      <c r="G15" s="144"/>
      <c r="H15" s="1023"/>
      <c r="I15" s="663">
        <f>+('geg ll'!G23+'geg ll'!G27-0.5*'geg ll'!G26)*tab!C7</f>
        <v>1589166.2150000001</v>
      </c>
      <c r="J15" s="663">
        <f>+('geg ll'!H23+'geg ll'!H27-0.5*'geg ll'!H26)*tab!D7</f>
        <v>1589166.2150000001</v>
      </c>
      <c r="K15" s="663">
        <f>+('geg ll'!I23+'geg ll'!I27-0.5*'geg ll'!I26)*tab!E7</f>
        <v>1589166.2150000001</v>
      </c>
      <c r="L15" s="663">
        <f>+('geg ll'!J23+'geg ll'!J27-0.5*'geg ll'!J26)*tab!F7</f>
        <v>1589166.2150000001</v>
      </c>
      <c r="M15" s="663">
        <f>+('geg ll'!K23+'geg ll'!K27-0.5*'geg ll'!K26)*tab!G7</f>
        <v>1589166.2150000001</v>
      </c>
      <c r="N15" s="33"/>
      <c r="O15" s="24"/>
    </row>
    <row r="16" spans="2:15" x14ac:dyDescent="0.2">
      <c r="B16" s="675"/>
      <c r="C16" s="33"/>
      <c r="D16" s="35"/>
      <c r="E16" s="33"/>
      <c r="F16" s="144"/>
      <c r="H16" s="676"/>
      <c r="I16" s="676"/>
      <c r="J16" s="676"/>
      <c r="K16" s="676"/>
      <c r="L16" s="676"/>
      <c r="M16" s="676"/>
      <c r="N16" s="33"/>
      <c r="O16" s="657"/>
    </row>
    <row r="17" spans="2:16" x14ac:dyDescent="0.2">
      <c r="B17" s="675"/>
      <c r="C17" s="33"/>
      <c r="D17" s="153" t="s">
        <v>502</v>
      </c>
      <c r="E17" s="33"/>
      <c r="F17" s="144"/>
      <c r="G17" s="144"/>
      <c r="H17" s="1024"/>
      <c r="I17" s="750">
        <f>IF('geg ll'!G34=0,0,+(('geg ll'!G23+'geg ll'!G27-0.5*'geg ll'!G26)/'geg ll'!$E32*'geg ll'!$E30-'geg ll'!G21)*tab!C9)</f>
        <v>8978458.0733670201</v>
      </c>
      <c r="J17" s="750">
        <f>IF('geg ll'!H34=0,0,+(('geg ll'!H23+'geg ll'!H27-0.5*'geg ll'!H26)/'geg ll'!$E32*'geg ll'!$E30-'geg ll'!H21)*tab!D9)</f>
        <v>8978458.0733670201</v>
      </c>
      <c r="K17" s="750">
        <f>IF('geg ll'!I34=0,0,+(('geg ll'!I23+'geg ll'!I27-0.5*'geg ll'!I26)/'geg ll'!$E32*'geg ll'!$E30-'geg ll'!I21)*tab!E9)</f>
        <v>8978458.0733670201</v>
      </c>
      <c r="L17" s="750">
        <f>IF('geg ll'!J34=0,0,+(('geg ll'!J23+'geg ll'!J27-0.5*'geg ll'!J26)/'geg ll'!$E32*'geg ll'!$E30-'geg ll'!J21)*tab!F9)</f>
        <v>8978458.0733670201</v>
      </c>
      <c r="M17" s="750">
        <f>IF('geg ll'!K34=0,0,+(('geg ll'!K23+'geg ll'!K27-0.5*'geg ll'!K26)/'geg ll'!$E32*'geg ll'!$E30-'geg ll'!K21)*tab!G9)</f>
        <v>8978458.0733670201</v>
      </c>
      <c r="N17" s="33"/>
      <c r="O17" s="657"/>
    </row>
    <row r="18" spans="2:16" x14ac:dyDescent="0.2">
      <c r="B18" s="675"/>
      <c r="C18" s="33"/>
      <c r="D18" s="153" t="s">
        <v>503</v>
      </c>
      <c r="E18" s="33"/>
      <c r="F18" s="144"/>
      <c r="G18" s="144"/>
      <c r="H18" s="1024"/>
      <c r="I18" s="750">
        <f>IF('geg ll'!G34=0,0,+(('geg ll'!G23+'geg ll'!G27-0.5*'geg ll'!G26)/'geg ll'!$E32*'geg ll'!$E31-'geg ll'!G22)*tab!C9)</f>
        <v>-369344.13062382728</v>
      </c>
      <c r="J18" s="750">
        <f>IF('geg ll'!H34=0,0,+(('geg ll'!H23+'geg ll'!H27-0.5*'geg ll'!H26)/'geg ll'!$E32*'geg ll'!$E31-'geg ll'!H22)*tab!D9)</f>
        <v>-369344.13062382728</v>
      </c>
      <c r="K18" s="750">
        <f>IF('geg ll'!I34=0,0,+(('geg ll'!I23+'geg ll'!I27-0.5*'geg ll'!I26)/'geg ll'!$E32*'geg ll'!$E31-'geg ll'!I22)*tab!E9)</f>
        <v>-369344.13062382728</v>
      </c>
      <c r="L18" s="750">
        <f>IF('geg ll'!J34=0,0,+(('geg ll'!J23+'geg ll'!J27-0.5*'geg ll'!J26)/'geg ll'!$E32*'geg ll'!$E31-'geg ll'!J22)*tab!F9)</f>
        <v>-369344.13062382728</v>
      </c>
      <c r="M18" s="750">
        <f>IF('geg ll'!K34=0,0,+(('geg ll'!K23+'geg ll'!K27-0.5*'geg ll'!K26)/'geg ll'!$E32*'geg ll'!$E31-'geg ll'!K22)*tab!G9)</f>
        <v>-369344.13062382728</v>
      </c>
      <c r="N18" s="33"/>
      <c r="O18" s="657"/>
    </row>
    <row r="19" spans="2:16" x14ac:dyDescent="0.2">
      <c r="B19" s="675"/>
      <c r="C19" s="33"/>
      <c r="D19" s="153" t="s">
        <v>504</v>
      </c>
      <c r="E19" s="33"/>
      <c r="F19" s="144"/>
      <c r="H19" s="1025"/>
      <c r="I19" s="769">
        <f>-'LWOO-PRO'!N21</f>
        <v>0</v>
      </c>
      <c r="J19" s="769">
        <f>-'LWOO-PRO'!O21</f>
        <v>0</v>
      </c>
      <c r="K19" s="769">
        <f>-'LWOO-PRO'!P21</f>
        <v>0</v>
      </c>
      <c r="L19" s="769">
        <f>-'LWOO-PRO'!Q21</f>
        <v>0</v>
      </c>
      <c r="M19" s="769">
        <f>-'LWOO-PRO'!R21</f>
        <v>0</v>
      </c>
      <c r="N19" s="33"/>
      <c r="O19" s="657"/>
    </row>
    <row r="20" spans="2:16" x14ac:dyDescent="0.2">
      <c r="B20" s="675"/>
      <c r="C20" s="33"/>
      <c r="D20" s="153"/>
      <c r="E20" s="33"/>
      <c r="F20" s="144"/>
      <c r="H20" s="676"/>
      <c r="I20" s="676"/>
      <c r="J20" s="676"/>
      <c r="K20" s="676"/>
      <c r="L20" s="676"/>
      <c r="M20" s="676"/>
      <c r="N20" s="33"/>
      <c r="O20" s="657"/>
    </row>
    <row r="21" spans="2:16" x14ac:dyDescent="0.2">
      <c r="B21" s="675"/>
      <c r="C21" s="33"/>
      <c r="D21" s="153" t="s">
        <v>497</v>
      </c>
      <c r="E21" s="33"/>
      <c r="F21" s="144"/>
      <c r="H21" s="676"/>
      <c r="I21" s="676"/>
      <c r="J21" s="676"/>
      <c r="K21" s="676"/>
      <c r="L21" s="676"/>
      <c r="M21" s="676"/>
      <c r="N21" s="33"/>
      <c r="O21" s="24"/>
    </row>
    <row r="22" spans="2:16" x14ac:dyDescent="0.2">
      <c r="B22" s="675"/>
      <c r="C22" s="33"/>
      <c r="D22" s="153" t="s">
        <v>498</v>
      </c>
      <c r="E22" s="33"/>
      <c r="F22" s="144"/>
      <c r="G22" s="144"/>
      <c r="H22" s="1026"/>
      <c r="I22" s="772">
        <f t="shared" ref="I22:L22" si="0">+I15+I17+I18+I19</f>
        <v>10198280.157743193</v>
      </c>
      <c r="J22" s="772">
        <f t="shared" si="0"/>
        <v>10198280.157743193</v>
      </c>
      <c r="K22" s="772">
        <f t="shared" si="0"/>
        <v>10198280.157743193</v>
      </c>
      <c r="L22" s="772">
        <f t="shared" si="0"/>
        <v>10198280.157743193</v>
      </c>
      <c r="M22" s="772">
        <f>+M15+M17+M18+M19</f>
        <v>10198280.157743193</v>
      </c>
      <c r="N22" s="33"/>
      <c r="O22" s="24"/>
    </row>
    <row r="23" spans="2:16" x14ac:dyDescent="0.2">
      <c r="B23" s="675"/>
      <c r="C23" s="33"/>
      <c r="D23" s="35"/>
      <c r="E23" s="33"/>
      <c r="F23" s="144"/>
      <c r="H23" s="676"/>
      <c r="I23" s="676"/>
      <c r="J23" s="676"/>
      <c r="K23" s="676"/>
      <c r="L23" s="676"/>
      <c r="M23" s="676"/>
      <c r="N23" s="33"/>
      <c r="O23" s="24"/>
    </row>
    <row r="24" spans="2:16" x14ac:dyDescent="0.2">
      <c r="B24" s="20"/>
      <c r="C24" s="33"/>
      <c r="D24" s="473" t="s">
        <v>383</v>
      </c>
      <c r="E24" s="38"/>
      <c r="F24" s="39"/>
      <c r="G24" s="39"/>
      <c r="H24" s="702"/>
      <c r="I24" s="693">
        <f>+I22</f>
        <v>10198280.157743193</v>
      </c>
      <c r="J24" s="693">
        <f t="shared" ref="J24:M24" si="1">+J22</f>
        <v>10198280.157743193</v>
      </c>
      <c r="K24" s="693">
        <f t="shared" si="1"/>
        <v>10198280.157743193</v>
      </c>
      <c r="L24" s="693">
        <f t="shared" si="1"/>
        <v>10198280.157743193</v>
      </c>
      <c r="M24" s="693">
        <f t="shared" si="1"/>
        <v>10198280.157743193</v>
      </c>
      <c r="N24" s="33"/>
      <c r="O24" s="24"/>
    </row>
    <row r="25" spans="2:16" x14ac:dyDescent="0.2">
      <c r="B25" s="20"/>
      <c r="C25" s="34"/>
      <c r="D25" s="695"/>
      <c r="E25" s="696"/>
      <c r="F25" s="697"/>
      <c r="G25" s="697"/>
      <c r="H25" s="1028"/>
      <c r="I25" s="697"/>
      <c r="J25" s="697"/>
      <c r="K25" s="697"/>
      <c r="L25" s="697"/>
      <c r="M25" s="697"/>
      <c r="N25" s="32"/>
      <c r="O25" s="24"/>
    </row>
    <row r="26" spans="2:16" x14ac:dyDescent="0.2">
      <c r="B26" s="675"/>
      <c r="C26" s="500"/>
      <c r="D26" s="698"/>
      <c r="E26" s="699"/>
      <c r="F26" s="700"/>
      <c r="G26" s="700"/>
      <c r="H26" s="1029"/>
      <c r="I26" s="701"/>
      <c r="J26" s="701"/>
      <c r="K26" s="701"/>
      <c r="L26" s="701"/>
      <c r="M26" s="102"/>
      <c r="N26" s="401"/>
      <c r="O26" s="24"/>
    </row>
    <row r="27" spans="2:16" x14ac:dyDescent="0.2">
      <c r="B27" s="20"/>
      <c r="C27" s="149"/>
      <c r="D27" s="420" t="s">
        <v>382</v>
      </c>
      <c r="E27" s="122"/>
      <c r="F27" s="71"/>
      <c r="G27" s="102"/>
      <c r="H27" s="694"/>
      <c r="I27" s="694"/>
      <c r="J27" s="694"/>
      <c r="K27" s="694"/>
      <c r="L27" s="694"/>
      <c r="M27" s="962"/>
      <c r="N27" s="690"/>
      <c r="O27" s="21"/>
      <c r="P27" s="962"/>
    </row>
    <row r="28" spans="2:16" x14ac:dyDescent="0.2">
      <c r="B28" s="20"/>
      <c r="C28" s="149"/>
      <c r="D28" s="36" t="s">
        <v>185</v>
      </c>
      <c r="E28" s="149"/>
      <c r="F28" s="84"/>
      <c r="G28" s="1036"/>
      <c r="H28" s="1037"/>
      <c r="I28" s="691">
        <f>+I8</f>
        <v>2023</v>
      </c>
      <c r="J28" s="691">
        <f>+J8</f>
        <v>2024</v>
      </c>
      <c r="K28" s="691">
        <f>+K8</f>
        <v>2025</v>
      </c>
      <c r="L28" s="692">
        <f>+L8</f>
        <v>2026</v>
      </c>
      <c r="M28" s="692">
        <f>+M8</f>
        <v>2027</v>
      </c>
      <c r="N28" s="401"/>
      <c r="O28" s="24"/>
    </row>
    <row r="29" spans="2:16" x14ac:dyDescent="0.2">
      <c r="B29" s="20"/>
      <c r="C29" s="149"/>
      <c r="D29" s="149"/>
      <c r="E29" s="149"/>
      <c r="F29" s="64"/>
      <c r="G29" s="62"/>
      <c r="H29" s="1030"/>
      <c r="I29" s="62"/>
      <c r="J29" s="62"/>
      <c r="K29" s="62"/>
      <c r="L29" s="62"/>
      <c r="M29" s="723"/>
      <c r="N29" s="401"/>
      <c r="O29" s="24"/>
    </row>
    <row r="30" spans="2:16" x14ac:dyDescent="0.2">
      <c r="B30" s="20"/>
      <c r="C30" s="149"/>
      <c r="D30" s="149" t="s">
        <v>631</v>
      </c>
      <c r="E30" s="149"/>
      <c r="F30" s="64"/>
      <c r="G30" s="64"/>
      <c r="H30" s="1031"/>
      <c r="I30" s="1021">
        <f>'geg ll'!G23*tab!C13</f>
        <v>10884127.379999999</v>
      </c>
      <c r="J30" s="1021">
        <f>'geg ll'!H23*tab!D13</f>
        <v>10884127.379999999</v>
      </c>
      <c r="K30" s="1021">
        <f>'geg ll'!I23*tab!E13</f>
        <v>10884127.379999999</v>
      </c>
      <c r="L30" s="1021">
        <f>'geg ll'!J23*tab!F13</f>
        <v>10884127.379999999</v>
      </c>
      <c r="M30" s="1021">
        <f>'geg ll'!K23*tab!G13</f>
        <v>10884127.379999999</v>
      </c>
      <c r="N30" s="401"/>
      <c r="O30" s="24"/>
    </row>
    <row r="31" spans="2:16" x14ac:dyDescent="0.2">
      <c r="B31" s="675"/>
      <c r="C31" s="149"/>
      <c r="D31" s="149" t="s">
        <v>419</v>
      </c>
      <c r="E31" s="149"/>
      <c r="F31" s="64"/>
      <c r="G31" s="64"/>
      <c r="H31" s="1031"/>
      <c r="I31" s="426">
        <f>'overdr VSO'!J17</f>
        <v>0</v>
      </c>
      <c r="J31" s="426">
        <f>'overdr VSO'!K17</f>
        <v>0</v>
      </c>
      <c r="K31" s="426">
        <f>'overdr VSO'!L17</f>
        <v>0</v>
      </c>
      <c r="L31" s="426">
        <f>'overdr VSO'!M17</f>
        <v>0</v>
      </c>
      <c r="M31" s="426">
        <f>'overdr VSO'!N17</f>
        <v>0</v>
      </c>
      <c r="N31" s="401"/>
      <c r="O31" s="657"/>
    </row>
    <row r="32" spans="2:16" x14ac:dyDescent="0.2">
      <c r="B32" s="675"/>
      <c r="C32" s="149"/>
      <c r="D32" s="687"/>
      <c r="E32" s="149"/>
      <c r="F32" s="64"/>
      <c r="G32" s="897"/>
      <c r="H32" s="771"/>
      <c r="I32" s="771"/>
      <c r="J32" s="771"/>
      <c r="K32" s="771"/>
      <c r="L32" s="771"/>
      <c r="M32" s="963"/>
      <c r="N32" s="149"/>
      <c r="O32" s="24"/>
    </row>
    <row r="33" spans="2:33" x14ac:dyDescent="0.2">
      <c r="B33" s="20"/>
      <c r="C33" s="149"/>
      <c r="D33" s="36" t="s">
        <v>499</v>
      </c>
      <c r="E33" s="149"/>
      <c r="F33" s="64"/>
      <c r="G33" s="64"/>
      <c r="H33" s="498"/>
      <c r="I33" s="64"/>
      <c r="J33" s="64"/>
      <c r="K33" s="64"/>
      <c r="L33" s="64"/>
      <c r="M33" s="64"/>
      <c r="N33" s="149"/>
      <c r="O33" s="24"/>
    </row>
    <row r="34" spans="2:33" x14ac:dyDescent="0.2">
      <c r="B34" s="20"/>
      <c r="C34" s="149"/>
      <c r="D34" s="417"/>
      <c r="E34" s="149"/>
      <c r="F34" s="64"/>
      <c r="G34" s="64"/>
      <c r="H34" s="1032"/>
      <c r="I34" s="60">
        <f t="shared" ref="I34:J37" si="2">H34</f>
        <v>0</v>
      </c>
      <c r="J34" s="60">
        <f t="shared" si="2"/>
        <v>0</v>
      </c>
      <c r="K34" s="60">
        <f t="shared" ref="K34:M37" si="3">J34</f>
        <v>0</v>
      </c>
      <c r="L34" s="60">
        <f t="shared" si="3"/>
        <v>0</v>
      </c>
      <c r="M34" s="60">
        <f t="shared" si="3"/>
        <v>0</v>
      </c>
      <c r="N34" s="149"/>
      <c r="O34" s="24"/>
    </row>
    <row r="35" spans="2:33" x14ac:dyDescent="0.2">
      <c r="B35" s="20"/>
      <c r="C35" s="149"/>
      <c r="D35" s="417"/>
      <c r="E35" s="149"/>
      <c r="F35" s="64"/>
      <c r="G35" s="64"/>
      <c r="H35" s="1032"/>
      <c r="I35" s="60">
        <f t="shared" si="2"/>
        <v>0</v>
      </c>
      <c r="J35" s="60">
        <f t="shared" si="2"/>
        <v>0</v>
      </c>
      <c r="K35" s="60">
        <f t="shared" si="3"/>
        <v>0</v>
      </c>
      <c r="L35" s="60">
        <f t="shared" si="3"/>
        <v>0</v>
      </c>
      <c r="M35" s="60">
        <f t="shared" si="3"/>
        <v>0</v>
      </c>
      <c r="N35" s="149"/>
      <c r="O35" s="24"/>
    </row>
    <row r="36" spans="2:33" x14ac:dyDescent="0.2">
      <c r="B36" s="20"/>
      <c r="C36" s="149"/>
      <c r="D36" s="417"/>
      <c r="E36" s="149"/>
      <c r="F36" s="64"/>
      <c r="G36" s="64"/>
      <c r="H36" s="1032"/>
      <c r="I36" s="60">
        <f t="shared" si="2"/>
        <v>0</v>
      </c>
      <c r="J36" s="60">
        <f t="shared" si="2"/>
        <v>0</v>
      </c>
      <c r="K36" s="60">
        <f t="shared" si="3"/>
        <v>0</v>
      </c>
      <c r="L36" s="60">
        <f t="shared" si="3"/>
        <v>0</v>
      </c>
      <c r="M36" s="60">
        <f t="shared" si="3"/>
        <v>0</v>
      </c>
      <c r="N36" s="149"/>
      <c r="O36" s="24"/>
    </row>
    <row r="37" spans="2:33" x14ac:dyDescent="0.2">
      <c r="B37" s="20"/>
      <c r="C37" s="149"/>
      <c r="D37" s="417"/>
      <c r="E37" s="149"/>
      <c r="F37" s="64"/>
      <c r="G37" s="64"/>
      <c r="H37" s="1032"/>
      <c r="I37" s="60">
        <f t="shared" si="2"/>
        <v>0</v>
      </c>
      <c r="J37" s="60">
        <f>I37</f>
        <v>0</v>
      </c>
      <c r="K37" s="60">
        <f t="shared" si="3"/>
        <v>0</v>
      </c>
      <c r="L37" s="60">
        <f t="shared" si="3"/>
        <v>0</v>
      </c>
      <c r="M37" s="60">
        <f t="shared" si="3"/>
        <v>0</v>
      </c>
      <c r="N37" s="149"/>
      <c r="O37" s="24"/>
    </row>
    <row r="38" spans="2:33" x14ac:dyDescent="0.2">
      <c r="B38" s="20"/>
      <c r="C38" s="149"/>
      <c r="D38" s="153"/>
      <c r="E38" s="149"/>
      <c r="F38" s="64"/>
      <c r="G38" s="64"/>
      <c r="H38" s="684"/>
      <c r="I38" s="427">
        <f t="shared" ref="I38:M38" si="4">SUM(I34:I37)</f>
        <v>0</v>
      </c>
      <c r="J38" s="427">
        <f t="shared" si="4"/>
        <v>0</v>
      </c>
      <c r="K38" s="427">
        <f t="shared" si="4"/>
        <v>0</v>
      </c>
      <c r="L38" s="427">
        <f t="shared" si="4"/>
        <v>0</v>
      </c>
      <c r="M38" s="427">
        <f t="shared" si="4"/>
        <v>0</v>
      </c>
      <c r="N38" s="149"/>
      <c r="O38" s="24"/>
    </row>
    <row r="39" spans="2:33" x14ac:dyDescent="0.2">
      <c r="B39" s="20"/>
      <c r="C39" s="149"/>
      <c r="D39" s="153"/>
      <c r="E39" s="149"/>
      <c r="F39" s="64"/>
      <c r="G39" s="64"/>
      <c r="H39" s="498"/>
      <c r="I39" s="64"/>
      <c r="J39" s="64"/>
      <c r="K39" s="64"/>
      <c r="L39" s="64"/>
      <c r="M39" s="64"/>
      <c r="N39" s="149"/>
      <c r="O39" s="24"/>
    </row>
    <row r="40" spans="2:33" x14ac:dyDescent="0.2">
      <c r="B40" s="20"/>
      <c r="C40" s="149"/>
      <c r="D40" s="473" t="s">
        <v>586</v>
      </c>
      <c r="E40" s="149"/>
      <c r="F40" s="64"/>
      <c r="G40" s="64"/>
      <c r="H40" s="685"/>
      <c r="I40" s="426">
        <f>I30+I31</f>
        <v>10884127.379999999</v>
      </c>
      <c r="J40" s="426">
        <f t="shared" ref="J40:M40" si="5">J30+J31</f>
        <v>10884127.379999999</v>
      </c>
      <c r="K40" s="426">
        <f t="shared" si="5"/>
        <v>10884127.379999999</v>
      </c>
      <c r="L40" s="426">
        <f t="shared" si="5"/>
        <v>10884127.379999999</v>
      </c>
      <c r="M40" s="426">
        <f t="shared" si="5"/>
        <v>10884127.379999999</v>
      </c>
      <c r="N40" s="149"/>
      <c r="O40" s="24"/>
    </row>
    <row r="41" spans="2:33" x14ac:dyDescent="0.2">
      <c r="B41" s="20"/>
      <c r="C41" s="74"/>
      <c r="D41" s="891"/>
      <c r="E41" s="892"/>
      <c r="F41" s="893"/>
      <c r="G41" s="893"/>
      <c r="H41" s="1033"/>
      <c r="I41" s="893"/>
      <c r="J41" s="893"/>
      <c r="K41" s="893"/>
      <c r="L41" s="893"/>
      <c r="M41" s="893"/>
      <c r="N41" s="74"/>
      <c r="O41" s="24"/>
    </row>
    <row r="42" spans="2:33" x14ac:dyDescent="0.2">
      <c r="B42" s="20"/>
      <c r="C42" s="74"/>
      <c r="D42" s="976"/>
      <c r="E42" s="447"/>
      <c r="F42" s="448"/>
      <c r="G42" s="448"/>
      <c r="H42" s="1034"/>
      <c r="I42" s="448"/>
      <c r="J42" s="448"/>
      <c r="K42" s="448"/>
      <c r="L42" s="448"/>
      <c r="M42" s="448"/>
      <c r="N42" s="74"/>
      <c r="O42" s="24"/>
    </row>
    <row r="43" spans="2:33" x14ac:dyDescent="0.2">
      <c r="B43" s="675"/>
      <c r="C43" s="149"/>
      <c r="D43" s="420" t="s">
        <v>635</v>
      </c>
      <c r="E43" s="122"/>
      <c r="F43" s="71"/>
      <c r="G43" s="897"/>
      <c r="H43" s="1035"/>
      <c r="I43" s="770">
        <f>+I24+I40</f>
        <v>21082407.537743192</v>
      </c>
      <c r="J43" s="770">
        <f>+J24+J40</f>
        <v>21082407.537743192</v>
      </c>
      <c r="K43" s="770">
        <f>+K24+K40</f>
        <v>21082407.537743192</v>
      </c>
      <c r="L43" s="770">
        <f>+L24+L40</f>
        <v>21082407.537743192</v>
      </c>
      <c r="M43" s="770">
        <f>+M24+M40</f>
        <v>21082407.537743192</v>
      </c>
      <c r="N43" s="149"/>
      <c r="O43" s="24"/>
    </row>
    <row r="44" spans="2:33" x14ac:dyDescent="0.2">
      <c r="B44" s="675"/>
      <c r="C44" s="149"/>
      <c r="D44" s="420"/>
      <c r="E44" s="122"/>
      <c r="F44" s="71"/>
      <c r="G44" s="897"/>
      <c r="H44" s="686"/>
      <c r="I44" s="71"/>
      <c r="J44" s="71"/>
      <c r="K44" s="71"/>
      <c r="L44" s="71"/>
      <c r="M44" s="964"/>
      <c r="N44" s="149"/>
      <c r="O44" s="24"/>
    </row>
    <row r="45" spans="2:33" x14ac:dyDescent="0.2">
      <c r="B45" s="20"/>
      <c r="C45" s="140"/>
      <c r="D45" s="169"/>
      <c r="E45" s="140"/>
      <c r="F45" s="141"/>
      <c r="G45" s="141"/>
      <c r="H45" s="141"/>
      <c r="I45" s="141"/>
      <c r="J45" s="141"/>
      <c r="K45" s="141"/>
      <c r="L45" s="141"/>
      <c r="M45" s="141"/>
      <c r="N45" s="140"/>
      <c r="O45" s="24"/>
    </row>
    <row r="46" spans="2:33" x14ac:dyDescent="0.2">
      <c r="B46" s="20"/>
      <c r="C46" s="33"/>
      <c r="D46" s="35"/>
      <c r="E46" s="33"/>
      <c r="F46" s="144"/>
      <c r="G46" s="144"/>
      <c r="H46" s="144"/>
      <c r="I46" s="144"/>
      <c r="J46" s="144"/>
      <c r="K46" s="144"/>
      <c r="L46" s="144"/>
      <c r="M46" s="144"/>
      <c r="N46" s="33"/>
      <c r="O46" s="24"/>
      <c r="AG46" s="811"/>
    </row>
    <row r="47" spans="2:33" x14ac:dyDescent="0.2">
      <c r="B47" s="20"/>
      <c r="C47" s="33"/>
      <c r="D47" s="462" t="s">
        <v>136</v>
      </c>
      <c r="E47" s="33"/>
      <c r="F47" s="144"/>
      <c r="H47" s="479" t="e">
        <f t="shared" ref="H47:M47" si="6">+H8</f>
        <v>#REF!</v>
      </c>
      <c r="I47" s="479">
        <f t="shared" si="6"/>
        <v>2023</v>
      </c>
      <c r="J47" s="479">
        <f t="shared" si="6"/>
        <v>2024</v>
      </c>
      <c r="K47" s="479">
        <f t="shared" si="6"/>
        <v>2025</v>
      </c>
      <c r="L47" s="479">
        <f t="shared" si="6"/>
        <v>2026</v>
      </c>
      <c r="M47" s="479">
        <f t="shared" si="6"/>
        <v>2027</v>
      </c>
      <c r="N47" s="33"/>
      <c r="O47" s="24"/>
    </row>
    <row r="48" spans="2:33" x14ac:dyDescent="0.2">
      <c r="B48" s="20"/>
      <c r="C48" s="33"/>
      <c r="D48" s="35"/>
      <c r="E48" s="33"/>
      <c r="F48" s="144"/>
      <c r="G48" s="144"/>
      <c r="H48" s="144"/>
      <c r="I48" s="144"/>
      <c r="J48" s="144"/>
      <c r="K48" s="144"/>
      <c r="L48" s="144"/>
      <c r="M48" s="144"/>
      <c r="N48" s="33"/>
      <c r="O48" s="24"/>
    </row>
    <row r="49" spans="2:32" x14ac:dyDescent="0.2">
      <c r="B49" s="20"/>
      <c r="C49" s="33"/>
      <c r="D49" s="153" t="s">
        <v>18</v>
      </c>
      <c r="E49" s="33"/>
      <c r="F49" s="144"/>
      <c r="G49" s="144"/>
      <c r="H49" s="144"/>
      <c r="I49" s="144"/>
      <c r="J49" s="144"/>
      <c r="K49" s="144"/>
      <c r="L49" s="144"/>
      <c r="M49" s="144"/>
      <c r="N49" s="33"/>
      <c r="O49" s="24"/>
    </row>
    <row r="50" spans="2:32" x14ac:dyDescent="0.2">
      <c r="B50" s="20"/>
      <c r="C50" s="33"/>
      <c r="D50" s="417" t="s">
        <v>142</v>
      </c>
      <c r="E50" s="33"/>
      <c r="F50" s="144"/>
      <c r="G50" s="144"/>
      <c r="H50" s="419">
        <v>0</v>
      </c>
      <c r="I50" s="419">
        <f t="shared" ref="I50:J54" si="7">H50</f>
        <v>0</v>
      </c>
      <c r="J50" s="419">
        <f t="shared" si="7"/>
        <v>0</v>
      </c>
      <c r="K50" s="419">
        <f t="shared" ref="K50:M54" si="8">J50</f>
        <v>0</v>
      </c>
      <c r="L50" s="419">
        <f t="shared" si="8"/>
        <v>0</v>
      </c>
      <c r="M50" s="419">
        <f t="shared" si="8"/>
        <v>0</v>
      </c>
      <c r="N50" s="33"/>
      <c r="O50" s="24"/>
    </row>
    <row r="51" spans="2:32" x14ac:dyDescent="0.2">
      <c r="B51" s="20"/>
      <c r="C51" s="33"/>
      <c r="D51" s="416"/>
      <c r="E51" s="33"/>
      <c r="F51" s="144"/>
      <c r="G51" s="144"/>
      <c r="H51" s="419">
        <v>0</v>
      </c>
      <c r="I51" s="419">
        <f t="shared" si="7"/>
        <v>0</v>
      </c>
      <c r="J51" s="419">
        <f t="shared" si="7"/>
        <v>0</v>
      </c>
      <c r="K51" s="419">
        <f t="shared" si="8"/>
        <v>0</v>
      </c>
      <c r="L51" s="419">
        <f t="shared" si="8"/>
        <v>0</v>
      </c>
      <c r="M51" s="419">
        <f t="shared" si="8"/>
        <v>0</v>
      </c>
      <c r="N51" s="33"/>
      <c r="O51" s="24"/>
    </row>
    <row r="52" spans="2:32" x14ac:dyDescent="0.2">
      <c r="B52" s="20"/>
      <c r="C52" s="33"/>
      <c r="D52" s="416"/>
      <c r="E52" s="33"/>
      <c r="F52" s="144"/>
      <c r="G52" s="144"/>
      <c r="H52" s="419">
        <v>0</v>
      </c>
      <c r="I52" s="419">
        <f t="shared" si="7"/>
        <v>0</v>
      </c>
      <c r="J52" s="419">
        <f t="shared" si="7"/>
        <v>0</v>
      </c>
      <c r="K52" s="419">
        <f t="shared" si="8"/>
        <v>0</v>
      </c>
      <c r="L52" s="419">
        <f t="shared" si="8"/>
        <v>0</v>
      </c>
      <c r="M52" s="419">
        <f t="shared" si="8"/>
        <v>0</v>
      </c>
      <c r="N52" s="33"/>
      <c r="O52" s="24"/>
    </row>
    <row r="53" spans="2:32" x14ac:dyDescent="0.2">
      <c r="B53" s="20"/>
      <c r="C53" s="33"/>
      <c r="D53" s="416"/>
      <c r="E53" s="33"/>
      <c r="F53" s="144"/>
      <c r="G53" s="144"/>
      <c r="H53" s="419">
        <v>0</v>
      </c>
      <c r="I53" s="419">
        <f t="shared" si="7"/>
        <v>0</v>
      </c>
      <c r="J53" s="419">
        <f t="shared" si="7"/>
        <v>0</v>
      </c>
      <c r="K53" s="419">
        <f t="shared" si="8"/>
        <v>0</v>
      </c>
      <c r="L53" s="419">
        <f t="shared" si="8"/>
        <v>0</v>
      </c>
      <c r="M53" s="419">
        <f t="shared" si="8"/>
        <v>0</v>
      </c>
      <c r="N53" s="33"/>
      <c r="O53" s="24"/>
      <c r="AF53" s="686"/>
    </row>
    <row r="54" spans="2:32" x14ac:dyDescent="0.2">
      <c r="B54" s="20"/>
      <c r="C54" s="33"/>
      <c r="D54" s="416"/>
      <c r="E54" s="33"/>
      <c r="F54" s="144"/>
      <c r="G54" s="144"/>
      <c r="H54" s="419">
        <v>0</v>
      </c>
      <c r="I54" s="419">
        <f t="shared" si="7"/>
        <v>0</v>
      </c>
      <c r="J54" s="419">
        <f>I54</f>
        <v>0</v>
      </c>
      <c r="K54" s="419">
        <f t="shared" si="8"/>
        <v>0</v>
      </c>
      <c r="L54" s="419">
        <f t="shared" si="8"/>
        <v>0</v>
      </c>
      <c r="M54" s="419">
        <f t="shared" si="8"/>
        <v>0</v>
      </c>
      <c r="N54" s="33"/>
      <c r="O54" s="24"/>
      <c r="AF54" s="632"/>
    </row>
    <row r="55" spans="2:32" x14ac:dyDescent="0.2">
      <c r="B55" s="20"/>
      <c r="C55" s="33"/>
      <c r="D55" s="35"/>
      <c r="E55" s="33"/>
      <c r="F55" s="144"/>
      <c r="G55" s="144"/>
      <c r="H55" s="425">
        <f t="shared" ref="H55:M55" si="9">SUM(H50:H54)</f>
        <v>0</v>
      </c>
      <c r="I55" s="425">
        <f t="shared" si="9"/>
        <v>0</v>
      </c>
      <c r="J55" s="425">
        <f t="shared" si="9"/>
        <v>0</v>
      </c>
      <c r="K55" s="425">
        <f t="shared" si="9"/>
        <v>0</v>
      </c>
      <c r="L55" s="425">
        <f t="shared" si="9"/>
        <v>0</v>
      </c>
      <c r="M55" s="425">
        <f t="shared" si="9"/>
        <v>0</v>
      </c>
      <c r="N55" s="33"/>
      <c r="O55" s="24"/>
      <c r="P55" s="632"/>
    </row>
    <row r="56" spans="2:32" x14ac:dyDescent="0.2">
      <c r="B56" s="20"/>
      <c r="C56" s="33"/>
      <c r="D56" s="891"/>
      <c r="E56" s="892"/>
      <c r="F56" s="893"/>
      <c r="G56" s="893"/>
      <c r="H56" s="893"/>
      <c r="I56" s="893"/>
      <c r="J56" s="893"/>
      <c r="K56" s="893"/>
      <c r="L56" s="893"/>
      <c r="M56" s="893"/>
      <c r="N56" s="33"/>
      <c r="O56" s="24"/>
    </row>
    <row r="57" spans="2:32" x14ac:dyDescent="0.2">
      <c r="B57" s="20"/>
      <c r="C57" s="33"/>
      <c r="D57" s="894"/>
      <c r="E57" s="895"/>
      <c r="F57" s="896"/>
      <c r="G57" s="896"/>
      <c r="H57" s="896"/>
      <c r="I57" s="896"/>
      <c r="J57" s="896"/>
      <c r="K57" s="896"/>
      <c r="L57" s="896"/>
      <c r="M57" s="964"/>
      <c r="N57" s="33"/>
      <c r="O57" s="24"/>
    </row>
    <row r="58" spans="2:32" x14ac:dyDescent="0.2">
      <c r="B58" s="20"/>
      <c r="C58" s="33"/>
      <c r="D58" s="153" t="s">
        <v>19</v>
      </c>
      <c r="E58" s="33"/>
      <c r="F58" s="144"/>
      <c r="G58" s="144"/>
      <c r="H58" s="144"/>
      <c r="I58" s="144"/>
      <c r="J58" s="144"/>
      <c r="K58" s="144"/>
      <c r="L58" s="144"/>
      <c r="M58" s="144"/>
      <c r="N58" s="33"/>
      <c r="O58" s="24"/>
    </row>
    <row r="59" spans="2:32" x14ac:dyDescent="0.2">
      <c r="B59" s="20"/>
      <c r="C59" s="33"/>
      <c r="D59" s="416" t="s">
        <v>142</v>
      </c>
      <c r="E59" s="33"/>
      <c r="F59" s="144"/>
      <c r="G59" s="144"/>
      <c r="H59" s="419">
        <v>0</v>
      </c>
      <c r="I59" s="419">
        <f>H59</f>
        <v>0</v>
      </c>
      <c r="J59" s="419">
        <f t="shared" ref="J59:M63" si="10">I59</f>
        <v>0</v>
      </c>
      <c r="K59" s="419">
        <f t="shared" si="10"/>
        <v>0</v>
      </c>
      <c r="L59" s="419">
        <f t="shared" si="10"/>
        <v>0</v>
      </c>
      <c r="M59" s="419">
        <f t="shared" si="10"/>
        <v>0</v>
      </c>
      <c r="N59" s="33"/>
      <c r="O59" s="24"/>
    </row>
    <row r="60" spans="2:32" x14ac:dyDescent="0.2">
      <c r="B60" s="20"/>
      <c r="C60" s="33"/>
      <c r="D60" s="416"/>
      <c r="E60" s="33"/>
      <c r="F60" s="144"/>
      <c r="G60" s="144"/>
      <c r="H60" s="419">
        <v>0</v>
      </c>
      <c r="I60" s="419">
        <f>H60</f>
        <v>0</v>
      </c>
      <c r="J60" s="419">
        <f t="shared" si="10"/>
        <v>0</v>
      </c>
      <c r="K60" s="419">
        <f t="shared" si="10"/>
        <v>0</v>
      </c>
      <c r="L60" s="419">
        <f t="shared" si="10"/>
        <v>0</v>
      </c>
      <c r="M60" s="419">
        <f t="shared" si="10"/>
        <v>0</v>
      </c>
      <c r="N60" s="33"/>
      <c r="O60" s="24"/>
    </row>
    <row r="61" spans="2:32" x14ac:dyDescent="0.2">
      <c r="B61" s="20"/>
      <c r="C61" s="33"/>
      <c r="D61" s="416"/>
      <c r="E61" s="33"/>
      <c r="F61" s="144"/>
      <c r="G61" s="144"/>
      <c r="H61" s="419">
        <v>0</v>
      </c>
      <c r="I61" s="419">
        <f>H61</f>
        <v>0</v>
      </c>
      <c r="J61" s="419">
        <f t="shared" si="10"/>
        <v>0</v>
      </c>
      <c r="K61" s="419">
        <f t="shared" si="10"/>
        <v>0</v>
      </c>
      <c r="L61" s="419">
        <f t="shared" si="10"/>
        <v>0</v>
      </c>
      <c r="M61" s="419">
        <f t="shared" si="10"/>
        <v>0</v>
      </c>
      <c r="N61" s="33"/>
      <c r="O61" s="24"/>
    </row>
    <row r="62" spans="2:32" x14ac:dyDescent="0.2">
      <c r="B62" s="20"/>
      <c r="C62" s="33"/>
      <c r="D62" s="416"/>
      <c r="E62" s="33"/>
      <c r="F62" s="144"/>
      <c r="G62" s="144"/>
      <c r="H62" s="419">
        <v>0</v>
      </c>
      <c r="I62" s="419">
        <f>H62</f>
        <v>0</v>
      </c>
      <c r="J62" s="419">
        <f t="shared" si="10"/>
        <v>0</v>
      </c>
      <c r="K62" s="419">
        <f t="shared" si="10"/>
        <v>0</v>
      </c>
      <c r="L62" s="419">
        <f t="shared" si="10"/>
        <v>0</v>
      </c>
      <c r="M62" s="419">
        <f t="shared" si="10"/>
        <v>0</v>
      </c>
      <c r="N62" s="33"/>
      <c r="O62" s="24"/>
    </row>
    <row r="63" spans="2:32" x14ac:dyDescent="0.2">
      <c r="B63" s="20"/>
      <c r="C63" s="33"/>
      <c r="D63" s="416"/>
      <c r="E63" s="33"/>
      <c r="F63" s="144"/>
      <c r="G63" s="144"/>
      <c r="H63" s="419">
        <v>0</v>
      </c>
      <c r="I63" s="419">
        <f>H63</f>
        <v>0</v>
      </c>
      <c r="J63" s="419">
        <f t="shared" si="10"/>
        <v>0</v>
      </c>
      <c r="K63" s="419">
        <f t="shared" si="10"/>
        <v>0</v>
      </c>
      <c r="L63" s="419">
        <f t="shared" si="10"/>
        <v>0</v>
      </c>
      <c r="M63" s="419">
        <f t="shared" si="10"/>
        <v>0</v>
      </c>
      <c r="N63" s="33"/>
      <c r="O63" s="24"/>
    </row>
    <row r="64" spans="2:32" x14ac:dyDescent="0.2">
      <c r="B64" s="20"/>
      <c r="C64" s="33"/>
      <c r="D64" s="35"/>
      <c r="E64" s="33"/>
      <c r="F64" s="144"/>
      <c r="G64" s="144"/>
      <c r="H64" s="425">
        <f t="shared" ref="H64:M64" si="11">SUM(H59:H63)</f>
        <v>0</v>
      </c>
      <c r="I64" s="425">
        <f t="shared" si="11"/>
        <v>0</v>
      </c>
      <c r="J64" s="425">
        <f t="shared" si="11"/>
        <v>0</v>
      </c>
      <c r="K64" s="425">
        <f t="shared" si="11"/>
        <v>0</v>
      </c>
      <c r="L64" s="425">
        <f t="shared" si="11"/>
        <v>0</v>
      </c>
      <c r="M64" s="425">
        <f t="shared" si="11"/>
        <v>0</v>
      </c>
      <c r="N64" s="33"/>
      <c r="O64" s="24"/>
    </row>
    <row r="65" spans="2:15" x14ac:dyDescent="0.2">
      <c r="B65" s="20"/>
      <c r="C65" s="33"/>
      <c r="D65" s="421"/>
      <c r="E65" s="422"/>
      <c r="F65" s="423"/>
      <c r="G65" s="423"/>
      <c r="H65" s="423"/>
      <c r="I65" s="423"/>
      <c r="J65" s="423"/>
      <c r="K65" s="423"/>
      <c r="L65" s="423"/>
      <c r="M65" s="423"/>
      <c r="N65" s="33"/>
      <c r="O65" s="24"/>
    </row>
    <row r="66" spans="2:15" x14ac:dyDescent="0.2">
      <c r="B66" s="20"/>
      <c r="C66" s="33"/>
      <c r="D66" s="420"/>
      <c r="E66" s="122"/>
      <c r="F66" s="71"/>
      <c r="G66" s="897"/>
      <c r="H66" s="71"/>
      <c r="I66" s="71"/>
      <c r="J66" s="71"/>
      <c r="K66" s="71"/>
      <c r="L66" s="71"/>
      <c r="M66" s="71"/>
      <c r="N66" s="33"/>
      <c r="O66" s="24"/>
    </row>
    <row r="67" spans="2:15" x14ac:dyDescent="0.2">
      <c r="B67" s="20"/>
      <c r="C67" s="33"/>
      <c r="D67" s="153" t="s">
        <v>44</v>
      </c>
      <c r="E67" s="33"/>
      <c r="F67" s="144"/>
      <c r="G67" s="144"/>
      <c r="H67" s="425">
        <f t="shared" ref="H67:M67" si="12">H55+H64</f>
        <v>0</v>
      </c>
      <c r="I67" s="425">
        <f t="shared" si="12"/>
        <v>0</v>
      </c>
      <c r="J67" s="425">
        <f t="shared" si="12"/>
        <v>0</v>
      </c>
      <c r="K67" s="425">
        <f t="shared" si="12"/>
        <v>0</v>
      </c>
      <c r="L67" s="425">
        <f t="shared" si="12"/>
        <v>0</v>
      </c>
      <c r="M67" s="425">
        <f t="shared" si="12"/>
        <v>0</v>
      </c>
      <c r="N67" s="33"/>
      <c r="O67" s="24"/>
    </row>
    <row r="68" spans="2:15" x14ac:dyDescent="0.2">
      <c r="B68" s="20"/>
      <c r="D68" s="7"/>
      <c r="O68" s="24"/>
    </row>
    <row r="69" spans="2:15" x14ac:dyDescent="0.2">
      <c r="B69" s="20"/>
      <c r="C69" s="140"/>
      <c r="D69" s="169"/>
      <c r="E69" s="140"/>
      <c r="F69" s="141"/>
      <c r="G69" s="141"/>
      <c r="H69" s="141"/>
      <c r="I69" s="141"/>
      <c r="J69" s="141"/>
      <c r="K69" s="141"/>
      <c r="L69" s="141"/>
      <c r="M69" s="141"/>
      <c r="N69" s="140"/>
      <c r="O69" s="24"/>
    </row>
    <row r="70" spans="2:15" x14ac:dyDescent="0.2">
      <c r="B70" s="20"/>
      <c r="C70" s="33"/>
      <c r="D70" s="35"/>
      <c r="E70" s="33"/>
      <c r="F70" s="144"/>
      <c r="G70" s="144"/>
      <c r="H70" s="144"/>
      <c r="I70" s="144"/>
      <c r="J70" s="144"/>
      <c r="K70" s="144"/>
      <c r="L70" s="144"/>
      <c r="M70" s="144"/>
      <c r="N70" s="33"/>
      <c r="O70" s="24"/>
    </row>
    <row r="71" spans="2:15" x14ac:dyDescent="0.2">
      <c r="B71" s="20"/>
      <c r="C71" s="33"/>
      <c r="D71" s="462" t="s">
        <v>137</v>
      </c>
      <c r="E71" s="33"/>
      <c r="F71" s="144"/>
      <c r="H71" s="479" t="e">
        <f t="shared" ref="H71:M71" si="13">+H8</f>
        <v>#REF!</v>
      </c>
      <c r="I71" s="479">
        <f t="shared" si="13"/>
        <v>2023</v>
      </c>
      <c r="J71" s="479">
        <f t="shared" si="13"/>
        <v>2024</v>
      </c>
      <c r="K71" s="479">
        <f t="shared" si="13"/>
        <v>2025</v>
      </c>
      <c r="L71" s="479">
        <f t="shared" si="13"/>
        <v>2026</v>
      </c>
      <c r="M71" s="479">
        <f t="shared" si="13"/>
        <v>2027</v>
      </c>
      <c r="N71" s="33"/>
      <c r="O71" s="24"/>
    </row>
    <row r="72" spans="2:15" x14ac:dyDescent="0.2">
      <c r="B72" s="20"/>
      <c r="C72" s="33"/>
      <c r="D72" s="147"/>
      <c r="E72" s="33"/>
      <c r="F72" s="144"/>
      <c r="G72" s="144"/>
      <c r="H72" s="144"/>
      <c r="I72" s="144"/>
      <c r="J72" s="144"/>
      <c r="K72" s="144"/>
      <c r="L72" s="144"/>
      <c r="M72" s="144"/>
      <c r="N72" s="33"/>
      <c r="O72" s="24"/>
    </row>
    <row r="73" spans="2:15" x14ac:dyDescent="0.2">
      <c r="B73" s="20"/>
      <c r="C73" s="33"/>
      <c r="D73" s="153" t="s">
        <v>18</v>
      </c>
      <c r="E73" s="33"/>
      <c r="F73" s="144"/>
      <c r="G73" s="144"/>
      <c r="H73" s="144"/>
      <c r="I73" s="144"/>
      <c r="J73" s="144"/>
      <c r="K73" s="144"/>
      <c r="L73" s="144"/>
      <c r="M73" s="144"/>
      <c r="N73" s="33"/>
      <c r="O73" s="24"/>
    </row>
    <row r="74" spans="2:15" x14ac:dyDescent="0.2">
      <c r="B74" s="20"/>
      <c r="C74" s="33"/>
      <c r="D74" s="33" t="s">
        <v>138</v>
      </c>
      <c r="E74" s="33"/>
      <c r="F74" s="144"/>
      <c r="G74" s="144"/>
      <c r="H74" s="419">
        <v>0</v>
      </c>
      <c r="I74" s="419">
        <f t="shared" ref="I74:J78" si="14">H74</f>
        <v>0</v>
      </c>
      <c r="J74" s="419">
        <f t="shared" si="14"/>
        <v>0</v>
      </c>
      <c r="K74" s="419">
        <f t="shared" ref="K74:M78" si="15">J74</f>
        <v>0</v>
      </c>
      <c r="L74" s="419">
        <f t="shared" si="15"/>
        <v>0</v>
      </c>
      <c r="M74" s="419">
        <f t="shared" si="15"/>
        <v>0</v>
      </c>
      <c r="N74" s="33"/>
      <c r="O74" s="24"/>
    </row>
    <row r="75" spans="2:15" x14ac:dyDescent="0.2">
      <c r="B75" s="20"/>
      <c r="C75" s="33"/>
      <c r="D75" s="458"/>
      <c r="E75" s="33"/>
      <c r="F75" s="144"/>
      <c r="G75" s="144"/>
      <c r="H75" s="419">
        <v>0</v>
      </c>
      <c r="I75" s="419">
        <f t="shared" si="14"/>
        <v>0</v>
      </c>
      <c r="J75" s="419">
        <f t="shared" si="14"/>
        <v>0</v>
      </c>
      <c r="K75" s="419">
        <f t="shared" si="15"/>
        <v>0</v>
      </c>
      <c r="L75" s="419">
        <f t="shared" si="15"/>
        <v>0</v>
      </c>
      <c r="M75" s="419">
        <f t="shared" si="15"/>
        <v>0</v>
      </c>
      <c r="N75" s="33"/>
      <c r="O75" s="24"/>
    </row>
    <row r="76" spans="2:15" x14ac:dyDescent="0.2">
      <c r="B76" s="20"/>
      <c r="C76" s="33"/>
      <c r="D76" s="416"/>
      <c r="E76" s="33"/>
      <c r="F76" s="144"/>
      <c r="G76" s="144"/>
      <c r="H76" s="419">
        <v>0</v>
      </c>
      <c r="I76" s="419">
        <f t="shared" si="14"/>
        <v>0</v>
      </c>
      <c r="J76" s="419">
        <f t="shared" si="14"/>
        <v>0</v>
      </c>
      <c r="K76" s="419">
        <f t="shared" si="15"/>
        <v>0</v>
      </c>
      <c r="L76" s="419">
        <f t="shared" si="15"/>
        <v>0</v>
      </c>
      <c r="M76" s="419">
        <f t="shared" si="15"/>
        <v>0</v>
      </c>
      <c r="N76" s="33"/>
      <c r="O76" s="24"/>
    </row>
    <row r="77" spans="2:15" x14ac:dyDescent="0.2">
      <c r="B77" s="20"/>
      <c r="C77" s="33"/>
      <c r="D77" s="416"/>
      <c r="E77" s="33"/>
      <c r="F77" s="144"/>
      <c r="G77" s="144"/>
      <c r="H77" s="419">
        <v>0</v>
      </c>
      <c r="I77" s="419">
        <f t="shared" si="14"/>
        <v>0</v>
      </c>
      <c r="J77" s="419">
        <f t="shared" si="14"/>
        <v>0</v>
      </c>
      <c r="K77" s="419">
        <f t="shared" si="15"/>
        <v>0</v>
      </c>
      <c r="L77" s="419">
        <f t="shared" si="15"/>
        <v>0</v>
      </c>
      <c r="M77" s="419">
        <f t="shared" si="15"/>
        <v>0</v>
      </c>
      <c r="N77" s="33"/>
      <c r="O77" s="24"/>
    </row>
    <row r="78" spans="2:15" x14ac:dyDescent="0.2">
      <c r="B78" s="20"/>
      <c r="C78" s="33"/>
      <c r="D78" s="416"/>
      <c r="E78" s="33"/>
      <c r="F78" s="144"/>
      <c r="G78" s="144"/>
      <c r="H78" s="419">
        <v>0</v>
      </c>
      <c r="I78" s="419">
        <f t="shared" si="14"/>
        <v>0</v>
      </c>
      <c r="J78" s="419">
        <f t="shared" si="14"/>
        <v>0</v>
      </c>
      <c r="K78" s="419">
        <f t="shared" si="15"/>
        <v>0</v>
      </c>
      <c r="L78" s="419">
        <f t="shared" si="15"/>
        <v>0</v>
      </c>
      <c r="M78" s="419">
        <f t="shared" si="15"/>
        <v>0</v>
      </c>
      <c r="N78" s="33"/>
      <c r="O78" s="24"/>
    </row>
    <row r="79" spans="2:15" x14ac:dyDescent="0.2">
      <c r="B79" s="20"/>
      <c r="C79" s="33"/>
      <c r="D79" s="35" t="s">
        <v>100</v>
      </c>
      <c r="E79" s="33"/>
      <c r="F79" s="144"/>
      <c r="G79" s="144"/>
      <c r="H79" s="425">
        <f t="shared" ref="H79:M79" si="16">SUM(H74:H78)</f>
        <v>0</v>
      </c>
      <c r="I79" s="425">
        <f t="shared" si="16"/>
        <v>0</v>
      </c>
      <c r="J79" s="425">
        <f t="shared" si="16"/>
        <v>0</v>
      </c>
      <c r="K79" s="425">
        <f t="shared" si="16"/>
        <v>0</v>
      </c>
      <c r="L79" s="425">
        <f t="shared" si="16"/>
        <v>0</v>
      </c>
      <c r="M79" s="425">
        <f t="shared" si="16"/>
        <v>0</v>
      </c>
      <c r="N79" s="33"/>
      <c r="O79" s="24"/>
    </row>
    <row r="80" spans="2:15" x14ac:dyDescent="0.2">
      <c r="B80" s="20"/>
      <c r="C80" s="33"/>
      <c r="D80" s="421"/>
      <c r="E80" s="422"/>
      <c r="F80" s="423"/>
      <c r="G80" s="423"/>
      <c r="H80" s="423"/>
      <c r="I80" s="423"/>
      <c r="J80" s="423"/>
      <c r="K80" s="423"/>
      <c r="L80" s="423"/>
      <c r="M80" s="423"/>
      <c r="N80" s="33"/>
      <c r="O80" s="24"/>
    </row>
    <row r="81" spans="2:15" x14ac:dyDescent="0.2">
      <c r="B81" s="20"/>
      <c r="C81" s="33"/>
      <c r="D81" s="420"/>
      <c r="E81" s="122"/>
      <c r="F81" s="71"/>
      <c r="G81" s="897"/>
      <c r="H81" s="71"/>
      <c r="I81" s="71"/>
      <c r="J81" s="71"/>
      <c r="K81" s="71"/>
      <c r="L81" s="71"/>
      <c r="M81" s="964"/>
      <c r="N81" s="33"/>
      <c r="O81" s="24"/>
    </row>
    <row r="82" spans="2:15" x14ac:dyDescent="0.2">
      <c r="B82" s="20"/>
      <c r="C82" s="33"/>
      <c r="D82" s="153" t="s">
        <v>19</v>
      </c>
      <c r="E82" s="33"/>
      <c r="F82" s="144"/>
      <c r="G82" s="144"/>
      <c r="H82" s="144"/>
      <c r="I82" s="144"/>
      <c r="J82" s="144"/>
      <c r="K82" s="144"/>
      <c r="L82" s="144"/>
      <c r="M82" s="144"/>
      <c r="N82" s="33"/>
      <c r="O82" s="24"/>
    </row>
    <row r="83" spans="2:15" x14ac:dyDescent="0.2">
      <c r="B83" s="20"/>
      <c r="C83" s="33"/>
      <c r="D83" s="33" t="s">
        <v>138</v>
      </c>
      <c r="E83" s="33"/>
      <c r="F83" s="144"/>
      <c r="G83" s="144"/>
      <c r="H83" s="449">
        <v>0</v>
      </c>
      <c r="I83" s="449">
        <f t="shared" ref="I83:M83" si="17">+H83</f>
        <v>0</v>
      </c>
      <c r="J83" s="449">
        <f t="shared" si="17"/>
        <v>0</v>
      </c>
      <c r="K83" s="449">
        <f t="shared" si="17"/>
        <v>0</v>
      </c>
      <c r="L83" s="449">
        <f t="shared" si="17"/>
        <v>0</v>
      </c>
      <c r="M83" s="449">
        <f t="shared" si="17"/>
        <v>0</v>
      </c>
      <c r="N83" s="33"/>
      <c r="O83" s="24"/>
    </row>
    <row r="84" spans="2:15" x14ac:dyDescent="0.2">
      <c r="B84" s="20"/>
      <c r="C84" s="33"/>
      <c r="D84" s="416"/>
      <c r="E84" s="33"/>
      <c r="F84" s="144"/>
      <c r="G84" s="144"/>
      <c r="H84" s="419">
        <v>0</v>
      </c>
      <c r="I84" s="419">
        <f t="shared" ref="I84:J87" si="18">H84</f>
        <v>0</v>
      </c>
      <c r="J84" s="419">
        <f t="shared" si="18"/>
        <v>0</v>
      </c>
      <c r="K84" s="419">
        <f t="shared" ref="K84:M87" si="19">J84</f>
        <v>0</v>
      </c>
      <c r="L84" s="419">
        <f t="shared" si="19"/>
        <v>0</v>
      </c>
      <c r="M84" s="419">
        <f t="shared" si="19"/>
        <v>0</v>
      </c>
      <c r="N84" s="33"/>
      <c r="O84" s="24"/>
    </row>
    <row r="85" spans="2:15" x14ac:dyDescent="0.2">
      <c r="B85" s="20"/>
      <c r="C85" s="33"/>
      <c r="D85" s="416"/>
      <c r="E85" s="33"/>
      <c r="F85" s="144"/>
      <c r="G85" s="144"/>
      <c r="H85" s="419">
        <v>0</v>
      </c>
      <c r="I85" s="419">
        <f t="shared" si="18"/>
        <v>0</v>
      </c>
      <c r="J85" s="419">
        <f t="shared" si="18"/>
        <v>0</v>
      </c>
      <c r="K85" s="419">
        <f t="shared" si="19"/>
        <v>0</v>
      </c>
      <c r="L85" s="419">
        <f t="shared" si="19"/>
        <v>0</v>
      </c>
      <c r="M85" s="419">
        <f t="shared" si="19"/>
        <v>0</v>
      </c>
      <c r="N85" s="33"/>
      <c r="O85" s="24"/>
    </row>
    <row r="86" spans="2:15" x14ac:dyDescent="0.2">
      <c r="B86" s="20"/>
      <c r="C86" s="33"/>
      <c r="D86" s="416"/>
      <c r="E86" s="33"/>
      <c r="F86" s="144"/>
      <c r="G86" s="144"/>
      <c r="H86" s="419">
        <v>0</v>
      </c>
      <c r="I86" s="419">
        <f t="shared" si="18"/>
        <v>0</v>
      </c>
      <c r="J86" s="419">
        <f t="shared" si="18"/>
        <v>0</v>
      </c>
      <c r="K86" s="419">
        <f t="shared" si="19"/>
        <v>0</v>
      </c>
      <c r="L86" s="419">
        <f t="shared" si="19"/>
        <v>0</v>
      </c>
      <c r="M86" s="419">
        <f t="shared" si="19"/>
        <v>0</v>
      </c>
      <c r="N86" s="33"/>
      <c r="O86" s="24"/>
    </row>
    <row r="87" spans="2:15" x14ac:dyDescent="0.2">
      <c r="B87" s="20"/>
      <c r="C87" s="33"/>
      <c r="D87" s="416"/>
      <c r="E87" s="33"/>
      <c r="F87" s="144"/>
      <c r="G87" s="144"/>
      <c r="H87" s="419">
        <v>0</v>
      </c>
      <c r="I87" s="419">
        <f t="shared" si="18"/>
        <v>0</v>
      </c>
      <c r="J87" s="419">
        <f>I87</f>
        <v>0</v>
      </c>
      <c r="K87" s="419">
        <f t="shared" si="19"/>
        <v>0</v>
      </c>
      <c r="L87" s="419">
        <f t="shared" si="19"/>
        <v>0</v>
      </c>
      <c r="M87" s="419">
        <f t="shared" si="19"/>
        <v>0</v>
      </c>
      <c r="N87" s="33"/>
      <c r="O87" s="24"/>
    </row>
    <row r="88" spans="2:15" x14ac:dyDescent="0.2">
      <c r="B88" s="20"/>
      <c r="C88" s="33"/>
      <c r="D88" s="35" t="s">
        <v>100</v>
      </c>
      <c r="E88" s="33"/>
      <c r="F88" s="144"/>
      <c r="G88" s="144"/>
      <c r="H88" s="425">
        <f t="shared" ref="H88:M88" si="20">SUM(H83:H87)</f>
        <v>0</v>
      </c>
      <c r="I88" s="425">
        <f t="shared" si="20"/>
        <v>0</v>
      </c>
      <c r="J88" s="425">
        <f t="shared" si="20"/>
        <v>0</v>
      </c>
      <c r="K88" s="425">
        <f t="shared" si="20"/>
        <v>0</v>
      </c>
      <c r="L88" s="425">
        <f t="shared" si="20"/>
        <v>0</v>
      </c>
      <c r="M88" s="425">
        <f t="shared" si="20"/>
        <v>0</v>
      </c>
      <c r="N88" s="33"/>
      <c r="O88" s="24"/>
    </row>
    <row r="89" spans="2:15" x14ac:dyDescent="0.2">
      <c r="B89" s="20"/>
      <c r="C89" s="33"/>
      <c r="D89" s="421"/>
      <c r="E89" s="422"/>
      <c r="F89" s="423"/>
      <c r="G89" s="423"/>
      <c r="H89" s="423"/>
      <c r="I89" s="423"/>
      <c r="J89" s="423"/>
      <c r="K89" s="423"/>
      <c r="L89" s="423"/>
      <c r="M89" s="423"/>
      <c r="N89" s="33"/>
      <c r="O89" s="24"/>
    </row>
    <row r="90" spans="2:15" x14ac:dyDescent="0.2">
      <c r="B90" s="20"/>
      <c r="C90" s="33"/>
      <c r="D90" s="420"/>
      <c r="E90" s="122"/>
      <c r="F90" s="71"/>
      <c r="G90" s="897"/>
      <c r="H90" s="71"/>
      <c r="I90" s="71"/>
      <c r="J90" s="71"/>
      <c r="K90" s="71"/>
      <c r="L90" s="71"/>
      <c r="M90" s="71"/>
      <c r="N90" s="33"/>
      <c r="O90" s="24"/>
    </row>
    <row r="91" spans="2:15" x14ac:dyDescent="0.2">
      <c r="B91" s="20"/>
      <c r="C91" s="33"/>
      <c r="D91" s="35"/>
      <c r="E91" s="33"/>
      <c r="F91" s="144"/>
      <c r="G91" s="144"/>
      <c r="H91" s="425">
        <f t="shared" ref="H91:M91" si="21">H79+H88</f>
        <v>0</v>
      </c>
      <c r="I91" s="425">
        <f t="shared" si="21"/>
        <v>0</v>
      </c>
      <c r="J91" s="425">
        <f t="shared" si="21"/>
        <v>0</v>
      </c>
      <c r="K91" s="425">
        <f t="shared" si="21"/>
        <v>0</v>
      </c>
      <c r="L91" s="425">
        <f t="shared" si="21"/>
        <v>0</v>
      </c>
      <c r="M91" s="425">
        <f t="shared" si="21"/>
        <v>0</v>
      </c>
      <c r="N91" s="33"/>
      <c r="O91" s="24"/>
    </row>
    <row r="92" spans="2:15" x14ac:dyDescent="0.2">
      <c r="B92" s="20"/>
      <c r="C92" s="33"/>
      <c r="D92" s="35"/>
      <c r="E92" s="33"/>
      <c r="F92" s="144"/>
      <c r="G92" s="144"/>
      <c r="H92" s="144"/>
      <c r="I92" s="144"/>
      <c r="J92" s="144"/>
      <c r="K92" s="144"/>
      <c r="L92" s="144"/>
      <c r="M92" s="144"/>
      <c r="N92" s="33"/>
      <c r="O92" s="24"/>
    </row>
    <row r="93" spans="2:15" x14ac:dyDescent="0.2">
      <c r="B93" s="20"/>
      <c r="C93" s="140"/>
      <c r="D93" s="169"/>
      <c r="E93" s="140"/>
      <c r="F93" s="141"/>
      <c r="G93" s="141"/>
      <c r="H93" s="141"/>
      <c r="I93" s="141"/>
      <c r="J93" s="141"/>
      <c r="K93" s="141"/>
      <c r="L93" s="141"/>
      <c r="M93" s="141"/>
      <c r="N93" s="140"/>
      <c r="O93" s="24"/>
    </row>
    <row r="94" spans="2:15" x14ac:dyDescent="0.2">
      <c r="B94" s="20"/>
      <c r="C94" s="33"/>
      <c r="D94" s="35"/>
      <c r="E94" s="33"/>
      <c r="F94" s="144"/>
      <c r="G94" s="144"/>
      <c r="H94" s="144"/>
      <c r="I94" s="144"/>
      <c r="J94" s="144"/>
      <c r="K94" s="144"/>
      <c r="L94" s="144"/>
      <c r="M94" s="144"/>
      <c r="N94" s="33"/>
      <c r="O94" s="24"/>
    </row>
    <row r="95" spans="2:15" x14ac:dyDescent="0.2">
      <c r="B95" s="20"/>
      <c r="C95" s="33"/>
      <c r="D95" s="153" t="s">
        <v>661</v>
      </c>
      <c r="E95" s="33"/>
      <c r="F95" s="144"/>
      <c r="G95" s="144"/>
      <c r="H95" s="425">
        <f t="shared" ref="H95:M95" si="22">H43+H67+H91</f>
        <v>0</v>
      </c>
      <c r="I95" s="425">
        <f t="shared" si="22"/>
        <v>21082407.537743192</v>
      </c>
      <c r="J95" s="425">
        <f t="shared" si="22"/>
        <v>21082407.537743192</v>
      </c>
      <c r="K95" s="425">
        <f t="shared" si="22"/>
        <v>21082407.537743192</v>
      </c>
      <c r="L95" s="425">
        <f t="shared" si="22"/>
        <v>21082407.537743192</v>
      </c>
      <c r="M95" s="425">
        <f t="shared" si="22"/>
        <v>21082407.537743192</v>
      </c>
      <c r="N95" s="33"/>
      <c r="O95" s="24"/>
    </row>
    <row r="96" spans="2:15" x14ac:dyDescent="0.2">
      <c r="B96" s="20"/>
      <c r="C96" s="33"/>
      <c r="D96" s="35"/>
      <c r="E96" s="33"/>
      <c r="F96" s="144"/>
      <c r="G96" s="144"/>
      <c r="H96" s="144"/>
      <c r="I96" s="144"/>
      <c r="J96" s="144"/>
      <c r="K96" s="144"/>
      <c r="L96" s="144"/>
      <c r="M96" s="144"/>
      <c r="N96" s="33"/>
      <c r="O96" s="24"/>
    </row>
    <row r="97" spans="2:15" x14ac:dyDescent="0.2">
      <c r="B97" s="20"/>
      <c r="C97" s="140"/>
      <c r="D97" s="169"/>
      <c r="E97" s="140"/>
      <c r="F97" s="141"/>
      <c r="G97" s="141"/>
      <c r="H97" s="141"/>
      <c r="I97" s="141"/>
      <c r="J97" s="141"/>
      <c r="K97" s="141"/>
      <c r="L97" s="141"/>
      <c r="M97" s="141"/>
      <c r="N97" s="140"/>
      <c r="O97" s="24"/>
    </row>
    <row r="98" spans="2:15" x14ac:dyDescent="0.2">
      <c r="B98" s="142"/>
      <c r="C98" s="158"/>
      <c r="D98" s="170"/>
      <c r="E98" s="158"/>
      <c r="F98" s="159"/>
      <c r="G98" s="898"/>
      <c r="H98" s="159"/>
      <c r="I98" s="159"/>
      <c r="J98" s="159"/>
      <c r="K98" s="159"/>
      <c r="L98" s="159"/>
      <c r="M98" s="965"/>
      <c r="N98" s="158"/>
      <c r="O98" s="143"/>
    </row>
    <row r="99" spans="2:15" x14ac:dyDescent="0.2">
      <c r="B99" s="17"/>
      <c r="C99" s="160"/>
      <c r="D99" s="171"/>
      <c r="E99" s="160"/>
      <c r="F99" s="161"/>
      <c r="G99" s="161"/>
      <c r="H99" s="161"/>
      <c r="I99" s="161"/>
      <c r="J99" s="161"/>
      <c r="K99" s="161"/>
      <c r="L99" s="161"/>
      <c r="M99" s="161"/>
      <c r="N99" s="160"/>
      <c r="O99" s="19"/>
    </row>
    <row r="100" spans="2:15" x14ac:dyDescent="0.2">
      <c r="B100" s="20"/>
      <c r="C100" s="140"/>
      <c r="D100" s="169"/>
      <c r="E100" s="140"/>
      <c r="F100" s="141"/>
      <c r="G100" s="141"/>
      <c r="H100" s="174"/>
      <c r="I100" s="174"/>
      <c r="J100" s="174"/>
      <c r="K100" s="174"/>
      <c r="L100" s="174"/>
      <c r="M100" s="174"/>
      <c r="N100" s="140"/>
      <c r="O100" s="24"/>
    </row>
    <row r="101" spans="2:15" x14ac:dyDescent="0.2">
      <c r="B101" s="20"/>
      <c r="C101" s="140"/>
      <c r="D101" s="169"/>
      <c r="E101" s="140"/>
      <c r="F101" s="141"/>
      <c r="G101" s="141"/>
      <c r="H101" s="456" t="e">
        <f t="shared" ref="H101:M101" si="23">H8</f>
        <v>#REF!</v>
      </c>
      <c r="I101" s="456">
        <f t="shared" si="23"/>
        <v>2023</v>
      </c>
      <c r="J101" s="456">
        <f t="shared" si="23"/>
        <v>2024</v>
      </c>
      <c r="K101" s="456">
        <f t="shared" si="23"/>
        <v>2025</v>
      </c>
      <c r="L101" s="456">
        <f t="shared" si="23"/>
        <v>2026</v>
      </c>
      <c r="M101" s="456">
        <f t="shared" si="23"/>
        <v>2027</v>
      </c>
      <c r="N101" s="140"/>
      <c r="O101" s="24"/>
    </row>
    <row r="102" spans="2:15" x14ac:dyDescent="0.2">
      <c r="B102" s="20"/>
      <c r="C102" s="140"/>
      <c r="D102" s="169"/>
      <c r="E102" s="140"/>
      <c r="F102" s="141"/>
      <c r="G102" s="141"/>
      <c r="H102" s="141"/>
      <c r="I102" s="141"/>
      <c r="J102" s="141"/>
      <c r="K102" s="141"/>
      <c r="L102" s="141"/>
      <c r="M102" s="141"/>
      <c r="N102" s="140"/>
      <c r="O102" s="24"/>
    </row>
    <row r="103" spans="2:15" x14ac:dyDescent="0.2">
      <c r="B103" s="20"/>
      <c r="C103" s="33"/>
      <c r="D103" s="33"/>
      <c r="E103" s="33"/>
      <c r="F103" s="144"/>
      <c r="G103" s="677"/>
      <c r="H103" s="144"/>
      <c r="I103" s="144"/>
      <c r="J103" s="144"/>
      <c r="K103" s="144"/>
      <c r="L103" s="144"/>
      <c r="M103" s="144"/>
      <c r="N103" s="33"/>
      <c r="O103" s="24"/>
    </row>
    <row r="104" spans="2:15" x14ac:dyDescent="0.2">
      <c r="B104" s="20"/>
      <c r="C104" s="33"/>
      <c r="D104" s="147" t="s">
        <v>646</v>
      </c>
      <c r="E104" s="33"/>
      <c r="F104" s="144"/>
      <c r="G104" s="677"/>
      <c r="H104" s="144"/>
      <c r="I104" s="144"/>
      <c r="J104" s="144"/>
      <c r="K104" s="144"/>
      <c r="L104" s="144"/>
      <c r="M104" s="144"/>
      <c r="N104" s="33"/>
      <c r="O104" s="24"/>
    </row>
    <row r="105" spans="2:15" x14ac:dyDescent="0.2">
      <c r="B105" s="20"/>
      <c r="C105" s="33"/>
      <c r="D105" s="35"/>
      <c r="E105" s="33"/>
      <c r="F105" s="144"/>
      <c r="G105" s="677"/>
      <c r="H105" s="144"/>
      <c r="I105" s="144"/>
      <c r="J105" s="144"/>
      <c r="K105" s="144"/>
      <c r="L105" s="144"/>
      <c r="M105" s="144"/>
      <c r="N105" s="33"/>
      <c r="O105" s="24"/>
    </row>
    <row r="106" spans="2:15" x14ac:dyDescent="0.2">
      <c r="B106" s="20"/>
      <c r="C106" s="33"/>
      <c r="D106" s="153"/>
      <c r="E106" s="33"/>
      <c r="F106" s="164" t="s">
        <v>177</v>
      </c>
      <c r="G106" s="899"/>
      <c r="H106" s="144"/>
      <c r="I106" s="144"/>
      <c r="J106" s="144"/>
      <c r="K106" s="144"/>
      <c r="L106" s="144"/>
      <c r="M106" s="144"/>
      <c r="N106" s="33"/>
      <c r="O106" s="24"/>
    </row>
    <row r="107" spans="2:15" x14ac:dyDescent="0.2">
      <c r="B107" s="20"/>
      <c r="C107" s="33"/>
      <c r="D107" s="153"/>
      <c r="E107" s="33"/>
      <c r="F107" s="144"/>
      <c r="G107" s="677"/>
      <c r="H107" s="144"/>
      <c r="I107" s="144"/>
      <c r="J107" s="144"/>
      <c r="K107" s="144"/>
      <c r="L107" s="144"/>
      <c r="M107" s="144"/>
      <c r="N107" s="33"/>
      <c r="O107" s="24"/>
    </row>
    <row r="108" spans="2:15" x14ac:dyDescent="0.2">
      <c r="B108" s="20"/>
      <c r="C108" s="33"/>
      <c r="D108" s="33" t="s">
        <v>234</v>
      </c>
      <c r="E108" s="33"/>
      <c r="F108" s="41"/>
      <c r="G108" s="677"/>
      <c r="H108" s="428" t="e">
        <f>7/12*'sal SWV'!U35+5/12*'sal SWV'!#REF!</f>
        <v>#REF!</v>
      </c>
      <c r="I108" s="428">
        <f>7/12*'sal SWV'!U35+5/12*'sal SWV'!U68</f>
        <v>80193.600000000006</v>
      </c>
      <c r="J108" s="428">
        <f>7/12*'sal SWV'!U68+5/12*'sal SWV'!U100</f>
        <v>85452.800000000003</v>
      </c>
      <c r="K108" s="428">
        <f>7/12*'sal SWV'!U100+5/12*'sal SWV'!U132</f>
        <v>91259.200000000012</v>
      </c>
      <c r="L108" s="428">
        <f>7/12*'sal SWV'!U132+5/12*'sal SWV'!U196</f>
        <v>100561.60000000001</v>
      </c>
      <c r="M108" s="428">
        <f>'sal SWV'!U196</f>
        <v>108614.40000000001</v>
      </c>
      <c r="O108" s="24"/>
    </row>
    <row r="109" spans="2:15" x14ac:dyDescent="0.2">
      <c r="B109" s="20"/>
      <c r="C109" s="33"/>
      <c r="D109" s="153"/>
      <c r="E109" s="33"/>
      <c r="F109" s="144"/>
      <c r="G109" s="677"/>
      <c r="H109" s="144"/>
      <c r="I109" s="144"/>
      <c r="J109" s="144"/>
      <c r="K109" s="144"/>
      <c r="L109" s="144"/>
      <c r="M109" s="144"/>
      <c r="N109" s="33"/>
      <c r="O109" s="24"/>
    </row>
    <row r="110" spans="2:15" x14ac:dyDescent="0.2">
      <c r="B110" s="20"/>
      <c r="C110" s="33"/>
      <c r="D110" s="153" t="s">
        <v>18</v>
      </c>
      <c r="E110" s="33"/>
      <c r="F110" s="144"/>
      <c r="G110" s="705"/>
      <c r="H110" s="752" t="e">
        <f t="shared" ref="H110:M110" si="24">H8</f>
        <v>#REF!</v>
      </c>
      <c r="I110" s="752">
        <f t="shared" si="24"/>
        <v>2023</v>
      </c>
      <c r="J110" s="752">
        <f t="shared" si="24"/>
        <v>2024</v>
      </c>
      <c r="K110" s="752">
        <f t="shared" si="24"/>
        <v>2025</v>
      </c>
      <c r="L110" s="752">
        <f t="shared" si="24"/>
        <v>2026</v>
      </c>
      <c r="M110" s="752">
        <f t="shared" si="24"/>
        <v>2027</v>
      </c>
      <c r="N110" s="33"/>
      <c r="O110" s="24"/>
    </row>
    <row r="111" spans="2:15" x14ac:dyDescent="0.2">
      <c r="B111" s="20"/>
      <c r="C111" s="33"/>
      <c r="D111" s="153"/>
      <c r="E111" s="33"/>
      <c r="F111" s="144"/>
      <c r="G111" s="677"/>
      <c r="H111" s="144"/>
      <c r="I111" s="144"/>
      <c r="J111" s="144"/>
      <c r="K111" s="144"/>
      <c r="L111" s="144"/>
      <c r="M111" s="144"/>
      <c r="N111" s="33"/>
      <c r="O111" s="24"/>
    </row>
    <row r="112" spans="2:15" x14ac:dyDescent="0.2">
      <c r="B112" s="20"/>
      <c r="C112" s="33"/>
      <c r="D112" s="153" t="s">
        <v>643</v>
      </c>
      <c r="E112" s="33"/>
      <c r="F112" s="749"/>
      <c r="G112" s="677"/>
      <c r="H112" s="678" t="e">
        <f>+'LWOO-PRO'!#REF!</f>
        <v>#REF!</v>
      </c>
      <c r="I112" s="678">
        <f>+'LWOO-PRO'!N11</f>
        <v>0</v>
      </c>
      <c r="J112" s="678">
        <f>+'LWOO-PRO'!O11</f>
        <v>0</v>
      </c>
      <c r="K112" s="678">
        <f>+'LWOO-PRO'!P11</f>
        <v>0</v>
      </c>
      <c r="L112" s="678">
        <f>+'LWOO-PRO'!Q11</f>
        <v>0</v>
      </c>
      <c r="M112" s="678">
        <f>+'LWOO-PRO'!R11</f>
        <v>0</v>
      </c>
      <c r="N112" s="33"/>
      <c r="O112" s="657"/>
    </row>
    <row r="113" spans="2:15" x14ac:dyDescent="0.2">
      <c r="B113" s="20"/>
      <c r="C113" s="33"/>
      <c r="D113" s="153" t="s">
        <v>644</v>
      </c>
      <c r="E113" s="33"/>
      <c r="F113" s="749"/>
      <c r="G113" s="677"/>
      <c r="H113" s="678" t="e">
        <f>+'LWOO-PRO'!#REF!</f>
        <v>#REF!</v>
      </c>
      <c r="I113" s="678">
        <f>+'LWOO-PRO'!N14</f>
        <v>2355179.48</v>
      </c>
      <c r="J113" s="678">
        <f>+'LWOO-PRO'!O14</f>
        <v>2355179.48</v>
      </c>
      <c r="K113" s="678">
        <f>+'LWOO-PRO'!P14</f>
        <v>2355179.48</v>
      </c>
      <c r="L113" s="678">
        <f>+'LWOO-PRO'!Q14</f>
        <v>2355179.48</v>
      </c>
      <c r="M113" s="678">
        <f>+'LWOO-PRO'!R14</f>
        <v>2355179.48</v>
      </c>
      <c r="N113" s="33"/>
      <c r="O113" s="657"/>
    </row>
    <row r="114" spans="2:15" x14ac:dyDescent="0.2">
      <c r="B114" s="20"/>
      <c r="C114" s="33"/>
      <c r="D114" s="153" t="s">
        <v>645</v>
      </c>
      <c r="E114" s="33"/>
      <c r="F114" s="144"/>
      <c r="G114" s="677"/>
      <c r="H114" s="680" t="e">
        <f t="shared" ref="H114:M114" si="25">SUM(H112:H113)</f>
        <v>#REF!</v>
      </c>
      <c r="I114" s="680">
        <f t="shared" si="25"/>
        <v>2355179.48</v>
      </c>
      <c r="J114" s="680">
        <f t="shared" si="25"/>
        <v>2355179.48</v>
      </c>
      <c r="K114" s="680">
        <f t="shared" si="25"/>
        <v>2355179.48</v>
      </c>
      <c r="L114" s="680">
        <f t="shared" si="25"/>
        <v>2355179.48</v>
      </c>
      <c r="M114" s="680">
        <f t="shared" si="25"/>
        <v>2355179.48</v>
      </c>
      <c r="N114" s="33"/>
      <c r="O114" s="657"/>
    </row>
    <row r="115" spans="2:15" x14ac:dyDescent="0.2">
      <c r="B115" s="675"/>
      <c r="C115" s="33"/>
      <c r="D115" s="153"/>
      <c r="E115" s="33"/>
      <c r="F115" s="144"/>
      <c r="G115" s="677"/>
      <c r="H115" s="680"/>
      <c r="I115" s="1040"/>
      <c r="J115" s="1040"/>
      <c r="K115" s="1040"/>
      <c r="L115" s="1040"/>
      <c r="M115" s="1040"/>
      <c r="N115" s="33"/>
      <c r="O115" s="657"/>
    </row>
    <row r="116" spans="2:15" x14ac:dyDescent="0.2">
      <c r="B116" s="20"/>
      <c r="C116" s="33"/>
      <c r="D116" s="36" t="s">
        <v>139</v>
      </c>
      <c r="E116" s="33"/>
      <c r="F116" s="144"/>
      <c r="G116" s="677"/>
      <c r="H116" s="144"/>
      <c r="I116" s="144"/>
      <c r="J116" s="144"/>
      <c r="K116" s="144"/>
      <c r="L116" s="144"/>
      <c r="M116" s="144"/>
      <c r="N116" s="33"/>
      <c r="O116" s="24"/>
    </row>
    <row r="117" spans="2:15" x14ac:dyDescent="0.2">
      <c r="B117" s="20"/>
      <c r="C117" s="33"/>
      <c r="D117" s="149" t="s">
        <v>235</v>
      </c>
      <c r="E117" s="33"/>
      <c r="F117" s="41"/>
      <c r="G117" s="677"/>
      <c r="H117" s="424">
        <v>0</v>
      </c>
      <c r="I117" s="424">
        <f t="shared" ref="I117:I127" si="26">H117</f>
        <v>0</v>
      </c>
      <c r="J117" s="424">
        <f t="shared" ref="J117:J125" si="27">I117</f>
        <v>0</v>
      </c>
      <c r="K117" s="424">
        <f t="shared" ref="K117:K127" si="28">J117</f>
        <v>0</v>
      </c>
      <c r="L117" s="424">
        <f t="shared" ref="L117:M127" si="29">K117</f>
        <v>0</v>
      </c>
      <c r="M117" s="424">
        <f t="shared" si="29"/>
        <v>0</v>
      </c>
      <c r="N117" s="33"/>
      <c r="O117" s="24"/>
    </row>
    <row r="118" spans="2:15" x14ac:dyDescent="0.2">
      <c r="B118" s="20"/>
      <c r="C118" s="33"/>
      <c r="D118" s="496" t="s">
        <v>536</v>
      </c>
      <c r="E118" s="33"/>
      <c r="F118" s="41"/>
      <c r="G118" s="677"/>
      <c r="H118" s="424">
        <v>0</v>
      </c>
      <c r="I118" s="424">
        <f t="shared" si="26"/>
        <v>0</v>
      </c>
      <c r="J118" s="424">
        <f t="shared" si="27"/>
        <v>0</v>
      </c>
      <c r="K118" s="424">
        <f t="shared" si="28"/>
        <v>0</v>
      </c>
      <c r="L118" s="424">
        <f t="shared" si="29"/>
        <v>0</v>
      </c>
      <c r="M118" s="424">
        <f t="shared" si="29"/>
        <v>0</v>
      </c>
      <c r="N118" s="33"/>
      <c r="O118" s="24"/>
    </row>
    <row r="119" spans="2:15" x14ac:dyDescent="0.2">
      <c r="B119" s="20"/>
      <c r="C119" s="33"/>
      <c r="D119" s="1106"/>
      <c r="E119" s="33"/>
      <c r="F119" s="41"/>
      <c r="G119" s="677"/>
      <c r="H119" s="424">
        <v>0</v>
      </c>
      <c r="I119" s="424">
        <f t="shared" si="26"/>
        <v>0</v>
      </c>
      <c r="J119" s="424">
        <f t="shared" si="27"/>
        <v>0</v>
      </c>
      <c r="K119" s="424">
        <f t="shared" si="28"/>
        <v>0</v>
      </c>
      <c r="L119" s="424">
        <f t="shared" si="29"/>
        <v>0</v>
      </c>
      <c r="M119" s="424">
        <f t="shared" si="29"/>
        <v>0</v>
      </c>
      <c r="N119" s="33"/>
      <c r="O119" s="24"/>
    </row>
    <row r="120" spans="2:15" x14ac:dyDescent="0.2">
      <c r="B120" s="20"/>
      <c r="C120" s="33"/>
      <c r="D120" s="458"/>
      <c r="E120" s="33"/>
      <c r="F120" s="41"/>
      <c r="G120" s="677"/>
      <c r="H120" s="424">
        <v>0</v>
      </c>
      <c r="I120" s="424">
        <f t="shared" si="26"/>
        <v>0</v>
      </c>
      <c r="J120" s="424">
        <f t="shared" si="27"/>
        <v>0</v>
      </c>
      <c r="K120" s="424">
        <f t="shared" si="28"/>
        <v>0</v>
      </c>
      <c r="L120" s="424">
        <f t="shared" si="29"/>
        <v>0</v>
      </c>
      <c r="M120" s="424">
        <f t="shared" si="29"/>
        <v>0</v>
      </c>
      <c r="N120" s="33"/>
      <c r="O120" s="24"/>
    </row>
    <row r="121" spans="2:15" x14ac:dyDescent="0.2">
      <c r="B121" s="20"/>
      <c r="C121" s="33"/>
      <c r="D121" s="416"/>
      <c r="E121" s="33"/>
      <c r="F121" s="41"/>
      <c r="G121" s="677"/>
      <c r="H121" s="424">
        <v>0</v>
      </c>
      <c r="I121" s="424">
        <f t="shared" si="26"/>
        <v>0</v>
      </c>
      <c r="J121" s="424">
        <f t="shared" si="27"/>
        <v>0</v>
      </c>
      <c r="K121" s="424">
        <f t="shared" si="28"/>
        <v>0</v>
      </c>
      <c r="L121" s="424">
        <f t="shared" si="29"/>
        <v>0</v>
      </c>
      <c r="M121" s="424">
        <f t="shared" si="29"/>
        <v>0</v>
      </c>
      <c r="N121" s="33"/>
      <c r="O121" s="24"/>
    </row>
    <row r="122" spans="2:15" x14ac:dyDescent="0.2">
      <c r="B122" s="20"/>
      <c r="C122" s="33"/>
      <c r="D122" s="416"/>
      <c r="E122" s="33"/>
      <c r="F122" s="41"/>
      <c r="G122" s="677"/>
      <c r="H122" s="424">
        <v>0</v>
      </c>
      <c r="I122" s="424">
        <f t="shared" si="26"/>
        <v>0</v>
      </c>
      <c r="J122" s="424">
        <f t="shared" si="27"/>
        <v>0</v>
      </c>
      <c r="K122" s="424">
        <f t="shared" si="28"/>
        <v>0</v>
      </c>
      <c r="L122" s="424">
        <f t="shared" si="29"/>
        <v>0</v>
      </c>
      <c r="M122" s="424">
        <f t="shared" si="29"/>
        <v>0</v>
      </c>
      <c r="N122" s="33"/>
      <c r="O122" s="24"/>
    </row>
    <row r="123" spans="2:15" x14ac:dyDescent="0.2">
      <c r="B123" s="20"/>
      <c r="C123" s="33"/>
      <c r="D123" s="417"/>
      <c r="E123" s="33"/>
      <c r="F123" s="41"/>
      <c r="G123" s="677"/>
      <c r="H123" s="424">
        <v>0</v>
      </c>
      <c r="I123" s="424">
        <f t="shared" si="26"/>
        <v>0</v>
      </c>
      <c r="J123" s="424">
        <f t="shared" si="27"/>
        <v>0</v>
      </c>
      <c r="K123" s="424">
        <f t="shared" si="28"/>
        <v>0</v>
      </c>
      <c r="L123" s="424">
        <f t="shared" si="29"/>
        <v>0</v>
      </c>
      <c r="M123" s="424">
        <f t="shared" si="29"/>
        <v>0</v>
      </c>
      <c r="N123" s="33"/>
      <c r="O123" s="24"/>
    </row>
    <row r="124" spans="2:15" x14ac:dyDescent="0.2">
      <c r="B124" s="20"/>
      <c r="C124" s="33"/>
      <c r="D124" s="416"/>
      <c r="E124" s="33"/>
      <c r="F124" s="41"/>
      <c r="G124" s="677"/>
      <c r="H124" s="419">
        <v>0</v>
      </c>
      <c r="I124" s="419">
        <f t="shared" si="26"/>
        <v>0</v>
      </c>
      <c r="J124" s="419">
        <f t="shared" si="27"/>
        <v>0</v>
      </c>
      <c r="K124" s="419">
        <f t="shared" si="28"/>
        <v>0</v>
      </c>
      <c r="L124" s="419">
        <f t="shared" si="29"/>
        <v>0</v>
      </c>
      <c r="M124" s="419">
        <f t="shared" si="29"/>
        <v>0</v>
      </c>
      <c r="N124" s="33"/>
      <c r="O124" s="24"/>
    </row>
    <row r="125" spans="2:15" x14ac:dyDescent="0.2">
      <c r="B125" s="20"/>
      <c r="C125" s="33"/>
      <c r="D125" s="416"/>
      <c r="E125" s="33"/>
      <c r="F125" s="41"/>
      <c r="G125" s="677"/>
      <c r="H125" s="419">
        <v>0</v>
      </c>
      <c r="I125" s="419">
        <f t="shared" si="26"/>
        <v>0</v>
      </c>
      <c r="J125" s="419">
        <f t="shared" si="27"/>
        <v>0</v>
      </c>
      <c r="K125" s="419">
        <f t="shared" si="28"/>
        <v>0</v>
      </c>
      <c r="L125" s="419">
        <f t="shared" si="29"/>
        <v>0</v>
      </c>
      <c r="M125" s="419">
        <f t="shared" si="29"/>
        <v>0</v>
      </c>
      <c r="N125" s="33"/>
      <c r="O125" s="24"/>
    </row>
    <row r="126" spans="2:15" x14ac:dyDescent="0.2">
      <c r="B126" s="20"/>
      <c r="C126" s="33"/>
      <c r="D126" s="416"/>
      <c r="E126" s="33"/>
      <c r="F126" s="41"/>
      <c r="G126" s="677"/>
      <c r="H126" s="419">
        <v>0</v>
      </c>
      <c r="I126" s="419">
        <f t="shared" si="26"/>
        <v>0</v>
      </c>
      <c r="J126" s="419">
        <f>I126</f>
        <v>0</v>
      </c>
      <c r="K126" s="419">
        <f t="shared" si="28"/>
        <v>0</v>
      </c>
      <c r="L126" s="419">
        <f t="shared" si="29"/>
        <v>0</v>
      </c>
      <c r="M126" s="419">
        <f t="shared" si="29"/>
        <v>0</v>
      </c>
      <c r="N126" s="33"/>
      <c r="O126" s="24"/>
    </row>
    <row r="127" spans="2:15" x14ac:dyDescent="0.2">
      <c r="B127" s="20"/>
      <c r="C127" s="33"/>
      <c r="D127" s="416"/>
      <c r="E127" s="33"/>
      <c r="F127" s="41"/>
      <c r="G127" s="677"/>
      <c r="H127" s="419">
        <v>0</v>
      </c>
      <c r="I127" s="419">
        <f t="shared" si="26"/>
        <v>0</v>
      </c>
      <c r="J127" s="419">
        <f>I127</f>
        <v>0</v>
      </c>
      <c r="K127" s="419">
        <f t="shared" si="28"/>
        <v>0</v>
      </c>
      <c r="L127" s="419">
        <f t="shared" si="29"/>
        <v>0</v>
      </c>
      <c r="M127" s="419">
        <f t="shared" si="29"/>
        <v>0</v>
      </c>
      <c r="N127" s="33"/>
      <c r="O127" s="24"/>
    </row>
    <row r="128" spans="2:15" x14ac:dyDescent="0.2">
      <c r="B128" s="20"/>
      <c r="C128" s="33"/>
      <c r="D128" s="33"/>
      <c r="E128" s="33"/>
      <c r="F128" s="144"/>
      <c r="G128" s="677"/>
      <c r="H128" s="426" t="e">
        <f t="shared" ref="H128" si="30">SUM(H114:H127)</f>
        <v>#REF!</v>
      </c>
      <c r="I128" s="426">
        <f>SUM(I117:I127)</f>
        <v>0</v>
      </c>
      <c r="J128" s="426">
        <f t="shared" ref="J128:M128" si="31">SUM(J117:J127)</f>
        <v>0</v>
      </c>
      <c r="K128" s="426">
        <f t="shared" si="31"/>
        <v>0</v>
      </c>
      <c r="L128" s="426">
        <f t="shared" si="31"/>
        <v>0</v>
      </c>
      <c r="M128" s="426">
        <f t="shared" si="31"/>
        <v>0</v>
      </c>
      <c r="N128" s="33"/>
      <c r="O128" s="24"/>
    </row>
    <row r="129" spans="2:15" x14ac:dyDescent="0.2">
      <c r="B129" s="20"/>
      <c r="C129" s="33"/>
      <c r="D129" s="421"/>
      <c r="E129" s="422"/>
      <c r="F129" s="423"/>
      <c r="G129" s="423"/>
      <c r="H129" s="423"/>
      <c r="I129" s="423"/>
      <c r="J129" s="423"/>
      <c r="K129" s="423"/>
      <c r="L129" s="423"/>
      <c r="M129" s="423"/>
      <c r="N129" s="33"/>
      <c r="O129" s="24"/>
    </row>
    <row r="130" spans="2:15" x14ac:dyDescent="0.2">
      <c r="B130" s="20"/>
      <c r="C130" s="38"/>
      <c r="D130" s="774"/>
      <c r="E130" s="775"/>
      <c r="F130" s="773"/>
      <c r="G130" s="773"/>
      <c r="H130" s="773"/>
      <c r="I130" s="773"/>
      <c r="J130" s="773"/>
      <c r="K130" s="773"/>
      <c r="L130" s="773"/>
      <c r="M130" s="773"/>
      <c r="N130" s="38"/>
      <c r="O130" s="24"/>
    </row>
    <row r="131" spans="2:15" x14ac:dyDescent="0.2">
      <c r="B131" s="20"/>
      <c r="C131" s="149"/>
      <c r="D131" s="153" t="s">
        <v>19</v>
      </c>
      <c r="E131" s="149"/>
      <c r="F131" s="64"/>
      <c r="G131" s="981" t="e">
        <f>5/12*(bekost!I114+bekost!I135+bekost!I135+bekost!I139)+7/12*(bekost!J114+bekost!J135+bekost!J135+bekost!J139)+5/12*(mat!K102+mat!#REF!)+7/12*(mat!L102+mat!#REF!)</f>
        <v>#REF!</v>
      </c>
      <c r="H131" s="752" t="e">
        <f t="shared" ref="H131:M131" si="32">+H8</f>
        <v>#REF!</v>
      </c>
      <c r="I131" s="752">
        <f t="shared" si="32"/>
        <v>2023</v>
      </c>
      <c r="J131" s="752">
        <f t="shared" si="32"/>
        <v>2024</v>
      </c>
      <c r="K131" s="752">
        <f t="shared" si="32"/>
        <v>2025</v>
      </c>
      <c r="L131" s="752">
        <f t="shared" si="32"/>
        <v>2026</v>
      </c>
      <c r="M131" s="752">
        <f t="shared" si="32"/>
        <v>2027</v>
      </c>
      <c r="N131" s="149"/>
      <c r="O131" s="24"/>
    </row>
    <row r="132" spans="2:15" x14ac:dyDescent="0.2">
      <c r="B132" s="20"/>
      <c r="C132" s="149"/>
      <c r="D132" s="36"/>
      <c r="E132" s="149"/>
      <c r="F132" s="64"/>
      <c r="G132" s="498"/>
      <c r="H132" s="64"/>
      <c r="I132" s="64"/>
      <c r="J132" s="64"/>
      <c r="K132" s="64"/>
      <c r="L132" s="64"/>
      <c r="M132" s="64"/>
      <c r="N132" s="149"/>
      <c r="O132" s="24"/>
    </row>
    <row r="133" spans="2:15" x14ac:dyDescent="0.2">
      <c r="B133" s="20"/>
      <c r="C133" s="149"/>
      <c r="D133" s="149" t="s">
        <v>335</v>
      </c>
      <c r="E133" s="36"/>
      <c r="F133" s="980"/>
      <c r="G133" s="498"/>
      <c r="H133" s="429" t="e">
        <f>'overdr VSO'!I15*7/12+'overdr VSO'!J15*5/12</f>
        <v>#NAME?</v>
      </c>
      <c r="I133" s="429">
        <f>'overdr VSO'!J15</f>
        <v>7732201.2299999995</v>
      </c>
      <c r="J133" s="429">
        <f>'overdr VSO'!K15</f>
        <v>7732201.2299999995</v>
      </c>
      <c r="K133" s="429">
        <f>'overdr VSO'!L15</f>
        <v>7732201.2299999995</v>
      </c>
      <c r="L133" s="429">
        <f>'overdr VSO'!M15</f>
        <v>7732201.2299999995</v>
      </c>
      <c r="M133" s="429">
        <f>'overdr VSO'!N15</f>
        <v>7732201.2299999995</v>
      </c>
      <c r="N133" s="100"/>
      <c r="O133" s="24"/>
    </row>
    <row r="134" spans="2:15" x14ac:dyDescent="0.2">
      <c r="B134" s="20"/>
      <c r="C134" s="149"/>
      <c r="D134" s="149" t="s">
        <v>652</v>
      </c>
      <c r="E134" s="36"/>
      <c r="F134" s="125"/>
      <c r="G134" s="498"/>
      <c r="H134" s="887">
        <v>171806</v>
      </c>
      <c r="I134" s="1114">
        <f>'geg ll'!G66*tab!C22+'geg ll'!G67*tab!C23+'geg ll'!G68*tab!C24</f>
        <v>23423.040000000001</v>
      </c>
      <c r="J134" s="1114">
        <f>'geg ll'!H66*tab!D22+'geg ll'!H67*tab!D23+'geg ll'!H68*tab!D24</f>
        <v>23423.040000000001</v>
      </c>
      <c r="K134" s="1114">
        <f>'geg ll'!I66*tab!E22+'geg ll'!I67*tab!E23+'geg ll'!I68*tab!E24</f>
        <v>23423.040000000001</v>
      </c>
      <c r="L134" s="1114">
        <f>'geg ll'!J66*tab!F22+'geg ll'!J67*tab!F23+'geg ll'!J68*tab!F24</f>
        <v>23423.040000000001</v>
      </c>
      <c r="M134" s="1114">
        <f>'geg ll'!K66*tab!G22+'geg ll'!K67*tab!G23+'geg ll'!K68*tab!G24</f>
        <v>23423.040000000001</v>
      </c>
      <c r="N134" s="149"/>
      <c r="O134" s="24"/>
    </row>
    <row r="135" spans="2:15" x14ac:dyDescent="0.2">
      <c r="B135" s="20"/>
      <c r="C135" s="149"/>
      <c r="D135" s="149" t="s">
        <v>336</v>
      </c>
      <c r="E135" s="36"/>
      <c r="F135" s="125"/>
      <c r="G135" s="498"/>
      <c r="H135" s="636" t="e">
        <f t="shared" ref="H135:M135" si="33">SUM(H133:H134)</f>
        <v>#NAME?</v>
      </c>
      <c r="I135" s="636">
        <f t="shared" si="33"/>
        <v>7755624.2699999996</v>
      </c>
      <c r="J135" s="636">
        <f t="shared" si="33"/>
        <v>7755624.2699999996</v>
      </c>
      <c r="K135" s="636">
        <f t="shared" si="33"/>
        <v>7755624.2699999996</v>
      </c>
      <c r="L135" s="636">
        <f t="shared" si="33"/>
        <v>7755624.2699999996</v>
      </c>
      <c r="M135" s="636">
        <f t="shared" si="33"/>
        <v>7755624.2699999996</v>
      </c>
      <c r="N135" s="149"/>
      <c r="O135" s="24"/>
    </row>
    <row r="136" spans="2:15" x14ac:dyDescent="0.2">
      <c r="B136" s="675"/>
      <c r="C136" s="149"/>
      <c r="D136" s="149"/>
      <c r="E136" s="36"/>
      <c r="F136" s="707"/>
      <c r="G136" s="498"/>
      <c r="H136" s="636"/>
      <c r="I136" s="637"/>
      <c r="J136" s="637"/>
      <c r="K136" s="637"/>
      <c r="L136" s="637"/>
      <c r="M136" s="637"/>
      <c r="N136" s="149"/>
      <c r="O136" s="657"/>
    </row>
    <row r="137" spans="2:15" x14ac:dyDescent="0.2">
      <c r="B137" s="20"/>
      <c r="C137" s="149"/>
      <c r="D137" s="36" t="s">
        <v>659</v>
      </c>
      <c r="E137" s="149"/>
      <c r="F137" s="498"/>
      <c r="G137" s="498"/>
      <c r="H137" s="1117">
        <v>0</v>
      </c>
      <c r="I137" s="1117"/>
      <c r="J137" s="1117"/>
      <c r="K137" s="1117"/>
      <c r="L137" s="1117"/>
      <c r="M137" s="1117"/>
      <c r="N137" s="149"/>
      <c r="O137" s="24"/>
    </row>
    <row r="138" spans="2:15" x14ac:dyDescent="0.2">
      <c r="B138" s="20"/>
      <c r="C138" s="149"/>
      <c r="D138" s="149" t="s">
        <v>235</v>
      </c>
      <c r="E138" s="149"/>
      <c r="F138" s="125"/>
      <c r="G138" s="498"/>
      <c r="H138" s="126">
        <v>0</v>
      </c>
      <c r="I138" s="126">
        <f t="shared" ref="I138" si="34">H138</f>
        <v>0</v>
      </c>
      <c r="J138" s="126">
        <v>0</v>
      </c>
      <c r="K138" s="126">
        <f t="shared" ref="K138" si="35">J138</f>
        <v>0</v>
      </c>
      <c r="L138" s="126">
        <f t="shared" ref="L138" si="36">K138</f>
        <v>0</v>
      </c>
      <c r="M138" s="126">
        <f t="shared" ref="M138" si="37">L138</f>
        <v>0</v>
      </c>
      <c r="N138" s="149"/>
      <c r="O138" s="24"/>
    </row>
    <row r="139" spans="2:15" x14ac:dyDescent="0.2">
      <c r="B139" s="20"/>
      <c r="C139" s="149"/>
      <c r="D139" s="496" t="s">
        <v>536</v>
      </c>
      <c r="E139" s="149"/>
      <c r="F139" s="125"/>
      <c r="G139" s="498"/>
      <c r="H139" s="126">
        <v>0</v>
      </c>
      <c r="I139" s="126">
        <f t="shared" ref="I139:J141" si="38">H139</f>
        <v>0</v>
      </c>
      <c r="J139" s="126">
        <f t="shared" si="38"/>
        <v>0</v>
      </c>
      <c r="K139" s="126">
        <f t="shared" ref="K139:K148" si="39">J139</f>
        <v>0</v>
      </c>
      <c r="L139" s="126">
        <f t="shared" ref="L139:M141" si="40">K139</f>
        <v>0</v>
      </c>
      <c r="M139" s="126">
        <f t="shared" si="40"/>
        <v>0</v>
      </c>
      <c r="N139" s="149"/>
      <c r="O139" s="24"/>
    </row>
    <row r="140" spans="2:15" x14ac:dyDescent="0.2">
      <c r="B140" s="20"/>
      <c r="C140" s="149"/>
      <c r="D140" s="458"/>
      <c r="E140" s="149"/>
      <c r="F140" s="125"/>
      <c r="G140" s="498"/>
      <c r="H140" s="126">
        <v>0</v>
      </c>
      <c r="I140" s="126">
        <f t="shared" si="38"/>
        <v>0</v>
      </c>
      <c r="J140" s="126">
        <f t="shared" si="38"/>
        <v>0</v>
      </c>
      <c r="K140" s="126">
        <f t="shared" si="39"/>
        <v>0</v>
      </c>
      <c r="L140" s="126">
        <f t="shared" si="40"/>
        <v>0</v>
      </c>
      <c r="M140" s="126">
        <f t="shared" si="40"/>
        <v>0</v>
      </c>
      <c r="N140" s="149"/>
      <c r="O140" s="24"/>
    </row>
    <row r="141" spans="2:15" x14ac:dyDescent="0.2">
      <c r="B141" s="20"/>
      <c r="C141" s="149"/>
      <c r="D141" s="417"/>
      <c r="E141" s="149"/>
      <c r="F141" s="125"/>
      <c r="G141" s="498"/>
      <c r="H141" s="126">
        <v>0</v>
      </c>
      <c r="I141" s="126">
        <f t="shared" si="38"/>
        <v>0</v>
      </c>
      <c r="J141" s="126">
        <f t="shared" si="38"/>
        <v>0</v>
      </c>
      <c r="K141" s="126">
        <f t="shared" si="39"/>
        <v>0</v>
      </c>
      <c r="L141" s="126">
        <f t="shared" si="40"/>
        <v>0</v>
      </c>
      <c r="M141" s="126">
        <f t="shared" si="40"/>
        <v>0</v>
      </c>
      <c r="N141" s="149"/>
      <c r="O141" s="24"/>
    </row>
    <row r="142" spans="2:15" x14ac:dyDescent="0.2">
      <c r="B142" s="675"/>
      <c r="C142" s="149"/>
      <c r="D142" s="417"/>
      <c r="E142" s="149"/>
      <c r="F142" s="125"/>
      <c r="G142" s="498"/>
      <c r="H142" s="126">
        <v>0</v>
      </c>
      <c r="I142" s="126">
        <f t="shared" ref="I142:M145" si="41">H142</f>
        <v>0</v>
      </c>
      <c r="J142" s="126">
        <f t="shared" si="41"/>
        <v>0</v>
      </c>
      <c r="K142" s="126">
        <f t="shared" si="41"/>
        <v>0</v>
      </c>
      <c r="L142" s="126">
        <f t="shared" si="41"/>
        <v>0</v>
      </c>
      <c r="M142" s="126">
        <f t="shared" si="41"/>
        <v>0</v>
      </c>
      <c r="N142" s="149"/>
      <c r="O142" s="24"/>
    </row>
    <row r="143" spans="2:15" x14ac:dyDescent="0.2">
      <c r="B143" s="20"/>
      <c r="C143" s="149"/>
      <c r="D143" s="417"/>
      <c r="E143" s="149"/>
      <c r="F143" s="125"/>
      <c r="G143" s="498"/>
      <c r="H143" s="60">
        <v>0</v>
      </c>
      <c r="I143" s="60">
        <f t="shared" si="41"/>
        <v>0</v>
      </c>
      <c r="J143" s="60">
        <f t="shared" si="41"/>
        <v>0</v>
      </c>
      <c r="K143" s="60">
        <f t="shared" si="41"/>
        <v>0</v>
      </c>
      <c r="L143" s="60">
        <f t="shared" si="41"/>
        <v>0</v>
      </c>
      <c r="M143" s="60">
        <f t="shared" si="41"/>
        <v>0</v>
      </c>
      <c r="N143" s="149"/>
      <c r="O143" s="24"/>
    </row>
    <row r="144" spans="2:15" x14ac:dyDescent="0.2">
      <c r="B144" s="20"/>
      <c r="C144" s="149"/>
      <c r="D144" s="417"/>
      <c r="E144" s="149"/>
      <c r="F144" s="125"/>
      <c r="G144" s="498"/>
      <c r="H144" s="60">
        <v>0</v>
      </c>
      <c r="I144" s="60">
        <f t="shared" si="41"/>
        <v>0</v>
      </c>
      <c r="J144" s="60">
        <f t="shared" si="41"/>
        <v>0</v>
      </c>
      <c r="K144" s="60">
        <f t="shared" si="41"/>
        <v>0</v>
      </c>
      <c r="L144" s="60">
        <f t="shared" si="41"/>
        <v>0</v>
      </c>
      <c r="M144" s="60">
        <f t="shared" si="41"/>
        <v>0</v>
      </c>
      <c r="N144" s="149"/>
      <c r="O144" s="24"/>
    </row>
    <row r="145" spans="2:15" x14ac:dyDescent="0.2">
      <c r="B145" s="20"/>
      <c r="C145" s="149"/>
      <c r="D145" s="417"/>
      <c r="E145" s="149"/>
      <c r="F145" s="125"/>
      <c r="G145" s="498"/>
      <c r="H145" s="60">
        <v>0</v>
      </c>
      <c r="I145" s="60">
        <f t="shared" si="41"/>
        <v>0</v>
      </c>
      <c r="J145" s="60">
        <f t="shared" si="41"/>
        <v>0</v>
      </c>
      <c r="K145" s="60">
        <f t="shared" si="41"/>
        <v>0</v>
      </c>
      <c r="L145" s="60">
        <f t="shared" si="41"/>
        <v>0</v>
      </c>
      <c r="M145" s="60">
        <f t="shared" si="41"/>
        <v>0</v>
      </c>
      <c r="N145" s="149"/>
      <c r="O145" s="24"/>
    </row>
    <row r="146" spans="2:15" x14ac:dyDescent="0.2">
      <c r="B146" s="20"/>
      <c r="C146" s="149"/>
      <c r="D146" s="417"/>
      <c r="E146" s="149"/>
      <c r="F146" s="125"/>
      <c r="G146" s="498"/>
      <c r="H146" s="60">
        <v>0</v>
      </c>
      <c r="I146" s="60">
        <f t="shared" ref="I146:J148" si="42">H146</f>
        <v>0</v>
      </c>
      <c r="J146" s="60">
        <f t="shared" si="42"/>
        <v>0</v>
      </c>
      <c r="K146" s="60">
        <f t="shared" si="39"/>
        <v>0</v>
      </c>
      <c r="L146" s="60">
        <f t="shared" ref="L146:M148" si="43">K146</f>
        <v>0</v>
      </c>
      <c r="M146" s="60">
        <f t="shared" si="43"/>
        <v>0</v>
      </c>
      <c r="N146" s="149"/>
      <c r="O146" s="24"/>
    </row>
    <row r="147" spans="2:15" x14ac:dyDescent="0.2">
      <c r="B147" s="20"/>
      <c r="C147" s="149"/>
      <c r="D147" s="417"/>
      <c r="E147" s="149"/>
      <c r="F147" s="125"/>
      <c r="G147" s="498"/>
      <c r="H147" s="60">
        <v>0</v>
      </c>
      <c r="I147" s="60">
        <f t="shared" si="42"/>
        <v>0</v>
      </c>
      <c r="J147" s="60">
        <f t="shared" si="42"/>
        <v>0</v>
      </c>
      <c r="K147" s="60">
        <f t="shared" si="39"/>
        <v>0</v>
      </c>
      <c r="L147" s="60">
        <f t="shared" si="43"/>
        <v>0</v>
      </c>
      <c r="M147" s="60">
        <f t="shared" si="43"/>
        <v>0</v>
      </c>
      <c r="N147" s="149"/>
      <c r="O147" s="24"/>
    </row>
    <row r="148" spans="2:15" x14ac:dyDescent="0.2">
      <c r="B148" s="20"/>
      <c r="C148" s="149"/>
      <c r="D148" s="417"/>
      <c r="E148" s="149"/>
      <c r="F148" s="125"/>
      <c r="G148" s="498"/>
      <c r="H148" s="60">
        <v>0</v>
      </c>
      <c r="I148" s="60">
        <f t="shared" si="42"/>
        <v>0</v>
      </c>
      <c r="J148" s="60">
        <f t="shared" si="42"/>
        <v>0</v>
      </c>
      <c r="K148" s="60">
        <f t="shared" si="39"/>
        <v>0</v>
      </c>
      <c r="L148" s="60">
        <f t="shared" si="43"/>
        <v>0</v>
      </c>
      <c r="M148" s="60">
        <f t="shared" si="43"/>
        <v>0</v>
      </c>
      <c r="N148" s="149"/>
      <c r="O148" s="24"/>
    </row>
    <row r="149" spans="2:15" x14ac:dyDescent="0.2">
      <c r="B149" s="20"/>
      <c r="C149" s="149"/>
      <c r="D149" s="149"/>
      <c r="E149" s="149"/>
      <c r="F149" s="64"/>
      <c r="G149" s="64"/>
      <c r="H149" s="427" t="e">
        <f>SUM(H135:H148)</f>
        <v>#NAME?</v>
      </c>
      <c r="I149" s="427">
        <f>SUM(I138:I148)</f>
        <v>0</v>
      </c>
      <c r="J149" s="427">
        <f t="shared" ref="J149:M149" si="44">SUM(J138:J148)</f>
        <v>0</v>
      </c>
      <c r="K149" s="427">
        <f t="shared" si="44"/>
        <v>0</v>
      </c>
      <c r="L149" s="427">
        <f t="shared" si="44"/>
        <v>0</v>
      </c>
      <c r="M149" s="427">
        <f t="shared" si="44"/>
        <v>0</v>
      </c>
      <c r="N149" s="149"/>
      <c r="O149" s="24"/>
    </row>
    <row r="150" spans="2:15" x14ac:dyDescent="0.2">
      <c r="B150" s="20"/>
      <c r="C150" s="149"/>
      <c r="D150" s="421"/>
      <c r="E150" s="422"/>
      <c r="F150" s="423"/>
      <c r="G150" s="423"/>
      <c r="H150" s="423"/>
      <c r="I150" s="423"/>
      <c r="J150" s="423"/>
      <c r="K150" s="423"/>
      <c r="L150" s="423"/>
      <c r="M150" s="423"/>
      <c r="N150" s="149"/>
      <c r="O150" s="24"/>
    </row>
    <row r="151" spans="2:15" x14ac:dyDescent="0.2">
      <c r="B151" s="20"/>
      <c r="C151" s="149"/>
      <c r="D151" s="647" t="s">
        <v>337</v>
      </c>
      <c r="E151" s="447"/>
      <c r="F151" s="448"/>
      <c r="G151" s="448"/>
      <c r="H151" s="448"/>
      <c r="I151" s="448"/>
      <c r="J151" s="448"/>
      <c r="K151" s="448"/>
      <c r="L151" s="448"/>
      <c r="M151" s="448"/>
      <c r="N151" s="149"/>
      <c r="O151" s="24"/>
    </row>
    <row r="152" spans="2:15" x14ac:dyDescent="0.2">
      <c r="B152" s="20"/>
      <c r="C152" s="149"/>
      <c r="D152" s="153" t="s">
        <v>566</v>
      </c>
      <c r="E152" s="149"/>
      <c r="F152" s="64"/>
      <c r="G152" s="64"/>
      <c r="H152" s="64"/>
      <c r="I152" s="64"/>
      <c r="J152" s="64"/>
      <c r="K152" s="64"/>
      <c r="L152" s="64"/>
      <c r="M152" s="64"/>
      <c r="N152" s="149"/>
      <c r="O152" s="24"/>
    </row>
    <row r="153" spans="2:15" x14ac:dyDescent="0.2">
      <c r="B153" s="20"/>
      <c r="C153" s="149"/>
      <c r="D153" s="458" t="s">
        <v>579</v>
      </c>
      <c r="E153" s="149"/>
      <c r="F153" s="125"/>
      <c r="G153" s="498"/>
      <c r="H153" s="648">
        <f>7/12*'programma''s'!H19+5/12*'programma''s'!I19</f>
        <v>12345</v>
      </c>
      <c r="I153" s="648">
        <f>7/12*'programma''s'!I19+5/12*'programma''s'!J19</f>
        <v>12345</v>
      </c>
      <c r="J153" s="648">
        <f>7/12*'programma''s'!J19+5/12*'programma''s'!K19</f>
        <v>12345</v>
      </c>
      <c r="K153" s="648">
        <f>7/12*'programma''s'!K19+5/12*'programma''s'!L19</f>
        <v>12345</v>
      </c>
      <c r="L153" s="648">
        <f>7/12*'programma''s'!L19+5/12*'programma''s'!M19</f>
        <v>12345</v>
      </c>
      <c r="M153" s="648">
        <f>7/12*'programma''s'!M19+5/12*'programma''s'!N19</f>
        <v>12345</v>
      </c>
      <c r="N153" s="100"/>
      <c r="O153" s="24"/>
    </row>
    <row r="154" spans="2:15" x14ac:dyDescent="0.2">
      <c r="B154" s="20"/>
      <c r="C154" s="149"/>
      <c r="D154" s="458" t="s">
        <v>567</v>
      </c>
      <c r="E154" s="149"/>
      <c r="F154" s="125"/>
      <c r="G154" s="498"/>
      <c r="H154" s="648">
        <f>7/12*'programma''s'!H39+5/12*'programma''s'!I39</f>
        <v>0</v>
      </c>
      <c r="I154" s="648">
        <f>7/12*'programma''s'!I39+5/12*'programma''s'!J39</f>
        <v>0</v>
      </c>
      <c r="J154" s="648">
        <f>7/12*'programma''s'!J39+5/12*'programma''s'!K39</f>
        <v>0</v>
      </c>
      <c r="K154" s="648">
        <f>7/12*'programma''s'!K39+5/12*'programma''s'!L39</f>
        <v>0</v>
      </c>
      <c r="L154" s="648">
        <f>7/12*'programma''s'!L39+5/12*'programma''s'!M39</f>
        <v>0</v>
      </c>
      <c r="M154" s="648">
        <f>7/12*'programma''s'!M39+5/12*'programma''s'!N39</f>
        <v>0</v>
      </c>
      <c r="N154" s="100"/>
      <c r="O154" s="24"/>
    </row>
    <row r="155" spans="2:15" x14ac:dyDescent="0.2">
      <c r="B155" s="20"/>
      <c r="C155" s="149"/>
      <c r="D155" s="458" t="s">
        <v>568</v>
      </c>
      <c r="E155" s="149"/>
      <c r="F155" s="125"/>
      <c r="G155" s="498"/>
      <c r="H155" s="648">
        <f>7/12*'programma''s'!H59+5/12*'programma''s'!I59</f>
        <v>0</v>
      </c>
      <c r="I155" s="648">
        <f>7/12*'programma''s'!I59+5/12*'programma''s'!J59</f>
        <v>0</v>
      </c>
      <c r="J155" s="648">
        <f>7/12*'programma''s'!J59+5/12*'programma''s'!K59</f>
        <v>0</v>
      </c>
      <c r="K155" s="648">
        <f>7/12*'programma''s'!K59+5/12*'programma''s'!L59</f>
        <v>0</v>
      </c>
      <c r="L155" s="648">
        <f>7/12*'programma''s'!L59+5/12*'programma''s'!M59</f>
        <v>0</v>
      </c>
      <c r="M155" s="648">
        <f>7/12*'programma''s'!M59+5/12*'programma''s'!N59</f>
        <v>0</v>
      </c>
      <c r="N155" s="100"/>
      <c r="O155" s="24"/>
    </row>
    <row r="156" spans="2:15" x14ac:dyDescent="0.2">
      <c r="B156" s="20"/>
      <c r="C156" s="149"/>
      <c r="D156" s="458" t="s">
        <v>569</v>
      </c>
      <c r="E156" s="149"/>
      <c r="F156" s="125"/>
      <c r="G156" s="498"/>
      <c r="H156" s="648">
        <f>7/12*'programma''s'!H79+5/12*'programma''s'!I79</f>
        <v>0</v>
      </c>
      <c r="I156" s="648">
        <f>7/12*'programma''s'!I79+5/12*'programma''s'!J79</f>
        <v>0</v>
      </c>
      <c r="J156" s="648">
        <f>7/12*'programma''s'!J79+5/12*'programma''s'!K79</f>
        <v>0</v>
      </c>
      <c r="K156" s="648">
        <f>7/12*'programma''s'!K79+5/12*'programma''s'!L79</f>
        <v>0</v>
      </c>
      <c r="L156" s="648">
        <f>7/12*'programma''s'!L79+5/12*'programma''s'!M79</f>
        <v>0</v>
      </c>
      <c r="M156" s="648">
        <f>7/12*'programma''s'!M79+5/12*'programma''s'!N79</f>
        <v>0</v>
      </c>
      <c r="N156" s="100"/>
      <c r="O156" s="24"/>
    </row>
    <row r="157" spans="2:15" x14ac:dyDescent="0.2">
      <c r="B157" s="20"/>
      <c r="C157" s="149"/>
      <c r="D157" s="458" t="s">
        <v>570</v>
      </c>
      <c r="E157" s="149"/>
      <c r="F157" s="125"/>
      <c r="G157" s="498"/>
      <c r="H157" s="648">
        <f>7/12*'programma''s'!H99+5/12*'programma''s'!I99</f>
        <v>0</v>
      </c>
      <c r="I157" s="648">
        <f>7/12*'programma''s'!I99+5/12*'programma''s'!J99</f>
        <v>0</v>
      </c>
      <c r="J157" s="648">
        <f>7/12*'programma''s'!J99+5/12*'programma''s'!K99</f>
        <v>0</v>
      </c>
      <c r="K157" s="648">
        <f>7/12*'programma''s'!K99+5/12*'programma''s'!L99</f>
        <v>0</v>
      </c>
      <c r="L157" s="648">
        <f>7/12*'programma''s'!L99+5/12*'programma''s'!M99</f>
        <v>0</v>
      </c>
      <c r="M157" s="648">
        <f>7/12*'programma''s'!M99+5/12*'programma''s'!N99</f>
        <v>0</v>
      </c>
      <c r="N157" s="100"/>
      <c r="O157" s="24"/>
    </row>
    <row r="158" spans="2:15" x14ac:dyDescent="0.2">
      <c r="B158" s="20"/>
      <c r="C158" s="149"/>
      <c r="D158" s="458" t="s">
        <v>571</v>
      </c>
      <c r="E158" s="149"/>
      <c r="F158" s="125"/>
      <c r="G158" s="498"/>
      <c r="H158" s="648">
        <f>7/12*'programma''s'!H122+5/12*'programma''s'!I122</f>
        <v>0</v>
      </c>
      <c r="I158" s="648">
        <f>7/12*'programma''s'!I122+5/12*'programma''s'!J122</f>
        <v>0</v>
      </c>
      <c r="J158" s="648">
        <f>7/12*'programma''s'!J122+5/12*'programma''s'!K122</f>
        <v>0</v>
      </c>
      <c r="K158" s="648">
        <f>7/12*'programma''s'!K122+5/12*'programma''s'!L122</f>
        <v>0</v>
      </c>
      <c r="L158" s="648">
        <f>7/12*'programma''s'!L122+5/12*'programma''s'!M122</f>
        <v>0</v>
      </c>
      <c r="M158" s="648">
        <f>7/12*'programma''s'!M122+5/12*'programma''s'!N122</f>
        <v>0</v>
      </c>
      <c r="N158" s="100"/>
      <c r="O158" s="24"/>
    </row>
    <row r="159" spans="2:15" x14ac:dyDescent="0.2">
      <c r="B159" s="20"/>
      <c r="C159" s="149"/>
      <c r="D159" s="458" t="s">
        <v>572</v>
      </c>
      <c r="E159" s="149"/>
      <c r="F159" s="125"/>
      <c r="G159" s="498"/>
      <c r="H159" s="648">
        <f>7/12*'programma''s'!H142+5/12*'programma''s'!I142</f>
        <v>0</v>
      </c>
      <c r="I159" s="648">
        <f>7/12*'programma''s'!I142+5/12*'programma''s'!J142</f>
        <v>0</v>
      </c>
      <c r="J159" s="648">
        <f>7/12*'programma''s'!J142+5/12*'programma''s'!K142</f>
        <v>0</v>
      </c>
      <c r="K159" s="648">
        <f>7/12*'programma''s'!K142+5/12*'programma''s'!L142</f>
        <v>0</v>
      </c>
      <c r="L159" s="648">
        <f>7/12*'programma''s'!L142+5/12*'programma''s'!M142</f>
        <v>0</v>
      </c>
      <c r="M159" s="648">
        <f>7/12*'programma''s'!M142+5/12*'programma''s'!N142</f>
        <v>0</v>
      </c>
      <c r="N159" s="100"/>
      <c r="O159" s="24"/>
    </row>
    <row r="160" spans="2:15" x14ac:dyDescent="0.2">
      <c r="B160" s="20"/>
      <c r="C160" s="149"/>
      <c r="D160" s="458" t="s">
        <v>573</v>
      </c>
      <c r="E160" s="149"/>
      <c r="F160" s="125"/>
      <c r="G160" s="498"/>
      <c r="H160" s="648">
        <f>7/12*'programma''s'!H162+5/12*'programma''s'!I162</f>
        <v>0</v>
      </c>
      <c r="I160" s="648">
        <f>7/12*'programma''s'!I162+5/12*'programma''s'!J162</f>
        <v>0</v>
      </c>
      <c r="J160" s="648">
        <f>7/12*'programma''s'!J162+5/12*'programma''s'!K162</f>
        <v>0</v>
      </c>
      <c r="K160" s="648">
        <f>7/12*'programma''s'!K162+5/12*'programma''s'!L162</f>
        <v>0</v>
      </c>
      <c r="L160" s="648">
        <f>7/12*'programma''s'!L162+5/12*'programma''s'!M162</f>
        <v>0</v>
      </c>
      <c r="M160" s="648">
        <f>7/12*'programma''s'!M162+5/12*'programma''s'!N162</f>
        <v>0</v>
      </c>
      <c r="N160" s="100"/>
      <c r="O160" s="24"/>
    </row>
    <row r="161" spans="2:15" x14ac:dyDescent="0.2">
      <c r="B161" s="20"/>
      <c r="C161" s="149"/>
      <c r="D161" s="458" t="s">
        <v>574</v>
      </c>
      <c r="E161" s="149"/>
      <c r="F161" s="125"/>
      <c r="G161" s="498"/>
      <c r="H161" s="648">
        <f>7/12*'programma''s'!H182+5/12*'programma''s'!I182</f>
        <v>0</v>
      </c>
      <c r="I161" s="648">
        <f>7/12*'programma''s'!I182+5/12*'programma''s'!J182</f>
        <v>0</v>
      </c>
      <c r="J161" s="648">
        <f>7/12*'programma''s'!J182+5/12*'programma''s'!K182</f>
        <v>0</v>
      </c>
      <c r="K161" s="648">
        <f>7/12*'programma''s'!K182+5/12*'programma''s'!L182</f>
        <v>0</v>
      </c>
      <c r="L161" s="648">
        <f>7/12*'programma''s'!L182+5/12*'programma''s'!M182</f>
        <v>0</v>
      </c>
      <c r="M161" s="648">
        <f>7/12*'programma''s'!M182+5/12*'programma''s'!N182</f>
        <v>0</v>
      </c>
      <c r="N161" s="100"/>
      <c r="O161" s="24"/>
    </row>
    <row r="162" spans="2:15" x14ac:dyDescent="0.2">
      <c r="B162" s="20"/>
      <c r="C162" s="149"/>
      <c r="D162" s="458" t="s">
        <v>575</v>
      </c>
      <c r="E162" s="149"/>
      <c r="F162" s="125"/>
      <c r="G162" s="498"/>
      <c r="H162" s="648">
        <f>7/12*'programma''s'!H202+5/12*'programma''s'!J202</f>
        <v>0</v>
      </c>
      <c r="I162" s="648">
        <f>7/12*'programma''s'!I202+5/12*'programma''s'!K202</f>
        <v>0</v>
      </c>
      <c r="J162" s="648">
        <f>7/12*'programma''s'!J202+5/12*'programma''s'!L202</f>
        <v>0</v>
      </c>
      <c r="K162" s="648">
        <f>7/12*'programma''s'!K202+5/12*'programma''s'!M202</f>
        <v>0</v>
      </c>
      <c r="L162" s="648">
        <f>7/12*'programma''s'!L202+5/12*'programma''s'!N202</f>
        <v>0</v>
      </c>
      <c r="M162" s="648">
        <f>7/12*'programma''s'!M202+5/12*'programma''s'!O202</f>
        <v>0</v>
      </c>
      <c r="N162" s="100"/>
      <c r="O162" s="24"/>
    </row>
    <row r="163" spans="2:15" x14ac:dyDescent="0.2">
      <c r="B163" s="20"/>
      <c r="C163" s="149"/>
      <c r="D163" s="149"/>
      <c r="E163" s="149"/>
      <c r="F163" s="64"/>
      <c r="G163" s="64"/>
      <c r="H163" s="427">
        <f>SUM(H153:H162)</f>
        <v>12345</v>
      </c>
      <c r="I163" s="427">
        <f t="shared" ref="I163:M163" si="45">SUM(I153:I162)</f>
        <v>12345</v>
      </c>
      <c r="J163" s="427">
        <f t="shared" si="45"/>
        <v>12345</v>
      </c>
      <c r="K163" s="427">
        <f t="shared" si="45"/>
        <v>12345</v>
      </c>
      <c r="L163" s="427">
        <f t="shared" si="45"/>
        <v>12345</v>
      </c>
      <c r="M163" s="427">
        <f t="shared" si="45"/>
        <v>12345</v>
      </c>
      <c r="N163" s="149"/>
      <c r="O163" s="24"/>
    </row>
    <row r="164" spans="2:15" x14ac:dyDescent="0.2">
      <c r="B164" s="20"/>
      <c r="C164" s="33"/>
      <c r="D164" s="421"/>
      <c r="E164" s="422"/>
      <c r="F164" s="423"/>
      <c r="G164" s="423"/>
      <c r="H164" s="423"/>
      <c r="I164" s="423"/>
      <c r="J164" s="423"/>
      <c r="K164" s="423"/>
      <c r="L164" s="423"/>
      <c r="M164" s="423"/>
      <c r="N164" s="33"/>
      <c r="O164" s="24"/>
    </row>
    <row r="165" spans="2:15" x14ac:dyDescent="0.2">
      <c r="B165" s="20"/>
      <c r="C165" s="33"/>
      <c r="D165" s="420"/>
      <c r="E165" s="122"/>
      <c r="F165" s="71"/>
      <c r="G165" s="897"/>
      <c r="H165" s="71"/>
      <c r="I165" s="71"/>
      <c r="J165" s="71"/>
      <c r="K165" s="71"/>
      <c r="L165" s="71"/>
      <c r="M165" s="71"/>
      <c r="N165" s="33"/>
      <c r="O165" s="24"/>
    </row>
    <row r="166" spans="2:15" x14ac:dyDescent="0.2">
      <c r="B166" s="20"/>
      <c r="C166" s="33"/>
      <c r="D166" s="35" t="s">
        <v>140</v>
      </c>
      <c r="E166" s="33"/>
      <c r="F166" s="144"/>
      <c r="G166" s="144"/>
      <c r="H166" s="426" t="e">
        <f>H108+I128+I149+I163</f>
        <v>#REF!</v>
      </c>
      <c r="I166" s="426">
        <f>I108+I114+I128+I135+I149+I163</f>
        <v>10203342.35</v>
      </c>
      <c r="J166" s="426">
        <f t="shared" ref="J166:M166" si="46">J108+J114+J128+J135+J149+J163</f>
        <v>10208601.549999999</v>
      </c>
      <c r="K166" s="426">
        <f t="shared" si="46"/>
        <v>10214407.949999999</v>
      </c>
      <c r="L166" s="426">
        <f t="shared" si="46"/>
        <v>10223710.35</v>
      </c>
      <c r="M166" s="426">
        <f t="shared" si="46"/>
        <v>10231763.149999999</v>
      </c>
      <c r="O166" s="24"/>
    </row>
    <row r="167" spans="2:15" x14ac:dyDescent="0.2">
      <c r="B167" s="20"/>
      <c r="C167" s="33"/>
      <c r="D167" s="33"/>
      <c r="E167" s="33"/>
      <c r="F167" s="144"/>
      <c r="G167" s="144"/>
      <c r="H167" s="144"/>
      <c r="I167" s="144"/>
      <c r="J167" s="144"/>
      <c r="K167" s="144"/>
      <c r="L167" s="144"/>
      <c r="M167" s="144"/>
      <c r="N167" s="33"/>
      <c r="O167" s="24"/>
    </row>
    <row r="168" spans="2:15" x14ac:dyDescent="0.2">
      <c r="B168" s="20"/>
      <c r="C168" s="140"/>
      <c r="D168" s="169"/>
      <c r="E168" s="140"/>
      <c r="F168" s="141"/>
      <c r="G168" s="141"/>
      <c r="H168" s="141"/>
      <c r="I168" s="141"/>
      <c r="J168" s="141"/>
      <c r="K168" s="141"/>
      <c r="L168" s="141"/>
      <c r="M168" s="141"/>
      <c r="N168" s="140"/>
      <c r="O168" s="24"/>
    </row>
    <row r="169" spans="2:15" x14ac:dyDescent="0.2">
      <c r="B169" s="20"/>
      <c r="C169" s="140"/>
      <c r="D169" s="169"/>
      <c r="E169" s="140"/>
      <c r="F169" s="141"/>
      <c r="G169" s="141"/>
      <c r="H169" s="141"/>
      <c r="I169" s="141"/>
      <c r="J169" s="141"/>
      <c r="K169" s="141"/>
      <c r="L169" s="141"/>
      <c r="M169" s="141"/>
      <c r="N169" s="140"/>
      <c r="O169" s="24"/>
    </row>
    <row r="170" spans="2:15" x14ac:dyDescent="0.2">
      <c r="B170" s="20"/>
      <c r="C170" s="33"/>
      <c r="D170" s="33"/>
      <c r="E170" s="33"/>
      <c r="F170" s="144"/>
      <c r="G170" s="144"/>
      <c r="H170" s="144"/>
      <c r="I170" s="144"/>
      <c r="J170" s="144"/>
      <c r="K170" s="144"/>
      <c r="L170" s="144"/>
      <c r="M170" s="144"/>
      <c r="N170" s="33"/>
      <c r="O170" s="24"/>
    </row>
    <row r="171" spans="2:15" x14ac:dyDescent="0.2">
      <c r="B171" s="20"/>
      <c r="C171" s="33"/>
      <c r="D171" s="162" t="s">
        <v>141</v>
      </c>
      <c r="E171" s="33"/>
      <c r="F171" s="144"/>
      <c r="G171" s="144"/>
      <c r="H171" s="425" t="e">
        <f>I95-H166</f>
        <v>#REF!</v>
      </c>
      <c r="I171" s="425">
        <f>J95-I166</f>
        <v>10879065.187743193</v>
      </c>
      <c r="J171" s="425">
        <f>K95-J166</f>
        <v>10873805.987743193</v>
      </c>
      <c r="K171" s="425">
        <f>L95-K166</f>
        <v>10867999.587743193</v>
      </c>
      <c r="L171" s="425">
        <f>M95-L166</f>
        <v>10858697.187743193</v>
      </c>
      <c r="M171" s="425" t="e">
        <f>#REF!-M166</f>
        <v>#REF!</v>
      </c>
      <c r="O171" s="24"/>
    </row>
    <row r="172" spans="2:15" x14ac:dyDescent="0.2">
      <c r="B172" s="20"/>
      <c r="C172" s="33"/>
      <c r="D172" s="33"/>
      <c r="E172" s="33"/>
      <c r="F172" s="144"/>
      <c r="G172" s="144"/>
      <c r="H172" s="144"/>
      <c r="I172" s="144"/>
      <c r="J172" s="144"/>
      <c r="K172" s="144"/>
      <c r="L172" s="144"/>
      <c r="M172" s="144"/>
      <c r="N172" s="33"/>
      <c r="O172" s="24"/>
    </row>
    <row r="173" spans="2:15" x14ac:dyDescent="0.2">
      <c r="B173" s="20"/>
      <c r="C173" s="21"/>
      <c r="D173" s="21"/>
      <c r="E173" s="21"/>
      <c r="F173" s="23"/>
      <c r="G173" s="23"/>
      <c r="H173" s="23"/>
      <c r="I173" s="23"/>
      <c r="J173" s="23"/>
      <c r="K173" s="23"/>
      <c r="L173" s="23"/>
      <c r="M173" s="23"/>
      <c r="N173" s="21"/>
      <c r="O173" s="24"/>
    </row>
    <row r="174" spans="2:15" x14ac:dyDescent="0.2">
      <c r="B174" s="675"/>
      <c r="C174" s="21"/>
      <c r="D174" s="21"/>
      <c r="E174" s="21"/>
      <c r="F174" s="23"/>
      <c r="G174" s="23"/>
      <c r="H174" s="688"/>
      <c r="I174" s="688"/>
      <c r="J174" s="688"/>
      <c r="K174" s="688"/>
      <c r="L174" s="688"/>
      <c r="M174" s="688"/>
      <c r="N174" s="689" t="s">
        <v>254</v>
      </c>
      <c r="O174" s="24"/>
    </row>
    <row r="175" spans="2:15" x14ac:dyDescent="0.2">
      <c r="B175" s="682"/>
      <c r="C175" s="682"/>
      <c r="D175" s="682"/>
      <c r="E175" s="682"/>
      <c r="F175" s="705"/>
      <c r="G175" s="705"/>
      <c r="H175" s="706"/>
      <c r="I175" s="706"/>
      <c r="J175" s="706"/>
      <c r="K175" s="706"/>
      <c r="L175" s="706"/>
      <c r="M175" s="706"/>
      <c r="N175" s="682"/>
      <c r="O175" s="682"/>
    </row>
    <row r="176" spans="2:15" x14ac:dyDescent="0.2">
      <c r="B176" s="682"/>
      <c r="C176" s="682"/>
      <c r="D176" s="682"/>
      <c r="E176" s="682"/>
      <c r="F176" s="705"/>
      <c r="G176" s="705"/>
      <c r="H176" s="706"/>
      <c r="I176" s="706"/>
      <c r="J176" s="706"/>
      <c r="K176" s="706"/>
      <c r="L176" s="706"/>
      <c r="M176" s="706"/>
      <c r="N176" s="682"/>
      <c r="O176" s="682"/>
    </row>
    <row r="177" spans="1:31" x14ac:dyDescent="0.2">
      <c r="B177" s="682"/>
      <c r="C177" s="682"/>
      <c r="D177" s="682"/>
      <c r="E177" s="682"/>
      <c r="F177" s="705"/>
      <c r="G177" s="705"/>
      <c r="H177" s="705"/>
      <c r="I177" s="705"/>
      <c r="J177" s="705"/>
      <c r="K177" s="705"/>
      <c r="L177" s="705"/>
      <c r="M177" s="705"/>
      <c r="N177" s="682"/>
      <c r="O177" s="682"/>
    </row>
    <row r="178" spans="1:31" x14ac:dyDescent="0.2">
      <c r="B178" s="682"/>
      <c r="C178" s="682"/>
      <c r="D178" s="682"/>
      <c r="E178" s="682"/>
      <c r="F178" s="705"/>
      <c r="G178" s="705"/>
      <c r="H178" s="705"/>
      <c r="I178" s="705"/>
      <c r="J178" s="705"/>
      <c r="K178" s="705"/>
      <c r="L178" s="705"/>
      <c r="M178" s="705"/>
      <c r="N178" s="682"/>
      <c r="O178" s="682"/>
    </row>
    <row r="183" spans="1:31" s="682" customFormat="1" x14ac:dyDescent="0.2">
      <c r="A183" s="6"/>
      <c r="B183" s="6"/>
      <c r="C183" s="6"/>
      <c r="D183" s="6"/>
      <c r="E183" s="6"/>
      <c r="F183" s="130"/>
      <c r="G183" s="130"/>
      <c r="H183" s="130"/>
      <c r="I183" s="130"/>
      <c r="J183" s="130"/>
      <c r="K183" s="130"/>
      <c r="L183" s="130"/>
      <c r="M183" s="130"/>
      <c r="N183" s="6"/>
      <c r="O183" s="6"/>
      <c r="Q183" s="6"/>
      <c r="R183" s="6"/>
      <c r="S183" s="6"/>
      <c r="T183" s="6"/>
      <c r="U183" s="6"/>
      <c r="V183" s="6"/>
      <c r="W183" s="6"/>
      <c r="X183" s="6"/>
      <c r="Y183" s="6"/>
      <c r="Z183" s="6"/>
      <c r="AA183" s="6"/>
      <c r="AB183" s="6"/>
      <c r="AC183" s="6"/>
      <c r="AD183" s="6"/>
      <c r="AE183" s="6"/>
    </row>
    <row r="216" spans="17:17" x14ac:dyDescent="0.2">
      <c r="Q216" s="682"/>
    </row>
    <row r="322" spans="30:31" x14ac:dyDescent="0.2">
      <c r="AD322" s="11"/>
      <c r="AE322" s="11"/>
    </row>
    <row r="323" spans="30:31" x14ac:dyDescent="0.2">
      <c r="AD323" s="11"/>
      <c r="AE323" s="11"/>
    </row>
    <row r="324" spans="30:31" x14ac:dyDescent="0.2">
      <c r="AD324" s="11"/>
      <c r="AE324" s="11"/>
    </row>
    <row r="325" spans="30:31" x14ac:dyDescent="0.2">
      <c r="AD325" s="11"/>
      <c r="AE325" s="11"/>
    </row>
    <row r="355" spans="18:29" x14ac:dyDescent="0.2">
      <c r="R355" s="11"/>
      <c r="S355" s="11"/>
      <c r="T355" s="11"/>
      <c r="U355" s="11"/>
      <c r="V355" s="11"/>
      <c r="W355" s="11"/>
      <c r="X355" s="11"/>
      <c r="Y355" s="11"/>
      <c r="Z355" s="11"/>
      <c r="AA355" s="11"/>
      <c r="AB355" s="11"/>
      <c r="AC355" s="11"/>
    </row>
    <row r="356" spans="18:29" x14ac:dyDescent="0.2">
      <c r="R356" s="11"/>
      <c r="S356" s="11"/>
      <c r="T356" s="11"/>
      <c r="U356" s="11"/>
      <c r="V356" s="11"/>
      <c r="W356" s="11"/>
      <c r="X356" s="11"/>
      <c r="Y356" s="11"/>
      <c r="Z356" s="11"/>
      <c r="AA356" s="11"/>
      <c r="AB356" s="11"/>
      <c r="AC356" s="11"/>
    </row>
    <row r="357" spans="18:29" x14ac:dyDescent="0.2">
      <c r="R357" s="11"/>
      <c r="S357" s="11"/>
      <c r="T357" s="11"/>
      <c r="U357" s="11"/>
      <c r="V357" s="11"/>
      <c r="W357" s="11"/>
      <c r="X357" s="11"/>
      <c r="Y357" s="11"/>
      <c r="Z357" s="11"/>
      <c r="AA357" s="11"/>
      <c r="AB357" s="11"/>
      <c r="AC357" s="11"/>
    </row>
    <row r="358" spans="18:29" x14ac:dyDescent="0.2">
      <c r="R358" s="11"/>
      <c r="S358" s="11"/>
      <c r="T358" s="11"/>
      <c r="U358" s="11"/>
      <c r="V358" s="11"/>
      <c r="W358" s="11"/>
      <c r="X358" s="11"/>
      <c r="Y358" s="11"/>
      <c r="Z358" s="11"/>
      <c r="AA358" s="11"/>
      <c r="AB358" s="11"/>
      <c r="AC358" s="11"/>
    </row>
    <row r="405" spans="30:31" x14ac:dyDescent="0.2">
      <c r="AD405" s="682"/>
      <c r="AE405" s="682"/>
    </row>
    <row r="438" spans="18:29" x14ac:dyDescent="0.2">
      <c r="R438" s="682"/>
      <c r="S438" s="682"/>
      <c r="T438" s="682"/>
      <c r="U438" s="682"/>
      <c r="V438" s="682"/>
      <c r="W438" s="682"/>
      <c r="X438" s="682"/>
      <c r="Y438" s="682"/>
      <c r="Z438" s="682"/>
      <c r="AA438" s="682"/>
      <c r="AB438" s="682"/>
      <c r="AC438" s="682"/>
    </row>
  </sheetData>
  <sheetProtection algorithmName="SHA-512" hashValue="eNQjayNdE/15Xt15eQ2MS8SFGsjaRvmSgy/+DETARqPBB1OdDDpTYKMSOokV26pIYaT2qSN88R8YX/QPHbHB6Q==" saltValue="s9t0mk2xq6J06U3Z4XftTA==" spinCount="100000" sheet="1" objects="1" scenarios="1"/>
  <phoneticPr fontId="0" type="noConversion"/>
  <hyperlinks>
    <hyperlink ref="N174" r:id="rId1" xr:uid="{00000000-0004-0000-0300-000000000000}"/>
  </hyperlinks>
  <printOptions gridLines="1"/>
  <pageMargins left="0.74803149606299213" right="0.74803149606299213" top="0.98425196850393704" bottom="0.98425196850393704" header="0.51181102362204722" footer="0.51181102362204722"/>
  <pageSetup paperSize="9" scale="48"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98" min="1" max="14" man="1"/>
    <brk id="174" min="1" max="14"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T236"/>
  <sheetViews>
    <sheetView zoomScale="68" zoomScaleNormal="68" zoomScaleSheetLayoutView="80" workbookViewId="0">
      <selection activeCell="B2" sqref="B2"/>
    </sheetView>
  </sheetViews>
  <sheetFormatPr defaultRowHeight="12.75" x14ac:dyDescent="0.2"/>
  <cols>
    <col min="1" max="1" width="2.42578125" style="6" customWidth="1"/>
    <col min="2" max="3" width="2.7109375" style="6" customWidth="1"/>
    <col min="4" max="4" width="10.7109375" style="9" customWidth="1"/>
    <col min="5" max="5" width="21.7109375" style="9" customWidth="1"/>
    <col min="6" max="6" width="17.85546875" style="9" customWidth="1"/>
    <col min="7" max="7" width="8.85546875" style="130" customWidth="1"/>
    <col min="8" max="8" width="8.85546875" style="175" customWidth="1"/>
    <col min="9" max="9" width="8.85546875" style="130" customWidth="1"/>
    <col min="10" max="10" width="10" style="130" customWidth="1"/>
    <col min="11" max="11" width="9.85546875" style="176" customWidth="1"/>
    <col min="12" max="12" width="2.28515625" style="705" customWidth="1"/>
    <col min="13" max="13" width="10.42578125" style="177" customWidth="1"/>
    <col min="14" max="14" width="11" style="6" customWidth="1"/>
    <col min="15" max="17" width="10.7109375" style="6" customWidth="1"/>
    <col min="18" max="18" width="13" style="6" customWidth="1"/>
    <col min="19" max="19" width="10.7109375" style="6" customWidth="1"/>
    <col min="20" max="20" width="12.7109375" style="178" customWidth="1"/>
    <col min="21" max="21" width="12" style="179" customWidth="1"/>
    <col min="22" max="22" width="3" style="6" customWidth="1"/>
    <col min="23" max="23" width="2.7109375" style="6" customWidth="1"/>
    <col min="24" max="24" width="4.140625" style="6" customWidth="1"/>
    <col min="25" max="28" width="8.7109375" style="6" customWidth="1"/>
    <col min="29" max="29" width="8.7109375" style="130" customWidth="1"/>
    <col min="30" max="30" width="10.5703125" style="181" customWidth="1"/>
    <col min="31" max="31" width="9.85546875" style="6" customWidth="1"/>
    <col min="32" max="32" width="8.140625" style="6" customWidth="1"/>
    <col min="33" max="33" width="8.85546875" style="6" customWidth="1"/>
    <col min="34" max="34" width="9.28515625" style="6" customWidth="1"/>
    <col min="35" max="35" width="8.85546875" style="6" customWidth="1"/>
    <col min="36" max="36" width="8.140625" style="6" customWidth="1"/>
    <col min="37" max="37" width="9.85546875" style="6" customWidth="1"/>
    <col min="38" max="38" width="9.28515625" style="130" customWidth="1"/>
    <col min="39" max="39" width="12.7109375" style="181" customWidth="1"/>
    <col min="40" max="40" width="12.7109375" style="6" customWidth="1"/>
    <col min="41" max="41" width="1.5703125" style="6" customWidth="1"/>
    <col min="42" max="43" width="10.7109375" style="6" customWidth="1"/>
    <col min="44" max="45" width="2.7109375" style="6" customWidth="1"/>
    <col min="46" max="51" width="9.28515625" style="6" bestFit="1" customWidth="1"/>
    <col min="52" max="16384" width="9.140625" style="6"/>
  </cols>
  <sheetData>
    <row r="1" spans="2:46" ht="12.75" customHeight="1" x14ac:dyDescent="0.2"/>
    <row r="2" spans="2:46" x14ac:dyDescent="0.2">
      <c r="B2" s="65"/>
      <c r="C2" s="18"/>
      <c r="D2" s="224"/>
      <c r="E2" s="224"/>
      <c r="F2" s="224"/>
      <c r="G2" s="133"/>
      <c r="H2" s="225"/>
      <c r="I2" s="133"/>
      <c r="J2" s="133"/>
      <c r="K2" s="226"/>
      <c r="L2" s="802"/>
      <c r="M2" s="227"/>
      <c r="N2" s="18"/>
      <c r="O2" s="18"/>
      <c r="P2" s="18"/>
      <c r="Q2" s="18"/>
      <c r="R2" s="18"/>
      <c r="S2" s="18"/>
      <c r="T2" s="228"/>
      <c r="U2" s="229"/>
      <c r="V2" s="18"/>
      <c r="W2" s="19"/>
    </row>
    <row r="3" spans="2:46" x14ac:dyDescent="0.2">
      <c r="B3" s="20"/>
      <c r="C3" s="21"/>
      <c r="D3" s="230"/>
      <c r="E3" s="230"/>
      <c r="F3" s="230"/>
      <c r="G3" s="23"/>
      <c r="H3" s="231"/>
      <c r="I3" s="23"/>
      <c r="J3" s="23"/>
      <c r="K3" s="232"/>
      <c r="L3" s="803"/>
      <c r="M3" s="233"/>
      <c r="N3" s="21"/>
      <c r="O3" s="21"/>
      <c r="P3" s="21"/>
      <c r="Q3" s="21"/>
      <c r="R3" s="21"/>
      <c r="S3" s="21"/>
      <c r="T3" s="234"/>
      <c r="U3" s="235"/>
      <c r="V3" s="21"/>
      <c r="W3" s="24"/>
    </row>
    <row r="4" spans="2:46" s="182" customFormat="1" ht="18.75" x14ac:dyDescent="0.3">
      <c r="B4" s="236"/>
      <c r="C4" s="49" t="s">
        <v>340</v>
      </c>
      <c r="D4" s="238"/>
      <c r="E4" s="239"/>
      <c r="F4" s="239"/>
      <c r="G4" s="240"/>
      <c r="H4" s="241"/>
      <c r="I4" s="240"/>
      <c r="J4" s="240"/>
      <c r="K4" s="242"/>
      <c r="L4" s="804"/>
      <c r="M4" s="243"/>
      <c r="N4" s="238"/>
      <c r="O4" s="238"/>
      <c r="P4" s="238"/>
      <c r="Q4" s="238"/>
      <c r="R4" s="238"/>
      <c r="S4" s="238"/>
      <c r="T4" s="244"/>
      <c r="U4" s="245"/>
      <c r="V4" s="238"/>
      <c r="W4" s="246"/>
      <c r="AD4" s="186"/>
      <c r="AI4" s="184"/>
      <c r="AJ4" s="183"/>
      <c r="AK4" s="185"/>
      <c r="AL4" s="187"/>
      <c r="AM4" s="184"/>
    </row>
    <row r="5" spans="2:46" s="188" customFormat="1" ht="18.75" x14ac:dyDescent="0.3">
      <c r="B5" s="247"/>
      <c r="C5" s="973" t="str">
        <f>'geg ll'!C5</f>
        <v>Voorbeeld SWV VO Alkmaar</v>
      </c>
      <c r="D5" s="248"/>
      <c r="E5" s="249"/>
      <c r="F5" s="249"/>
      <c r="G5" s="250"/>
      <c r="H5" s="251"/>
      <c r="I5" s="250"/>
      <c r="J5" s="250"/>
      <c r="K5" s="252"/>
      <c r="L5" s="805"/>
      <c r="M5" s="253"/>
      <c r="N5" s="248"/>
      <c r="O5" s="248"/>
      <c r="P5" s="248"/>
      <c r="Q5" s="248"/>
      <c r="R5" s="248"/>
      <c r="S5" s="248"/>
      <c r="T5" s="254"/>
      <c r="U5" s="255"/>
      <c r="V5" s="248"/>
      <c r="W5" s="256"/>
      <c r="AD5" s="192"/>
      <c r="AI5" s="190"/>
      <c r="AJ5" s="189"/>
      <c r="AK5" s="191"/>
      <c r="AL5" s="193"/>
      <c r="AM5" s="190"/>
    </row>
    <row r="6" spans="2:46" s="188" customFormat="1" ht="13.5" customHeight="1" x14ac:dyDescent="0.3">
      <c r="B6" s="247"/>
      <c r="C6" s="661"/>
      <c r="D6" s="248"/>
      <c r="E6" s="249"/>
      <c r="F6" s="249"/>
      <c r="G6" s="250"/>
      <c r="H6" s="251"/>
      <c r="I6" s="250"/>
      <c r="J6" s="250"/>
      <c r="K6" s="252"/>
      <c r="L6" s="805"/>
      <c r="M6" s="253"/>
      <c r="N6" s="248"/>
      <c r="O6" s="248"/>
      <c r="P6" s="248"/>
      <c r="Q6" s="248"/>
      <c r="R6" s="248"/>
      <c r="S6" s="248"/>
      <c r="T6" s="254"/>
      <c r="U6" s="255"/>
      <c r="V6" s="248"/>
      <c r="W6" s="662"/>
      <c r="AD6" s="192"/>
      <c r="AI6" s="190"/>
      <c r="AJ6" s="189"/>
      <c r="AK6" s="191"/>
      <c r="AL6" s="193"/>
      <c r="AM6" s="190"/>
    </row>
    <row r="7" spans="2:46" s="195" customFormat="1" ht="12.75" customHeight="1" x14ac:dyDescent="0.25">
      <c r="B7" s="257"/>
      <c r="C7" s="21" t="s">
        <v>87</v>
      </c>
      <c r="D7" s="230"/>
      <c r="E7" s="1097" t="s">
        <v>637</v>
      </c>
      <c r="F7" s="260"/>
      <c r="G7" s="261"/>
      <c r="H7" s="262"/>
      <c r="I7" s="263"/>
      <c r="J7" s="263"/>
      <c r="K7" s="264"/>
      <c r="L7" s="1012"/>
      <c r="M7" s="265"/>
      <c r="N7" s="258"/>
      <c r="O7" s="258"/>
      <c r="P7" s="258"/>
      <c r="Q7" s="258"/>
      <c r="R7" s="258"/>
      <c r="S7" s="258"/>
      <c r="T7" s="266"/>
      <c r="U7" s="267"/>
      <c r="V7" s="258"/>
      <c r="W7" s="268"/>
      <c r="AD7" s="199"/>
      <c r="AI7" s="197"/>
      <c r="AJ7" s="196"/>
      <c r="AK7" s="198"/>
      <c r="AL7" s="200"/>
      <c r="AM7" s="197"/>
    </row>
    <row r="8" spans="2:46" ht="12.75" customHeight="1" x14ac:dyDescent="0.2">
      <c r="B8" s="20"/>
      <c r="C8" s="21" t="s">
        <v>88</v>
      </c>
      <c r="D8" s="230"/>
      <c r="E8" s="269">
        <v>44835</v>
      </c>
      <c r="F8" s="47"/>
      <c r="G8" s="48"/>
      <c r="H8" s="270"/>
      <c r="I8" s="23"/>
      <c r="J8" s="23"/>
      <c r="K8" s="232"/>
      <c r="L8" s="1012"/>
      <c r="M8" s="233"/>
      <c r="N8" s="21"/>
      <c r="O8" s="21"/>
      <c r="P8" s="21"/>
      <c r="Q8" s="21"/>
      <c r="R8" s="21"/>
      <c r="S8" s="21"/>
      <c r="T8" s="234"/>
      <c r="U8" s="235"/>
      <c r="V8" s="21"/>
      <c r="W8" s="24"/>
      <c r="AC8" s="6"/>
      <c r="AD8" s="194"/>
      <c r="AI8" s="176"/>
      <c r="AJ8" s="130"/>
      <c r="AK8" s="177"/>
      <c r="AL8" s="14"/>
      <c r="AM8" s="176"/>
    </row>
    <row r="9" spans="2:46" ht="12.75" customHeight="1" x14ac:dyDescent="0.25">
      <c r="B9" s="20"/>
      <c r="C9" s="369" t="s">
        <v>337</v>
      </c>
      <c r="D9" s="259"/>
      <c r="E9" s="271"/>
      <c r="F9" s="47"/>
      <c r="G9" s="48"/>
      <c r="H9" s="270"/>
      <c r="I9" s="23"/>
      <c r="J9" s="23"/>
      <c r="K9" s="232"/>
      <c r="L9" s="1012"/>
      <c r="M9" s="233"/>
      <c r="N9" s="21"/>
      <c r="O9" s="21"/>
      <c r="P9" s="21"/>
      <c r="Q9" s="21"/>
      <c r="R9" s="21"/>
      <c r="S9" s="21"/>
      <c r="T9" s="234"/>
      <c r="U9" s="235"/>
      <c r="V9" s="21"/>
      <c r="W9" s="24"/>
      <c r="AC9" s="6"/>
      <c r="AD9" s="194"/>
      <c r="AI9" s="176"/>
      <c r="AJ9" s="130"/>
      <c r="AK9" s="177"/>
      <c r="AL9" s="14"/>
      <c r="AM9" s="176"/>
    </row>
    <row r="10" spans="2:46" ht="12.75" customHeight="1" x14ac:dyDescent="0.2">
      <c r="B10" s="20"/>
      <c r="C10" s="33"/>
      <c r="D10" s="145"/>
      <c r="E10" s="85"/>
      <c r="F10" s="145"/>
      <c r="G10" s="144"/>
      <c r="H10" s="151"/>
      <c r="I10" s="144"/>
      <c r="J10" s="144"/>
      <c r="K10" s="278"/>
      <c r="L10" s="677"/>
      <c r="M10" s="279"/>
      <c r="N10" s="33"/>
      <c r="O10" s="33"/>
      <c r="P10" s="33"/>
      <c r="Q10" s="33"/>
      <c r="R10" s="33"/>
      <c r="S10" s="33"/>
      <c r="T10" s="280"/>
      <c r="U10" s="281"/>
      <c r="V10" s="33"/>
      <c r="W10" s="24"/>
      <c r="X10" s="682"/>
      <c r="AC10" s="682"/>
      <c r="AD10" s="809"/>
      <c r="AE10" s="682"/>
      <c r="AF10" s="682"/>
      <c r="AG10" s="682"/>
      <c r="AH10" s="682"/>
      <c r="AI10" s="794"/>
      <c r="AJ10" s="705"/>
      <c r="AK10" s="792"/>
      <c r="AL10" s="810"/>
      <c r="AM10" s="176"/>
    </row>
    <row r="11" spans="2:46" s="165" customFormat="1" ht="12.75" customHeight="1" x14ac:dyDescent="0.2">
      <c r="B11" s="166"/>
      <c r="C11" s="282"/>
      <c r="D11" s="790" t="s">
        <v>89</v>
      </c>
      <c r="E11" s="791"/>
      <c r="F11" s="791"/>
      <c r="G11" s="791"/>
      <c r="H11" s="791"/>
      <c r="I11" s="791"/>
      <c r="J11" s="791"/>
      <c r="K11" s="791"/>
      <c r="L11" s="795"/>
      <c r="M11" s="819" t="s">
        <v>449</v>
      </c>
      <c r="N11" s="820"/>
      <c r="O11" s="821"/>
      <c r="P11" s="821"/>
      <c r="Q11" s="820"/>
      <c r="R11" s="822" t="s">
        <v>450</v>
      </c>
      <c r="S11" s="823"/>
      <c r="T11" s="823"/>
      <c r="U11" s="823"/>
      <c r="V11" s="824"/>
      <c r="W11" s="825"/>
      <c r="X11" s="826"/>
      <c r="Y11" s="827"/>
      <c r="Z11" s="828"/>
      <c r="AA11" s="828"/>
      <c r="AB11" s="829"/>
      <c r="AC11" s="827"/>
      <c r="AD11" s="829"/>
      <c r="AE11" s="827"/>
      <c r="AF11" s="830"/>
      <c r="AG11" s="830"/>
      <c r="AH11" s="831"/>
      <c r="AI11" s="832"/>
      <c r="AJ11" s="831"/>
      <c r="AK11" s="833"/>
      <c r="AL11" s="833"/>
      <c r="AN11" s="202"/>
      <c r="AO11" s="202"/>
    </row>
    <row r="12" spans="2:46" s="165" customFormat="1" ht="12.75" customHeight="1" x14ac:dyDescent="0.2">
      <c r="B12" s="166"/>
      <c r="C12" s="282"/>
      <c r="D12" s="295" t="s">
        <v>90</v>
      </c>
      <c r="E12" s="295" t="s">
        <v>91</v>
      </c>
      <c r="F12" s="295" t="s">
        <v>92</v>
      </c>
      <c r="G12" s="296" t="s">
        <v>93</v>
      </c>
      <c r="H12" s="297" t="s">
        <v>94</v>
      </c>
      <c r="I12" s="296" t="s">
        <v>61</v>
      </c>
      <c r="J12" s="296" t="s">
        <v>95</v>
      </c>
      <c r="K12" s="298" t="s">
        <v>96</v>
      </c>
      <c r="L12" s="796"/>
      <c r="M12" s="834" t="s">
        <v>451</v>
      </c>
      <c r="N12" s="835" t="s">
        <v>452</v>
      </c>
      <c r="O12" s="836" t="s">
        <v>453</v>
      </c>
      <c r="P12" s="837" t="s">
        <v>454</v>
      </c>
      <c r="Q12" s="835" t="s">
        <v>455</v>
      </c>
      <c r="R12" s="836" t="s">
        <v>97</v>
      </c>
      <c r="S12" s="834" t="s">
        <v>456</v>
      </c>
      <c r="T12" s="834" t="s">
        <v>457</v>
      </c>
      <c r="U12" s="834" t="s">
        <v>97</v>
      </c>
      <c r="V12" s="838"/>
      <c r="W12" s="839"/>
      <c r="X12" s="840"/>
      <c r="Y12" s="841"/>
      <c r="Z12" s="842"/>
      <c r="AA12" s="842"/>
      <c r="AB12" s="845" t="s">
        <v>208</v>
      </c>
      <c r="AC12" s="846" t="s">
        <v>458</v>
      </c>
      <c r="AD12" s="847" t="s">
        <v>459</v>
      </c>
      <c r="AE12" s="847" t="s">
        <v>459</v>
      </c>
      <c r="AF12" s="847" t="s">
        <v>460</v>
      </c>
      <c r="AG12" s="847" t="s">
        <v>455</v>
      </c>
      <c r="AH12" s="847" t="s">
        <v>461</v>
      </c>
      <c r="AI12" s="847" t="s">
        <v>462</v>
      </c>
      <c r="AJ12" s="847" t="s">
        <v>463</v>
      </c>
      <c r="AK12" s="847" t="s">
        <v>99</v>
      </c>
      <c r="AL12" s="751" t="s">
        <v>221</v>
      </c>
      <c r="AN12" s="202"/>
      <c r="AO12" s="204"/>
    </row>
    <row r="13" spans="2:46" s="165" customFormat="1" ht="12.75" customHeight="1" x14ac:dyDescent="0.2">
      <c r="B13" s="166"/>
      <c r="C13" s="282"/>
      <c r="D13" s="300"/>
      <c r="E13" s="295"/>
      <c r="F13" s="301"/>
      <c r="G13" s="296" t="s">
        <v>101</v>
      </c>
      <c r="H13" s="297" t="s">
        <v>102</v>
      </c>
      <c r="I13" s="296"/>
      <c r="J13" s="296"/>
      <c r="K13" s="298"/>
      <c r="L13" s="796"/>
      <c r="M13" s="843" t="s">
        <v>464</v>
      </c>
      <c r="N13" s="835" t="s">
        <v>465</v>
      </c>
      <c r="O13" s="836" t="s">
        <v>466</v>
      </c>
      <c r="P13" s="837" t="s">
        <v>44</v>
      </c>
      <c r="Q13" s="835" t="s">
        <v>467</v>
      </c>
      <c r="R13" s="836" t="s">
        <v>468</v>
      </c>
      <c r="S13" s="844" t="s">
        <v>469</v>
      </c>
      <c r="T13" s="844" t="s">
        <v>470</v>
      </c>
      <c r="U13" s="834" t="s">
        <v>44</v>
      </c>
      <c r="V13" s="838"/>
      <c r="W13" s="839"/>
      <c r="X13" s="840"/>
      <c r="Y13" s="833"/>
      <c r="Z13" s="842"/>
      <c r="AA13" s="842"/>
      <c r="AB13" s="847" t="s">
        <v>471</v>
      </c>
      <c r="AC13" s="848">
        <f>tab!$C$32</f>
        <v>0.60000000000000009</v>
      </c>
      <c r="AD13" s="847" t="s">
        <v>472</v>
      </c>
      <c r="AE13" s="847" t="s">
        <v>473</v>
      </c>
      <c r="AF13" s="847" t="s">
        <v>474</v>
      </c>
      <c r="AG13" s="847" t="s">
        <v>467</v>
      </c>
      <c r="AH13" s="847" t="s">
        <v>475</v>
      </c>
      <c r="AI13" s="847" t="s">
        <v>475</v>
      </c>
      <c r="AJ13" s="847" t="s">
        <v>476</v>
      </c>
      <c r="AK13" s="847"/>
      <c r="AL13" s="847" t="s">
        <v>98</v>
      </c>
      <c r="AO13" s="205"/>
    </row>
    <row r="14" spans="2:46" ht="12.75" customHeight="1" x14ac:dyDescent="0.2">
      <c r="B14" s="20"/>
      <c r="C14" s="33"/>
      <c r="D14" s="145"/>
      <c r="E14" s="145"/>
      <c r="F14" s="145"/>
      <c r="G14" s="144"/>
      <c r="H14" s="151"/>
      <c r="I14" s="164"/>
      <c r="J14" s="164"/>
      <c r="K14" s="283"/>
      <c r="L14" s="797"/>
      <c r="M14" s="283"/>
      <c r="N14" s="284"/>
      <c r="O14" s="285"/>
      <c r="P14" s="286"/>
      <c r="Q14" s="286"/>
      <c r="R14" s="286"/>
      <c r="S14" s="286"/>
      <c r="T14" s="287"/>
      <c r="U14" s="288"/>
      <c r="V14" s="284"/>
      <c r="W14" s="24"/>
      <c r="AC14" s="6"/>
      <c r="AD14" s="6"/>
      <c r="AL14" s="6"/>
      <c r="AM14" s="6"/>
      <c r="AO14" s="208"/>
    </row>
    <row r="15" spans="2:46" ht="12.75" customHeight="1" x14ac:dyDescent="0.2">
      <c r="B15" s="20"/>
      <c r="C15" s="33"/>
      <c r="D15" s="88"/>
      <c r="E15" s="917" t="s">
        <v>537</v>
      </c>
      <c r="F15" s="417" t="s">
        <v>538</v>
      </c>
      <c r="G15" s="853">
        <v>22</v>
      </c>
      <c r="H15" s="918">
        <v>25600</v>
      </c>
      <c r="I15" s="853">
        <v>12</v>
      </c>
      <c r="J15" s="853">
        <v>6</v>
      </c>
      <c r="K15" s="854">
        <v>1</v>
      </c>
      <c r="L15" s="798"/>
      <c r="M15" s="629">
        <v>0</v>
      </c>
      <c r="N15" s="881">
        <v>0</v>
      </c>
      <c r="O15" s="882">
        <f>IF(K15="","",K15*50)</f>
        <v>50</v>
      </c>
      <c r="P15" s="808">
        <f>SUM(M15:O15)</f>
        <v>50</v>
      </c>
      <c r="Q15" s="807">
        <v>0</v>
      </c>
      <c r="R15" s="304">
        <f>IF(K15="","",(1659*K15-P15)*AE15)</f>
        <v>75751.603616636537</v>
      </c>
      <c r="S15" s="304">
        <f>IF(K15="","",P15*AF15+AD15*(AH15+AI15*(1-AJ15)))</f>
        <v>2353.996383363472</v>
      </c>
      <c r="T15" s="305">
        <f>ROUND(IF(K15="",0,+Q15/1659*(AB15*12*(1+tab!C$44+tab!C$45)-tab!C43)*tab!C41),-1)</f>
        <v>0</v>
      </c>
      <c r="U15" s="818">
        <f>IF(K15="","",IF(E15=0,0,(R15+S15+T15)))</f>
        <v>78105.600000000006</v>
      </c>
      <c r="V15" s="289"/>
      <c r="W15" s="24"/>
      <c r="AB15" s="812">
        <f t="shared" ref="AB15:AB34" si="0">IF(I15="","",VLOOKUP(I15,saltab2022,J15+1,FALSE))</f>
        <v>4068</v>
      </c>
      <c r="AC15" s="848">
        <f>AC$13</f>
        <v>0.60000000000000009</v>
      </c>
      <c r="AD15" s="811">
        <f>AB15*12/1659</f>
        <v>29.424954792043401</v>
      </c>
      <c r="AE15" s="811">
        <f>AB15*12*(1+AC15)/1659</f>
        <v>47.079927667269445</v>
      </c>
      <c r="AF15" s="811">
        <f>+AE15-AD15</f>
        <v>17.654972875226044</v>
      </c>
      <c r="AG15" s="14">
        <f>Q15</f>
        <v>0</v>
      </c>
      <c r="AH15" s="813">
        <f>O15</f>
        <v>50</v>
      </c>
      <c r="AI15" s="14">
        <f>(M15+N15)</f>
        <v>0</v>
      </c>
      <c r="AJ15" s="814">
        <f>IF(I15&gt;8,50%,40%)</f>
        <v>0.5</v>
      </c>
      <c r="AK15" s="6">
        <f>IF(G15&lt;25,0,IF(G15=25,25,IF(G15&lt;40,0,IF(G15=40,40,IF(G15&gt;=40,0)))))</f>
        <v>0</v>
      </c>
      <c r="AL15" s="815">
        <f>IF(AK15=25,AB15*1.08*K15/2,IF(AK15=40,AB15*1.08*K15,0))</f>
        <v>0</v>
      </c>
      <c r="AT15" s="15" t="s">
        <v>49</v>
      </c>
    </row>
    <row r="16" spans="2:46" ht="12.75" customHeight="1" x14ac:dyDescent="0.2">
      <c r="B16" s="20"/>
      <c r="C16" s="33"/>
      <c r="D16" s="88"/>
      <c r="E16" s="124"/>
      <c r="F16" s="417"/>
      <c r="G16" s="125"/>
      <c r="H16" s="919"/>
      <c r="I16" s="853"/>
      <c r="J16" s="125"/>
      <c r="K16" s="920"/>
      <c r="L16" s="798"/>
      <c r="M16" s="629">
        <v>0</v>
      </c>
      <c r="N16" s="881">
        <v>0</v>
      </c>
      <c r="O16" s="882" t="str">
        <f t="shared" ref="O16:O34" si="1">IF(K16="","",K16*50)</f>
        <v/>
      </c>
      <c r="P16" s="808">
        <f t="shared" ref="P16:P34" si="2">SUM(M16:O16)</f>
        <v>0</v>
      </c>
      <c r="Q16" s="807">
        <v>0</v>
      </c>
      <c r="R16" s="304" t="str">
        <f t="shared" ref="R16:R34" si="3">IF(K16="","",(1659*K16-P16)*AE16)</f>
        <v/>
      </c>
      <c r="S16" s="304" t="str">
        <f t="shared" ref="S16:S34" si="4">IF(K16="","",P16*AF16+AD16*(AH16+AI16*(1-AJ16)))</f>
        <v/>
      </c>
      <c r="T16" s="305">
        <f>ROUND(IF(K16="",0,+Q16/1659*(AB16*12*(1+tab!#REF!+tab!#REF!)-tab!#REF!)*tab!#REF!),-1)</f>
        <v>0</v>
      </c>
      <c r="U16" s="818" t="str">
        <f t="shared" ref="U16:U34" si="5">IF(K16="","",IF(E16=0,0,(R16+S16+T16)))</f>
        <v/>
      </c>
      <c r="V16" s="289"/>
      <c r="W16" s="24"/>
      <c r="AB16" s="812" t="str">
        <f t="shared" si="0"/>
        <v/>
      </c>
      <c r="AC16" s="848">
        <f t="shared" ref="AC16:AC34" si="6">AC$13</f>
        <v>0.60000000000000009</v>
      </c>
      <c r="AD16" s="811" t="e">
        <f t="shared" ref="AD16:AD34" si="7">AB16*12/1659</f>
        <v>#VALUE!</v>
      </c>
      <c r="AE16" s="811" t="e">
        <f t="shared" ref="AE16:AE34" si="8">AB16*12*(1+AC16)/1659</f>
        <v>#VALUE!</v>
      </c>
      <c r="AF16" s="811" t="e">
        <f t="shared" ref="AF16:AF34" si="9">+AE16-AD16</f>
        <v>#VALUE!</v>
      </c>
      <c r="AG16" s="14">
        <f t="shared" ref="AG16:AG34" si="10">Q16</f>
        <v>0</v>
      </c>
      <c r="AH16" s="813" t="str">
        <f t="shared" ref="AH16:AH34" si="11">O16</f>
        <v/>
      </c>
      <c r="AI16" s="14">
        <f t="shared" ref="AI16:AI34" si="12">(M16+N16)</f>
        <v>0</v>
      </c>
      <c r="AJ16" s="814">
        <f t="shared" ref="AJ16:AJ34" si="13">IF(I16&gt;8,50%,40%)</f>
        <v>0.4</v>
      </c>
      <c r="AK16" s="6">
        <f t="shared" ref="AK16:AK34" si="14">IF(G16&lt;25,0,IF(G16=25,25,IF(G16&lt;40,0,IF(G16=40,40,IF(G16&gt;=40,0)))))</f>
        <v>0</v>
      </c>
      <c r="AL16" s="815">
        <f t="shared" ref="AL16:AL34" si="15">IF(AK16=25,AB16*1.08*K16/2,IF(AK16=40,AB16*1.08*K16,0))</f>
        <v>0</v>
      </c>
      <c r="AT16" s="15" t="s">
        <v>50</v>
      </c>
    </row>
    <row r="17" spans="2:46" ht="12.75" customHeight="1" x14ac:dyDescent="0.2">
      <c r="B17" s="20"/>
      <c r="C17" s="33"/>
      <c r="D17" s="88"/>
      <c r="E17" s="124"/>
      <c r="F17" s="417"/>
      <c r="G17" s="125"/>
      <c r="H17" s="919"/>
      <c r="I17" s="853"/>
      <c r="J17" s="125"/>
      <c r="K17" s="920"/>
      <c r="L17" s="798"/>
      <c r="M17" s="629">
        <v>0</v>
      </c>
      <c r="N17" s="881">
        <v>0</v>
      </c>
      <c r="O17" s="882" t="str">
        <f t="shared" si="1"/>
        <v/>
      </c>
      <c r="P17" s="808">
        <f t="shared" si="2"/>
        <v>0</v>
      </c>
      <c r="Q17" s="807">
        <v>0</v>
      </c>
      <c r="R17" s="304" t="str">
        <f t="shared" si="3"/>
        <v/>
      </c>
      <c r="S17" s="304" t="str">
        <f t="shared" si="4"/>
        <v/>
      </c>
      <c r="T17" s="305">
        <f>ROUND(IF(K17="",0,+Q17/1659*(AB17*12*(1+tab!#REF!+tab!#REF!)-tab!#REF!)*tab!#REF!),-1)</f>
        <v>0</v>
      </c>
      <c r="U17" s="818" t="str">
        <f t="shared" si="5"/>
        <v/>
      </c>
      <c r="V17" s="289"/>
      <c r="W17" s="24"/>
      <c r="AB17" s="812" t="str">
        <f t="shared" si="0"/>
        <v/>
      </c>
      <c r="AC17" s="848">
        <f t="shared" si="6"/>
        <v>0.60000000000000009</v>
      </c>
      <c r="AD17" s="811" t="e">
        <f t="shared" si="7"/>
        <v>#VALUE!</v>
      </c>
      <c r="AE17" s="811" t="e">
        <f t="shared" si="8"/>
        <v>#VALUE!</v>
      </c>
      <c r="AF17" s="811" t="e">
        <f t="shared" si="9"/>
        <v>#VALUE!</v>
      </c>
      <c r="AG17" s="14">
        <f t="shared" si="10"/>
        <v>0</v>
      </c>
      <c r="AH17" s="813" t="str">
        <f t="shared" si="11"/>
        <v/>
      </c>
      <c r="AI17" s="14">
        <f t="shared" si="12"/>
        <v>0</v>
      </c>
      <c r="AJ17" s="814">
        <f t="shared" si="13"/>
        <v>0.4</v>
      </c>
      <c r="AK17" s="6">
        <f t="shared" si="14"/>
        <v>0</v>
      </c>
      <c r="AL17" s="815">
        <f t="shared" si="15"/>
        <v>0</v>
      </c>
      <c r="AT17" s="15" t="s">
        <v>51</v>
      </c>
    </row>
    <row r="18" spans="2:46" ht="12.75" customHeight="1" x14ac:dyDescent="0.2">
      <c r="B18" s="20"/>
      <c r="C18" s="33"/>
      <c r="D18" s="88"/>
      <c r="E18" s="124"/>
      <c r="F18" s="417"/>
      <c r="G18" s="125"/>
      <c r="H18" s="919"/>
      <c r="I18" s="853"/>
      <c r="J18" s="125"/>
      <c r="K18" s="920"/>
      <c r="L18" s="798"/>
      <c r="M18" s="629">
        <v>0</v>
      </c>
      <c r="N18" s="881">
        <v>0</v>
      </c>
      <c r="O18" s="882" t="str">
        <f t="shared" si="1"/>
        <v/>
      </c>
      <c r="P18" s="808">
        <f t="shared" si="2"/>
        <v>0</v>
      </c>
      <c r="Q18" s="807">
        <v>0</v>
      </c>
      <c r="R18" s="304" t="str">
        <f t="shared" si="3"/>
        <v/>
      </c>
      <c r="S18" s="304" t="str">
        <f t="shared" si="4"/>
        <v/>
      </c>
      <c r="T18" s="305">
        <f>ROUND(IF(K18="",0,+Q18/1659*(AB18*12*(1+tab!#REF!+tab!#REF!)-tab!#REF!)*tab!#REF!),-1)</f>
        <v>0</v>
      </c>
      <c r="U18" s="818" t="str">
        <f t="shared" si="5"/>
        <v/>
      </c>
      <c r="V18" s="289"/>
      <c r="W18" s="24"/>
      <c r="AB18" s="812" t="str">
        <f t="shared" si="0"/>
        <v/>
      </c>
      <c r="AC18" s="848">
        <f t="shared" si="6"/>
        <v>0.60000000000000009</v>
      </c>
      <c r="AD18" s="811" t="e">
        <f t="shared" si="7"/>
        <v>#VALUE!</v>
      </c>
      <c r="AE18" s="811" t="e">
        <f t="shared" si="8"/>
        <v>#VALUE!</v>
      </c>
      <c r="AF18" s="811" t="e">
        <f t="shared" si="9"/>
        <v>#VALUE!</v>
      </c>
      <c r="AG18" s="14">
        <f t="shared" si="10"/>
        <v>0</v>
      </c>
      <c r="AH18" s="813" t="str">
        <f t="shared" si="11"/>
        <v/>
      </c>
      <c r="AI18" s="14">
        <f t="shared" si="12"/>
        <v>0</v>
      </c>
      <c r="AJ18" s="814">
        <f t="shared" si="13"/>
        <v>0.4</v>
      </c>
      <c r="AK18" s="6">
        <f t="shared" si="14"/>
        <v>0</v>
      </c>
      <c r="AL18" s="815">
        <f t="shared" si="15"/>
        <v>0</v>
      </c>
      <c r="AT18" s="15" t="s">
        <v>52</v>
      </c>
    </row>
    <row r="19" spans="2:46" ht="12.75" customHeight="1" x14ac:dyDescent="0.2">
      <c r="B19" s="20"/>
      <c r="C19" s="33"/>
      <c r="D19" s="88"/>
      <c r="E19" s="124"/>
      <c r="F19" s="417"/>
      <c r="G19" s="125"/>
      <c r="H19" s="919"/>
      <c r="I19" s="853"/>
      <c r="J19" s="125"/>
      <c r="K19" s="920"/>
      <c r="L19" s="798"/>
      <c r="M19" s="629">
        <v>0</v>
      </c>
      <c r="N19" s="881">
        <v>0</v>
      </c>
      <c r="O19" s="882" t="str">
        <f t="shared" si="1"/>
        <v/>
      </c>
      <c r="P19" s="808">
        <f t="shared" si="2"/>
        <v>0</v>
      </c>
      <c r="Q19" s="807">
        <v>0</v>
      </c>
      <c r="R19" s="304" t="str">
        <f t="shared" si="3"/>
        <v/>
      </c>
      <c r="S19" s="304" t="str">
        <f t="shared" si="4"/>
        <v/>
      </c>
      <c r="T19" s="305">
        <f>ROUND(IF(K19="",0,+Q19/1659*(AB19*12*(1+tab!#REF!+tab!#REF!)-tab!#REF!)*tab!#REF!),-1)</f>
        <v>0</v>
      </c>
      <c r="U19" s="818" t="str">
        <f t="shared" si="5"/>
        <v/>
      </c>
      <c r="V19" s="289"/>
      <c r="W19" s="24"/>
      <c r="AB19" s="812" t="str">
        <f t="shared" si="0"/>
        <v/>
      </c>
      <c r="AC19" s="848">
        <f t="shared" si="6"/>
        <v>0.60000000000000009</v>
      </c>
      <c r="AD19" s="811" t="e">
        <f t="shared" si="7"/>
        <v>#VALUE!</v>
      </c>
      <c r="AE19" s="811" t="e">
        <f t="shared" si="8"/>
        <v>#VALUE!</v>
      </c>
      <c r="AF19" s="811" t="e">
        <f t="shared" si="9"/>
        <v>#VALUE!</v>
      </c>
      <c r="AG19" s="14">
        <f t="shared" si="10"/>
        <v>0</v>
      </c>
      <c r="AH19" s="813" t="str">
        <f t="shared" si="11"/>
        <v/>
      </c>
      <c r="AI19" s="14">
        <f t="shared" si="12"/>
        <v>0</v>
      </c>
      <c r="AJ19" s="814">
        <f t="shared" si="13"/>
        <v>0.4</v>
      </c>
      <c r="AK19" s="6">
        <f t="shared" si="14"/>
        <v>0</v>
      </c>
      <c r="AL19" s="815">
        <f t="shared" si="15"/>
        <v>0</v>
      </c>
      <c r="AT19" s="15" t="s">
        <v>53</v>
      </c>
    </row>
    <row r="20" spans="2:46" ht="12.75" customHeight="1" x14ac:dyDescent="0.2">
      <c r="B20" s="20"/>
      <c r="C20" s="33"/>
      <c r="D20" s="88"/>
      <c r="E20" s="124"/>
      <c r="F20" s="417"/>
      <c r="G20" s="125"/>
      <c r="H20" s="919"/>
      <c r="I20" s="853"/>
      <c r="J20" s="125"/>
      <c r="K20" s="920"/>
      <c r="L20" s="798"/>
      <c r="M20" s="629">
        <v>0</v>
      </c>
      <c r="N20" s="881">
        <v>0</v>
      </c>
      <c r="O20" s="882" t="str">
        <f t="shared" si="1"/>
        <v/>
      </c>
      <c r="P20" s="808">
        <f t="shared" si="2"/>
        <v>0</v>
      </c>
      <c r="Q20" s="807">
        <v>0</v>
      </c>
      <c r="R20" s="304" t="str">
        <f t="shared" si="3"/>
        <v/>
      </c>
      <c r="S20" s="304" t="str">
        <f t="shared" si="4"/>
        <v/>
      </c>
      <c r="T20" s="305">
        <f>ROUND(IF(K20="",0,+Q20/1659*(AB20*12*(1+tab!#REF!+tab!#REF!)-tab!#REF!)*tab!#REF!),-1)</f>
        <v>0</v>
      </c>
      <c r="U20" s="818" t="str">
        <f t="shared" si="5"/>
        <v/>
      </c>
      <c r="V20" s="289"/>
      <c r="W20" s="24"/>
      <c r="AB20" s="812" t="str">
        <f t="shared" si="0"/>
        <v/>
      </c>
      <c r="AC20" s="848">
        <f t="shared" si="6"/>
        <v>0.60000000000000009</v>
      </c>
      <c r="AD20" s="811" t="e">
        <f t="shared" si="7"/>
        <v>#VALUE!</v>
      </c>
      <c r="AE20" s="811" t="e">
        <f t="shared" si="8"/>
        <v>#VALUE!</v>
      </c>
      <c r="AF20" s="811" t="e">
        <f t="shared" si="9"/>
        <v>#VALUE!</v>
      </c>
      <c r="AG20" s="14">
        <f t="shared" si="10"/>
        <v>0</v>
      </c>
      <c r="AH20" s="813" t="str">
        <f t="shared" si="11"/>
        <v/>
      </c>
      <c r="AI20" s="14">
        <f t="shared" si="12"/>
        <v>0</v>
      </c>
      <c r="AJ20" s="814">
        <f t="shared" si="13"/>
        <v>0.4</v>
      </c>
      <c r="AK20" s="6">
        <f t="shared" si="14"/>
        <v>0</v>
      </c>
      <c r="AL20" s="815">
        <f t="shared" si="15"/>
        <v>0</v>
      </c>
      <c r="AT20" s="15" t="s">
        <v>54</v>
      </c>
    </row>
    <row r="21" spans="2:46" ht="12.75" customHeight="1" x14ac:dyDescent="0.2">
      <c r="B21" s="20"/>
      <c r="C21" s="33"/>
      <c r="D21" s="88"/>
      <c r="E21" s="124"/>
      <c r="F21" s="417"/>
      <c r="G21" s="125"/>
      <c r="H21" s="919"/>
      <c r="I21" s="853"/>
      <c r="J21" s="125"/>
      <c r="K21" s="920"/>
      <c r="L21" s="798"/>
      <c r="M21" s="629">
        <v>0</v>
      </c>
      <c r="N21" s="881">
        <v>0</v>
      </c>
      <c r="O21" s="882" t="str">
        <f t="shared" si="1"/>
        <v/>
      </c>
      <c r="P21" s="808">
        <f t="shared" si="2"/>
        <v>0</v>
      </c>
      <c r="Q21" s="807">
        <v>0</v>
      </c>
      <c r="R21" s="304" t="str">
        <f t="shared" si="3"/>
        <v/>
      </c>
      <c r="S21" s="304" t="str">
        <f t="shared" si="4"/>
        <v/>
      </c>
      <c r="T21" s="305">
        <f>ROUND(IF(K21="",0,+Q21/1659*(AB21*12*(1+tab!#REF!+tab!#REF!)-tab!#REF!)*tab!#REF!),-1)</f>
        <v>0</v>
      </c>
      <c r="U21" s="818" t="str">
        <f t="shared" si="5"/>
        <v/>
      </c>
      <c r="V21" s="289"/>
      <c r="W21" s="24"/>
      <c r="AB21" s="812" t="str">
        <f t="shared" si="0"/>
        <v/>
      </c>
      <c r="AC21" s="848">
        <f t="shared" si="6"/>
        <v>0.60000000000000009</v>
      </c>
      <c r="AD21" s="811" t="e">
        <f t="shared" si="7"/>
        <v>#VALUE!</v>
      </c>
      <c r="AE21" s="811" t="e">
        <f t="shared" si="8"/>
        <v>#VALUE!</v>
      </c>
      <c r="AF21" s="811" t="e">
        <f t="shared" si="9"/>
        <v>#VALUE!</v>
      </c>
      <c r="AG21" s="14">
        <f t="shared" si="10"/>
        <v>0</v>
      </c>
      <c r="AH21" s="813" t="str">
        <f t="shared" si="11"/>
        <v/>
      </c>
      <c r="AI21" s="14">
        <f t="shared" si="12"/>
        <v>0</v>
      </c>
      <c r="AJ21" s="814">
        <f t="shared" si="13"/>
        <v>0.4</v>
      </c>
      <c r="AK21" s="6">
        <f t="shared" si="14"/>
        <v>0</v>
      </c>
      <c r="AL21" s="815">
        <f t="shared" si="15"/>
        <v>0</v>
      </c>
      <c r="AT21" s="15" t="s">
        <v>55</v>
      </c>
    </row>
    <row r="22" spans="2:46" ht="12.75" customHeight="1" x14ac:dyDescent="0.2">
      <c r="B22" s="20"/>
      <c r="C22" s="33"/>
      <c r="D22" s="88"/>
      <c r="E22" s="852"/>
      <c r="F22" s="417"/>
      <c r="G22" s="125"/>
      <c r="H22" s="919"/>
      <c r="I22" s="853"/>
      <c r="J22" s="125"/>
      <c r="K22" s="920"/>
      <c r="L22" s="798"/>
      <c r="M22" s="629">
        <v>0</v>
      </c>
      <c r="N22" s="881">
        <v>0</v>
      </c>
      <c r="O22" s="882" t="str">
        <f t="shared" si="1"/>
        <v/>
      </c>
      <c r="P22" s="808">
        <f t="shared" si="2"/>
        <v>0</v>
      </c>
      <c r="Q22" s="807">
        <v>0</v>
      </c>
      <c r="R22" s="304" t="str">
        <f t="shared" si="3"/>
        <v/>
      </c>
      <c r="S22" s="304" t="str">
        <f t="shared" si="4"/>
        <v/>
      </c>
      <c r="T22" s="305">
        <f>ROUND(IF(K22="",0,+Q22/1659*(AB22*12*(1+tab!#REF!+tab!#REF!)-tab!#REF!)*tab!#REF!),-1)</f>
        <v>0</v>
      </c>
      <c r="U22" s="818" t="str">
        <f t="shared" si="5"/>
        <v/>
      </c>
      <c r="V22" s="289"/>
      <c r="W22" s="24"/>
      <c r="AB22" s="812" t="str">
        <f t="shared" si="0"/>
        <v/>
      </c>
      <c r="AC22" s="848">
        <f t="shared" si="6"/>
        <v>0.60000000000000009</v>
      </c>
      <c r="AD22" s="811" t="e">
        <f t="shared" si="7"/>
        <v>#VALUE!</v>
      </c>
      <c r="AE22" s="811" t="e">
        <f t="shared" si="8"/>
        <v>#VALUE!</v>
      </c>
      <c r="AF22" s="811" t="e">
        <f t="shared" si="9"/>
        <v>#VALUE!</v>
      </c>
      <c r="AG22" s="14">
        <f t="shared" si="10"/>
        <v>0</v>
      </c>
      <c r="AH22" s="813" t="str">
        <f t="shared" si="11"/>
        <v/>
      </c>
      <c r="AI22" s="14">
        <f t="shared" si="12"/>
        <v>0</v>
      </c>
      <c r="AJ22" s="814">
        <f t="shared" si="13"/>
        <v>0.4</v>
      </c>
      <c r="AK22" s="6">
        <f t="shared" si="14"/>
        <v>0</v>
      </c>
      <c r="AL22" s="815">
        <f t="shared" si="15"/>
        <v>0</v>
      </c>
      <c r="AT22" s="16">
        <v>11</v>
      </c>
    </row>
    <row r="23" spans="2:46" ht="12.75" customHeight="1" x14ac:dyDescent="0.2">
      <c r="B23" s="20"/>
      <c r="C23" s="33"/>
      <c r="D23" s="88"/>
      <c r="E23" s="124"/>
      <c r="F23" s="417"/>
      <c r="G23" s="125"/>
      <c r="H23" s="919"/>
      <c r="I23" s="853"/>
      <c r="J23" s="125"/>
      <c r="K23" s="920"/>
      <c r="L23" s="798"/>
      <c r="M23" s="629">
        <v>0</v>
      </c>
      <c r="N23" s="881">
        <v>0</v>
      </c>
      <c r="O23" s="882" t="str">
        <f t="shared" si="1"/>
        <v/>
      </c>
      <c r="P23" s="808">
        <f t="shared" si="2"/>
        <v>0</v>
      </c>
      <c r="Q23" s="807">
        <v>0</v>
      </c>
      <c r="R23" s="304" t="str">
        <f t="shared" si="3"/>
        <v/>
      </c>
      <c r="S23" s="304" t="str">
        <f t="shared" si="4"/>
        <v/>
      </c>
      <c r="T23" s="305">
        <f>ROUND(IF(K23="",0,+Q23/1659*(AB23*12*(1+tab!#REF!+tab!#REF!)-tab!#REF!)*tab!#REF!),-1)</f>
        <v>0</v>
      </c>
      <c r="U23" s="818" t="str">
        <f t="shared" si="5"/>
        <v/>
      </c>
      <c r="V23" s="289"/>
      <c r="W23" s="24"/>
      <c r="AB23" s="812" t="str">
        <f t="shared" si="0"/>
        <v/>
      </c>
      <c r="AC23" s="848">
        <f t="shared" si="6"/>
        <v>0.60000000000000009</v>
      </c>
      <c r="AD23" s="811" t="e">
        <f t="shared" si="7"/>
        <v>#VALUE!</v>
      </c>
      <c r="AE23" s="811" t="e">
        <f t="shared" si="8"/>
        <v>#VALUE!</v>
      </c>
      <c r="AF23" s="811" t="e">
        <f t="shared" si="9"/>
        <v>#VALUE!</v>
      </c>
      <c r="AG23" s="14">
        <f t="shared" si="10"/>
        <v>0</v>
      </c>
      <c r="AH23" s="813" t="str">
        <f t="shared" si="11"/>
        <v/>
      </c>
      <c r="AI23" s="14">
        <f t="shared" si="12"/>
        <v>0</v>
      </c>
      <c r="AJ23" s="814">
        <f t="shared" si="13"/>
        <v>0.4</v>
      </c>
      <c r="AK23" s="6">
        <f t="shared" si="14"/>
        <v>0</v>
      </c>
      <c r="AL23" s="815">
        <f t="shared" si="15"/>
        <v>0</v>
      </c>
      <c r="AT23" s="16">
        <v>12</v>
      </c>
    </row>
    <row r="24" spans="2:46" ht="12.75" customHeight="1" x14ac:dyDescent="0.2">
      <c r="B24" s="20"/>
      <c r="C24" s="33"/>
      <c r="D24" s="88"/>
      <c r="E24" s="124"/>
      <c r="F24" s="124"/>
      <c r="G24" s="41"/>
      <c r="H24" s="302"/>
      <c r="I24" s="853"/>
      <c r="J24" s="41"/>
      <c r="K24" s="303"/>
      <c r="L24" s="798"/>
      <c r="M24" s="629">
        <v>0</v>
      </c>
      <c r="N24" s="881">
        <v>0</v>
      </c>
      <c r="O24" s="882" t="str">
        <f t="shared" si="1"/>
        <v/>
      </c>
      <c r="P24" s="808">
        <f t="shared" si="2"/>
        <v>0</v>
      </c>
      <c r="Q24" s="807">
        <v>0</v>
      </c>
      <c r="R24" s="304" t="str">
        <f t="shared" si="3"/>
        <v/>
      </c>
      <c r="S24" s="304" t="str">
        <f t="shared" si="4"/>
        <v/>
      </c>
      <c r="T24" s="305">
        <f>ROUND(IF(K24="",0,+Q24/1659*(AB24*12*(1+tab!#REF!+tab!#REF!)-tab!#REF!)*tab!#REF!),-1)</f>
        <v>0</v>
      </c>
      <c r="U24" s="818" t="str">
        <f t="shared" si="5"/>
        <v/>
      </c>
      <c r="V24" s="289"/>
      <c r="W24" s="24"/>
      <c r="AB24" s="812" t="str">
        <f t="shared" si="0"/>
        <v/>
      </c>
      <c r="AC24" s="848">
        <f t="shared" si="6"/>
        <v>0.60000000000000009</v>
      </c>
      <c r="AD24" s="811" t="e">
        <f t="shared" si="7"/>
        <v>#VALUE!</v>
      </c>
      <c r="AE24" s="811" t="e">
        <f t="shared" si="8"/>
        <v>#VALUE!</v>
      </c>
      <c r="AF24" s="811" t="e">
        <f t="shared" si="9"/>
        <v>#VALUE!</v>
      </c>
      <c r="AG24" s="14">
        <f t="shared" si="10"/>
        <v>0</v>
      </c>
      <c r="AH24" s="813" t="str">
        <f t="shared" si="11"/>
        <v/>
      </c>
      <c r="AI24" s="14">
        <f t="shared" si="12"/>
        <v>0</v>
      </c>
      <c r="AJ24" s="814">
        <f t="shared" si="13"/>
        <v>0.4</v>
      </c>
      <c r="AK24" s="6">
        <f t="shared" si="14"/>
        <v>0</v>
      </c>
      <c r="AL24" s="815">
        <f t="shared" si="15"/>
        <v>0</v>
      </c>
      <c r="AT24" s="16">
        <v>13</v>
      </c>
    </row>
    <row r="25" spans="2:46" ht="12.75" customHeight="1" x14ac:dyDescent="0.2">
      <c r="B25" s="20"/>
      <c r="C25" s="33"/>
      <c r="D25" s="88"/>
      <c r="E25" s="124"/>
      <c r="F25" s="124"/>
      <c r="G25" s="41"/>
      <c r="H25" s="302"/>
      <c r="I25" s="853"/>
      <c r="J25" s="41"/>
      <c r="K25" s="303"/>
      <c r="L25" s="798"/>
      <c r="M25" s="629">
        <v>0</v>
      </c>
      <c r="N25" s="881">
        <v>0</v>
      </c>
      <c r="O25" s="882" t="str">
        <f t="shared" si="1"/>
        <v/>
      </c>
      <c r="P25" s="808">
        <f t="shared" si="2"/>
        <v>0</v>
      </c>
      <c r="Q25" s="807">
        <v>0</v>
      </c>
      <c r="R25" s="304" t="str">
        <f t="shared" si="3"/>
        <v/>
      </c>
      <c r="S25" s="304" t="str">
        <f t="shared" si="4"/>
        <v/>
      </c>
      <c r="T25" s="305">
        <f>ROUND(IF(K25="",0,+Q25/1659*(AB25*12*(1+tab!#REF!+tab!#REF!)-tab!#REF!)*tab!#REF!),-1)</f>
        <v>0</v>
      </c>
      <c r="U25" s="818" t="str">
        <f t="shared" si="5"/>
        <v/>
      </c>
      <c r="V25" s="289"/>
      <c r="W25" s="24"/>
      <c r="AB25" s="812" t="str">
        <f t="shared" si="0"/>
        <v/>
      </c>
      <c r="AC25" s="848">
        <f t="shared" si="6"/>
        <v>0.60000000000000009</v>
      </c>
      <c r="AD25" s="811" t="e">
        <f t="shared" si="7"/>
        <v>#VALUE!</v>
      </c>
      <c r="AE25" s="811" t="e">
        <f t="shared" si="8"/>
        <v>#VALUE!</v>
      </c>
      <c r="AF25" s="811" t="e">
        <f t="shared" si="9"/>
        <v>#VALUE!</v>
      </c>
      <c r="AG25" s="14">
        <f t="shared" si="10"/>
        <v>0</v>
      </c>
      <c r="AH25" s="813" t="str">
        <f t="shared" si="11"/>
        <v/>
      </c>
      <c r="AI25" s="14">
        <f t="shared" si="12"/>
        <v>0</v>
      </c>
      <c r="AJ25" s="814">
        <f t="shared" si="13"/>
        <v>0.4</v>
      </c>
      <c r="AK25" s="6">
        <f t="shared" si="14"/>
        <v>0</v>
      </c>
      <c r="AL25" s="815">
        <f t="shared" si="15"/>
        <v>0</v>
      </c>
      <c r="AT25" s="16">
        <v>14</v>
      </c>
    </row>
    <row r="26" spans="2:46" ht="12.75" customHeight="1" x14ac:dyDescent="0.2">
      <c r="B26" s="20"/>
      <c r="C26" s="33"/>
      <c r="D26" s="88"/>
      <c r="E26" s="124"/>
      <c r="F26" s="124"/>
      <c r="G26" s="41"/>
      <c r="H26" s="302"/>
      <c r="I26" s="853"/>
      <c r="J26" s="41"/>
      <c r="K26" s="303"/>
      <c r="L26" s="798"/>
      <c r="M26" s="629">
        <v>0</v>
      </c>
      <c r="N26" s="881">
        <v>0</v>
      </c>
      <c r="O26" s="882" t="str">
        <f t="shared" si="1"/>
        <v/>
      </c>
      <c r="P26" s="808">
        <f t="shared" si="2"/>
        <v>0</v>
      </c>
      <c r="Q26" s="807">
        <v>0</v>
      </c>
      <c r="R26" s="304" t="str">
        <f t="shared" si="3"/>
        <v/>
      </c>
      <c r="S26" s="304" t="str">
        <f t="shared" si="4"/>
        <v/>
      </c>
      <c r="T26" s="305">
        <f>ROUND(IF(K26="",0,+Q26/1659*(AB26*12*(1+tab!#REF!+tab!#REF!)-tab!#REF!)*tab!#REF!),-1)</f>
        <v>0</v>
      </c>
      <c r="U26" s="818" t="str">
        <f t="shared" si="5"/>
        <v/>
      </c>
      <c r="V26" s="289"/>
      <c r="W26" s="24"/>
      <c r="AB26" s="812" t="str">
        <f t="shared" si="0"/>
        <v/>
      </c>
      <c r="AC26" s="848">
        <f t="shared" si="6"/>
        <v>0.60000000000000009</v>
      </c>
      <c r="AD26" s="811" t="e">
        <f t="shared" si="7"/>
        <v>#VALUE!</v>
      </c>
      <c r="AE26" s="811" t="e">
        <f t="shared" si="8"/>
        <v>#VALUE!</v>
      </c>
      <c r="AF26" s="811" t="e">
        <f t="shared" si="9"/>
        <v>#VALUE!</v>
      </c>
      <c r="AG26" s="14">
        <f t="shared" si="10"/>
        <v>0</v>
      </c>
      <c r="AH26" s="813" t="str">
        <f t="shared" si="11"/>
        <v/>
      </c>
      <c r="AI26" s="14">
        <f t="shared" si="12"/>
        <v>0</v>
      </c>
      <c r="AJ26" s="814">
        <f t="shared" si="13"/>
        <v>0.4</v>
      </c>
      <c r="AK26" s="6">
        <f t="shared" si="14"/>
        <v>0</v>
      </c>
      <c r="AL26" s="815">
        <f t="shared" si="15"/>
        <v>0</v>
      </c>
      <c r="AT26" s="16" t="s">
        <v>60</v>
      </c>
    </row>
    <row r="27" spans="2:46" ht="12.75" customHeight="1" x14ac:dyDescent="0.2">
      <c r="B27" s="20"/>
      <c r="C27" s="33"/>
      <c r="D27" s="88"/>
      <c r="E27" s="124"/>
      <c r="F27" s="124"/>
      <c r="G27" s="41"/>
      <c r="H27" s="302"/>
      <c r="I27" s="853"/>
      <c r="J27" s="41"/>
      <c r="K27" s="303"/>
      <c r="L27" s="798"/>
      <c r="M27" s="629">
        <v>0</v>
      </c>
      <c r="N27" s="881">
        <v>0</v>
      </c>
      <c r="O27" s="882" t="str">
        <f t="shared" si="1"/>
        <v/>
      </c>
      <c r="P27" s="808">
        <f t="shared" si="2"/>
        <v>0</v>
      </c>
      <c r="Q27" s="807">
        <v>0</v>
      </c>
      <c r="R27" s="304" t="str">
        <f t="shared" si="3"/>
        <v/>
      </c>
      <c r="S27" s="304" t="str">
        <f t="shared" si="4"/>
        <v/>
      </c>
      <c r="T27" s="305">
        <f>ROUND(IF(K27="",0,+Q27/1659*(AB27*12*(1+tab!#REF!+tab!#REF!)-tab!#REF!)*tab!#REF!),-1)</f>
        <v>0</v>
      </c>
      <c r="U27" s="818" t="str">
        <f t="shared" si="5"/>
        <v/>
      </c>
      <c r="V27" s="289"/>
      <c r="W27" s="24"/>
      <c r="AB27" s="812" t="str">
        <f t="shared" si="0"/>
        <v/>
      </c>
      <c r="AC27" s="848">
        <f t="shared" si="6"/>
        <v>0.60000000000000009</v>
      </c>
      <c r="AD27" s="811" t="e">
        <f t="shared" si="7"/>
        <v>#VALUE!</v>
      </c>
      <c r="AE27" s="811" t="e">
        <f t="shared" si="8"/>
        <v>#VALUE!</v>
      </c>
      <c r="AF27" s="811" t="e">
        <f t="shared" si="9"/>
        <v>#VALUE!</v>
      </c>
      <c r="AG27" s="14">
        <f t="shared" si="10"/>
        <v>0</v>
      </c>
      <c r="AH27" s="813" t="str">
        <f t="shared" si="11"/>
        <v/>
      </c>
      <c r="AI27" s="14">
        <f t="shared" si="12"/>
        <v>0</v>
      </c>
      <c r="AJ27" s="814">
        <f t="shared" si="13"/>
        <v>0.4</v>
      </c>
      <c r="AK27" s="6">
        <f t="shared" si="14"/>
        <v>0</v>
      </c>
      <c r="AL27" s="815">
        <f t="shared" si="15"/>
        <v>0</v>
      </c>
      <c r="AT27" s="16"/>
    </row>
    <row r="28" spans="2:46" ht="12.75" customHeight="1" x14ac:dyDescent="0.2">
      <c r="B28" s="20"/>
      <c r="C28" s="33"/>
      <c r="D28" s="88"/>
      <c r="E28" s="124"/>
      <c r="F28" s="124"/>
      <c r="G28" s="41"/>
      <c r="H28" s="302"/>
      <c r="I28" s="853"/>
      <c r="J28" s="41"/>
      <c r="K28" s="303"/>
      <c r="L28" s="798"/>
      <c r="M28" s="629">
        <v>0</v>
      </c>
      <c r="N28" s="881">
        <v>0</v>
      </c>
      <c r="O28" s="882" t="str">
        <f t="shared" si="1"/>
        <v/>
      </c>
      <c r="P28" s="808">
        <f t="shared" si="2"/>
        <v>0</v>
      </c>
      <c r="Q28" s="807">
        <v>0</v>
      </c>
      <c r="R28" s="304" t="str">
        <f t="shared" si="3"/>
        <v/>
      </c>
      <c r="S28" s="304" t="str">
        <f t="shared" si="4"/>
        <v/>
      </c>
      <c r="T28" s="305">
        <f>ROUND(IF(K28="",0,+Q28/1659*(AB28*12*(1+tab!#REF!+tab!#REF!)-tab!#REF!)*tab!#REF!),-1)</f>
        <v>0</v>
      </c>
      <c r="U28" s="818" t="str">
        <f t="shared" si="5"/>
        <v/>
      </c>
      <c r="V28" s="289"/>
      <c r="W28" s="24"/>
      <c r="AB28" s="812" t="str">
        <f t="shared" si="0"/>
        <v/>
      </c>
      <c r="AC28" s="848">
        <f t="shared" si="6"/>
        <v>0.60000000000000009</v>
      </c>
      <c r="AD28" s="811" t="e">
        <f t="shared" si="7"/>
        <v>#VALUE!</v>
      </c>
      <c r="AE28" s="811" t="e">
        <f t="shared" si="8"/>
        <v>#VALUE!</v>
      </c>
      <c r="AF28" s="811" t="e">
        <f t="shared" si="9"/>
        <v>#VALUE!</v>
      </c>
      <c r="AG28" s="14">
        <f t="shared" si="10"/>
        <v>0</v>
      </c>
      <c r="AH28" s="813" t="str">
        <f t="shared" si="11"/>
        <v/>
      </c>
      <c r="AI28" s="14">
        <f t="shared" si="12"/>
        <v>0</v>
      </c>
      <c r="AJ28" s="814">
        <f t="shared" si="13"/>
        <v>0.4</v>
      </c>
      <c r="AK28" s="6">
        <f t="shared" si="14"/>
        <v>0</v>
      </c>
      <c r="AL28" s="815">
        <f t="shared" si="15"/>
        <v>0</v>
      </c>
      <c r="AT28" s="16"/>
    </row>
    <row r="29" spans="2:46" ht="12.75" customHeight="1" x14ac:dyDescent="0.2">
      <c r="B29" s="20"/>
      <c r="C29" s="33"/>
      <c r="D29" s="88"/>
      <c r="E29" s="124"/>
      <c r="F29" s="124"/>
      <c r="G29" s="41"/>
      <c r="H29" s="302"/>
      <c r="I29" s="853"/>
      <c r="J29" s="41"/>
      <c r="K29" s="303"/>
      <c r="L29" s="798"/>
      <c r="M29" s="629">
        <v>0</v>
      </c>
      <c r="N29" s="881">
        <v>0</v>
      </c>
      <c r="O29" s="882" t="str">
        <f t="shared" si="1"/>
        <v/>
      </c>
      <c r="P29" s="808">
        <f t="shared" si="2"/>
        <v>0</v>
      </c>
      <c r="Q29" s="807">
        <v>0</v>
      </c>
      <c r="R29" s="304" t="str">
        <f t="shared" si="3"/>
        <v/>
      </c>
      <c r="S29" s="304" t="str">
        <f t="shared" si="4"/>
        <v/>
      </c>
      <c r="T29" s="305">
        <f>ROUND(IF(K29="",0,+Q29/1659*(AB29*12*(1+tab!#REF!+tab!#REF!)-tab!#REF!)*tab!#REF!),-1)</f>
        <v>0</v>
      </c>
      <c r="U29" s="818" t="str">
        <f t="shared" si="5"/>
        <v/>
      </c>
      <c r="V29" s="289"/>
      <c r="W29" s="24"/>
      <c r="AB29" s="812" t="str">
        <f t="shared" si="0"/>
        <v/>
      </c>
      <c r="AC29" s="848">
        <f t="shared" si="6"/>
        <v>0.60000000000000009</v>
      </c>
      <c r="AD29" s="811" t="e">
        <f t="shared" si="7"/>
        <v>#VALUE!</v>
      </c>
      <c r="AE29" s="811" t="e">
        <f t="shared" si="8"/>
        <v>#VALUE!</v>
      </c>
      <c r="AF29" s="811" t="e">
        <f t="shared" si="9"/>
        <v>#VALUE!</v>
      </c>
      <c r="AG29" s="14">
        <f t="shared" si="10"/>
        <v>0</v>
      </c>
      <c r="AH29" s="813" t="str">
        <f t="shared" si="11"/>
        <v/>
      </c>
      <c r="AI29" s="14">
        <f t="shared" si="12"/>
        <v>0</v>
      </c>
      <c r="AJ29" s="814">
        <f t="shared" si="13"/>
        <v>0.4</v>
      </c>
      <c r="AK29" s="6">
        <f t="shared" si="14"/>
        <v>0</v>
      </c>
      <c r="AL29" s="815">
        <f t="shared" si="15"/>
        <v>0</v>
      </c>
      <c r="AT29" s="16"/>
    </row>
    <row r="30" spans="2:46" ht="12.75" customHeight="1" x14ac:dyDescent="0.2">
      <c r="B30" s="20"/>
      <c r="C30" s="33"/>
      <c r="D30" s="88"/>
      <c r="E30" s="124"/>
      <c r="F30" s="124"/>
      <c r="G30" s="41"/>
      <c r="H30" s="302"/>
      <c r="I30" s="853"/>
      <c r="J30" s="41"/>
      <c r="K30" s="303"/>
      <c r="L30" s="798"/>
      <c r="M30" s="629">
        <v>0</v>
      </c>
      <c r="N30" s="881">
        <v>0</v>
      </c>
      <c r="O30" s="882" t="str">
        <f t="shared" si="1"/>
        <v/>
      </c>
      <c r="P30" s="808">
        <f t="shared" si="2"/>
        <v>0</v>
      </c>
      <c r="Q30" s="807">
        <v>0</v>
      </c>
      <c r="R30" s="304" t="str">
        <f t="shared" si="3"/>
        <v/>
      </c>
      <c r="S30" s="304" t="str">
        <f t="shared" si="4"/>
        <v/>
      </c>
      <c r="T30" s="305">
        <f>ROUND(IF(K30="",0,+Q30/1659*(AB30*12*(1+tab!#REF!+tab!#REF!)-tab!#REF!)*tab!#REF!),-1)</f>
        <v>0</v>
      </c>
      <c r="U30" s="818" t="str">
        <f t="shared" si="5"/>
        <v/>
      </c>
      <c r="V30" s="289"/>
      <c r="W30" s="24"/>
      <c r="AB30" s="812" t="str">
        <f t="shared" si="0"/>
        <v/>
      </c>
      <c r="AC30" s="848">
        <f t="shared" si="6"/>
        <v>0.60000000000000009</v>
      </c>
      <c r="AD30" s="811" t="e">
        <f t="shared" si="7"/>
        <v>#VALUE!</v>
      </c>
      <c r="AE30" s="811" t="e">
        <f t="shared" si="8"/>
        <v>#VALUE!</v>
      </c>
      <c r="AF30" s="811" t="e">
        <f t="shared" si="9"/>
        <v>#VALUE!</v>
      </c>
      <c r="AG30" s="14">
        <f t="shared" si="10"/>
        <v>0</v>
      </c>
      <c r="AH30" s="813" t="str">
        <f t="shared" si="11"/>
        <v/>
      </c>
      <c r="AI30" s="14">
        <f t="shared" si="12"/>
        <v>0</v>
      </c>
      <c r="AJ30" s="814">
        <f t="shared" si="13"/>
        <v>0.4</v>
      </c>
      <c r="AK30" s="6">
        <f t="shared" si="14"/>
        <v>0</v>
      </c>
      <c r="AL30" s="815">
        <f t="shared" si="15"/>
        <v>0</v>
      </c>
      <c r="AT30" s="16"/>
    </row>
    <row r="31" spans="2:46" ht="12.75" customHeight="1" x14ac:dyDescent="0.2">
      <c r="B31" s="20"/>
      <c r="C31" s="33"/>
      <c r="D31" s="88"/>
      <c r="E31" s="124"/>
      <c r="F31" s="124"/>
      <c r="G31" s="41"/>
      <c r="H31" s="302"/>
      <c r="I31" s="853"/>
      <c r="J31" s="41"/>
      <c r="K31" s="303"/>
      <c r="L31" s="798"/>
      <c r="M31" s="629">
        <v>0</v>
      </c>
      <c r="N31" s="881">
        <v>0</v>
      </c>
      <c r="O31" s="882" t="str">
        <f t="shared" si="1"/>
        <v/>
      </c>
      <c r="P31" s="808">
        <f t="shared" si="2"/>
        <v>0</v>
      </c>
      <c r="Q31" s="807">
        <v>0</v>
      </c>
      <c r="R31" s="304" t="str">
        <f t="shared" si="3"/>
        <v/>
      </c>
      <c r="S31" s="304" t="str">
        <f t="shared" si="4"/>
        <v/>
      </c>
      <c r="T31" s="305">
        <f>ROUND(IF(K31="",0,+Q31/1659*(AB31*12*(1+tab!#REF!+tab!#REF!)-tab!#REF!)*tab!#REF!),-1)</f>
        <v>0</v>
      </c>
      <c r="U31" s="818" t="str">
        <f t="shared" si="5"/>
        <v/>
      </c>
      <c r="V31" s="289"/>
      <c r="W31" s="24"/>
      <c r="AB31" s="812" t="str">
        <f t="shared" si="0"/>
        <v/>
      </c>
      <c r="AC31" s="848">
        <f t="shared" si="6"/>
        <v>0.60000000000000009</v>
      </c>
      <c r="AD31" s="811" t="e">
        <f t="shared" si="7"/>
        <v>#VALUE!</v>
      </c>
      <c r="AE31" s="811" t="e">
        <f t="shared" si="8"/>
        <v>#VALUE!</v>
      </c>
      <c r="AF31" s="811" t="e">
        <f t="shared" si="9"/>
        <v>#VALUE!</v>
      </c>
      <c r="AG31" s="14">
        <f t="shared" si="10"/>
        <v>0</v>
      </c>
      <c r="AH31" s="813" t="str">
        <f t="shared" si="11"/>
        <v/>
      </c>
      <c r="AI31" s="14">
        <f t="shared" si="12"/>
        <v>0</v>
      </c>
      <c r="AJ31" s="814">
        <f t="shared" si="13"/>
        <v>0.4</v>
      </c>
      <c r="AK31" s="6">
        <f t="shared" si="14"/>
        <v>0</v>
      </c>
      <c r="AL31" s="815">
        <f t="shared" si="15"/>
        <v>0</v>
      </c>
      <c r="AT31" s="16"/>
    </row>
    <row r="32" spans="2:46" ht="12.75" customHeight="1" x14ac:dyDescent="0.2">
      <c r="B32" s="20"/>
      <c r="C32" s="33"/>
      <c r="D32" s="88"/>
      <c r="E32" s="124"/>
      <c r="F32" s="124"/>
      <c r="G32" s="41"/>
      <c r="H32" s="302"/>
      <c r="I32" s="853"/>
      <c r="J32" s="41"/>
      <c r="K32" s="303"/>
      <c r="L32" s="798"/>
      <c r="M32" s="629">
        <v>0</v>
      </c>
      <c r="N32" s="881">
        <v>0</v>
      </c>
      <c r="O32" s="882" t="str">
        <f t="shared" si="1"/>
        <v/>
      </c>
      <c r="P32" s="808">
        <f t="shared" si="2"/>
        <v>0</v>
      </c>
      <c r="Q32" s="807">
        <v>0</v>
      </c>
      <c r="R32" s="304" t="str">
        <f t="shared" si="3"/>
        <v/>
      </c>
      <c r="S32" s="304" t="str">
        <f t="shared" si="4"/>
        <v/>
      </c>
      <c r="T32" s="305">
        <f>ROUND(IF(K32="",0,+Q32/1659*(AB32*12*(1+tab!#REF!+tab!#REF!)-tab!#REF!)*tab!#REF!),-1)</f>
        <v>0</v>
      </c>
      <c r="U32" s="818" t="str">
        <f t="shared" si="5"/>
        <v/>
      </c>
      <c r="V32" s="289"/>
      <c r="W32" s="24"/>
      <c r="AB32" s="812" t="str">
        <f t="shared" si="0"/>
        <v/>
      </c>
      <c r="AC32" s="848">
        <f t="shared" si="6"/>
        <v>0.60000000000000009</v>
      </c>
      <c r="AD32" s="811" t="e">
        <f t="shared" si="7"/>
        <v>#VALUE!</v>
      </c>
      <c r="AE32" s="811" t="e">
        <f t="shared" si="8"/>
        <v>#VALUE!</v>
      </c>
      <c r="AF32" s="811" t="e">
        <f t="shared" si="9"/>
        <v>#VALUE!</v>
      </c>
      <c r="AG32" s="14">
        <f t="shared" si="10"/>
        <v>0</v>
      </c>
      <c r="AH32" s="813" t="str">
        <f t="shared" si="11"/>
        <v/>
      </c>
      <c r="AI32" s="14">
        <f t="shared" si="12"/>
        <v>0</v>
      </c>
      <c r="AJ32" s="814">
        <f t="shared" si="13"/>
        <v>0.4</v>
      </c>
      <c r="AK32" s="6">
        <f t="shared" si="14"/>
        <v>0</v>
      </c>
      <c r="AL32" s="815">
        <f t="shared" si="15"/>
        <v>0</v>
      </c>
      <c r="AT32" s="16"/>
    </row>
    <row r="33" spans="2:46" ht="12.75" customHeight="1" x14ac:dyDescent="0.2">
      <c r="B33" s="20"/>
      <c r="C33" s="33"/>
      <c r="D33" s="88"/>
      <c r="E33" s="124"/>
      <c r="F33" s="124"/>
      <c r="G33" s="41"/>
      <c r="H33" s="302"/>
      <c r="I33" s="853"/>
      <c r="J33" s="41"/>
      <c r="K33" s="303"/>
      <c r="L33" s="798"/>
      <c r="M33" s="629">
        <v>0</v>
      </c>
      <c r="N33" s="881">
        <v>0</v>
      </c>
      <c r="O33" s="882" t="str">
        <f t="shared" si="1"/>
        <v/>
      </c>
      <c r="P33" s="808">
        <f t="shared" si="2"/>
        <v>0</v>
      </c>
      <c r="Q33" s="807">
        <v>0</v>
      </c>
      <c r="R33" s="304" t="str">
        <f t="shared" si="3"/>
        <v/>
      </c>
      <c r="S33" s="304" t="str">
        <f t="shared" si="4"/>
        <v/>
      </c>
      <c r="T33" s="305">
        <f>ROUND(IF(K33="",0,+Q33/1659*(AB33*12*(1+tab!#REF!+tab!#REF!)-tab!#REF!)*tab!#REF!),-1)</f>
        <v>0</v>
      </c>
      <c r="U33" s="818" t="str">
        <f t="shared" si="5"/>
        <v/>
      </c>
      <c r="V33" s="289"/>
      <c r="W33" s="24"/>
      <c r="AB33" s="812" t="str">
        <f t="shared" si="0"/>
        <v/>
      </c>
      <c r="AC33" s="848">
        <f t="shared" si="6"/>
        <v>0.60000000000000009</v>
      </c>
      <c r="AD33" s="811" t="e">
        <f t="shared" si="7"/>
        <v>#VALUE!</v>
      </c>
      <c r="AE33" s="811" t="e">
        <f t="shared" si="8"/>
        <v>#VALUE!</v>
      </c>
      <c r="AF33" s="811" t="e">
        <f t="shared" si="9"/>
        <v>#VALUE!</v>
      </c>
      <c r="AG33" s="14">
        <f t="shared" si="10"/>
        <v>0</v>
      </c>
      <c r="AH33" s="813" t="str">
        <f t="shared" si="11"/>
        <v/>
      </c>
      <c r="AI33" s="14">
        <f t="shared" si="12"/>
        <v>0</v>
      </c>
      <c r="AJ33" s="814">
        <f t="shared" si="13"/>
        <v>0.4</v>
      </c>
      <c r="AK33" s="6">
        <f t="shared" si="14"/>
        <v>0</v>
      </c>
      <c r="AL33" s="815">
        <f t="shared" si="15"/>
        <v>0</v>
      </c>
      <c r="AT33" s="16"/>
    </row>
    <row r="34" spans="2:46" ht="12.75" customHeight="1" x14ac:dyDescent="0.2">
      <c r="B34" s="20"/>
      <c r="C34" s="33"/>
      <c r="D34" s="88"/>
      <c r="E34" s="124"/>
      <c r="F34" s="124"/>
      <c r="G34" s="41"/>
      <c r="H34" s="302"/>
      <c r="I34" s="853"/>
      <c r="J34" s="41"/>
      <c r="K34" s="303"/>
      <c r="L34" s="798"/>
      <c r="M34" s="629">
        <v>0</v>
      </c>
      <c r="N34" s="881">
        <v>0</v>
      </c>
      <c r="O34" s="882" t="str">
        <f t="shared" si="1"/>
        <v/>
      </c>
      <c r="P34" s="808">
        <f t="shared" si="2"/>
        <v>0</v>
      </c>
      <c r="Q34" s="807">
        <v>0</v>
      </c>
      <c r="R34" s="304" t="str">
        <f t="shared" si="3"/>
        <v/>
      </c>
      <c r="S34" s="304" t="str">
        <f t="shared" si="4"/>
        <v/>
      </c>
      <c r="T34" s="305">
        <f>ROUND(IF(K34="",0,+Q34/1659*(AB34*12*(1+tab!#REF!+tab!#REF!)-tab!#REF!)*tab!#REF!),-1)</f>
        <v>0</v>
      </c>
      <c r="U34" s="818" t="str">
        <f t="shared" si="5"/>
        <v/>
      </c>
      <c r="V34" s="289"/>
      <c r="W34" s="24"/>
      <c r="AB34" s="812" t="str">
        <f t="shared" si="0"/>
        <v/>
      </c>
      <c r="AC34" s="848">
        <f t="shared" si="6"/>
        <v>0.60000000000000009</v>
      </c>
      <c r="AD34" s="811" t="e">
        <f t="shared" si="7"/>
        <v>#VALUE!</v>
      </c>
      <c r="AE34" s="811" t="e">
        <f t="shared" si="8"/>
        <v>#VALUE!</v>
      </c>
      <c r="AF34" s="811" t="e">
        <f t="shared" si="9"/>
        <v>#VALUE!</v>
      </c>
      <c r="AG34" s="14">
        <f t="shared" si="10"/>
        <v>0</v>
      </c>
      <c r="AH34" s="813" t="str">
        <f t="shared" si="11"/>
        <v/>
      </c>
      <c r="AI34" s="14">
        <f t="shared" si="12"/>
        <v>0</v>
      </c>
      <c r="AJ34" s="814">
        <f t="shared" si="13"/>
        <v>0.4</v>
      </c>
      <c r="AK34" s="6">
        <f t="shared" si="14"/>
        <v>0</v>
      </c>
      <c r="AL34" s="815">
        <f t="shared" si="15"/>
        <v>0</v>
      </c>
      <c r="AT34" s="16"/>
    </row>
    <row r="35" spans="2:46" ht="12.75" customHeight="1" x14ac:dyDescent="0.2">
      <c r="B35" s="20"/>
      <c r="C35" s="33"/>
      <c r="D35" s="290"/>
      <c r="E35" s="290"/>
      <c r="F35" s="290"/>
      <c r="G35" s="150"/>
      <c r="H35" s="291"/>
      <c r="I35" s="150"/>
      <c r="J35" s="150"/>
      <c r="K35" s="306">
        <f>SUM(K15:K34)</f>
        <v>1</v>
      </c>
      <c r="L35" s="793"/>
      <c r="M35" s="806">
        <f t="shared" ref="M35:U35" si="16">SUM(M15:M34)</f>
        <v>0</v>
      </c>
      <c r="N35" s="806">
        <f t="shared" si="16"/>
        <v>0</v>
      </c>
      <c r="O35" s="806">
        <f t="shared" si="16"/>
        <v>50</v>
      </c>
      <c r="P35" s="806">
        <f t="shared" si="16"/>
        <v>50</v>
      </c>
      <c r="Q35" s="806">
        <f t="shared" si="16"/>
        <v>0</v>
      </c>
      <c r="R35" s="816">
        <f t="shared" si="16"/>
        <v>75751.603616636537</v>
      </c>
      <c r="S35" s="816">
        <f t="shared" si="16"/>
        <v>2353.996383363472</v>
      </c>
      <c r="T35" s="816">
        <f t="shared" si="16"/>
        <v>0</v>
      </c>
      <c r="U35" s="817">
        <f t="shared" si="16"/>
        <v>78105.600000000006</v>
      </c>
      <c r="V35" s="144"/>
      <c r="W35" s="24"/>
      <c r="AB35" s="812">
        <f>SUM(AB15:AB34)</f>
        <v>4068</v>
      </c>
      <c r="AL35" s="815">
        <f>SUM(AL15:AL34)</f>
        <v>0</v>
      </c>
      <c r="AT35" s="16"/>
    </row>
    <row r="36" spans="2:46" ht="12.75" customHeight="1" x14ac:dyDescent="0.2">
      <c r="B36" s="20"/>
      <c r="C36" s="33"/>
      <c r="D36" s="145"/>
      <c r="E36" s="145"/>
      <c r="F36" s="145"/>
      <c r="G36" s="144"/>
      <c r="H36" s="151"/>
      <c r="I36" s="144"/>
      <c r="J36" s="144"/>
      <c r="K36" s="278"/>
      <c r="L36" s="677"/>
      <c r="M36" s="278"/>
      <c r="N36" s="144"/>
      <c r="O36" s="144"/>
      <c r="P36" s="292"/>
      <c r="Q36" s="292"/>
      <c r="R36" s="292"/>
      <c r="S36" s="292"/>
      <c r="T36" s="280"/>
      <c r="U36" s="293"/>
      <c r="V36" s="144"/>
      <c r="W36" s="24"/>
    </row>
    <row r="37" spans="2:46" ht="12.75" customHeight="1" x14ac:dyDescent="0.2">
      <c r="B37" s="20"/>
      <c r="C37" s="21"/>
      <c r="D37" s="230"/>
      <c r="E37" s="230"/>
      <c r="F37" s="230"/>
      <c r="G37" s="23"/>
      <c r="H37" s="231"/>
      <c r="I37" s="23"/>
      <c r="J37" s="23"/>
      <c r="K37" s="273"/>
      <c r="L37" s="794"/>
      <c r="M37" s="232"/>
      <c r="N37" s="21"/>
      <c r="O37" s="274"/>
      <c r="P37" s="275"/>
      <c r="Q37" s="275"/>
      <c r="R37" s="275"/>
      <c r="S37" s="275"/>
      <c r="T37" s="276"/>
      <c r="U37" s="277"/>
      <c r="V37" s="21"/>
      <c r="W37" s="24"/>
    </row>
    <row r="38" spans="2:46" ht="12.75" customHeight="1" x14ac:dyDescent="0.2">
      <c r="B38" s="20"/>
      <c r="C38" s="21"/>
      <c r="D38" s="230"/>
      <c r="E38" s="230"/>
      <c r="F38" s="230"/>
      <c r="G38" s="23"/>
      <c r="H38" s="231"/>
      <c r="I38" s="23"/>
      <c r="J38" s="23"/>
      <c r="K38" s="273"/>
      <c r="L38" s="794"/>
      <c r="M38" s="232"/>
      <c r="N38" s="21"/>
      <c r="O38" s="274"/>
      <c r="P38" s="275"/>
      <c r="Q38" s="275"/>
      <c r="R38" s="275"/>
      <c r="S38" s="275"/>
      <c r="T38" s="276"/>
      <c r="U38" s="277"/>
      <c r="V38" s="21"/>
      <c r="W38" s="657"/>
    </row>
    <row r="39" spans="2:46" ht="12.75" customHeight="1" x14ac:dyDescent="0.2">
      <c r="K39" s="209"/>
      <c r="M39" s="176"/>
      <c r="O39" s="210"/>
      <c r="P39" s="208"/>
      <c r="Q39" s="208"/>
      <c r="R39" s="208"/>
      <c r="S39" s="208"/>
      <c r="T39" s="211"/>
      <c r="U39" s="212"/>
      <c r="W39" s="682"/>
      <c r="AT39" s="7"/>
    </row>
    <row r="40" spans="2:46" ht="12.75" customHeight="1" x14ac:dyDescent="0.2">
      <c r="C40" s="6" t="s">
        <v>87</v>
      </c>
      <c r="E40" s="1098" t="s">
        <v>640</v>
      </c>
      <c r="K40" s="209"/>
      <c r="M40" s="176"/>
      <c r="O40" s="210"/>
      <c r="P40" s="208"/>
      <c r="Q40" s="208"/>
      <c r="R40" s="208"/>
      <c r="S40" s="208"/>
      <c r="T40" s="211"/>
      <c r="U40" s="212"/>
      <c r="W40" s="682"/>
    </row>
    <row r="41" spans="2:46" s="7" customFormat="1" ht="12.75" customHeight="1" x14ac:dyDescent="0.2">
      <c r="C41" s="6" t="s">
        <v>88</v>
      </c>
      <c r="D41" s="213"/>
      <c r="E41" s="201">
        <f>tab!D3</f>
        <v>45200</v>
      </c>
      <c r="F41" s="213"/>
      <c r="G41" s="214"/>
      <c r="H41" s="215"/>
      <c r="I41" s="214"/>
      <c r="J41" s="214"/>
      <c r="K41" s="216"/>
      <c r="L41" s="800"/>
      <c r="M41" s="217"/>
      <c r="O41" s="218"/>
      <c r="P41" s="219"/>
      <c r="Q41" s="219"/>
      <c r="R41" s="219"/>
      <c r="S41" s="219"/>
      <c r="T41" s="211"/>
      <c r="U41" s="220"/>
      <c r="W41" s="851"/>
      <c r="AC41" s="214"/>
      <c r="AD41" s="221"/>
      <c r="AL41" s="214"/>
      <c r="AM41" s="221"/>
      <c r="AT41" s="6"/>
    </row>
    <row r="42" spans="2:46" ht="12.75" customHeight="1" x14ac:dyDescent="0.2">
      <c r="K42" s="209"/>
      <c r="M42" s="176"/>
      <c r="O42" s="210"/>
      <c r="P42" s="208"/>
      <c r="Q42" s="208"/>
      <c r="R42" s="208"/>
      <c r="S42" s="208"/>
      <c r="T42" s="211"/>
      <c r="U42" s="212"/>
      <c r="W42" s="682"/>
      <c r="AT42" s="7"/>
    </row>
    <row r="43" spans="2:46" ht="12.75" customHeight="1" x14ac:dyDescent="0.2">
      <c r="C43" s="33"/>
      <c r="D43" s="145"/>
      <c r="E43" s="85"/>
      <c r="F43" s="145"/>
      <c r="G43" s="144"/>
      <c r="H43" s="151"/>
      <c r="I43" s="144"/>
      <c r="J43" s="144"/>
      <c r="K43" s="278"/>
      <c r="L43" s="677"/>
      <c r="M43" s="279"/>
      <c r="N43" s="33"/>
      <c r="O43" s="33"/>
      <c r="P43" s="33"/>
      <c r="Q43" s="33"/>
      <c r="R43" s="33"/>
      <c r="S43" s="33"/>
      <c r="T43" s="280"/>
      <c r="U43" s="281"/>
      <c r="V43" s="33"/>
      <c r="W43" s="682"/>
      <c r="X43" s="682"/>
      <c r="AC43" s="682"/>
      <c r="AD43" s="809"/>
      <c r="AE43" s="682"/>
      <c r="AF43" s="682"/>
      <c r="AG43" s="682"/>
      <c r="AH43" s="682"/>
      <c r="AI43" s="794"/>
      <c r="AJ43" s="705"/>
      <c r="AK43" s="792"/>
      <c r="AL43" s="810"/>
      <c r="AM43" s="176"/>
    </row>
    <row r="44" spans="2:46" ht="12.75" customHeight="1" x14ac:dyDescent="0.2">
      <c r="C44" s="282"/>
      <c r="D44" s="790" t="s">
        <v>89</v>
      </c>
      <c r="E44" s="791"/>
      <c r="F44" s="791"/>
      <c r="G44" s="791"/>
      <c r="H44" s="791"/>
      <c r="I44" s="791"/>
      <c r="J44" s="791"/>
      <c r="K44" s="791"/>
      <c r="L44" s="795"/>
      <c r="M44" s="819" t="s">
        <v>449</v>
      </c>
      <c r="N44" s="820"/>
      <c r="O44" s="821"/>
      <c r="P44" s="821"/>
      <c r="Q44" s="820"/>
      <c r="R44" s="822" t="s">
        <v>450</v>
      </c>
      <c r="S44" s="823"/>
      <c r="T44" s="823"/>
      <c r="U44" s="823"/>
      <c r="V44" s="824"/>
      <c r="W44" s="849"/>
      <c r="X44" s="826"/>
      <c r="Y44" s="827"/>
      <c r="Z44" s="828"/>
      <c r="AA44" s="828"/>
      <c r="AB44" s="829"/>
      <c r="AC44" s="827"/>
      <c r="AD44" s="829"/>
      <c r="AE44" s="827"/>
      <c r="AF44" s="830"/>
      <c r="AG44" s="830"/>
      <c r="AH44" s="831"/>
      <c r="AI44" s="832"/>
      <c r="AJ44" s="831"/>
      <c r="AK44" s="833"/>
      <c r="AL44" s="833"/>
      <c r="AM44" s="6"/>
      <c r="AN44" s="207"/>
      <c r="AO44" s="207"/>
    </row>
    <row r="45" spans="2:46" ht="12.75" customHeight="1" x14ac:dyDescent="0.2">
      <c r="C45" s="282"/>
      <c r="D45" s="295" t="s">
        <v>90</v>
      </c>
      <c r="E45" s="295" t="s">
        <v>91</v>
      </c>
      <c r="F45" s="295" t="s">
        <v>92</v>
      </c>
      <c r="G45" s="296" t="s">
        <v>93</v>
      </c>
      <c r="H45" s="297" t="s">
        <v>94</v>
      </c>
      <c r="I45" s="296" t="s">
        <v>61</v>
      </c>
      <c r="J45" s="296" t="s">
        <v>95</v>
      </c>
      <c r="K45" s="298" t="s">
        <v>96</v>
      </c>
      <c r="L45" s="796"/>
      <c r="M45" s="834" t="s">
        <v>451</v>
      </c>
      <c r="N45" s="835" t="s">
        <v>452</v>
      </c>
      <c r="O45" s="836" t="s">
        <v>453</v>
      </c>
      <c r="P45" s="837" t="s">
        <v>454</v>
      </c>
      <c r="Q45" s="835" t="s">
        <v>455</v>
      </c>
      <c r="R45" s="836" t="s">
        <v>97</v>
      </c>
      <c r="S45" s="834" t="s">
        <v>456</v>
      </c>
      <c r="T45" s="834" t="s">
        <v>457</v>
      </c>
      <c r="U45" s="834" t="s">
        <v>97</v>
      </c>
      <c r="V45" s="838"/>
      <c r="W45" s="850"/>
      <c r="X45" s="840"/>
      <c r="Y45" s="841"/>
      <c r="Z45" s="842"/>
      <c r="AA45" s="842"/>
      <c r="AB45" s="845" t="s">
        <v>208</v>
      </c>
      <c r="AC45" s="846" t="s">
        <v>458</v>
      </c>
      <c r="AD45" s="847" t="s">
        <v>459</v>
      </c>
      <c r="AE45" s="847" t="s">
        <v>459</v>
      </c>
      <c r="AF45" s="847" t="s">
        <v>460</v>
      </c>
      <c r="AG45" s="847" t="s">
        <v>455</v>
      </c>
      <c r="AH45" s="847" t="s">
        <v>461</v>
      </c>
      <c r="AI45" s="847" t="s">
        <v>462</v>
      </c>
      <c r="AJ45" s="847" t="s">
        <v>463</v>
      </c>
      <c r="AK45" s="847" t="s">
        <v>99</v>
      </c>
      <c r="AL45" s="751" t="s">
        <v>221</v>
      </c>
      <c r="AM45" s="6"/>
      <c r="AN45" s="207"/>
      <c r="AO45" s="206"/>
    </row>
    <row r="46" spans="2:46" ht="12.75" customHeight="1" x14ac:dyDescent="0.2">
      <c r="C46" s="282"/>
      <c r="D46" s="300"/>
      <c r="E46" s="295"/>
      <c r="F46" s="301"/>
      <c r="G46" s="296" t="s">
        <v>101</v>
      </c>
      <c r="H46" s="297" t="s">
        <v>102</v>
      </c>
      <c r="I46" s="296"/>
      <c r="J46" s="296"/>
      <c r="K46" s="298"/>
      <c r="L46" s="796"/>
      <c r="M46" s="843" t="s">
        <v>464</v>
      </c>
      <c r="N46" s="835" t="s">
        <v>465</v>
      </c>
      <c r="O46" s="836" t="s">
        <v>466</v>
      </c>
      <c r="P46" s="837" t="s">
        <v>44</v>
      </c>
      <c r="Q46" s="835" t="s">
        <v>467</v>
      </c>
      <c r="R46" s="836" t="s">
        <v>468</v>
      </c>
      <c r="S46" s="844" t="s">
        <v>469</v>
      </c>
      <c r="T46" s="844" t="s">
        <v>470</v>
      </c>
      <c r="U46" s="834" t="s">
        <v>44</v>
      </c>
      <c r="V46" s="838"/>
      <c r="W46" s="850"/>
      <c r="X46" s="840"/>
      <c r="Y46" s="833"/>
      <c r="Z46" s="842"/>
      <c r="AA46" s="842"/>
      <c r="AB46" s="847" t="s">
        <v>471</v>
      </c>
      <c r="AC46" s="848">
        <f>AC13</f>
        <v>0.60000000000000009</v>
      </c>
      <c r="AD46" s="847" t="s">
        <v>472</v>
      </c>
      <c r="AE46" s="847" t="s">
        <v>473</v>
      </c>
      <c r="AF46" s="847" t="s">
        <v>474</v>
      </c>
      <c r="AG46" s="847" t="s">
        <v>467</v>
      </c>
      <c r="AH46" s="847" t="s">
        <v>475</v>
      </c>
      <c r="AI46" s="847" t="s">
        <v>475</v>
      </c>
      <c r="AJ46" s="847" t="s">
        <v>476</v>
      </c>
      <c r="AK46" s="847"/>
      <c r="AL46" s="847" t="s">
        <v>98</v>
      </c>
      <c r="AM46" s="6"/>
      <c r="AO46" s="208"/>
    </row>
    <row r="47" spans="2:46" ht="12.75" customHeight="1" x14ac:dyDescent="0.2">
      <c r="C47" s="33"/>
      <c r="D47" s="145"/>
      <c r="E47" s="145"/>
      <c r="F47" s="145"/>
      <c r="G47" s="144"/>
      <c r="H47" s="151"/>
      <c r="I47" s="164"/>
      <c r="J47" s="164"/>
      <c r="K47" s="283"/>
      <c r="L47" s="797"/>
      <c r="M47" s="283"/>
      <c r="N47" s="284"/>
      <c r="O47" s="285"/>
      <c r="P47" s="286"/>
      <c r="Q47" s="286"/>
      <c r="R47" s="286"/>
      <c r="S47" s="286"/>
      <c r="T47" s="287"/>
      <c r="U47" s="288"/>
      <c r="V47" s="284"/>
      <c r="W47" s="682"/>
      <c r="AC47" s="6"/>
      <c r="AD47" s="6"/>
      <c r="AL47" s="6"/>
      <c r="AM47" s="6"/>
      <c r="AO47" s="208"/>
    </row>
    <row r="48" spans="2:46" ht="12.75" customHeight="1" x14ac:dyDescent="0.2">
      <c r="C48" s="33"/>
      <c r="D48" s="638" t="str">
        <f>IF(D15="","",D15)</f>
        <v/>
      </c>
      <c r="E48" s="638" t="str">
        <f>IF(E15="","",E15)</f>
        <v>piet</v>
      </c>
      <c r="F48" s="638" t="str">
        <f>IF(F15="","",F15)</f>
        <v>chef</v>
      </c>
      <c r="G48" s="639">
        <f>IF(G15="","",G15+1)</f>
        <v>23</v>
      </c>
      <c r="H48" s="640">
        <f>IF(H15="","",H15)</f>
        <v>25600</v>
      </c>
      <c r="I48" s="641">
        <f>IF(I15=0,"",I15)</f>
        <v>12</v>
      </c>
      <c r="J48" s="639">
        <f>IF(E48="","",IF(J15&lt;VLOOKUP(I48,saltab2022,22,FALSE),J15+1,J15))</f>
        <v>7</v>
      </c>
      <c r="K48" s="642">
        <f>IF(K15="","",K15)</f>
        <v>1</v>
      </c>
      <c r="L48" s="798"/>
      <c r="M48" s="629">
        <v>0</v>
      </c>
      <c r="N48" s="881">
        <v>0</v>
      </c>
      <c r="O48" s="882">
        <f>IF(K48="","",K48*50)</f>
        <v>50</v>
      </c>
      <c r="P48" s="808">
        <f>SUM(M48:O48)</f>
        <v>50</v>
      </c>
      <c r="Q48" s="807">
        <v>0</v>
      </c>
      <c r="R48" s="304">
        <f>IF(K48="","",(1659*K48-P48)*AE48)</f>
        <v>80611.772875226045</v>
      </c>
      <c r="S48" s="304">
        <f>IF(K48="","",P48*AF48+AD48*(AH48+AI48*(1-AJ48)))</f>
        <v>2505.0271247739602</v>
      </c>
      <c r="T48" s="305">
        <f>ROUND(IF(K48="",0,+Q48/1659*(AB48*12*(1+tab!$D$44+tab!$D$45)-tab!$D$43)*tab!$D$41),-1)</f>
        <v>0</v>
      </c>
      <c r="U48" s="818">
        <f>IF(K48="","",IF(E48=0,0,(R48+S48+T48)))</f>
        <v>83116.800000000003</v>
      </c>
      <c r="V48" s="289"/>
      <c r="W48" s="682"/>
      <c r="AB48" s="812">
        <f t="shared" ref="AB48:AB67" si="17">IF(I48="","",VLOOKUP(I48,saltab2022,J48+1,FALSE))</f>
        <v>4329</v>
      </c>
      <c r="AC48" s="848">
        <f>AC$46</f>
        <v>0.60000000000000009</v>
      </c>
      <c r="AD48" s="811">
        <f>AB48*12/1659</f>
        <v>31.312839059674502</v>
      </c>
      <c r="AE48" s="811">
        <f>AB48*12*(1+AC48)/1659</f>
        <v>50.100542495479203</v>
      </c>
      <c r="AF48" s="811">
        <f>+AE48-AD48</f>
        <v>18.787703435804701</v>
      </c>
      <c r="AG48" s="14">
        <f>Q48</f>
        <v>0</v>
      </c>
      <c r="AH48" s="813">
        <f>O48</f>
        <v>50</v>
      </c>
      <c r="AI48" s="14">
        <f>(M48+N48)</f>
        <v>0</v>
      </c>
      <c r="AJ48" s="814">
        <f>IF(I48&gt;8,50%,40%)</f>
        <v>0.5</v>
      </c>
      <c r="AK48" s="6">
        <f>IF(G48&lt;25,0,IF(G48=25,25,IF(G48&lt;40,0,IF(G48=40,40,IF(G48&gt;=40,0)))))</f>
        <v>0</v>
      </c>
      <c r="AL48" s="815">
        <f>IF(AK48=25,AB48*1.08*K48/2,IF(AK48=40,AB48*1.08*K48,0))</f>
        <v>0</v>
      </c>
    </row>
    <row r="49" spans="3:38" ht="12.75" customHeight="1" x14ac:dyDescent="0.2">
      <c r="C49" s="33"/>
      <c r="D49" s="638" t="str">
        <f t="shared" ref="D49:F67" si="18">IF(D16="","",D16)</f>
        <v/>
      </c>
      <c r="E49" s="638" t="str">
        <f t="shared" si="18"/>
        <v/>
      </c>
      <c r="F49" s="638" t="str">
        <f t="shared" si="18"/>
        <v/>
      </c>
      <c r="G49" s="639" t="str">
        <f t="shared" ref="G49:G67" si="19">IF(G16="","",G16+1)</f>
        <v/>
      </c>
      <c r="H49" s="640" t="str">
        <f t="shared" ref="H49:H67" si="20">IF(H16="","",H16)</f>
        <v/>
      </c>
      <c r="I49" s="641" t="str">
        <f t="shared" ref="I49:I67" si="21">IF(I16=0,"",I16)</f>
        <v/>
      </c>
      <c r="J49" s="639" t="str">
        <f>IF(E49="","",IF(#REF!&lt;VLOOKUP(I49,salmrt2020,18,FALSE),#REF!+1,#REF!))</f>
        <v/>
      </c>
      <c r="K49" s="642" t="str">
        <f t="shared" ref="K49:K67" si="22">IF(K16="","",K16)</f>
        <v/>
      </c>
      <c r="L49" s="798"/>
      <c r="M49" s="629">
        <v>0</v>
      </c>
      <c r="N49" s="881">
        <v>0</v>
      </c>
      <c r="O49" s="882" t="str">
        <f t="shared" ref="O49:O67" si="23">IF(K49="","",K49*50)</f>
        <v/>
      </c>
      <c r="P49" s="808">
        <f t="shared" ref="P49:P67" si="24">SUM(M49:O49)</f>
        <v>0</v>
      </c>
      <c r="Q49" s="807">
        <v>0</v>
      </c>
      <c r="R49" s="304" t="str">
        <f t="shared" ref="R49:R67" si="25">IF(K49="","",(1659*K49-P49)*AE49)</f>
        <v/>
      </c>
      <c r="S49" s="304" t="str">
        <f t="shared" ref="S49:S67" si="26">IF(K49="","",P49*AF49+AD49*(AH49+AI49*(1-AJ49)))</f>
        <v/>
      </c>
      <c r="T49" s="305">
        <f>ROUND(IF(K49="",0,+Q49/1659*(AB49*12*(1+tab!$D$44+tab!$D$45)-tab!$D$43)*tab!$D$41),-1)</f>
        <v>0</v>
      </c>
      <c r="U49" s="818" t="str">
        <f t="shared" ref="U49:U67" si="27">IF(K49="","",IF(E49=0,0,(R49+S49+T49)))</f>
        <v/>
      </c>
      <c r="V49" s="289"/>
      <c r="W49" s="682"/>
      <c r="AB49" s="812" t="str">
        <f t="shared" si="17"/>
        <v/>
      </c>
      <c r="AC49" s="848">
        <f t="shared" ref="AC49:AC67" si="28">AC$46</f>
        <v>0.60000000000000009</v>
      </c>
      <c r="AD49" s="811" t="e">
        <f t="shared" ref="AD49:AD67" si="29">AB49*12/1659</f>
        <v>#VALUE!</v>
      </c>
      <c r="AE49" s="811" t="e">
        <f t="shared" ref="AE49:AE67" si="30">AB49*12*(1+AC49)/1659</f>
        <v>#VALUE!</v>
      </c>
      <c r="AF49" s="811" t="e">
        <f t="shared" ref="AF49:AF67" si="31">+AE49-AD49</f>
        <v>#VALUE!</v>
      </c>
      <c r="AG49" s="14">
        <f t="shared" ref="AG49:AG67" si="32">Q49</f>
        <v>0</v>
      </c>
      <c r="AH49" s="813" t="str">
        <f t="shared" ref="AH49:AH67" si="33">O49</f>
        <v/>
      </c>
      <c r="AI49" s="14">
        <f t="shared" ref="AI49:AI67" si="34">(M49+N49)</f>
        <v>0</v>
      </c>
      <c r="AJ49" s="814">
        <f t="shared" ref="AJ49:AJ67" si="35">IF(I49&gt;8,50%,40%)</f>
        <v>0.5</v>
      </c>
      <c r="AK49" s="6">
        <f t="shared" ref="AK49:AK67" si="36">IF(G49&lt;25,0,IF(G49=25,25,IF(G49&lt;40,0,IF(G49=40,40,IF(G49&gt;=40,0)))))</f>
        <v>0</v>
      </c>
      <c r="AL49" s="815">
        <f t="shared" ref="AL49:AL67" si="37">IF(AK49=25,AB49*1.08*K49/2,IF(AK49=40,AB49*1.08*K49,0))</f>
        <v>0</v>
      </c>
    </row>
    <row r="50" spans="3:38" ht="12.75" customHeight="1" x14ac:dyDescent="0.2">
      <c r="C50" s="33"/>
      <c r="D50" s="638" t="str">
        <f t="shared" si="18"/>
        <v/>
      </c>
      <c r="E50" s="638" t="str">
        <f t="shared" si="18"/>
        <v/>
      </c>
      <c r="F50" s="638" t="str">
        <f t="shared" si="18"/>
        <v/>
      </c>
      <c r="G50" s="639" t="str">
        <f t="shared" si="19"/>
        <v/>
      </c>
      <c r="H50" s="640" t="str">
        <f t="shared" si="20"/>
        <v/>
      </c>
      <c r="I50" s="641" t="str">
        <f t="shared" si="21"/>
        <v/>
      </c>
      <c r="J50" s="639" t="str">
        <f>IF(E50="","",IF(#REF!&lt;VLOOKUP(I50,salmrt2020,18,FALSE),#REF!+1,#REF!))</f>
        <v/>
      </c>
      <c r="K50" s="642" t="str">
        <f t="shared" si="22"/>
        <v/>
      </c>
      <c r="L50" s="799"/>
      <c r="M50" s="629">
        <v>0</v>
      </c>
      <c r="N50" s="881">
        <v>0</v>
      </c>
      <c r="O50" s="882" t="str">
        <f t="shared" si="23"/>
        <v/>
      </c>
      <c r="P50" s="808">
        <f t="shared" si="24"/>
        <v>0</v>
      </c>
      <c r="Q50" s="807">
        <v>0</v>
      </c>
      <c r="R50" s="304" t="str">
        <f t="shared" si="25"/>
        <v/>
      </c>
      <c r="S50" s="304" t="str">
        <f t="shared" si="26"/>
        <v/>
      </c>
      <c r="T50" s="305">
        <f>ROUND(IF(K50="",0,+Q50/1659*(AB50*12*(1+tab!$D$44+tab!$D$45)-tab!$D$43)*tab!$D$41),-1)</f>
        <v>0</v>
      </c>
      <c r="U50" s="818" t="str">
        <f t="shared" si="27"/>
        <v/>
      </c>
      <c r="V50" s="289"/>
      <c r="W50" s="682"/>
      <c r="AB50" s="812" t="str">
        <f t="shared" si="17"/>
        <v/>
      </c>
      <c r="AC50" s="848">
        <f t="shared" si="28"/>
        <v>0.60000000000000009</v>
      </c>
      <c r="AD50" s="811" t="e">
        <f t="shared" si="29"/>
        <v>#VALUE!</v>
      </c>
      <c r="AE50" s="811" t="e">
        <f t="shared" si="30"/>
        <v>#VALUE!</v>
      </c>
      <c r="AF50" s="811" t="e">
        <f t="shared" si="31"/>
        <v>#VALUE!</v>
      </c>
      <c r="AG50" s="14">
        <f t="shared" si="32"/>
        <v>0</v>
      </c>
      <c r="AH50" s="813" t="str">
        <f t="shared" si="33"/>
        <v/>
      </c>
      <c r="AI50" s="14">
        <f t="shared" si="34"/>
        <v>0</v>
      </c>
      <c r="AJ50" s="814">
        <f t="shared" si="35"/>
        <v>0.5</v>
      </c>
      <c r="AK50" s="6">
        <f t="shared" si="36"/>
        <v>0</v>
      </c>
      <c r="AL50" s="815">
        <f t="shared" si="37"/>
        <v>0</v>
      </c>
    </row>
    <row r="51" spans="3:38" ht="12.75" customHeight="1" x14ac:dyDescent="0.2">
      <c r="C51" s="33"/>
      <c r="D51" s="638" t="str">
        <f t="shared" si="18"/>
        <v/>
      </c>
      <c r="E51" s="638" t="str">
        <f t="shared" si="18"/>
        <v/>
      </c>
      <c r="F51" s="638" t="str">
        <f t="shared" si="18"/>
        <v/>
      </c>
      <c r="G51" s="639" t="str">
        <f t="shared" si="19"/>
        <v/>
      </c>
      <c r="H51" s="640" t="str">
        <f>IF(H18="","",H18)</f>
        <v/>
      </c>
      <c r="I51" s="641" t="str">
        <f t="shared" si="21"/>
        <v/>
      </c>
      <c r="J51" s="639" t="str">
        <f>IF(E51="","",IF(#REF!&lt;VLOOKUP(I51,salmrt2020,18,FALSE),#REF!+1,#REF!))</f>
        <v/>
      </c>
      <c r="K51" s="642" t="str">
        <f t="shared" si="22"/>
        <v/>
      </c>
      <c r="L51" s="798"/>
      <c r="M51" s="629">
        <v>0</v>
      </c>
      <c r="N51" s="881">
        <v>0</v>
      </c>
      <c r="O51" s="882" t="str">
        <f t="shared" si="23"/>
        <v/>
      </c>
      <c r="P51" s="808">
        <f t="shared" si="24"/>
        <v>0</v>
      </c>
      <c r="Q51" s="807">
        <v>0</v>
      </c>
      <c r="R51" s="304" t="str">
        <f t="shared" si="25"/>
        <v/>
      </c>
      <c r="S51" s="304" t="str">
        <f t="shared" si="26"/>
        <v/>
      </c>
      <c r="T51" s="305">
        <f>ROUND(IF(K51="",0,+Q51/1659*(AB51*12*(1+tab!$D$44+tab!$D$45)-tab!$D$43)*tab!$D$41),-1)</f>
        <v>0</v>
      </c>
      <c r="U51" s="818" t="str">
        <f t="shared" si="27"/>
        <v/>
      </c>
      <c r="V51" s="289"/>
      <c r="W51" s="682"/>
      <c r="AB51" s="812" t="str">
        <f t="shared" si="17"/>
        <v/>
      </c>
      <c r="AC51" s="848">
        <f t="shared" si="28"/>
        <v>0.60000000000000009</v>
      </c>
      <c r="AD51" s="811" t="e">
        <f t="shared" si="29"/>
        <v>#VALUE!</v>
      </c>
      <c r="AE51" s="811" t="e">
        <f t="shared" si="30"/>
        <v>#VALUE!</v>
      </c>
      <c r="AF51" s="811" t="e">
        <f t="shared" si="31"/>
        <v>#VALUE!</v>
      </c>
      <c r="AG51" s="14">
        <f t="shared" si="32"/>
        <v>0</v>
      </c>
      <c r="AH51" s="813" t="str">
        <f t="shared" si="33"/>
        <v/>
      </c>
      <c r="AI51" s="14">
        <f t="shared" si="34"/>
        <v>0</v>
      </c>
      <c r="AJ51" s="814">
        <f t="shared" si="35"/>
        <v>0.5</v>
      </c>
      <c r="AK51" s="6">
        <f t="shared" si="36"/>
        <v>0</v>
      </c>
      <c r="AL51" s="815">
        <f t="shared" si="37"/>
        <v>0</v>
      </c>
    </row>
    <row r="52" spans="3:38" ht="12.75" customHeight="1" x14ac:dyDescent="0.2">
      <c r="C52" s="33"/>
      <c r="D52" s="638" t="str">
        <f t="shared" si="18"/>
        <v/>
      </c>
      <c r="E52" s="638" t="str">
        <f t="shared" si="18"/>
        <v/>
      </c>
      <c r="F52" s="638" t="str">
        <f t="shared" si="18"/>
        <v/>
      </c>
      <c r="G52" s="639" t="str">
        <f t="shared" si="19"/>
        <v/>
      </c>
      <c r="H52" s="640" t="str">
        <f>IF(H19="","",H19)</f>
        <v/>
      </c>
      <c r="I52" s="641" t="str">
        <f t="shared" si="21"/>
        <v/>
      </c>
      <c r="J52" s="639" t="str">
        <f>IF(E52="","",IF(#REF!&lt;VLOOKUP(I52,salmrt2020,18,FALSE),#REF!+1,#REF!))</f>
        <v/>
      </c>
      <c r="K52" s="642" t="str">
        <f t="shared" si="22"/>
        <v/>
      </c>
      <c r="L52" s="798"/>
      <c r="M52" s="629">
        <v>0</v>
      </c>
      <c r="N52" s="881">
        <v>0</v>
      </c>
      <c r="O52" s="882" t="str">
        <f t="shared" si="23"/>
        <v/>
      </c>
      <c r="P52" s="808">
        <f t="shared" si="24"/>
        <v>0</v>
      </c>
      <c r="Q52" s="807">
        <v>0</v>
      </c>
      <c r="R52" s="304" t="str">
        <f t="shared" si="25"/>
        <v/>
      </c>
      <c r="S52" s="304" t="str">
        <f t="shared" si="26"/>
        <v/>
      </c>
      <c r="T52" s="305">
        <f>ROUND(IF(K52="",0,+Q52/1659*(AB52*12*(1+tab!$D$44+tab!$D$45)-tab!$D$43)*tab!$D$41),-1)</f>
        <v>0</v>
      </c>
      <c r="U52" s="818" t="str">
        <f t="shared" si="27"/>
        <v/>
      </c>
      <c r="V52" s="289"/>
      <c r="W52" s="682"/>
      <c r="AB52" s="812" t="str">
        <f t="shared" si="17"/>
        <v/>
      </c>
      <c r="AC52" s="848">
        <f t="shared" si="28"/>
        <v>0.60000000000000009</v>
      </c>
      <c r="AD52" s="811" t="e">
        <f t="shared" si="29"/>
        <v>#VALUE!</v>
      </c>
      <c r="AE52" s="811" t="e">
        <f t="shared" si="30"/>
        <v>#VALUE!</v>
      </c>
      <c r="AF52" s="811" t="e">
        <f t="shared" si="31"/>
        <v>#VALUE!</v>
      </c>
      <c r="AG52" s="14">
        <f t="shared" si="32"/>
        <v>0</v>
      </c>
      <c r="AH52" s="813" t="str">
        <f t="shared" si="33"/>
        <v/>
      </c>
      <c r="AI52" s="14">
        <f t="shared" si="34"/>
        <v>0</v>
      </c>
      <c r="AJ52" s="814">
        <f t="shared" si="35"/>
        <v>0.5</v>
      </c>
      <c r="AK52" s="6">
        <f t="shared" si="36"/>
        <v>0</v>
      </c>
      <c r="AL52" s="815">
        <f t="shared" si="37"/>
        <v>0</v>
      </c>
    </row>
    <row r="53" spans="3:38" ht="12.75" customHeight="1" x14ac:dyDescent="0.2">
      <c r="C53" s="33"/>
      <c r="D53" s="638" t="str">
        <f t="shared" si="18"/>
        <v/>
      </c>
      <c r="E53" s="638" t="str">
        <f t="shared" si="18"/>
        <v/>
      </c>
      <c r="F53" s="638" t="str">
        <f t="shared" si="18"/>
        <v/>
      </c>
      <c r="G53" s="639" t="str">
        <f t="shared" si="19"/>
        <v/>
      </c>
      <c r="H53" s="640" t="str">
        <f t="shared" si="20"/>
        <v/>
      </c>
      <c r="I53" s="641" t="str">
        <f t="shared" si="21"/>
        <v/>
      </c>
      <c r="J53" s="639" t="str">
        <f>IF(E53="","",IF(#REF!&lt;VLOOKUP(I53,salmrt2020,18,FALSE),#REF!+1,#REF!))</f>
        <v/>
      </c>
      <c r="K53" s="642" t="str">
        <f t="shared" si="22"/>
        <v/>
      </c>
      <c r="L53" s="798"/>
      <c r="M53" s="629">
        <v>0</v>
      </c>
      <c r="N53" s="881">
        <v>0</v>
      </c>
      <c r="O53" s="882" t="str">
        <f t="shared" si="23"/>
        <v/>
      </c>
      <c r="P53" s="808">
        <f t="shared" si="24"/>
        <v>0</v>
      </c>
      <c r="Q53" s="807">
        <v>0</v>
      </c>
      <c r="R53" s="304" t="str">
        <f t="shared" si="25"/>
        <v/>
      </c>
      <c r="S53" s="304" t="str">
        <f t="shared" si="26"/>
        <v/>
      </c>
      <c r="T53" s="305">
        <f>ROUND(IF(K53="",0,+Q53/1659*(AB53*12*(1+tab!$D$44+tab!$D$45)-tab!$D$43)*tab!$D$41),-1)</f>
        <v>0</v>
      </c>
      <c r="U53" s="818" t="str">
        <f t="shared" si="27"/>
        <v/>
      </c>
      <c r="V53" s="289"/>
      <c r="W53" s="682"/>
      <c r="AB53" s="812" t="str">
        <f t="shared" si="17"/>
        <v/>
      </c>
      <c r="AC53" s="848">
        <f t="shared" si="28"/>
        <v>0.60000000000000009</v>
      </c>
      <c r="AD53" s="811" t="e">
        <f t="shared" si="29"/>
        <v>#VALUE!</v>
      </c>
      <c r="AE53" s="811" t="e">
        <f t="shared" si="30"/>
        <v>#VALUE!</v>
      </c>
      <c r="AF53" s="811" t="e">
        <f t="shared" si="31"/>
        <v>#VALUE!</v>
      </c>
      <c r="AG53" s="14">
        <f t="shared" si="32"/>
        <v>0</v>
      </c>
      <c r="AH53" s="813" t="str">
        <f t="shared" si="33"/>
        <v/>
      </c>
      <c r="AI53" s="14">
        <f t="shared" si="34"/>
        <v>0</v>
      </c>
      <c r="AJ53" s="814">
        <f t="shared" si="35"/>
        <v>0.5</v>
      </c>
      <c r="AK53" s="6">
        <f t="shared" si="36"/>
        <v>0</v>
      </c>
      <c r="AL53" s="815">
        <f t="shared" si="37"/>
        <v>0</v>
      </c>
    </row>
    <row r="54" spans="3:38" ht="12.75" customHeight="1" x14ac:dyDescent="0.2">
      <c r="C54" s="33"/>
      <c r="D54" s="638" t="str">
        <f t="shared" si="18"/>
        <v/>
      </c>
      <c r="E54" s="638" t="str">
        <f t="shared" si="18"/>
        <v/>
      </c>
      <c r="F54" s="638" t="str">
        <f t="shared" si="18"/>
        <v/>
      </c>
      <c r="G54" s="639" t="str">
        <f t="shared" si="19"/>
        <v/>
      </c>
      <c r="H54" s="640" t="str">
        <f t="shared" si="20"/>
        <v/>
      </c>
      <c r="I54" s="641" t="str">
        <f t="shared" si="21"/>
        <v/>
      </c>
      <c r="J54" s="639" t="str">
        <f>IF(E54="","",IF(#REF!&lt;VLOOKUP(I54,salmrt2020,18,FALSE),#REF!+1,#REF!))</f>
        <v/>
      </c>
      <c r="K54" s="642" t="str">
        <f t="shared" si="22"/>
        <v/>
      </c>
      <c r="L54" s="798"/>
      <c r="M54" s="629">
        <v>0</v>
      </c>
      <c r="N54" s="881">
        <v>0</v>
      </c>
      <c r="O54" s="882" t="str">
        <f t="shared" si="23"/>
        <v/>
      </c>
      <c r="P54" s="808">
        <f t="shared" si="24"/>
        <v>0</v>
      </c>
      <c r="Q54" s="807">
        <v>0</v>
      </c>
      <c r="R54" s="304" t="str">
        <f t="shared" si="25"/>
        <v/>
      </c>
      <c r="S54" s="304" t="str">
        <f t="shared" si="26"/>
        <v/>
      </c>
      <c r="T54" s="305">
        <f>ROUND(IF(K54="",0,+Q54/1659*(AB54*12*(1+tab!$D$44+tab!$D$45)-tab!$D$43)*tab!$D$41),-1)</f>
        <v>0</v>
      </c>
      <c r="U54" s="818" t="str">
        <f t="shared" si="27"/>
        <v/>
      </c>
      <c r="V54" s="289"/>
      <c r="W54" s="682"/>
      <c r="AB54" s="812" t="str">
        <f t="shared" si="17"/>
        <v/>
      </c>
      <c r="AC54" s="848">
        <f t="shared" si="28"/>
        <v>0.60000000000000009</v>
      </c>
      <c r="AD54" s="811" t="e">
        <f t="shared" si="29"/>
        <v>#VALUE!</v>
      </c>
      <c r="AE54" s="811" t="e">
        <f t="shared" si="30"/>
        <v>#VALUE!</v>
      </c>
      <c r="AF54" s="811" t="e">
        <f t="shared" si="31"/>
        <v>#VALUE!</v>
      </c>
      <c r="AG54" s="14">
        <f t="shared" si="32"/>
        <v>0</v>
      </c>
      <c r="AH54" s="813" t="str">
        <f t="shared" si="33"/>
        <v/>
      </c>
      <c r="AI54" s="14">
        <f t="shared" si="34"/>
        <v>0</v>
      </c>
      <c r="AJ54" s="814">
        <f t="shared" si="35"/>
        <v>0.5</v>
      </c>
      <c r="AK54" s="6">
        <f t="shared" si="36"/>
        <v>0</v>
      </c>
      <c r="AL54" s="815">
        <f t="shared" si="37"/>
        <v>0</v>
      </c>
    </row>
    <row r="55" spans="3:38" ht="12.75" customHeight="1" x14ac:dyDescent="0.2">
      <c r="C55" s="33"/>
      <c r="D55" s="638" t="str">
        <f t="shared" si="18"/>
        <v/>
      </c>
      <c r="E55" s="638" t="str">
        <f t="shared" si="18"/>
        <v/>
      </c>
      <c r="F55" s="638" t="str">
        <f t="shared" si="18"/>
        <v/>
      </c>
      <c r="G55" s="639" t="str">
        <f t="shared" si="19"/>
        <v/>
      </c>
      <c r="H55" s="640" t="str">
        <f t="shared" si="20"/>
        <v/>
      </c>
      <c r="I55" s="641" t="str">
        <f t="shared" si="21"/>
        <v/>
      </c>
      <c r="J55" s="639" t="str">
        <f>IF(E55="","",IF(#REF!&lt;VLOOKUP(I55,salmrt2020,18,FALSE),#REF!+1,#REF!))</f>
        <v/>
      </c>
      <c r="K55" s="642" t="str">
        <f t="shared" si="22"/>
        <v/>
      </c>
      <c r="L55" s="798"/>
      <c r="M55" s="629">
        <v>0</v>
      </c>
      <c r="N55" s="881">
        <v>0</v>
      </c>
      <c r="O55" s="882" t="str">
        <f t="shared" si="23"/>
        <v/>
      </c>
      <c r="P55" s="808">
        <f t="shared" si="24"/>
        <v>0</v>
      </c>
      <c r="Q55" s="807">
        <v>0</v>
      </c>
      <c r="R55" s="304" t="str">
        <f t="shared" si="25"/>
        <v/>
      </c>
      <c r="S55" s="304" t="str">
        <f t="shared" si="26"/>
        <v/>
      </c>
      <c r="T55" s="305">
        <f>ROUND(IF(K55="",0,+Q55/1659*(AB55*12*(1+tab!$D$44+tab!$D$45)-tab!$D$43)*tab!$D$41),-1)</f>
        <v>0</v>
      </c>
      <c r="U55" s="818" t="str">
        <f t="shared" si="27"/>
        <v/>
      </c>
      <c r="V55" s="289"/>
      <c r="W55" s="682"/>
      <c r="AB55" s="812" t="str">
        <f t="shared" si="17"/>
        <v/>
      </c>
      <c r="AC55" s="848">
        <f t="shared" si="28"/>
        <v>0.60000000000000009</v>
      </c>
      <c r="AD55" s="811" t="e">
        <f t="shared" si="29"/>
        <v>#VALUE!</v>
      </c>
      <c r="AE55" s="811" t="e">
        <f t="shared" si="30"/>
        <v>#VALUE!</v>
      </c>
      <c r="AF55" s="811" t="e">
        <f t="shared" si="31"/>
        <v>#VALUE!</v>
      </c>
      <c r="AG55" s="14">
        <f t="shared" si="32"/>
        <v>0</v>
      </c>
      <c r="AH55" s="813" t="str">
        <f t="shared" si="33"/>
        <v/>
      </c>
      <c r="AI55" s="14">
        <f t="shared" si="34"/>
        <v>0</v>
      </c>
      <c r="AJ55" s="814">
        <f t="shared" si="35"/>
        <v>0.5</v>
      </c>
      <c r="AK55" s="6">
        <f t="shared" si="36"/>
        <v>0</v>
      </c>
      <c r="AL55" s="815">
        <f t="shared" si="37"/>
        <v>0</v>
      </c>
    </row>
    <row r="56" spans="3:38" ht="12.75" customHeight="1" x14ac:dyDescent="0.2">
      <c r="C56" s="33"/>
      <c r="D56" s="638" t="str">
        <f t="shared" si="18"/>
        <v/>
      </c>
      <c r="E56" s="638" t="str">
        <f t="shared" si="18"/>
        <v/>
      </c>
      <c r="F56" s="638" t="str">
        <f t="shared" si="18"/>
        <v/>
      </c>
      <c r="G56" s="639" t="str">
        <f t="shared" si="19"/>
        <v/>
      </c>
      <c r="H56" s="640" t="str">
        <f t="shared" si="20"/>
        <v/>
      </c>
      <c r="I56" s="641" t="str">
        <f t="shared" si="21"/>
        <v/>
      </c>
      <c r="J56" s="639" t="str">
        <f>IF(E56="","",IF(#REF!&lt;VLOOKUP(I56,salmrt2020,18,FALSE),#REF!+1,#REF!))</f>
        <v/>
      </c>
      <c r="K56" s="642" t="str">
        <f t="shared" si="22"/>
        <v/>
      </c>
      <c r="L56" s="798"/>
      <c r="M56" s="629">
        <v>0</v>
      </c>
      <c r="N56" s="881">
        <v>0</v>
      </c>
      <c r="O56" s="882" t="str">
        <f t="shared" si="23"/>
        <v/>
      </c>
      <c r="P56" s="808">
        <f t="shared" si="24"/>
        <v>0</v>
      </c>
      <c r="Q56" s="807">
        <v>0</v>
      </c>
      <c r="R56" s="304" t="str">
        <f t="shared" si="25"/>
        <v/>
      </c>
      <c r="S56" s="304" t="str">
        <f t="shared" si="26"/>
        <v/>
      </c>
      <c r="T56" s="305">
        <f>ROUND(IF(K56="",0,+Q56/1659*(AB56*12*(1+tab!$D$44+tab!$D$45)-tab!$D$43)*tab!$D$41),-1)</f>
        <v>0</v>
      </c>
      <c r="U56" s="818" t="str">
        <f t="shared" si="27"/>
        <v/>
      </c>
      <c r="V56" s="289"/>
      <c r="W56" s="682"/>
      <c r="AB56" s="812" t="str">
        <f t="shared" si="17"/>
        <v/>
      </c>
      <c r="AC56" s="848">
        <f t="shared" si="28"/>
        <v>0.60000000000000009</v>
      </c>
      <c r="AD56" s="811" t="e">
        <f t="shared" si="29"/>
        <v>#VALUE!</v>
      </c>
      <c r="AE56" s="811" t="e">
        <f t="shared" si="30"/>
        <v>#VALUE!</v>
      </c>
      <c r="AF56" s="811" t="e">
        <f t="shared" si="31"/>
        <v>#VALUE!</v>
      </c>
      <c r="AG56" s="14">
        <f t="shared" si="32"/>
        <v>0</v>
      </c>
      <c r="AH56" s="813" t="str">
        <f t="shared" si="33"/>
        <v/>
      </c>
      <c r="AI56" s="14">
        <f t="shared" si="34"/>
        <v>0</v>
      </c>
      <c r="AJ56" s="814">
        <f t="shared" si="35"/>
        <v>0.5</v>
      </c>
      <c r="AK56" s="6">
        <f t="shared" si="36"/>
        <v>0</v>
      </c>
      <c r="AL56" s="815">
        <f t="shared" si="37"/>
        <v>0</v>
      </c>
    </row>
    <row r="57" spans="3:38" ht="12.75" customHeight="1" x14ac:dyDescent="0.2">
      <c r="C57" s="33"/>
      <c r="D57" s="638" t="str">
        <f t="shared" si="18"/>
        <v/>
      </c>
      <c r="E57" s="638" t="str">
        <f t="shared" si="18"/>
        <v/>
      </c>
      <c r="F57" s="638" t="str">
        <f t="shared" si="18"/>
        <v/>
      </c>
      <c r="G57" s="639" t="str">
        <f t="shared" si="19"/>
        <v/>
      </c>
      <c r="H57" s="640" t="str">
        <f t="shared" si="20"/>
        <v/>
      </c>
      <c r="I57" s="641" t="str">
        <f t="shared" si="21"/>
        <v/>
      </c>
      <c r="J57" s="639" t="str">
        <f>IF(E57="","",IF(#REF!&lt;VLOOKUP(I57,salmrt2020,18,FALSE),#REF!+1,#REF!))</f>
        <v/>
      </c>
      <c r="K57" s="642" t="str">
        <f t="shared" si="22"/>
        <v/>
      </c>
      <c r="L57" s="798"/>
      <c r="M57" s="629">
        <v>0</v>
      </c>
      <c r="N57" s="881">
        <v>0</v>
      </c>
      <c r="O57" s="882" t="str">
        <f t="shared" si="23"/>
        <v/>
      </c>
      <c r="P57" s="808">
        <f t="shared" si="24"/>
        <v>0</v>
      </c>
      <c r="Q57" s="807">
        <v>0</v>
      </c>
      <c r="R57" s="304" t="str">
        <f t="shared" si="25"/>
        <v/>
      </c>
      <c r="S57" s="304" t="str">
        <f t="shared" si="26"/>
        <v/>
      </c>
      <c r="T57" s="305">
        <f>ROUND(IF(K57="",0,+Q57/1659*(AB57*12*(1+tab!$D$44+tab!$D$45)-tab!$D$43)*tab!$D$41),-1)</f>
        <v>0</v>
      </c>
      <c r="U57" s="818" t="str">
        <f t="shared" si="27"/>
        <v/>
      </c>
      <c r="V57" s="289"/>
      <c r="W57" s="682"/>
      <c r="AB57" s="812" t="str">
        <f t="shared" si="17"/>
        <v/>
      </c>
      <c r="AC57" s="848">
        <f t="shared" si="28"/>
        <v>0.60000000000000009</v>
      </c>
      <c r="AD57" s="811" t="e">
        <f t="shared" si="29"/>
        <v>#VALUE!</v>
      </c>
      <c r="AE57" s="811" t="e">
        <f t="shared" si="30"/>
        <v>#VALUE!</v>
      </c>
      <c r="AF57" s="811" t="e">
        <f t="shared" si="31"/>
        <v>#VALUE!</v>
      </c>
      <c r="AG57" s="14">
        <f t="shared" si="32"/>
        <v>0</v>
      </c>
      <c r="AH57" s="813" t="str">
        <f t="shared" si="33"/>
        <v/>
      </c>
      <c r="AI57" s="14">
        <f t="shared" si="34"/>
        <v>0</v>
      </c>
      <c r="AJ57" s="814">
        <f t="shared" si="35"/>
        <v>0.5</v>
      </c>
      <c r="AK57" s="6">
        <f t="shared" si="36"/>
        <v>0</v>
      </c>
      <c r="AL57" s="815">
        <f t="shared" si="37"/>
        <v>0</v>
      </c>
    </row>
    <row r="58" spans="3:38" ht="12.75" customHeight="1" x14ac:dyDescent="0.2">
      <c r="C58" s="33"/>
      <c r="D58" s="638" t="str">
        <f t="shared" si="18"/>
        <v/>
      </c>
      <c r="E58" s="638" t="str">
        <f t="shared" si="18"/>
        <v/>
      </c>
      <c r="F58" s="638" t="str">
        <f t="shared" si="18"/>
        <v/>
      </c>
      <c r="G58" s="639" t="str">
        <f t="shared" si="19"/>
        <v/>
      </c>
      <c r="H58" s="640" t="str">
        <f t="shared" si="20"/>
        <v/>
      </c>
      <c r="I58" s="641" t="str">
        <f t="shared" si="21"/>
        <v/>
      </c>
      <c r="J58" s="639" t="str">
        <f>IF(E58="","",IF(#REF!&lt;VLOOKUP(I58,salmrt2020,18,FALSE),#REF!+1,#REF!))</f>
        <v/>
      </c>
      <c r="K58" s="642" t="str">
        <f t="shared" si="22"/>
        <v/>
      </c>
      <c r="L58" s="798"/>
      <c r="M58" s="629">
        <v>0</v>
      </c>
      <c r="N58" s="881">
        <v>0</v>
      </c>
      <c r="O58" s="882" t="str">
        <f t="shared" si="23"/>
        <v/>
      </c>
      <c r="P58" s="808">
        <f t="shared" si="24"/>
        <v>0</v>
      </c>
      <c r="Q58" s="807">
        <v>0</v>
      </c>
      <c r="R58" s="304" t="str">
        <f t="shared" si="25"/>
        <v/>
      </c>
      <c r="S58" s="304" t="str">
        <f t="shared" si="26"/>
        <v/>
      </c>
      <c r="T58" s="305">
        <f>ROUND(IF(K58="",0,+Q58/1659*(AB58*12*(1+tab!$D$44+tab!$D$45)-tab!$D$43)*tab!$D$41),-1)</f>
        <v>0</v>
      </c>
      <c r="U58" s="818" t="str">
        <f t="shared" si="27"/>
        <v/>
      </c>
      <c r="V58" s="289"/>
      <c r="W58" s="682"/>
      <c r="AB58" s="812" t="str">
        <f t="shared" si="17"/>
        <v/>
      </c>
      <c r="AC58" s="848">
        <f t="shared" si="28"/>
        <v>0.60000000000000009</v>
      </c>
      <c r="AD58" s="811" t="e">
        <f t="shared" si="29"/>
        <v>#VALUE!</v>
      </c>
      <c r="AE58" s="811" t="e">
        <f t="shared" si="30"/>
        <v>#VALUE!</v>
      </c>
      <c r="AF58" s="811" t="e">
        <f t="shared" si="31"/>
        <v>#VALUE!</v>
      </c>
      <c r="AG58" s="14">
        <f t="shared" si="32"/>
        <v>0</v>
      </c>
      <c r="AH58" s="813" t="str">
        <f t="shared" si="33"/>
        <v/>
      </c>
      <c r="AI58" s="14">
        <f t="shared" si="34"/>
        <v>0</v>
      </c>
      <c r="AJ58" s="814">
        <f t="shared" si="35"/>
        <v>0.5</v>
      </c>
      <c r="AK58" s="6">
        <f t="shared" si="36"/>
        <v>0</v>
      </c>
      <c r="AL58" s="815">
        <f t="shared" si="37"/>
        <v>0</v>
      </c>
    </row>
    <row r="59" spans="3:38" ht="12.75" customHeight="1" x14ac:dyDescent="0.2">
      <c r="C59" s="33"/>
      <c r="D59" s="638" t="str">
        <f t="shared" si="18"/>
        <v/>
      </c>
      <c r="E59" s="638" t="str">
        <f t="shared" si="18"/>
        <v/>
      </c>
      <c r="F59" s="638" t="str">
        <f t="shared" si="18"/>
        <v/>
      </c>
      <c r="G59" s="639" t="str">
        <f t="shared" si="19"/>
        <v/>
      </c>
      <c r="H59" s="640" t="str">
        <f t="shared" si="20"/>
        <v/>
      </c>
      <c r="I59" s="641" t="str">
        <f t="shared" si="21"/>
        <v/>
      </c>
      <c r="J59" s="639" t="str">
        <f>IF(E59="","",IF(#REF!&lt;VLOOKUP(I59,salmrt2020,18,FALSE),#REF!+1,#REF!))</f>
        <v/>
      </c>
      <c r="K59" s="642" t="str">
        <f t="shared" si="22"/>
        <v/>
      </c>
      <c r="L59" s="798"/>
      <c r="M59" s="629">
        <v>0</v>
      </c>
      <c r="N59" s="881">
        <v>0</v>
      </c>
      <c r="O59" s="882" t="str">
        <f t="shared" si="23"/>
        <v/>
      </c>
      <c r="P59" s="808">
        <f t="shared" si="24"/>
        <v>0</v>
      </c>
      <c r="Q59" s="807">
        <v>0</v>
      </c>
      <c r="R59" s="304" t="str">
        <f t="shared" si="25"/>
        <v/>
      </c>
      <c r="S59" s="304" t="str">
        <f t="shared" si="26"/>
        <v/>
      </c>
      <c r="T59" s="305">
        <f>ROUND(IF(K59="",0,+Q59/1659*(AB59*12*(1+tab!$D$44+tab!$D$45)-tab!$D$43)*tab!$D$41),-1)</f>
        <v>0</v>
      </c>
      <c r="U59" s="818" t="str">
        <f t="shared" si="27"/>
        <v/>
      </c>
      <c r="V59" s="289"/>
      <c r="W59" s="682"/>
      <c r="AB59" s="812" t="str">
        <f t="shared" si="17"/>
        <v/>
      </c>
      <c r="AC59" s="848">
        <f t="shared" si="28"/>
        <v>0.60000000000000009</v>
      </c>
      <c r="AD59" s="811" t="e">
        <f t="shared" si="29"/>
        <v>#VALUE!</v>
      </c>
      <c r="AE59" s="811" t="e">
        <f t="shared" si="30"/>
        <v>#VALUE!</v>
      </c>
      <c r="AF59" s="811" t="e">
        <f t="shared" si="31"/>
        <v>#VALUE!</v>
      </c>
      <c r="AG59" s="14">
        <f t="shared" si="32"/>
        <v>0</v>
      </c>
      <c r="AH59" s="813" t="str">
        <f t="shared" si="33"/>
        <v/>
      </c>
      <c r="AI59" s="14">
        <f t="shared" si="34"/>
        <v>0</v>
      </c>
      <c r="AJ59" s="814">
        <f t="shared" si="35"/>
        <v>0.5</v>
      </c>
      <c r="AK59" s="6">
        <f t="shared" si="36"/>
        <v>0</v>
      </c>
      <c r="AL59" s="815">
        <f t="shared" si="37"/>
        <v>0</v>
      </c>
    </row>
    <row r="60" spans="3:38" ht="12.75" customHeight="1" x14ac:dyDescent="0.2">
      <c r="C60" s="33"/>
      <c r="D60" s="638" t="str">
        <f t="shared" si="18"/>
        <v/>
      </c>
      <c r="E60" s="638" t="str">
        <f t="shared" si="18"/>
        <v/>
      </c>
      <c r="F60" s="638" t="str">
        <f t="shared" si="18"/>
        <v/>
      </c>
      <c r="G60" s="639" t="str">
        <f t="shared" si="19"/>
        <v/>
      </c>
      <c r="H60" s="640" t="str">
        <f t="shared" si="20"/>
        <v/>
      </c>
      <c r="I60" s="641" t="str">
        <f t="shared" si="21"/>
        <v/>
      </c>
      <c r="J60" s="639" t="str">
        <f>IF(E60="","",IF(#REF!&lt;VLOOKUP(I60,salmrt2020,18,FALSE),#REF!+1,#REF!))</f>
        <v/>
      </c>
      <c r="K60" s="642" t="str">
        <f t="shared" si="22"/>
        <v/>
      </c>
      <c r="L60" s="798"/>
      <c r="M60" s="629">
        <v>0</v>
      </c>
      <c r="N60" s="881">
        <v>0</v>
      </c>
      <c r="O60" s="882" t="str">
        <f t="shared" si="23"/>
        <v/>
      </c>
      <c r="P60" s="808">
        <f t="shared" si="24"/>
        <v>0</v>
      </c>
      <c r="Q60" s="807">
        <v>0</v>
      </c>
      <c r="R60" s="304" t="str">
        <f t="shared" si="25"/>
        <v/>
      </c>
      <c r="S60" s="304" t="str">
        <f t="shared" si="26"/>
        <v/>
      </c>
      <c r="T60" s="305">
        <f>ROUND(IF(K60="",0,+Q60/1659*(AB60*12*(1+tab!$D$44+tab!$D$45)-tab!$D$43)*tab!$D$41),-1)</f>
        <v>0</v>
      </c>
      <c r="U60" s="818" t="str">
        <f t="shared" si="27"/>
        <v/>
      </c>
      <c r="V60" s="289"/>
      <c r="W60" s="682"/>
      <c r="AB60" s="812" t="str">
        <f t="shared" si="17"/>
        <v/>
      </c>
      <c r="AC60" s="848">
        <f t="shared" si="28"/>
        <v>0.60000000000000009</v>
      </c>
      <c r="AD60" s="811" t="e">
        <f t="shared" si="29"/>
        <v>#VALUE!</v>
      </c>
      <c r="AE60" s="811" t="e">
        <f t="shared" si="30"/>
        <v>#VALUE!</v>
      </c>
      <c r="AF60" s="811" t="e">
        <f t="shared" si="31"/>
        <v>#VALUE!</v>
      </c>
      <c r="AG60" s="14">
        <f t="shared" si="32"/>
        <v>0</v>
      </c>
      <c r="AH60" s="813" t="str">
        <f t="shared" si="33"/>
        <v/>
      </c>
      <c r="AI60" s="14">
        <f t="shared" si="34"/>
        <v>0</v>
      </c>
      <c r="AJ60" s="814">
        <f t="shared" si="35"/>
        <v>0.5</v>
      </c>
      <c r="AK60" s="6">
        <f t="shared" si="36"/>
        <v>0</v>
      </c>
      <c r="AL60" s="815">
        <f t="shared" si="37"/>
        <v>0</v>
      </c>
    </row>
    <row r="61" spans="3:38" ht="12.75" customHeight="1" x14ac:dyDescent="0.2">
      <c r="C61" s="33"/>
      <c r="D61" s="638" t="str">
        <f t="shared" si="18"/>
        <v/>
      </c>
      <c r="E61" s="638" t="str">
        <f t="shared" si="18"/>
        <v/>
      </c>
      <c r="F61" s="638" t="str">
        <f t="shared" si="18"/>
        <v/>
      </c>
      <c r="G61" s="639" t="str">
        <f t="shared" si="19"/>
        <v/>
      </c>
      <c r="H61" s="640" t="str">
        <f t="shared" si="20"/>
        <v/>
      </c>
      <c r="I61" s="641" t="str">
        <f t="shared" si="21"/>
        <v/>
      </c>
      <c r="J61" s="639" t="str">
        <f>IF(E61="","",IF(#REF!&lt;VLOOKUP(I61,salmrt2020,18,FALSE),#REF!+1,#REF!))</f>
        <v/>
      </c>
      <c r="K61" s="642" t="str">
        <f t="shared" si="22"/>
        <v/>
      </c>
      <c r="L61" s="798"/>
      <c r="M61" s="629">
        <v>0</v>
      </c>
      <c r="N61" s="881">
        <v>0</v>
      </c>
      <c r="O61" s="882" t="str">
        <f t="shared" si="23"/>
        <v/>
      </c>
      <c r="P61" s="808">
        <f t="shared" si="24"/>
        <v>0</v>
      </c>
      <c r="Q61" s="807">
        <v>0</v>
      </c>
      <c r="R61" s="304" t="str">
        <f t="shared" si="25"/>
        <v/>
      </c>
      <c r="S61" s="304" t="str">
        <f t="shared" si="26"/>
        <v/>
      </c>
      <c r="T61" s="305">
        <f>ROUND(IF(K61="",0,+Q61/1659*(AB61*12*(1+tab!$D$44+tab!$D$45)-tab!$D$43)*tab!$D$41),-1)</f>
        <v>0</v>
      </c>
      <c r="U61" s="818" t="str">
        <f t="shared" si="27"/>
        <v/>
      </c>
      <c r="V61" s="289"/>
      <c r="W61" s="682"/>
      <c r="AB61" s="812" t="str">
        <f t="shared" si="17"/>
        <v/>
      </c>
      <c r="AC61" s="848">
        <f t="shared" si="28"/>
        <v>0.60000000000000009</v>
      </c>
      <c r="AD61" s="811" t="e">
        <f t="shared" si="29"/>
        <v>#VALUE!</v>
      </c>
      <c r="AE61" s="811" t="e">
        <f t="shared" si="30"/>
        <v>#VALUE!</v>
      </c>
      <c r="AF61" s="811" t="e">
        <f t="shared" si="31"/>
        <v>#VALUE!</v>
      </c>
      <c r="AG61" s="14">
        <f t="shared" si="32"/>
        <v>0</v>
      </c>
      <c r="AH61" s="813" t="str">
        <f t="shared" si="33"/>
        <v/>
      </c>
      <c r="AI61" s="14">
        <f t="shared" si="34"/>
        <v>0</v>
      </c>
      <c r="AJ61" s="814">
        <f t="shared" si="35"/>
        <v>0.5</v>
      </c>
      <c r="AK61" s="6">
        <f t="shared" si="36"/>
        <v>0</v>
      </c>
      <c r="AL61" s="815">
        <f t="shared" si="37"/>
        <v>0</v>
      </c>
    </row>
    <row r="62" spans="3:38" ht="12.75" customHeight="1" x14ac:dyDescent="0.2">
      <c r="C62" s="33"/>
      <c r="D62" s="638" t="str">
        <f t="shared" si="18"/>
        <v/>
      </c>
      <c r="E62" s="638" t="str">
        <f t="shared" si="18"/>
        <v/>
      </c>
      <c r="F62" s="638" t="str">
        <f t="shared" si="18"/>
        <v/>
      </c>
      <c r="G62" s="639" t="str">
        <f t="shared" si="19"/>
        <v/>
      </c>
      <c r="H62" s="640" t="str">
        <f t="shared" si="20"/>
        <v/>
      </c>
      <c r="I62" s="641" t="str">
        <f t="shared" si="21"/>
        <v/>
      </c>
      <c r="J62" s="639" t="str">
        <f>IF(E62="","",IF(#REF!&lt;VLOOKUP(I62,salmrt2020,18,FALSE),#REF!+1,#REF!))</f>
        <v/>
      </c>
      <c r="K62" s="642" t="str">
        <f t="shared" si="22"/>
        <v/>
      </c>
      <c r="L62" s="798"/>
      <c r="M62" s="629">
        <v>0</v>
      </c>
      <c r="N62" s="881">
        <v>0</v>
      </c>
      <c r="O62" s="882" t="str">
        <f t="shared" si="23"/>
        <v/>
      </c>
      <c r="P62" s="808">
        <f t="shared" si="24"/>
        <v>0</v>
      </c>
      <c r="Q62" s="807">
        <v>0</v>
      </c>
      <c r="R62" s="304" t="str">
        <f t="shared" si="25"/>
        <v/>
      </c>
      <c r="S62" s="304" t="str">
        <f t="shared" si="26"/>
        <v/>
      </c>
      <c r="T62" s="305">
        <f>ROUND(IF(K62="",0,+Q62/1659*(AB62*12*(1+tab!$D$44+tab!$D$45)-tab!$D$43)*tab!$D$41),-1)</f>
        <v>0</v>
      </c>
      <c r="U62" s="818" t="str">
        <f t="shared" si="27"/>
        <v/>
      </c>
      <c r="V62" s="289"/>
      <c r="W62" s="682"/>
      <c r="AB62" s="812" t="str">
        <f t="shared" si="17"/>
        <v/>
      </c>
      <c r="AC62" s="848">
        <f t="shared" si="28"/>
        <v>0.60000000000000009</v>
      </c>
      <c r="AD62" s="811" t="e">
        <f t="shared" si="29"/>
        <v>#VALUE!</v>
      </c>
      <c r="AE62" s="811" t="e">
        <f t="shared" si="30"/>
        <v>#VALUE!</v>
      </c>
      <c r="AF62" s="811" t="e">
        <f t="shared" si="31"/>
        <v>#VALUE!</v>
      </c>
      <c r="AG62" s="14">
        <f t="shared" si="32"/>
        <v>0</v>
      </c>
      <c r="AH62" s="813" t="str">
        <f t="shared" si="33"/>
        <v/>
      </c>
      <c r="AI62" s="14">
        <f t="shared" si="34"/>
        <v>0</v>
      </c>
      <c r="AJ62" s="814">
        <f t="shared" si="35"/>
        <v>0.5</v>
      </c>
      <c r="AK62" s="6">
        <f t="shared" si="36"/>
        <v>0</v>
      </c>
      <c r="AL62" s="815">
        <f t="shared" si="37"/>
        <v>0</v>
      </c>
    </row>
    <row r="63" spans="3:38" ht="12.75" customHeight="1" x14ac:dyDescent="0.2">
      <c r="C63" s="33"/>
      <c r="D63" s="638" t="str">
        <f t="shared" si="18"/>
        <v/>
      </c>
      <c r="E63" s="638" t="str">
        <f t="shared" si="18"/>
        <v/>
      </c>
      <c r="F63" s="638" t="str">
        <f t="shared" si="18"/>
        <v/>
      </c>
      <c r="G63" s="639" t="str">
        <f t="shared" si="19"/>
        <v/>
      </c>
      <c r="H63" s="640" t="str">
        <f t="shared" si="20"/>
        <v/>
      </c>
      <c r="I63" s="641" t="str">
        <f t="shared" si="21"/>
        <v/>
      </c>
      <c r="J63" s="639" t="str">
        <f>IF(E63="","",IF(#REF!&lt;VLOOKUP(I63,salmrt2020,18,FALSE),#REF!+1,#REF!))</f>
        <v/>
      </c>
      <c r="K63" s="642" t="str">
        <f t="shared" si="22"/>
        <v/>
      </c>
      <c r="L63" s="798"/>
      <c r="M63" s="629">
        <v>0</v>
      </c>
      <c r="N63" s="881">
        <v>0</v>
      </c>
      <c r="O63" s="882" t="str">
        <f t="shared" si="23"/>
        <v/>
      </c>
      <c r="P63" s="808">
        <f t="shared" si="24"/>
        <v>0</v>
      </c>
      <c r="Q63" s="807">
        <v>0</v>
      </c>
      <c r="R63" s="304" t="str">
        <f t="shared" si="25"/>
        <v/>
      </c>
      <c r="S63" s="304" t="str">
        <f t="shared" si="26"/>
        <v/>
      </c>
      <c r="T63" s="305">
        <f>ROUND(IF(K63="",0,+Q63/1659*(AB63*12*(1+tab!$D$44+tab!$D$45)-tab!$D$43)*tab!$D$41),-1)</f>
        <v>0</v>
      </c>
      <c r="U63" s="818" t="str">
        <f t="shared" si="27"/>
        <v/>
      </c>
      <c r="V63" s="289"/>
      <c r="W63" s="682"/>
      <c r="AB63" s="812" t="str">
        <f t="shared" si="17"/>
        <v/>
      </c>
      <c r="AC63" s="848">
        <f t="shared" si="28"/>
        <v>0.60000000000000009</v>
      </c>
      <c r="AD63" s="811" t="e">
        <f t="shared" si="29"/>
        <v>#VALUE!</v>
      </c>
      <c r="AE63" s="811" t="e">
        <f t="shared" si="30"/>
        <v>#VALUE!</v>
      </c>
      <c r="AF63" s="811" t="e">
        <f t="shared" si="31"/>
        <v>#VALUE!</v>
      </c>
      <c r="AG63" s="14">
        <f t="shared" si="32"/>
        <v>0</v>
      </c>
      <c r="AH63" s="813" t="str">
        <f t="shared" si="33"/>
        <v/>
      </c>
      <c r="AI63" s="14">
        <f t="shared" si="34"/>
        <v>0</v>
      </c>
      <c r="AJ63" s="814">
        <f t="shared" si="35"/>
        <v>0.5</v>
      </c>
      <c r="AK63" s="6">
        <f t="shared" si="36"/>
        <v>0</v>
      </c>
      <c r="AL63" s="815">
        <f t="shared" si="37"/>
        <v>0</v>
      </c>
    </row>
    <row r="64" spans="3:38" ht="12.75" customHeight="1" x14ac:dyDescent="0.2">
      <c r="C64" s="33"/>
      <c r="D64" s="638" t="str">
        <f t="shared" si="18"/>
        <v/>
      </c>
      <c r="E64" s="638" t="str">
        <f t="shared" si="18"/>
        <v/>
      </c>
      <c r="F64" s="638" t="str">
        <f t="shared" si="18"/>
        <v/>
      </c>
      <c r="G64" s="639" t="str">
        <f t="shared" si="19"/>
        <v/>
      </c>
      <c r="H64" s="640" t="str">
        <f t="shared" si="20"/>
        <v/>
      </c>
      <c r="I64" s="641" t="str">
        <f t="shared" si="21"/>
        <v/>
      </c>
      <c r="J64" s="639" t="str">
        <f>IF(E64="","",IF(#REF!&lt;VLOOKUP(I64,salmrt2020,18,FALSE),#REF!+1,#REF!))</f>
        <v/>
      </c>
      <c r="K64" s="642" t="str">
        <f t="shared" si="22"/>
        <v/>
      </c>
      <c r="L64" s="798"/>
      <c r="M64" s="629">
        <v>0</v>
      </c>
      <c r="N64" s="881">
        <v>0</v>
      </c>
      <c r="O64" s="882" t="str">
        <f t="shared" si="23"/>
        <v/>
      </c>
      <c r="P64" s="808">
        <f t="shared" si="24"/>
        <v>0</v>
      </c>
      <c r="Q64" s="807">
        <v>0</v>
      </c>
      <c r="R64" s="304" t="str">
        <f t="shared" si="25"/>
        <v/>
      </c>
      <c r="S64" s="304" t="str">
        <f t="shared" si="26"/>
        <v/>
      </c>
      <c r="T64" s="305">
        <f>ROUND(IF(K64="",0,+Q64/1659*(AB64*12*(1+tab!$D$44+tab!$D$45)-tab!$D$43)*tab!$D$41),-1)</f>
        <v>0</v>
      </c>
      <c r="U64" s="818" t="str">
        <f t="shared" si="27"/>
        <v/>
      </c>
      <c r="V64" s="289"/>
      <c r="W64" s="682"/>
      <c r="AB64" s="812" t="str">
        <f t="shared" si="17"/>
        <v/>
      </c>
      <c r="AC64" s="848">
        <f t="shared" si="28"/>
        <v>0.60000000000000009</v>
      </c>
      <c r="AD64" s="811" t="e">
        <f t="shared" si="29"/>
        <v>#VALUE!</v>
      </c>
      <c r="AE64" s="811" t="e">
        <f t="shared" si="30"/>
        <v>#VALUE!</v>
      </c>
      <c r="AF64" s="811" t="e">
        <f t="shared" si="31"/>
        <v>#VALUE!</v>
      </c>
      <c r="AG64" s="14">
        <f t="shared" si="32"/>
        <v>0</v>
      </c>
      <c r="AH64" s="813" t="str">
        <f t="shared" si="33"/>
        <v/>
      </c>
      <c r="AI64" s="14">
        <f t="shared" si="34"/>
        <v>0</v>
      </c>
      <c r="AJ64" s="814">
        <f t="shared" si="35"/>
        <v>0.5</v>
      </c>
      <c r="AK64" s="6">
        <f t="shared" si="36"/>
        <v>0</v>
      </c>
      <c r="AL64" s="815">
        <f t="shared" si="37"/>
        <v>0</v>
      </c>
    </row>
    <row r="65" spans="3:46" ht="12.75" customHeight="1" x14ac:dyDescent="0.2">
      <c r="C65" s="33"/>
      <c r="D65" s="638" t="str">
        <f t="shared" si="18"/>
        <v/>
      </c>
      <c r="E65" s="638" t="str">
        <f t="shared" si="18"/>
        <v/>
      </c>
      <c r="F65" s="638" t="str">
        <f t="shared" si="18"/>
        <v/>
      </c>
      <c r="G65" s="639" t="str">
        <f t="shared" si="19"/>
        <v/>
      </c>
      <c r="H65" s="640" t="str">
        <f t="shared" si="20"/>
        <v/>
      </c>
      <c r="I65" s="641" t="str">
        <f t="shared" si="21"/>
        <v/>
      </c>
      <c r="J65" s="639" t="str">
        <f>IF(E65="","",IF(#REF!&lt;VLOOKUP(I65,salmrt2020,18,FALSE),#REF!+1,#REF!))</f>
        <v/>
      </c>
      <c r="K65" s="642" t="str">
        <f t="shared" si="22"/>
        <v/>
      </c>
      <c r="L65" s="798"/>
      <c r="M65" s="629">
        <v>0</v>
      </c>
      <c r="N65" s="881">
        <v>0</v>
      </c>
      <c r="O65" s="882" t="str">
        <f t="shared" si="23"/>
        <v/>
      </c>
      <c r="P65" s="808">
        <f t="shared" si="24"/>
        <v>0</v>
      </c>
      <c r="Q65" s="807">
        <v>0</v>
      </c>
      <c r="R65" s="304" t="str">
        <f t="shared" si="25"/>
        <v/>
      </c>
      <c r="S65" s="304" t="str">
        <f t="shared" si="26"/>
        <v/>
      </c>
      <c r="T65" s="305">
        <f>ROUND(IF(K65="",0,+Q65/1659*(AB65*12*(1+tab!$D$44+tab!$D$45)-tab!$D$43)*tab!$D$41),-1)</f>
        <v>0</v>
      </c>
      <c r="U65" s="818" t="str">
        <f t="shared" si="27"/>
        <v/>
      </c>
      <c r="V65" s="289"/>
      <c r="W65" s="682"/>
      <c r="AB65" s="812" t="str">
        <f t="shared" si="17"/>
        <v/>
      </c>
      <c r="AC65" s="848">
        <f t="shared" si="28"/>
        <v>0.60000000000000009</v>
      </c>
      <c r="AD65" s="811" t="e">
        <f t="shared" si="29"/>
        <v>#VALUE!</v>
      </c>
      <c r="AE65" s="811" t="e">
        <f t="shared" si="30"/>
        <v>#VALUE!</v>
      </c>
      <c r="AF65" s="811" t="e">
        <f t="shared" si="31"/>
        <v>#VALUE!</v>
      </c>
      <c r="AG65" s="14">
        <f t="shared" si="32"/>
        <v>0</v>
      </c>
      <c r="AH65" s="813" t="str">
        <f t="shared" si="33"/>
        <v/>
      </c>
      <c r="AI65" s="14">
        <f t="shared" si="34"/>
        <v>0</v>
      </c>
      <c r="AJ65" s="814">
        <f t="shared" si="35"/>
        <v>0.5</v>
      </c>
      <c r="AK65" s="6">
        <f t="shared" si="36"/>
        <v>0</v>
      </c>
      <c r="AL65" s="815">
        <f t="shared" si="37"/>
        <v>0</v>
      </c>
    </row>
    <row r="66" spans="3:46" ht="12.75" customHeight="1" x14ac:dyDescent="0.2">
      <c r="C66" s="33"/>
      <c r="D66" s="638" t="str">
        <f t="shared" si="18"/>
        <v/>
      </c>
      <c r="E66" s="638" t="str">
        <f t="shared" si="18"/>
        <v/>
      </c>
      <c r="F66" s="638" t="str">
        <f t="shared" si="18"/>
        <v/>
      </c>
      <c r="G66" s="639" t="str">
        <f t="shared" si="19"/>
        <v/>
      </c>
      <c r="H66" s="640" t="str">
        <f t="shared" si="20"/>
        <v/>
      </c>
      <c r="I66" s="641" t="str">
        <f t="shared" si="21"/>
        <v/>
      </c>
      <c r="J66" s="639" t="str">
        <f>IF(E66="","",IF(#REF!&lt;VLOOKUP(I66,salmrt2020,18,FALSE),#REF!+1,#REF!))</f>
        <v/>
      </c>
      <c r="K66" s="642" t="str">
        <f t="shared" si="22"/>
        <v/>
      </c>
      <c r="L66" s="798"/>
      <c r="M66" s="629">
        <v>0</v>
      </c>
      <c r="N66" s="881">
        <v>0</v>
      </c>
      <c r="O66" s="882" t="str">
        <f t="shared" si="23"/>
        <v/>
      </c>
      <c r="P66" s="808">
        <f t="shared" si="24"/>
        <v>0</v>
      </c>
      <c r="Q66" s="807">
        <v>0</v>
      </c>
      <c r="R66" s="304" t="str">
        <f t="shared" si="25"/>
        <v/>
      </c>
      <c r="S66" s="304" t="str">
        <f t="shared" si="26"/>
        <v/>
      </c>
      <c r="T66" s="305">
        <f>ROUND(IF(K66="",0,+Q66/1659*(AB66*12*(1+tab!$D$44+tab!$D$45)-tab!$D$43)*tab!$D$41),-1)</f>
        <v>0</v>
      </c>
      <c r="U66" s="818" t="str">
        <f t="shared" si="27"/>
        <v/>
      </c>
      <c r="V66" s="289"/>
      <c r="W66" s="682"/>
      <c r="AB66" s="812" t="str">
        <f t="shared" si="17"/>
        <v/>
      </c>
      <c r="AC66" s="848">
        <f t="shared" si="28"/>
        <v>0.60000000000000009</v>
      </c>
      <c r="AD66" s="811" t="e">
        <f t="shared" si="29"/>
        <v>#VALUE!</v>
      </c>
      <c r="AE66" s="811" t="e">
        <f t="shared" si="30"/>
        <v>#VALUE!</v>
      </c>
      <c r="AF66" s="811" t="e">
        <f t="shared" si="31"/>
        <v>#VALUE!</v>
      </c>
      <c r="AG66" s="14">
        <f t="shared" si="32"/>
        <v>0</v>
      </c>
      <c r="AH66" s="813" t="str">
        <f t="shared" si="33"/>
        <v/>
      </c>
      <c r="AI66" s="14">
        <f t="shared" si="34"/>
        <v>0</v>
      </c>
      <c r="AJ66" s="814">
        <f t="shared" si="35"/>
        <v>0.5</v>
      </c>
      <c r="AK66" s="6">
        <f t="shared" si="36"/>
        <v>0</v>
      </c>
      <c r="AL66" s="815">
        <f t="shared" si="37"/>
        <v>0</v>
      </c>
    </row>
    <row r="67" spans="3:46" ht="12.75" customHeight="1" x14ac:dyDescent="0.2">
      <c r="C67" s="33"/>
      <c r="D67" s="638" t="str">
        <f t="shared" si="18"/>
        <v/>
      </c>
      <c r="E67" s="638" t="str">
        <f t="shared" si="18"/>
        <v/>
      </c>
      <c r="F67" s="638" t="str">
        <f t="shared" si="18"/>
        <v/>
      </c>
      <c r="G67" s="639" t="str">
        <f t="shared" si="19"/>
        <v/>
      </c>
      <c r="H67" s="640" t="str">
        <f t="shared" si="20"/>
        <v/>
      </c>
      <c r="I67" s="641" t="str">
        <f t="shared" si="21"/>
        <v/>
      </c>
      <c r="J67" s="639" t="str">
        <f>IF(E67="","",IF(#REF!&lt;VLOOKUP(I67,salmrt2020,18,FALSE),#REF!+1,#REF!))</f>
        <v/>
      </c>
      <c r="K67" s="642" t="str">
        <f t="shared" si="22"/>
        <v/>
      </c>
      <c r="L67" s="798"/>
      <c r="M67" s="629">
        <v>0</v>
      </c>
      <c r="N67" s="881">
        <v>0</v>
      </c>
      <c r="O67" s="882" t="str">
        <f t="shared" si="23"/>
        <v/>
      </c>
      <c r="P67" s="808">
        <f t="shared" si="24"/>
        <v>0</v>
      </c>
      <c r="Q67" s="807">
        <v>0</v>
      </c>
      <c r="R67" s="304" t="str">
        <f t="shared" si="25"/>
        <v/>
      </c>
      <c r="S67" s="304" t="str">
        <f t="shared" si="26"/>
        <v/>
      </c>
      <c r="T67" s="305">
        <f>ROUND(IF(K67="",0,+Q67/1659*(AB67*12*(1+tab!$D$44+tab!$D$45)-tab!$D$43)*tab!$D$41),-1)</f>
        <v>0</v>
      </c>
      <c r="U67" s="818" t="str">
        <f t="shared" si="27"/>
        <v/>
      </c>
      <c r="V67" s="289"/>
      <c r="W67" s="682"/>
      <c r="AB67" s="812" t="str">
        <f t="shared" si="17"/>
        <v/>
      </c>
      <c r="AC67" s="848">
        <f t="shared" si="28"/>
        <v>0.60000000000000009</v>
      </c>
      <c r="AD67" s="811" t="e">
        <f t="shared" si="29"/>
        <v>#VALUE!</v>
      </c>
      <c r="AE67" s="811" t="e">
        <f t="shared" si="30"/>
        <v>#VALUE!</v>
      </c>
      <c r="AF67" s="811" t="e">
        <f t="shared" si="31"/>
        <v>#VALUE!</v>
      </c>
      <c r="AG67" s="14">
        <f t="shared" si="32"/>
        <v>0</v>
      </c>
      <c r="AH67" s="813" t="str">
        <f t="shared" si="33"/>
        <v/>
      </c>
      <c r="AI67" s="14">
        <f t="shared" si="34"/>
        <v>0</v>
      </c>
      <c r="AJ67" s="814">
        <f t="shared" si="35"/>
        <v>0.5</v>
      </c>
      <c r="AK67" s="6">
        <f t="shared" si="36"/>
        <v>0</v>
      </c>
      <c r="AL67" s="815">
        <f t="shared" si="37"/>
        <v>0</v>
      </c>
    </row>
    <row r="68" spans="3:46" x14ac:dyDescent="0.2">
      <c r="C68" s="33"/>
      <c r="D68" s="290"/>
      <c r="E68" s="290"/>
      <c r="F68" s="290"/>
      <c r="G68" s="150"/>
      <c r="H68" s="291"/>
      <c r="I68" s="150"/>
      <c r="J68" s="150"/>
      <c r="K68" s="306">
        <f>SUM(K48:K67)</f>
        <v>1</v>
      </c>
      <c r="L68" s="793"/>
      <c r="M68" s="806">
        <f t="shared" ref="M68:U68" si="38">SUM(M48:M67)</f>
        <v>0</v>
      </c>
      <c r="N68" s="806">
        <f t="shared" si="38"/>
        <v>0</v>
      </c>
      <c r="O68" s="806">
        <f t="shared" si="38"/>
        <v>50</v>
      </c>
      <c r="P68" s="806">
        <f t="shared" si="38"/>
        <v>50</v>
      </c>
      <c r="Q68" s="806">
        <f t="shared" si="38"/>
        <v>0</v>
      </c>
      <c r="R68" s="816">
        <f t="shared" si="38"/>
        <v>80611.772875226045</v>
      </c>
      <c r="S68" s="816">
        <f t="shared" si="38"/>
        <v>2505.0271247739602</v>
      </c>
      <c r="T68" s="816">
        <f t="shared" si="38"/>
        <v>0</v>
      </c>
      <c r="U68" s="817">
        <f t="shared" si="38"/>
        <v>83116.800000000003</v>
      </c>
      <c r="V68" s="144"/>
      <c r="W68" s="682"/>
      <c r="AB68" s="812">
        <f>SUM(AB48:AB67)</f>
        <v>4329</v>
      </c>
      <c r="AL68" s="815">
        <f>SUM(AL48:AL67)</f>
        <v>0</v>
      </c>
    </row>
    <row r="69" spans="3:46" x14ac:dyDescent="0.2">
      <c r="C69" s="33"/>
      <c r="D69" s="145"/>
      <c r="E69" s="145"/>
      <c r="F69" s="145"/>
      <c r="G69" s="144"/>
      <c r="H69" s="151"/>
      <c r="I69" s="144"/>
      <c r="J69" s="144"/>
      <c r="K69" s="278"/>
      <c r="L69" s="677"/>
      <c r="M69" s="278"/>
      <c r="N69" s="144"/>
      <c r="O69" s="144"/>
      <c r="P69" s="292"/>
      <c r="Q69" s="292"/>
      <c r="R69" s="292"/>
      <c r="S69" s="292"/>
      <c r="T69" s="280"/>
      <c r="U69" s="293"/>
      <c r="V69" s="144"/>
      <c r="W69" s="682"/>
    </row>
    <row r="70" spans="3:46" x14ac:dyDescent="0.2">
      <c r="W70" s="682"/>
    </row>
    <row r="71" spans="3:46" s="7" customFormat="1" x14ac:dyDescent="0.2">
      <c r="D71" s="213"/>
      <c r="E71" s="213"/>
      <c r="F71" s="213"/>
      <c r="G71" s="214"/>
      <c r="H71" s="215"/>
      <c r="I71" s="214"/>
      <c r="J71" s="214"/>
      <c r="K71" s="217"/>
      <c r="L71" s="800"/>
      <c r="M71" s="222"/>
      <c r="T71" s="178"/>
      <c r="U71" s="223"/>
      <c r="W71" s="851"/>
      <c r="AC71" s="214"/>
      <c r="AD71" s="221"/>
      <c r="AL71" s="214"/>
      <c r="AM71" s="221"/>
      <c r="AT71" s="6"/>
    </row>
    <row r="72" spans="3:46" x14ac:dyDescent="0.2">
      <c r="C72" s="6" t="s">
        <v>87</v>
      </c>
      <c r="E72" s="201" t="str">
        <f>tab!D2</f>
        <v>2024/25</v>
      </c>
      <c r="W72" s="682"/>
    </row>
    <row r="73" spans="3:46" x14ac:dyDescent="0.2">
      <c r="C73" s="6" t="s">
        <v>88</v>
      </c>
      <c r="E73" s="201">
        <f>+tab!E3</f>
        <v>45566</v>
      </c>
      <c r="W73" s="682"/>
    </row>
    <row r="74" spans="3:46" s="7" customFormat="1" x14ac:dyDescent="0.2">
      <c r="D74" s="213"/>
      <c r="E74" s="213"/>
      <c r="F74" s="213"/>
      <c r="G74" s="214"/>
      <c r="H74" s="215"/>
      <c r="I74" s="214"/>
      <c r="J74" s="214"/>
      <c r="K74" s="217"/>
      <c r="L74" s="800"/>
      <c r="M74" s="222"/>
      <c r="T74" s="178"/>
      <c r="U74" s="223"/>
      <c r="W74" s="851"/>
      <c r="AC74" s="214"/>
      <c r="AD74" s="221"/>
      <c r="AL74" s="214"/>
      <c r="AM74" s="221"/>
      <c r="AT74" s="6"/>
    </row>
    <row r="75" spans="3:46" ht="12.75" customHeight="1" x14ac:dyDescent="0.2">
      <c r="C75" s="33"/>
      <c r="D75" s="145"/>
      <c r="E75" s="85"/>
      <c r="F75" s="145"/>
      <c r="G75" s="144"/>
      <c r="H75" s="151"/>
      <c r="I75" s="144"/>
      <c r="J75" s="144"/>
      <c r="K75" s="278"/>
      <c r="L75" s="677"/>
      <c r="M75" s="279"/>
      <c r="N75" s="33"/>
      <c r="O75" s="33"/>
      <c r="P75" s="33"/>
      <c r="Q75" s="33"/>
      <c r="R75" s="33"/>
      <c r="S75" s="33"/>
      <c r="T75" s="280"/>
      <c r="U75" s="281"/>
      <c r="V75" s="33"/>
      <c r="W75" s="682"/>
      <c r="X75" s="682"/>
      <c r="AC75" s="682"/>
      <c r="AD75" s="809"/>
      <c r="AE75" s="682"/>
      <c r="AF75" s="682"/>
      <c r="AG75" s="682"/>
      <c r="AH75" s="682"/>
      <c r="AI75" s="794"/>
      <c r="AJ75" s="705"/>
      <c r="AK75" s="792"/>
      <c r="AL75" s="810"/>
      <c r="AM75" s="176"/>
      <c r="AT75" s="7"/>
    </row>
    <row r="76" spans="3:46" ht="12.75" customHeight="1" x14ac:dyDescent="0.2">
      <c r="C76" s="282"/>
      <c r="D76" s="790" t="s">
        <v>89</v>
      </c>
      <c r="E76" s="791"/>
      <c r="F76" s="791"/>
      <c r="G76" s="791"/>
      <c r="H76" s="791"/>
      <c r="I76" s="791"/>
      <c r="J76" s="791"/>
      <c r="K76" s="791"/>
      <c r="L76" s="795"/>
      <c r="M76" s="819" t="s">
        <v>449</v>
      </c>
      <c r="N76" s="820"/>
      <c r="O76" s="821"/>
      <c r="P76" s="821"/>
      <c r="Q76" s="820"/>
      <c r="R76" s="822" t="s">
        <v>450</v>
      </c>
      <c r="S76" s="823"/>
      <c r="T76" s="823"/>
      <c r="U76" s="823"/>
      <c r="V76" s="824"/>
      <c r="W76" s="849"/>
      <c r="X76" s="826"/>
      <c r="Y76" s="827"/>
      <c r="Z76" s="828"/>
      <c r="AA76" s="828"/>
      <c r="AB76" s="829"/>
      <c r="AC76" s="827"/>
      <c r="AD76" s="829"/>
      <c r="AE76" s="827"/>
      <c r="AF76" s="830"/>
      <c r="AG76" s="830"/>
      <c r="AH76" s="831"/>
      <c r="AI76" s="832"/>
      <c r="AJ76" s="831"/>
      <c r="AK76" s="833"/>
      <c r="AL76" s="833"/>
      <c r="AM76" s="6"/>
      <c r="AN76" s="207"/>
      <c r="AO76" s="207"/>
    </row>
    <row r="77" spans="3:46" ht="12.75" customHeight="1" x14ac:dyDescent="0.2">
      <c r="C77" s="282"/>
      <c r="D77" s="295" t="s">
        <v>90</v>
      </c>
      <c r="E77" s="295" t="s">
        <v>91</v>
      </c>
      <c r="F77" s="295" t="s">
        <v>92</v>
      </c>
      <c r="G77" s="296" t="s">
        <v>93</v>
      </c>
      <c r="H77" s="297" t="s">
        <v>94</v>
      </c>
      <c r="I77" s="296" t="s">
        <v>61</v>
      </c>
      <c r="J77" s="296" t="s">
        <v>95</v>
      </c>
      <c r="K77" s="298" t="s">
        <v>96</v>
      </c>
      <c r="L77" s="796"/>
      <c r="M77" s="834" t="s">
        <v>451</v>
      </c>
      <c r="N77" s="835" t="s">
        <v>452</v>
      </c>
      <c r="O77" s="836" t="s">
        <v>453</v>
      </c>
      <c r="P77" s="837" t="s">
        <v>454</v>
      </c>
      <c r="Q77" s="835" t="s">
        <v>455</v>
      </c>
      <c r="R77" s="836" t="s">
        <v>97</v>
      </c>
      <c r="S77" s="834" t="s">
        <v>456</v>
      </c>
      <c r="T77" s="834" t="s">
        <v>457</v>
      </c>
      <c r="U77" s="834" t="s">
        <v>97</v>
      </c>
      <c r="V77" s="838"/>
      <c r="W77" s="850"/>
      <c r="X77" s="840"/>
      <c r="Y77" s="841"/>
      <c r="Z77" s="842"/>
      <c r="AA77" s="842"/>
      <c r="AB77" s="845" t="s">
        <v>208</v>
      </c>
      <c r="AC77" s="846" t="s">
        <v>458</v>
      </c>
      <c r="AD77" s="847" t="s">
        <v>459</v>
      </c>
      <c r="AE77" s="847" t="s">
        <v>459</v>
      </c>
      <c r="AF77" s="847" t="s">
        <v>460</v>
      </c>
      <c r="AG77" s="847" t="s">
        <v>455</v>
      </c>
      <c r="AH77" s="847" t="s">
        <v>461</v>
      </c>
      <c r="AI77" s="847" t="s">
        <v>462</v>
      </c>
      <c r="AJ77" s="847" t="s">
        <v>463</v>
      </c>
      <c r="AK77" s="847" t="s">
        <v>99</v>
      </c>
      <c r="AL77" s="751" t="s">
        <v>221</v>
      </c>
      <c r="AM77" s="6"/>
      <c r="AN77" s="207"/>
      <c r="AO77" s="206"/>
    </row>
    <row r="78" spans="3:46" ht="12.75" customHeight="1" x14ac:dyDescent="0.2">
      <c r="C78" s="282"/>
      <c r="D78" s="300"/>
      <c r="E78" s="295"/>
      <c r="F78" s="301"/>
      <c r="G78" s="296" t="s">
        <v>101</v>
      </c>
      <c r="H78" s="297" t="s">
        <v>102</v>
      </c>
      <c r="I78" s="296"/>
      <c r="J78" s="296"/>
      <c r="K78" s="298"/>
      <c r="L78" s="796"/>
      <c r="M78" s="843" t="s">
        <v>464</v>
      </c>
      <c r="N78" s="835" t="s">
        <v>465</v>
      </c>
      <c r="O78" s="836" t="s">
        <v>466</v>
      </c>
      <c r="P78" s="837" t="s">
        <v>44</v>
      </c>
      <c r="Q78" s="835" t="s">
        <v>467</v>
      </c>
      <c r="R78" s="836" t="s">
        <v>468</v>
      </c>
      <c r="S78" s="844" t="s">
        <v>469</v>
      </c>
      <c r="T78" s="844" t="s">
        <v>470</v>
      </c>
      <c r="U78" s="834" t="s">
        <v>44</v>
      </c>
      <c r="V78" s="838"/>
      <c r="W78" s="850"/>
      <c r="X78" s="840"/>
      <c r="Y78" s="833"/>
      <c r="Z78" s="842"/>
      <c r="AA78" s="842"/>
      <c r="AB78" s="847" t="s">
        <v>471</v>
      </c>
      <c r="AC78" s="848">
        <f>AC46</f>
        <v>0.60000000000000009</v>
      </c>
      <c r="AD78" s="847" t="s">
        <v>472</v>
      </c>
      <c r="AE78" s="847" t="s">
        <v>473</v>
      </c>
      <c r="AF78" s="847" t="s">
        <v>474</v>
      </c>
      <c r="AG78" s="847" t="s">
        <v>467</v>
      </c>
      <c r="AH78" s="847" t="s">
        <v>475</v>
      </c>
      <c r="AI78" s="847" t="s">
        <v>475</v>
      </c>
      <c r="AJ78" s="847" t="s">
        <v>476</v>
      </c>
      <c r="AK78" s="847"/>
      <c r="AL78" s="847" t="s">
        <v>98</v>
      </c>
      <c r="AM78" s="6"/>
      <c r="AO78" s="208"/>
    </row>
    <row r="79" spans="3:46" ht="12.75" customHeight="1" x14ac:dyDescent="0.2">
      <c r="C79" s="33"/>
      <c r="D79" s="145"/>
      <c r="E79" s="145"/>
      <c r="F79" s="145"/>
      <c r="G79" s="144"/>
      <c r="H79" s="151"/>
      <c r="I79" s="164"/>
      <c r="J79" s="164"/>
      <c r="K79" s="283"/>
      <c r="L79" s="797"/>
      <c r="M79" s="283"/>
      <c r="N79" s="284"/>
      <c r="O79" s="285"/>
      <c r="P79" s="286"/>
      <c r="Q79" s="286"/>
      <c r="R79" s="286"/>
      <c r="S79" s="286"/>
      <c r="T79" s="287"/>
      <c r="U79" s="288"/>
      <c r="V79" s="284"/>
      <c r="W79" s="682"/>
      <c r="AC79" s="6"/>
      <c r="AD79" s="6"/>
      <c r="AL79" s="6"/>
      <c r="AM79" s="6"/>
      <c r="AO79" s="208"/>
    </row>
    <row r="80" spans="3:46" ht="12.75" customHeight="1" x14ac:dyDescent="0.2">
      <c r="C80" s="33"/>
      <c r="D80" s="638" t="str">
        <f t="shared" ref="D80:F91" si="39">IF(D48=0,"",D48)</f>
        <v/>
      </c>
      <c r="E80" s="638" t="str">
        <f t="shared" si="39"/>
        <v>piet</v>
      </c>
      <c r="F80" s="638" t="str">
        <f t="shared" si="39"/>
        <v>chef</v>
      </c>
      <c r="G80" s="639">
        <f t="shared" ref="G80:G99" si="40">IF(G48="","",G48+1)</f>
        <v>24</v>
      </c>
      <c r="H80" s="640">
        <f t="shared" ref="H80:I99" si="41">IF(H48=0,"",H48)</f>
        <v>25600</v>
      </c>
      <c r="I80" s="641">
        <f>IF(I48=0,"",I48)</f>
        <v>12</v>
      </c>
      <c r="J80" s="639">
        <f t="shared" ref="J80:J99" si="42">IF(E80="","",IF(J48&lt;VLOOKUP(I80,saltab2022,22,FALSE),J48+1,J48))</f>
        <v>8</v>
      </c>
      <c r="K80" s="642">
        <f t="shared" ref="K80:K91" si="43">IF(K48="","",K48)</f>
        <v>1</v>
      </c>
      <c r="L80" s="798"/>
      <c r="M80" s="629">
        <v>0</v>
      </c>
      <c r="N80" s="881">
        <v>0</v>
      </c>
      <c r="O80" s="882">
        <f>IF(K80="","",K80*50)</f>
        <v>50</v>
      </c>
      <c r="P80" s="808">
        <f>SUM(M80:O80)</f>
        <v>50</v>
      </c>
      <c r="Q80" s="807">
        <v>0</v>
      </c>
      <c r="R80" s="304">
        <f>IF(K80="","",(1659*K80-P80)*AE80)</f>
        <v>86049.203616636529</v>
      </c>
      <c r="S80" s="304">
        <f>IF(K80="","",P80*AF80+AD80*(AH80+AI80*(1-AJ80)))</f>
        <v>2673.996383363472</v>
      </c>
      <c r="T80" s="305">
        <f>ROUND(IF(K80="",0,+Q80/1659*(AB80*12*(1+tab!$D$44+tab!$D$45)-tab!$D$43)*tab!$D$41),-1)</f>
        <v>0</v>
      </c>
      <c r="U80" s="818">
        <f>IF(K80="","",IF(E80=0,0,(R80+S80+T80)))</f>
        <v>88723.199999999997</v>
      </c>
      <c r="V80" s="289"/>
      <c r="W80" s="682"/>
      <c r="AB80" s="812">
        <f t="shared" ref="AB80:AB99" si="44">IF(I80="","",VLOOKUP(I80,saltab2022,J80+1,FALSE))</f>
        <v>4621</v>
      </c>
      <c r="AC80" s="848">
        <f>AC$78</f>
        <v>0.60000000000000009</v>
      </c>
      <c r="AD80" s="811">
        <f>AB80*12/1659</f>
        <v>33.424954792043401</v>
      </c>
      <c r="AE80" s="811">
        <f>AB80*12*(1+AC80)/1659</f>
        <v>53.479927667269443</v>
      </c>
      <c r="AF80" s="811">
        <f>+AE80-AD80</f>
        <v>20.054972875226042</v>
      </c>
      <c r="AG80" s="14">
        <f>Q80</f>
        <v>0</v>
      </c>
      <c r="AH80" s="813">
        <f>O80</f>
        <v>50</v>
      </c>
      <c r="AI80" s="14">
        <f>(M80+N80)</f>
        <v>0</v>
      </c>
      <c r="AJ80" s="814">
        <f>IF(I80&gt;8,50%,40%)</f>
        <v>0.5</v>
      </c>
      <c r="AK80" s="6">
        <f>IF(G80&lt;25,0,IF(G80=25,25,IF(G80&lt;40,0,IF(G80=40,40,IF(G80&gt;=40,0)))))</f>
        <v>0</v>
      </c>
      <c r="AL80" s="815">
        <f>IF(AK80=25,AB80*1.08*K80/2,IF(AK80=40,AB80*1.08*K80,0))</f>
        <v>0</v>
      </c>
    </row>
    <row r="81" spans="3:38" ht="12.75" customHeight="1" x14ac:dyDescent="0.2">
      <c r="C81" s="33"/>
      <c r="D81" s="638" t="str">
        <f t="shared" si="39"/>
        <v/>
      </c>
      <c r="E81" s="638" t="str">
        <f t="shared" si="39"/>
        <v/>
      </c>
      <c r="F81" s="638" t="str">
        <f t="shared" si="39"/>
        <v/>
      </c>
      <c r="G81" s="639" t="str">
        <f t="shared" si="40"/>
        <v/>
      </c>
      <c r="H81" s="640" t="str">
        <f t="shared" si="41"/>
        <v/>
      </c>
      <c r="I81" s="641" t="str">
        <f t="shared" si="41"/>
        <v/>
      </c>
      <c r="J81" s="639" t="str">
        <f t="shared" si="42"/>
        <v/>
      </c>
      <c r="K81" s="642" t="str">
        <f t="shared" si="43"/>
        <v/>
      </c>
      <c r="L81" s="798"/>
      <c r="M81" s="629">
        <v>0</v>
      </c>
      <c r="N81" s="881">
        <v>0</v>
      </c>
      <c r="O81" s="882" t="str">
        <f t="shared" ref="O81:O99" si="45">IF(K81="","",K81*50)</f>
        <v/>
      </c>
      <c r="P81" s="808">
        <f t="shared" ref="P81:P99" si="46">SUM(M81:O81)</f>
        <v>0</v>
      </c>
      <c r="Q81" s="807">
        <v>0</v>
      </c>
      <c r="R81" s="304" t="str">
        <f t="shared" ref="R81:R99" si="47">IF(K81="","",(1659*K81-P81)*AE81)</f>
        <v/>
      </c>
      <c r="S81" s="304" t="str">
        <f t="shared" ref="S81:S99" si="48">IF(K81="","",P81*AF81+AD81*(AH81+AI81*(1-AJ81)))</f>
        <v/>
      </c>
      <c r="T81" s="305">
        <f>ROUND(IF(K81="",0,+Q81/1659*(AB81*12*(1+tab!$D$44+tab!$D$45)-tab!$D$43)*tab!$D$41),-1)</f>
        <v>0</v>
      </c>
      <c r="U81" s="818" t="str">
        <f t="shared" ref="U81:U99" si="49">IF(K81="","",IF(E81=0,0,(R81+S81+T81)))</f>
        <v/>
      </c>
      <c r="V81" s="289"/>
      <c r="W81" s="682"/>
      <c r="AB81" s="812" t="str">
        <f t="shared" si="44"/>
        <v/>
      </c>
      <c r="AC81" s="848">
        <f t="shared" ref="AC81:AC99" si="50">AC$78</f>
        <v>0.60000000000000009</v>
      </c>
      <c r="AD81" s="811" t="e">
        <f t="shared" ref="AD81:AD99" si="51">AB81*12/1659</f>
        <v>#VALUE!</v>
      </c>
      <c r="AE81" s="811" t="e">
        <f t="shared" ref="AE81:AE99" si="52">AB81*12*(1+AC81)/1659</f>
        <v>#VALUE!</v>
      </c>
      <c r="AF81" s="811" t="e">
        <f t="shared" ref="AF81:AF99" si="53">+AE81-AD81</f>
        <v>#VALUE!</v>
      </c>
      <c r="AG81" s="14">
        <f t="shared" ref="AG81:AG99" si="54">Q81</f>
        <v>0</v>
      </c>
      <c r="AH81" s="813" t="str">
        <f t="shared" ref="AH81:AH99" si="55">O81</f>
        <v/>
      </c>
      <c r="AI81" s="14">
        <f t="shared" ref="AI81:AI99" si="56">(M81+N81)</f>
        <v>0</v>
      </c>
      <c r="AJ81" s="814">
        <f t="shared" ref="AJ81:AJ99" si="57">IF(I81&gt;8,50%,40%)</f>
        <v>0.5</v>
      </c>
      <c r="AK81" s="6">
        <f t="shared" ref="AK81:AK99" si="58">IF(G81&lt;25,0,IF(G81=25,25,IF(G81&lt;40,0,IF(G81=40,40,IF(G81&gt;=40,0)))))</f>
        <v>0</v>
      </c>
      <c r="AL81" s="815">
        <f t="shared" ref="AL81:AL99" si="59">IF(AK81=25,AB81*1.08*K81/2,IF(AK81=40,AB81*1.08*K81,0))</f>
        <v>0</v>
      </c>
    </row>
    <row r="82" spans="3:38" ht="12.75" customHeight="1" x14ac:dyDescent="0.2">
      <c r="C82" s="33"/>
      <c r="D82" s="638" t="str">
        <f t="shared" si="39"/>
        <v/>
      </c>
      <c r="E82" s="643" t="str">
        <f t="shared" si="39"/>
        <v/>
      </c>
      <c r="F82" s="643" t="str">
        <f t="shared" si="39"/>
        <v/>
      </c>
      <c r="G82" s="641" t="str">
        <f t="shared" si="40"/>
        <v/>
      </c>
      <c r="H82" s="644" t="str">
        <f t="shared" si="41"/>
        <v/>
      </c>
      <c r="I82" s="641" t="str">
        <f t="shared" si="41"/>
        <v/>
      </c>
      <c r="J82" s="639" t="str">
        <f t="shared" si="42"/>
        <v/>
      </c>
      <c r="K82" s="645" t="str">
        <f t="shared" si="43"/>
        <v/>
      </c>
      <c r="L82" s="799"/>
      <c r="M82" s="629">
        <v>0</v>
      </c>
      <c r="N82" s="881">
        <v>0</v>
      </c>
      <c r="O82" s="882" t="str">
        <f t="shared" si="45"/>
        <v/>
      </c>
      <c r="P82" s="808">
        <f t="shared" si="46"/>
        <v>0</v>
      </c>
      <c r="Q82" s="807">
        <v>0</v>
      </c>
      <c r="R82" s="304" t="str">
        <f t="shared" si="47"/>
        <v/>
      </c>
      <c r="S82" s="304" t="str">
        <f t="shared" si="48"/>
        <v/>
      </c>
      <c r="T82" s="305">
        <f>ROUND(IF(K82="",0,+Q82/1659*(AB82*12*(1+tab!$D$44+tab!$D$45)-tab!$D$43)*tab!$D$41),-1)</f>
        <v>0</v>
      </c>
      <c r="U82" s="818" t="str">
        <f t="shared" si="49"/>
        <v/>
      </c>
      <c r="V82" s="289"/>
      <c r="W82" s="682"/>
      <c r="AB82" s="812" t="str">
        <f t="shared" si="44"/>
        <v/>
      </c>
      <c r="AC82" s="848">
        <f t="shared" si="50"/>
        <v>0.60000000000000009</v>
      </c>
      <c r="AD82" s="811" t="e">
        <f t="shared" si="51"/>
        <v>#VALUE!</v>
      </c>
      <c r="AE82" s="811" t="e">
        <f t="shared" si="52"/>
        <v>#VALUE!</v>
      </c>
      <c r="AF82" s="811" t="e">
        <f t="shared" si="53"/>
        <v>#VALUE!</v>
      </c>
      <c r="AG82" s="14">
        <f t="shared" si="54"/>
        <v>0</v>
      </c>
      <c r="AH82" s="813" t="str">
        <f t="shared" si="55"/>
        <v/>
      </c>
      <c r="AI82" s="14">
        <f t="shared" si="56"/>
        <v>0</v>
      </c>
      <c r="AJ82" s="814">
        <f t="shared" si="57"/>
        <v>0.5</v>
      </c>
      <c r="AK82" s="6">
        <f t="shared" si="58"/>
        <v>0</v>
      </c>
      <c r="AL82" s="815">
        <f t="shared" si="59"/>
        <v>0</v>
      </c>
    </row>
    <row r="83" spans="3:38" ht="12.75" customHeight="1" x14ac:dyDescent="0.2">
      <c r="C83" s="33"/>
      <c r="D83" s="638" t="str">
        <f t="shared" si="39"/>
        <v/>
      </c>
      <c r="E83" s="638" t="str">
        <f t="shared" si="39"/>
        <v/>
      </c>
      <c r="F83" s="638" t="str">
        <f t="shared" si="39"/>
        <v/>
      </c>
      <c r="G83" s="639" t="str">
        <f t="shared" si="40"/>
        <v/>
      </c>
      <c r="H83" s="640" t="str">
        <f t="shared" si="41"/>
        <v/>
      </c>
      <c r="I83" s="641" t="str">
        <f t="shared" si="41"/>
        <v/>
      </c>
      <c r="J83" s="639" t="str">
        <f t="shared" si="42"/>
        <v/>
      </c>
      <c r="K83" s="642" t="str">
        <f t="shared" si="43"/>
        <v/>
      </c>
      <c r="L83" s="798"/>
      <c r="M83" s="629">
        <v>0</v>
      </c>
      <c r="N83" s="881">
        <v>0</v>
      </c>
      <c r="O83" s="882" t="str">
        <f t="shared" si="45"/>
        <v/>
      </c>
      <c r="P83" s="808">
        <f t="shared" si="46"/>
        <v>0</v>
      </c>
      <c r="Q83" s="807">
        <v>0</v>
      </c>
      <c r="R83" s="304" t="str">
        <f t="shared" si="47"/>
        <v/>
      </c>
      <c r="S83" s="304" t="str">
        <f t="shared" si="48"/>
        <v/>
      </c>
      <c r="T83" s="305">
        <f>ROUND(IF(K83="",0,+Q83/1659*(AB83*12*(1+tab!$D$44+tab!$D$45)-tab!$D$43)*tab!$D$41),-1)</f>
        <v>0</v>
      </c>
      <c r="U83" s="818" t="str">
        <f t="shared" si="49"/>
        <v/>
      </c>
      <c r="V83" s="289"/>
      <c r="W83" s="682"/>
      <c r="AB83" s="812" t="str">
        <f t="shared" si="44"/>
        <v/>
      </c>
      <c r="AC83" s="848">
        <f t="shared" si="50"/>
        <v>0.60000000000000009</v>
      </c>
      <c r="AD83" s="811" t="e">
        <f t="shared" si="51"/>
        <v>#VALUE!</v>
      </c>
      <c r="AE83" s="811" t="e">
        <f t="shared" si="52"/>
        <v>#VALUE!</v>
      </c>
      <c r="AF83" s="811" t="e">
        <f t="shared" si="53"/>
        <v>#VALUE!</v>
      </c>
      <c r="AG83" s="14">
        <f t="shared" si="54"/>
        <v>0</v>
      </c>
      <c r="AH83" s="813" t="str">
        <f t="shared" si="55"/>
        <v/>
      </c>
      <c r="AI83" s="14">
        <f t="shared" si="56"/>
        <v>0</v>
      </c>
      <c r="AJ83" s="814">
        <f t="shared" si="57"/>
        <v>0.5</v>
      </c>
      <c r="AK83" s="6">
        <f t="shared" si="58"/>
        <v>0</v>
      </c>
      <c r="AL83" s="815">
        <f t="shared" si="59"/>
        <v>0</v>
      </c>
    </row>
    <row r="84" spans="3:38" ht="12.75" customHeight="1" x14ac:dyDescent="0.2">
      <c r="C84" s="33"/>
      <c r="D84" s="638" t="str">
        <f t="shared" si="39"/>
        <v/>
      </c>
      <c r="E84" s="638" t="str">
        <f t="shared" si="39"/>
        <v/>
      </c>
      <c r="F84" s="638" t="str">
        <f t="shared" si="39"/>
        <v/>
      </c>
      <c r="G84" s="639" t="str">
        <f t="shared" si="40"/>
        <v/>
      </c>
      <c r="H84" s="640" t="str">
        <f t="shared" si="41"/>
        <v/>
      </c>
      <c r="I84" s="641" t="str">
        <f t="shared" si="41"/>
        <v/>
      </c>
      <c r="J84" s="639" t="str">
        <f t="shared" si="42"/>
        <v/>
      </c>
      <c r="K84" s="642" t="str">
        <f t="shared" si="43"/>
        <v/>
      </c>
      <c r="L84" s="798"/>
      <c r="M84" s="629">
        <v>0</v>
      </c>
      <c r="N84" s="881">
        <v>0</v>
      </c>
      <c r="O84" s="882" t="str">
        <f t="shared" si="45"/>
        <v/>
      </c>
      <c r="P84" s="808">
        <f t="shared" si="46"/>
        <v>0</v>
      </c>
      <c r="Q84" s="807">
        <v>0</v>
      </c>
      <c r="R84" s="304" t="str">
        <f t="shared" si="47"/>
        <v/>
      </c>
      <c r="S84" s="304" t="str">
        <f t="shared" si="48"/>
        <v/>
      </c>
      <c r="T84" s="305">
        <f>ROUND(IF(K84="",0,+Q84/1659*(AB84*12*(1+tab!$D$44+tab!$D$45)-tab!$D$43)*tab!$D$41),-1)</f>
        <v>0</v>
      </c>
      <c r="U84" s="818" t="str">
        <f t="shared" si="49"/>
        <v/>
      </c>
      <c r="V84" s="289"/>
      <c r="W84" s="682"/>
      <c r="AB84" s="812" t="str">
        <f t="shared" si="44"/>
        <v/>
      </c>
      <c r="AC84" s="848">
        <f t="shared" si="50"/>
        <v>0.60000000000000009</v>
      </c>
      <c r="AD84" s="811" t="e">
        <f t="shared" si="51"/>
        <v>#VALUE!</v>
      </c>
      <c r="AE84" s="811" t="e">
        <f t="shared" si="52"/>
        <v>#VALUE!</v>
      </c>
      <c r="AF84" s="811" t="e">
        <f t="shared" si="53"/>
        <v>#VALUE!</v>
      </c>
      <c r="AG84" s="14">
        <f t="shared" si="54"/>
        <v>0</v>
      </c>
      <c r="AH84" s="813" t="str">
        <f t="shared" si="55"/>
        <v/>
      </c>
      <c r="AI84" s="14">
        <f t="shared" si="56"/>
        <v>0</v>
      </c>
      <c r="AJ84" s="814">
        <f t="shared" si="57"/>
        <v>0.5</v>
      </c>
      <c r="AK84" s="6">
        <f t="shared" si="58"/>
        <v>0</v>
      </c>
      <c r="AL84" s="815">
        <f t="shared" si="59"/>
        <v>0</v>
      </c>
    </row>
    <row r="85" spans="3:38" ht="12.75" customHeight="1" x14ac:dyDescent="0.2">
      <c r="C85" s="33"/>
      <c r="D85" s="638" t="str">
        <f t="shared" si="39"/>
        <v/>
      </c>
      <c r="E85" s="638" t="str">
        <f t="shared" si="39"/>
        <v/>
      </c>
      <c r="F85" s="638" t="str">
        <f t="shared" si="39"/>
        <v/>
      </c>
      <c r="G85" s="639" t="str">
        <f t="shared" si="40"/>
        <v/>
      </c>
      <c r="H85" s="640" t="str">
        <f t="shared" si="41"/>
        <v/>
      </c>
      <c r="I85" s="641" t="str">
        <f t="shared" si="41"/>
        <v/>
      </c>
      <c r="J85" s="639" t="str">
        <f t="shared" si="42"/>
        <v/>
      </c>
      <c r="K85" s="642" t="str">
        <f t="shared" si="43"/>
        <v/>
      </c>
      <c r="L85" s="798"/>
      <c r="M85" s="629">
        <v>0</v>
      </c>
      <c r="N85" s="881">
        <v>0</v>
      </c>
      <c r="O85" s="882" t="str">
        <f t="shared" si="45"/>
        <v/>
      </c>
      <c r="P85" s="808">
        <f t="shared" si="46"/>
        <v>0</v>
      </c>
      <c r="Q85" s="807">
        <v>0</v>
      </c>
      <c r="R85" s="304" t="str">
        <f t="shared" si="47"/>
        <v/>
      </c>
      <c r="S85" s="304" t="str">
        <f t="shared" si="48"/>
        <v/>
      </c>
      <c r="T85" s="305">
        <f>ROUND(IF(K85="",0,+Q85/1659*(AB85*12*(1+tab!$D$44+tab!$D$45)-tab!$D$43)*tab!$D$41),-1)</f>
        <v>0</v>
      </c>
      <c r="U85" s="818" t="str">
        <f t="shared" si="49"/>
        <v/>
      </c>
      <c r="V85" s="289"/>
      <c r="W85" s="682"/>
      <c r="AB85" s="812" t="str">
        <f t="shared" si="44"/>
        <v/>
      </c>
      <c r="AC85" s="848">
        <f t="shared" si="50"/>
        <v>0.60000000000000009</v>
      </c>
      <c r="AD85" s="811" t="e">
        <f t="shared" si="51"/>
        <v>#VALUE!</v>
      </c>
      <c r="AE85" s="811" t="e">
        <f t="shared" si="52"/>
        <v>#VALUE!</v>
      </c>
      <c r="AF85" s="811" t="e">
        <f t="shared" si="53"/>
        <v>#VALUE!</v>
      </c>
      <c r="AG85" s="14">
        <f t="shared" si="54"/>
        <v>0</v>
      </c>
      <c r="AH85" s="813" t="str">
        <f t="shared" si="55"/>
        <v/>
      </c>
      <c r="AI85" s="14">
        <f t="shared" si="56"/>
        <v>0</v>
      </c>
      <c r="AJ85" s="814">
        <f t="shared" si="57"/>
        <v>0.5</v>
      </c>
      <c r="AK85" s="6">
        <f t="shared" si="58"/>
        <v>0</v>
      </c>
      <c r="AL85" s="815">
        <f t="shared" si="59"/>
        <v>0</v>
      </c>
    </row>
    <row r="86" spans="3:38" ht="12.75" customHeight="1" x14ac:dyDescent="0.2">
      <c r="C86" s="33"/>
      <c r="D86" s="638" t="str">
        <f t="shared" si="39"/>
        <v/>
      </c>
      <c r="E86" s="638" t="str">
        <f t="shared" si="39"/>
        <v/>
      </c>
      <c r="F86" s="638" t="str">
        <f t="shared" si="39"/>
        <v/>
      </c>
      <c r="G86" s="639" t="str">
        <f t="shared" si="40"/>
        <v/>
      </c>
      <c r="H86" s="640" t="str">
        <f t="shared" si="41"/>
        <v/>
      </c>
      <c r="I86" s="641" t="str">
        <f t="shared" si="41"/>
        <v/>
      </c>
      <c r="J86" s="639" t="str">
        <f t="shared" si="42"/>
        <v/>
      </c>
      <c r="K86" s="642" t="str">
        <f t="shared" si="43"/>
        <v/>
      </c>
      <c r="L86" s="798"/>
      <c r="M86" s="629">
        <v>0</v>
      </c>
      <c r="N86" s="881">
        <v>0</v>
      </c>
      <c r="O86" s="882" t="str">
        <f t="shared" si="45"/>
        <v/>
      </c>
      <c r="P86" s="808">
        <f t="shared" si="46"/>
        <v>0</v>
      </c>
      <c r="Q86" s="807">
        <v>0</v>
      </c>
      <c r="R86" s="304" t="str">
        <f t="shared" si="47"/>
        <v/>
      </c>
      <c r="S86" s="304" t="str">
        <f t="shared" si="48"/>
        <v/>
      </c>
      <c r="T86" s="305">
        <f>ROUND(IF(K86="",0,+Q86/1659*(AB86*12*(1+tab!$D$44+tab!$D$45)-tab!$D$43)*tab!$D$41),-1)</f>
        <v>0</v>
      </c>
      <c r="U86" s="818" t="str">
        <f t="shared" si="49"/>
        <v/>
      </c>
      <c r="V86" s="289"/>
      <c r="W86" s="682"/>
      <c r="AB86" s="812" t="str">
        <f t="shared" si="44"/>
        <v/>
      </c>
      <c r="AC86" s="848">
        <f t="shared" si="50"/>
        <v>0.60000000000000009</v>
      </c>
      <c r="AD86" s="811" t="e">
        <f t="shared" si="51"/>
        <v>#VALUE!</v>
      </c>
      <c r="AE86" s="811" t="e">
        <f t="shared" si="52"/>
        <v>#VALUE!</v>
      </c>
      <c r="AF86" s="811" t="e">
        <f t="shared" si="53"/>
        <v>#VALUE!</v>
      </c>
      <c r="AG86" s="14">
        <f t="shared" si="54"/>
        <v>0</v>
      </c>
      <c r="AH86" s="813" t="str">
        <f t="shared" si="55"/>
        <v/>
      </c>
      <c r="AI86" s="14">
        <f t="shared" si="56"/>
        <v>0</v>
      </c>
      <c r="AJ86" s="814">
        <f t="shared" si="57"/>
        <v>0.5</v>
      </c>
      <c r="AK86" s="6">
        <f t="shared" si="58"/>
        <v>0</v>
      </c>
      <c r="AL86" s="815">
        <f t="shared" si="59"/>
        <v>0</v>
      </c>
    </row>
    <row r="87" spans="3:38" ht="12.75" customHeight="1" x14ac:dyDescent="0.2">
      <c r="C87" s="33"/>
      <c r="D87" s="638" t="str">
        <f t="shared" si="39"/>
        <v/>
      </c>
      <c r="E87" s="638" t="str">
        <f t="shared" si="39"/>
        <v/>
      </c>
      <c r="F87" s="638" t="str">
        <f t="shared" si="39"/>
        <v/>
      </c>
      <c r="G87" s="639" t="str">
        <f t="shared" si="40"/>
        <v/>
      </c>
      <c r="H87" s="640" t="str">
        <f t="shared" si="41"/>
        <v/>
      </c>
      <c r="I87" s="641" t="str">
        <f t="shared" si="41"/>
        <v/>
      </c>
      <c r="J87" s="639" t="str">
        <f t="shared" si="42"/>
        <v/>
      </c>
      <c r="K87" s="642" t="str">
        <f t="shared" si="43"/>
        <v/>
      </c>
      <c r="L87" s="798"/>
      <c r="M87" s="629">
        <v>0</v>
      </c>
      <c r="N87" s="881">
        <v>0</v>
      </c>
      <c r="O87" s="882" t="str">
        <f t="shared" si="45"/>
        <v/>
      </c>
      <c r="P87" s="808">
        <f t="shared" si="46"/>
        <v>0</v>
      </c>
      <c r="Q87" s="807">
        <v>0</v>
      </c>
      <c r="R87" s="304" t="str">
        <f t="shared" si="47"/>
        <v/>
      </c>
      <c r="S87" s="304" t="str">
        <f t="shared" si="48"/>
        <v/>
      </c>
      <c r="T87" s="305">
        <f>ROUND(IF(K87="",0,+Q87/1659*(AB87*12*(1+tab!$D$44+tab!$D$45)-tab!$D$43)*tab!$D$41),-1)</f>
        <v>0</v>
      </c>
      <c r="U87" s="818" t="str">
        <f t="shared" si="49"/>
        <v/>
      </c>
      <c r="V87" s="289"/>
      <c r="W87" s="682"/>
      <c r="AB87" s="812" t="str">
        <f t="shared" si="44"/>
        <v/>
      </c>
      <c r="AC87" s="848">
        <f t="shared" si="50"/>
        <v>0.60000000000000009</v>
      </c>
      <c r="AD87" s="811" t="e">
        <f t="shared" si="51"/>
        <v>#VALUE!</v>
      </c>
      <c r="AE87" s="811" t="e">
        <f t="shared" si="52"/>
        <v>#VALUE!</v>
      </c>
      <c r="AF87" s="811" t="e">
        <f t="shared" si="53"/>
        <v>#VALUE!</v>
      </c>
      <c r="AG87" s="14">
        <f t="shared" si="54"/>
        <v>0</v>
      </c>
      <c r="AH87" s="813" t="str">
        <f t="shared" si="55"/>
        <v/>
      </c>
      <c r="AI87" s="14">
        <f t="shared" si="56"/>
        <v>0</v>
      </c>
      <c r="AJ87" s="814">
        <f t="shared" si="57"/>
        <v>0.5</v>
      </c>
      <c r="AK87" s="6">
        <f t="shared" si="58"/>
        <v>0</v>
      </c>
      <c r="AL87" s="815">
        <f t="shared" si="59"/>
        <v>0</v>
      </c>
    </row>
    <row r="88" spans="3:38" ht="12.75" customHeight="1" x14ac:dyDescent="0.2">
      <c r="C88" s="33"/>
      <c r="D88" s="638" t="str">
        <f t="shared" si="39"/>
        <v/>
      </c>
      <c r="E88" s="638" t="str">
        <f t="shared" si="39"/>
        <v/>
      </c>
      <c r="F88" s="638" t="str">
        <f t="shared" si="39"/>
        <v/>
      </c>
      <c r="G88" s="639" t="str">
        <f t="shared" si="40"/>
        <v/>
      </c>
      <c r="H88" s="640" t="str">
        <f t="shared" si="41"/>
        <v/>
      </c>
      <c r="I88" s="641" t="str">
        <f t="shared" si="41"/>
        <v/>
      </c>
      <c r="J88" s="639" t="str">
        <f t="shared" si="42"/>
        <v/>
      </c>
      <c r="K88" s="642" t="str">
        <f t="shared" si="43"/>
        <v/>
      </c>
      <c r="L88" s="798"/>
      <c r="M88" s="629">
        <v>0</v>
      </c>
      <c r="N88" s="881">
        <v>0</v>
      </c>
      <c r="O88" s="882" t="str">
        <f t="shared" si="45"/>
        <v/>
      </c>
      <c r="P88" s="808">
        <f t="shared" si="46"/>
        <v>0</v>
      </c>
      <c r="Q88" s="807">
        <v>0</v>
      </c>
      <c r="R88" s="304" t="str">
        <f t="shared" si="47"/>
        <v/>
      </c>
      <c r="S88" s="304" t="str">
        <f t="shared" si="48"/>
        <v/>
      </c>
      <c r="T88" s="305">
        <f>ROUND(IF(K88="",0,+Q88/1659*(AB88*12*(1+tab!$D$44+tab!$D$45)-tab!$D$43)*tab!$D$41),-1)</f>
        <v>0</v>
      </c>
      <c r="U88" s="818" t="str">
        <f t="shared" si="49"/>
        <v/>
      </c>
      <c r="V88" s="289"/>
      <c r="W88" s="682"/>
      <c r="AB88" s="812" t="str">
        <f t="shared" si="44"/>
        <v/>
      </c>
      <c r="AC88" s="848">
        <f t="shared" si="50"/>
        <v>0.60000000000000009</v>
      </c>
      <c r="AD88" s="811" t="e">
        <f t="shared" si="51"/>
        <v>#VALUE!</v>
      </c>
      <c r="AE88" s="811" t="e">
        <f t="shared" si="52"/>
        <v>#VALUE!</v>
      </c>
      <c r="AF88" s="811" t="e">
        <f t="shared" si="53"/>
        <v>#VALUE!</v>
      </c>
      <c r="AG88" s="14">
        <f t="shared" si="54"/>
        <v>0</v>
      </c>
      <c r="AH88" s="813" t="str">
        <f t="shared" si="55"/>
        <v/>
      </c>
      <c r="AI88" s="14">
        <f t="shared" si="56"/>
        <v>0</v>
      </c>
      <c r="AJ88" s="814">
        <f t="shared" si="57"/>
        <v>0.5</v>
      </c>
      <c r="AK88" s="6">
        <f t="shared" si="58"/>
        <v>0</v>
      </c>
      <c r="AL88" s="815">
        <f t="shared" si="59"/>
        <v>0</v>
      </c>
    </row>
    <row r="89" spans="3:38" ht="12.75" customHeight="1" x14ac:dyDescent="0.2">
      <c r="C89" s="33"/>
      <c r="D89" s="638" t="str">
        <f t="shared" si="39"/>
        <v/>
      </c>
      <c r="E89" s="638" t="str">
        <f t="shared" si="39"/>
        <v/>
      </c>
      <c r="F89" s="638" t="str">
        <f t="shared" si="39"/>
        <v/>
      </c>
      <c r="G89" s="639" t="str">
        <f t="shared" si="40"/>
        <v/>
      </c>
      <c r="H89" s="640" t="str">
        <f t="shared" si="41"/>
        <v/>
      </c>
      <c r="I89" s="641" t="str">
        <f t="shared" si="41"/>
        <v/>
      </c>
      <c r="J89" s="639" t="str">
        <f t="shared" si="42"/>
        <v/>
      </c>
      <c r="K89" s="642" t="str">
        <f t="shared" si="43"/>
        <v/>
      </c>
      <c r="L89" s="798"/>
      <c r="M89" s="629">
        <v>0</v>
      </c>
      <c r="N89" s="881">
        <v>0</v>
      </c>
      <c r="O89" s="882" t="str">
        <f t="shared" si="45"/>
        <v/>
      </c>
      <c r="P89" s="808">
        <f t="shared" si="46"/>
        <v>0</v>
      </c>
      <c r="Q89" s="807">
        <v>0</v>
      </c>
      <c r="R89" s="304" t="str">
        <f t="shared" si="47"/>
        <v/>
      </c>
      <c r="S89" s="304" t="str">
        <f t="shared" si="48"/>
        <v/>
      </c>
      <c r="T89" s="305">
        <f>ROUND(IF(K89="",0,+Q89/1659*(AB89*12*(1+tab!$D$44+tab!$D$45)-tab!$D$43)*tab!$D$41),-1)</f>
        <v>0</v>
      </c>
      <c r="U89" s="818" t="str">
        <f t="shared" si="49"/>
        <v/>
      </c>
      <c r="V89" s="289"/>
      <c r="W89" s="682"/>
      <c r="AB89" s="812" t="str">
        <f t="shared" si="44"/>
        <v/>
      </c>
      <c r="AC89" s="848">
        <f t="shared" si="50"/>
        <v>0.60000000000000009</v>
      </c>
      <c r="AD89" s="811" t="e">
        <f t="shared" si="51"/>
        <v>#VALUE!</v>
      </c>
      <c r="AE89" s="811" t="e">
        <f t="shared" si="52"/>
        <v>#VALUE!</v>
      </c>
      <c r="AF89" s="811" t="e">
        <f t="shared" si="53"/>
        <v>#VALUE!</v>
      </c>
      <c r="AG89" s="14">
        <f t="shared" si="54"/>
        <v>0</v>
      </c>
      <c r="AH89" s="813" t="str">
        <f t="shared" si="55"/>
        <v/>
      </c>
      <c r="AI89" s="14">
        <f t="shared" si="56"/>
        <v>0</v>
      </c>
      <c r="AJ89" s="814">
        <f t="shared" si="57"/>
        <v>0.5</v>
      </c>
      <c r="AK89" s="6">
        <f t="shared" si="58"/>
        <v>0</v>
      </c>
      <c r="AL89" s="815">
        <f t="shared" si="59"/>
        <v>0</v>
      </c>
    </row>
    <row r="90" spans="3:38" ht="12.75" customHeight="1" x14ac:dyDescent="0.2">
      <c r="C90" s="33"/>
      <c r="D90" s="638" t="str">
        <f t="shared" si="39"/>
        <v/>
      </c>
      <c r="E90" s="638" t="str">
        <f t="shared" si="39"/>
        <v/>
      </c>
      <c r="F90" s="638" t="str">
        <f t="shared" si="39"/>
        <v/>
      </c>
      <c r="G90" s="639" t="str">
        <f t="shared" si="40"/>
        <v/>
      </c>
      <c r="H90" s="640" t="str">
        <f t="shared" si="41"/>
        <v/>
      </c>
      <c r="I90" s="641" t="str">
        <f t="shared" si="41"/>
        <v/>
      </c>
      <c r="J90" s="639" t="str">
        <f t="shared" si="42"/>
        <v/>
      </c>
      <c r="K90" s="642" t="str">
        <f t="shared" si="43"/>
        <v/>
      </c>
      <c r="L90" s="798"/>
      <c r="M90" s="629">
        <v>0</v>
      </c>
      <c r="N90" s="881">
        <v>0</v>
      </c>
      <c r="O90" s="882" t="str">
        <f t="shared" si="45"/>
        <v/>
      </c>
      <c r="P90" s="808">
        <f t="shared" si="46"/>
        <v>0</v>
      </c>
      <c r="Q90" s="807">
        <v>0</v>
      </c>
      <c r="R90" s="304" t="str">
        <f t="shared" si="47"/>
        <v/>
      </c>
      <c r="S90" s="304" t="str">
        <f t="shared" si="48"/>
        <v/>
      </c>
      <c r="T90" s="305">
        <f>ROUND(IF(K90="",0,+Q90/1659*(AB90*12*(1+tab!$D$44+tab!$D$45)-tab!$D$43)*tab!$D$41),-1)</f>
        <v>0</v>
      </c>
      <c r="U90" s="818" t="str">
        <f t="shared" si="49"/>
        <v/>
      </c>
      <c r="V90" s="289"/>
      <c r="W90" s="682"/>
      <c r="AB90" s="812" t="str">
        <f t="shared" si="44"/>
        <v/>
      </c>
      <c r="AC90" s="848">
        <f t="shared" si="50"/>
        <v>0.60000000000000009</v>
      </c>
      <c r="AD90" s="811" t="e">
        <f t="shared" si="51"/>
        <v>#VALUE!</v>
      </c>
      <c r="AE90" s="811" t="e">
        <f t="shared" si="52"/>
        <v>#VALUE!</v>
      </c>
      <c r="AF90" s="811" t="e">
        <f t="shared" si="53"/>
        <v>#VALUE!</v>
      </c>
      <c r="AG90" s="14">
        <f t="shared" si="54"/>
        <v>0</v>
      </c>
      <c r="AH90" s="813" t="str">
        <f t="shared" si="55"/>
        <v/>
      </c>
      <c r="AI90" s="14">
        <f t="shared" si="56"/>
        <v>0</v>
      </c>
      <c r="AJ90" s="814">
        <f t="shared" si="57"/>
        <v>0.5</v>
      </c>
      <c r="AK90" s="6">
        <f t="shared" si="58"/>
        <v>0</v>
      </c>
      <c r="AL90" s="815">
        <f t="shared" si="59"/>
        <v>0</v>
      </c>
    </row>
    <row r="91" spans="3:38" ht="12.75" customHeight="1" x14ac:dyDescent="0.2">
      <c r="C91" s="33"/>
      <c r="D91" s="638" t="str">
        <f t="shared" si="39"/>
        <v/>
      </c>
      <c r="E91" s="638" t="str">
        <f t="shared" si="39"/>
        <v/>
      </c>
      <c r="F91" s="638" t="str">
        <f t="shared" si="39"/>
        <v/>
      </c>
      <c r="G91" s="639" t="str">
        <f t="shared" si="40"/>
        <v/>
      </c>
      <c r="H91" s="640" t="str">
        <f t="shared" si="41"/>
        <v/>
      </c>
      <c r="I91" s="641" t="str">
        <f t="shared" si="41"/>
        <v/>
      </c>
      <c r="J91" s="639" t="str">
        <f t="shared" si="42"/>
        <v/>
      </c>
      <c r="K91" s="642" t="str">
        <f t="shared" si="43"/>
        <v/>
      </c>
      <c r="L91" s="798"/>
      <c r="M91" s="629">
        <v>0</v>
      </c>
      <c r="N91" s="881">
        <v>0</v>
      </c>
      <c r="O91" s="882" t="str">
        <f t="shared" si="45"/>
        <v/>
      </c>
      <c r="P91" s="808">
        <f t="shared" si="46"/>
        <v>0</v>
      </c>
      <c r="Q91" s="807">
        <v>0</v>
      </c>
      <c r="R91" s="304" t="str">
        <f t="shared" si="47"/>
        <v/>
      </c>
      <c r="S91" s="304" t="str">
        <f t="shared" si="48"/>
        <v/>
      </c>
      <c r="T91" s="305">
        <f>ROUND(IF(K91="",0,+Q91/1659*(AB91*12*(1+tab!$D$44+tab!$D$45)-tab!$D$43)*tab!$D$41),-1)</f>
        <v>0</v>
      </c>
      <c r="U91" s="818" t="str">
        <f t="shared" si="49"/>
        <v/>
      </c>
      <c r="V91" s="289"/>
      <c r="W91" s="682"/>
      <c r="AB91" s="812" t="str">
        <f t="shared" si="44"/>
        <v/>
      </c>
      <c r="AC91" s="848">
        <f t="shared" si="50"/>
        <v>0.60000000000000009</v>
      </c>
      <c r="AD91" s="811" t="e">
        <f t="shared" si="51"/>
        <v>#VALUE!</v>
      </c>
      <c r="AE91" s="811" t="e">
        <f t="shared" si="52"/>
        <v>#VALUE!</v>
      </c>
      <c r="AF91" s="811" t="e">
        <f t="shared" si="53"/>
        <v>#VALUE!</v>
      </c>
      <c r="AG91" s="14">
        <f t="shared" si="54"/>
        <v>0</v>
      </c>
      <c r="AH91" s="813" t="str">
        <f t="shared" si="55"/>
        <v/>
      </c>
      <c r="AI91" s="14">
        <f t="shared" si="56"/>
        <v>0</v>
      </c>
      <c r="AJ91" s="814">
        <f t="shared" si="57"/>
        <v>0.5</v>
      </c>
      <c r="AK91" s="6">
        <f t="shared" si="58"/>
        <v>0</v>
      </c>
      <c r="AL91" s="815">
        <f t="shared" si="59"/>
        <v>0</v>
      </c>
    </row>
    <row r="92" spans="3:38" ht="12.75" customHeight="1" x14ac:dyDescent="0.2">
      <c r="C92" s="33"/>
      <c r="D92" s="638" t="str">
        <f t="shared" ref="D92:F94" si="60">IF(D60=0,"",D60)</f>
        <v/>
      </c>
      <c r="E92" s="638" t="str">
        <f t="shared" si="60"/>
        <v/>
      </c>
      <c r="F92" s="638" t="str">
        <f t="shared" si="60"/>
        <v/>
      </c>
      <c r="G92" s="639" t="str">
        <f t="shared" si="40"/>
        <v/>
      </c>
      <c r="H92" s="640" t="str">
        <f t="shared" si="41"/>
        <v/>
      </c>
      <c r="I92" s="641" t="str">
        <f t="shared" si="41"/>
        <v/>
      </c>
      <c r="J92" s="639" t="str">
        <f t="shared" si="42"/>
        <v/>
      </c>
      <c r="K92" s="642" t="str">
        <f t="shared" ref="K92:K99" si="61">IF(K60="","",K60)</f>
        <v/>
      </c>
      <c r="L92" s="798"/>
      <c r="M92" s="629">
        <v>0</v>
      </c>
      <c r="N92" s="881">
        <v>0</v>
      </c>
      <c r="O92" s="882" t="str">
        <f t="shared" si="45"/>
        <v/>
      </c>
      <c r="P92" s="808">
        <f t="shared" si="46"/>
        <v>0</v>
      </c>
      <c r="Q92" s="807">
        <v>0</v>
      </c>
      <c r="R92" s="304" t="str">
        <f t="shared" si="47"/>
        <v/>
      </c>
      <c r="S92" s="304" t="str">
        <f t="shared" si="48"/>
        <v/>
      </c>
      <c r="T92" s="305">
        <f>ROUND(IF(K92="",0,+Q92/1659*(AB92*12*(1+tab!$D$44+tab!$D$45)-tab!$D$43)*tab!$D$41),-1)</f>
        <v>0</v>
      </c>
      <c r="U92" s="818" t="str">
        <f t="shared" si="49"/>
        <v/>
      </c>
      <c r="V92" s="289"/>
      <c r="W92" s="682"/>
      <c r="AB92" s="812" t="str">
        <f t="shared" si="44"/>
        <v/>
      </c>
      <c r="AC92" s="848">
        <f t="shared" si="50"/>
        <v>0.60000000000000009</v>
      </c>
      <c r="AD92" s="811" t="e">
        <f t="shared" si="51"/>
        <v>#VALUE!</v>
      </c>
      <c r="AE92" s="811" t="e">
        <f t="shared" si="52"/>
        <v>#VALUE!</v>
      </c>
      <c r="AF92" s="811" t="e">
        <f t="shared" si="53"/>
        <v>#VALUE!</v>
      </c>
      <c r="AG92" s="14">
        <f t="shared" si="54"/>
        <v>0</v>
      </c>
      <c r="AH92" s="813" t="str">
        <f t="shared" si="55"/>
        <v/>
      </c>
      <c r="AI92" s="14">
        <f t="shared" si="56"/>
        <v>0</v>
      </c>
      <c r="AJ92" s="814">
        <f t="shared" si="57"/>
        <v>0.5</v>
      </c>
      <c r="AK92" s="6">
        <f t="shared" si="58"/>
        <v>0</v>
      </c>
      <c r="AL92" s="815">
        <f t="shared" si="59"/>
        <v>0</v>
      </c>
    </row>
    <row r="93" spans="3:38" ht="12.75" customHeight="1" x14ac:dyDescent="0.2">
      <c r="C93" s="33"/>
      <c r="D93" s="638" t="str">
        <f t="shared" si="60"/>
        <v/>
      </c>
      <c r="E93" s="638" t="str">
        <f t="shared" si="60"/>
        <v/>
      </c>
      <c r="F93" s="638" t="str">
        <f t="shared" si="60"/>
        <v/>
      </c>
      <c r="G93" s="639" t="str">
        <f t="shared" si="40"/>
        <v/>
      </c>
      <c r="H93" s="640" t="str">
        <f t="shared" si="41"/>
        <v/>
      </c>
      <c r="I93" s="641" t="str">
        <f t="shared" si="41"/>
        <v/>
      </c>
      <c r="J93" s="639" t="str">
        <f t="shared" si="42"/>
        <v/>
      </c>
      <c r="K93" s="642" t="str">
        <f t="shared" si="61"/>
        <v/>
      </c>
      <c r="L93" s="798"/>
      <c r="M93" s="629">
        <v>0</v>
      </c>
      <c r="N93" s="881">
        <v>0</v>
      </c>
      <c r="O93" s="882" t="str">
        <f t="shared" si="45"/>
        <v/>
      </c>
      <c r="P93" s="808">
        <f t="shared" si="46"/>
        <v>0</v>
      </c>
      <c r="Q93" s="807">
        <v>0</v>
      </c>
      <c r="R93" s="304" t="str">
        <f t="shared" si="47"/>
        <v/>
      </c>
      <c r="S93" s="304" t="str">
        <f t="shared" si="48"/>
        <v/>
      </c>
      <c r="T93" s="305">
        <f>ROUND(IF(K93="",0,+Q93/1659*(AB93*12*(1+tab!$D$44+tab!$D$45)-tab!$D$43)*tab!$D$41),-1)</f>
        <v>0</v>
      </c>
      <c r="U93" s="818" t="str">
        <f t="shared" si="49"/>
        <v/>
      </c>
      <c r="V93" s="289"/>
      <c r="W93" s="682"/>
      <c r="AB93" s="812" t="str">
        <f t="shared" si="44"/>
        <v/>
      </c>
      <c r="AC93" s="848">
        <f t="shared" si="50"/>
        <v>0.60000000000000009</v>
      </c>
      <c r="AD93" s="811" t="e">
        <f t="shared" si="51"/>
        <v>#VALUE!</v>
      </c>
      <c r="AE93" s="811" t="e">
        <f t="shared" si="52"/>
        <v>#VALUE!</v>
      </c>
      <c r="AF93" s="811" t="e">
        <f t="shared" si="53"/>
        <v>#VALUE!</v>
      </c>
      <c r="AG93" s="14">
        <f t="shared" si="54"/>
        <v>0</v>
      </c>
      <c r="AH93" s="813" t="str">
        <f t="shared" si="55"/>
        <v/>
      </c>
      <c r="AI93" s="14">
        <f t="shared" si="56"/>
        <v>0</v>
      </c>
      <c r="AJ93" s="814">
        <f t="shared" si="57"/>
        <v>0.5</v>
      </c>
      <c r="AK93" s="6">
        <f t="shared" si="58"/>
        <v>0</v>
      </c>
      <c r="AL93" s="815">
        <f t="shared" si="59"/>
        <v>0</v>
      </c>
    </row>
    <row r="94" spans="3:38" ht="12.75" customHeight="1" x14ac:dyDescent="0.2">
      <c r="C94" s="33"/>
      <c r="D94" s="638" t="str">
        <f t="shared" si="60"/>
        <v/>
      </c>
      <c r="E94" s="638" t="str">
        <f t="shared" si="60"/>
        <v/>
      </c>
      <c r="F94" s="638" t="str">
        <f t="shared" si="60"/>
        <v/>
      </c>
      <c r="G94" s="639" t="str">
        <f t="shared" si="40"/>
        <v/>
      </c>
      <c r="H94" s="640" t="str">
        <f t="shared" si="41"/>
        <v/>
      </c>
      <c r="I94" s="641" t="str">
        <f t="shared" si="41"/>
        <v/>
      </c>
      <c r="J94" s="639" t="str">
        <f t="shared" si="42"/>
        <v/>
      </c>
      <c r="K94" s="642" t="str">
        <f t="shared" si="61"/>
        <v/>
      </c>
      <c r="L94" s="798"/>
      <c r="M94" s="629">
        <v>0</v>
      </c>
      <c r="N94" s="881">
        <v>0</v>
      </c>
      <c r="O94" s="882" t="str">
        <f t="shared" si="45"/>
        <v/>
      </c>
      <c r="P94" s="808">
        <f t="shared" si="46"/>
        <v>0</v>
      </c>
      <c r="Q94" s="807">
        <v>0</v>
      </c>
      <c r="R94" s="304" t="str">
        <f t="shared" si="47"/>
        <v/>
      </c>
      <c r="S94" s="304" t="str">
        <f t="shared" si="48"/>
        <v/>
      </c>
      <c r="T94" s="305">
        <f>ROUND(IF(K94="",0,+Q94/1659*(AB94*12*(1+tab!$D$44+tab!$D$45)-tab!$D$43)*tab!$D$41),-1)</f>
        <v>0</v>
      </c>
      <c r="U94" s="818" t="str">
        <f t="shared" si="49"/>
        <v/>
      </c>
      <c r="V94" s="289"/>
      <c r="W94" s="682"/>
      <c r="AB94" s="812" t="str">
        <f t="shared" si="44"/>
        <v/>
      </c>
      <c r="AC94" s="848">
        <f t="shared" si="50"/>
        <v>0.60000000000000009</v>
      </c>
      <c r="AD94" s="811" t="e">
        <f t="shared" si="51"/>
        <v>#VALUE!</v>
      </c>
      <c r="AE94" s="811" t="e">
        <f t="shared" si="52"/>
        <v>#VALUE!</v>
      </c>
      <c r="AF94" s="811" t="e">
        <f t="shared" si="53"/>
        <v>#VALUE!</v>
      </c>
      <c r="AG94" s="14">
        <f t="shared" si="54"/>
        <v>0</v>
      </c>
      <c r="AH94" s="813" t="str">
        <f t="shared" si="55"/>
        <v/>
      </c>
      <c r="AI94" s="14">
        <f t="shared" si="56"/>
        <v>0</v>
      </c>
      <c r="AJ94" s="814">
        <f t="shared" si="57"/>
        <v>0.5</v>
      </c>
      <c r="AK94" s="6">
        <f t="shared" si="58"/>
        <v>0</v>
      </c>
      <c r="AL94" s="815">
        <f t="shared" si="59"/>
        <v>0</v>
      </c>
    </row>
    <row r="95" spans="3:38" ht="12.75" customHeight="1" x14ac:dyDescent="0.2">
      <c r="C95" s="33"/>
      <c r="D95" s="638" t="str">
        <f t="shared" ref="D95:F99" si="62">IF(D63=0,"",D63)</f>
        <v/>
      </c>
      <c r="E95" s="638" t="str">
        <f t="shared" si="62"/>
        <v/>
      </c>
      <c r="F95" s="638" t="str">
        <f t="shared" si="62"/>
        <v/>
      </c>
      <c r="G95" s="639" t="str">
        <f t="shared" si="40"/>
        <v/>
      </c>
      <c r="H95" s="640" t="str">
        <f t="shared" si="41"/>
        <v/>
      </c>
      <c r="I95" s="641" t="str">
        <f t="shared" si="41"/>
        <v/>
      </c>
      <c r="J95" s="639" t="str">
        <f t="shared" si="42"/>
        <v/>
      </c>
      <c r="K95" s="642" t="str">
        <f t="shared" si="61"/>
        <v/>
      </c>
      <c r="L95" s="798"/>
      <c r="M95" s="629">
        <v>0</v>
      </c>
      <c r="N95" s="881">
        <v>0</v>
      </c>
      <c r="O95" s="882" t="str">
        <f t="shared" si="45"/>
        <v/>
      </c>
      <c r="P95" s="808">
        <f t="shared" si="46"/>
        <v>0</v>
      </c>
      <c r="Q95" s="807">
        <v>0</v>
      </c>
      <c r="R95" s="304" t="str">
        <f t="shared" si="47"/>
        <v/>
      </c>
      <c r="S95" s="304" t="str">
        <f t="shared" si="48"/>
        <v/>
      </c>
      <c r="T95" s="305">
        <f>ROUND(IF(K95="",0,+Q95/1659*(AB95*12*(1+tab!$D$44+tab!$D$45)-tab!$D$43)*tab!$D$41),-1)</f>
        <v>0</v>
      </c>
      <c r="U95" s="818" t="str">
        <f t="shared" si="49"/>
        <v/>
      </c>
      <c r="V95" s="289"/>
      <c r="W95" s="682"/>
      <c r="AB95" s="812" t="str">
        <f t="shared" si="44"/>
        <v/>
      </c>
      <c r="AC95" s="848">
        <f t="shared" si="50"/>
        <v>0.60000000000000009</v>
      </c>
      <c r="AD95" s="811" t="e">
        <f t="shared" si="51"/>
        <v>#VALUE!</v>
      </c>
      <c r="AE95" s="811" t="e">
        <f t="shared" si="52"/>
        <v>#VALUE!</v>
      </c>
      <c r="AF95" s="811" t="e">
        <f t="shared" si="53"/>
        <v>#VALUE!</v>
      </c>
      <c r="AG95" s="14">
        <f t="shared" si="54"/>
        <v>0</v>
      </c>
      <c r="AH95" s="813" t="str">
        <f t="shared" si="55"/>
        <v/>
      </c>
      <c r="AI95" s="14">
        <f t="shared" si="56"/>
        <v>0</v>
      </c>
      <c r="AJ95" s="814">
        <f t="shared" si="57"/>
        <v>0.5</v>
      </c>
      <c r="AK95" s="6">
        <f t="shared" si="58"/>
        <v>0</v>
      </c>
      <c r="AL95" s="815">
        <f t="shared" si="59"/>
        <v>0</v>
      </c>
    </row>
    <row r="96" spans="3:38" ht="12.75" customHeight="1" x14ac:dyDescent="0.2">
      <c r="C96" s="33"/>
      <c r="D96" s="638" t="str">
        <f t="shared" si="62"/>
        <v/>
      </c>
      <c r="E96" s="638" t="str">
        <f t="shared" si="62"/>
        <v/>
      </c>
      <c r="F96" s="638" t="str">
        <f t="shared" si="62"/>
        <v/>
      </c>
      <c r="G96" s="639" t="str">
        <f t="shared" si="40"/>
        <v/>
      </c>
      <c r="H96" s="640" t="str">
        <f t="shared" si="41"/>
        <v/>
      </c>
      <c r="I96" s="641" t="str">
        <f t="shared" si="41"/>
        <v/>
      </c>
      <c r="J96" s="639" t="str">
        <f t="shared" si="42"/>
        <v/>
      </c>
      <c r="K96" s="642" t="str">
        <f t="shared" si="61"/>
        <v/>
      </c>
      <c r="L96" s="798"/>
      <c r="M96" s="629">
        <v>0</v>
      </c>
      <c r="N96" s="881">
        <v>0</v>
      </c>
      <c r="O96" s="882" t="str">
        <f t="shared" si="45"/>
        <v/>
      </c>
      <c r="P96" s="808">
        <f t="shared" si="46"/>
        <v>0</v>
      </c>
      <c r="Q96" s="807">
        <v>0</v>
      </c>
      <c r="R96" s="304" t="str">
        <f t="shared" si="47"/>
        <v/>
      </c>
      <c r="S96" s="304" t="str">
        <f t="shared" si="48"/>
        <v/>
      </c>
      <c r="T96" s="305">
        <f>ROUND(IF(K96="",0,+Q96/1659*(AB96*12*(1+tab!$D$44+tab!$D$45)-tab!$D$43)*tab!$D$41),-1)</f>
        <v>0</v>
      </c>
      <c r="U96" s="818" t="str">
        <f t="shared" si="49"/>
        <v/>
      </c>
      <c r="V96" s="289"/>
      <c r="W96" s="682"/>
      <c r="AB96" s="812" t="str">
        <f t="shared" si="44"/>
        <v/>
      </c>
      <c r="AC96" s="848">
        <f t="shared" si="50"/>
        <v>0.60000000000000009</v>
      </c>
      <c r="AD96" s="811" t="e">
        <f t="shared" si="51"/>
        <v>#VALUE!</v>
      </c>
      <c r="AE96" s="811" t="e">
        <f t="shared" si="52"/>
        <v>#VALUE!</v>
      </c>
      <c r="AF96" s="811" t="e">
        <f t="shared" si="53"/>
        <v>#VALUE!</v>
      </c>
      <c r="AG96" s="14">
        <f t="shared" si="54"/>
        <v>0</v>
      </c>
      <c r="AH96" s="813" t="str">
        <f t="shared" si="55"/>
        <v/>
      </c>
      <c r="AI96" s="14">
        <f t="shared" si="56"/>
        <v>0</v>
      </c>
      <c r="AJ96" s="814">
        <f t="shared" si="57"/>
        <v>0.5</v>
      </c>
      <c r="AK96" s="6">
        <f t="shared" si="58"/>
        <v>0</v>
      </c>
      <c r="AL96" s="815">
        <f t="shared" si="59"/>
        <v>0</v>
      </c>
    </row>
    <row r="97" spans="3:46" ht="12.75" customHeight="1" x14ac:dyDescent="0.2">
      <c r="C97" s="33"/>
      <c r="D97" s="638" t="str">
        <f t="shared" si="62"/>
        <v/>
      </c>
      <c r="E97" s="638" t="str">
        <f t="shared" si="62"/>
        <v/>
      </c>
      <c r="F97" s="638" t="str">
        <f t="shared" si="62"/>
        <v/>
      </c>
      <c r="G97" s="639" t="str">
        <f t="shared" si="40"/>
        <v/>
      </c>
      <c r="H97" s="640" t="str">
        <f t="shared" si="41"/>
        <v/>
      </c>
      <c r="I97" s="641" t="str">
        <f t="shared" si="41"/>
        <v/>
      </c>
      <c r="J97" s="639" t="str">
        <f t="shared" si="42"/>
        <v/>
      </c>
      <c r="K97" s="642" t="str">
        <f t="shared" si="61"/>
        <v/>
      </c>
      <c r="L97" s="798"/>
      <c r="M97" s="629">
        <v>0</v>
      </c>
      <c r="N97" s="881">
        <v>0</v>
      </c>
      <c r="O97" s="882" t="str">
        <f t="shared" si="45"/>
        <v/>
      </c>
      <c r="P97" s="808">
        <f t="shared" si="46"/>
        <v>0</v>
      </c>
      <c r="Q97" s="807">
        <v>0</v>
      </c>
      <c r="R97" s="304" t="str">
        <f t="shared" si="47"/>
        <v/>
      </c>
      <c r="S97" s="304" t="str">
        <f t="shared" si="48"/>
        <v/>
      </c>
      <c r="T97" s="305">
        <f>ROUND(IF(K97="",0,+Q97/1659*(AB97*12*(1+tab!$D$44+tab!$D$45)-tab!$D$43)*tab!$D$41),-1)</f>
        <v>0</v>
      </c>
      <c r="U97" s="818" t="str">
        <f t="shared" si="49"/>
        <v/>
      </c>
      <c r="V97" s="289"/>
      <c r="W97" s="682"/>
      <c r="AB97" s="812" t="str">
        <f t="shared" si="44"/>
        <v/>
      </c>
      <c r="AC97" s="848">
        <f t="shared" si="50"/>
        <v>0.60000000000000009</v>
      </c>
      <c r="AD97" s="811" t="e">
        <f t="shared" si="51"/>
        <v>#VALUE!</v>
      </c>
      <c r="AE97" s="811" t="e">
        <f t="shared" si="52"/>
        <v>#VALUE!</v>
      </c>
      <c r="AF97" s="811" t="e">
        <f t="shared" si="53"/>
        <v>#VALUE!</v>
      </c>
      <c r="AG97" s="14">
        <f t="shared" si="54"/>
        <v>0</v>
      </c>
      <c r="AH97" s="813" t="str">
        <f t="shared" si="55"/>
        <v/>
      </c>
      <c r="AI97" s="14">
        <f t="shared" si="56"/>
        <v>0</v>
      </c>
      <c r="AJ97" s="814">
        <f t="shared" si="57"/>
        <v>0.5</v>
      </c>
      <c r="AK97" s="6">
        <f t="shared" si="58"/>
        <v>0</v>
      </c>
      <c r="AL97" s="815">
        <f t="shared" si="59"/>
        <v>0</v>
      </c>
    </row>
    <row r="98" spans="3:46" ht="12.75" customHeight="1" x14ac:dyDescent="0.2">
      <c r="C98" s="33"/>
      <c r="D98" s="638" t="str">
        <f t="shared" si="62"/>
        <v/>
      </c>
      <c r="E98" s="638" t="str">
        <f t="shared" si="62"/>
        <v/>
      </c>
      <c r="F98" s="638" t="str">
        <f t="shared" si="62"/>
        <v/>
      </c>
      <c r="G98" s="639" t="str">
        <f t="shared" si="40"/>
        <v/>
      </c>
      <c r="H98" s="640" t="str">
        <f t="shared" si="41"/>
        <v/>
      </c>
      <c r="I98" s="641" t="str">
        <f t="shared" si="41"/>
        <v/>
      </c>
      <c r="J98" s="639" t="str">
        <f t="shared" si="42"/>
        <v/>
      </c>
      <c r="K98" s="642" t="str">
        <f t="shared" si="61"/>
        <v/>
      </c>
      <c r="L98" s="798"/>
      <c r="M98" s="629">
        <v>0</v>
      </c>
      <c r="N98" s="881">
        <v>0</v>
      </c>
      <c r="O98" s="882" t="str">
        <f t="shared" si="45"/>
        <v/>
      </c>
      <c r="P98" s="808">
        <f t="shared" si="46"/>
        <v>0</v>
      </c>
      <c r="Q98" s="807">
        <v>0</v>
      </c>
      <c r="R98" s="304" t="str">
        <f t="shared" si="47"/>
        <v/>
      </c>
      <c r="S98" s="304" t="str">
        <f t="shared" si="48"/>
        <v/>
      </c>
      <c r="T98" s="305">
        <f>ROUND(IF(K98="",0,+Q98/1659*(AB98*12*(1+tab!$D$44+tab!$D$45)-tab!$D$43)*tab!$D$41),-1)</f>
        <v>0</v>
      </c>
      <c r="U98" s="818" t="str">
        <f t="shared" si="49"/>
        <v/>
      </c>
      <c r="V98" s="289"/>
      <c r="W98" s="682"/>
      <c r="AB98" s="812" t="str">
        <f t="shared" si="44"/>
        <v/>
      </c>
      <c r="AC98" s="848">
        <f t="shared" si="50"/>
        <v>0.60000000000000009</v>
      </c>
      <c r="AD98" s="811" t="e">
        <f t="shared" si="51"/>
        <v>#VALUE!</v>
      </c>
      <c r="AE98" s="811" t="e">
        <f t="shared" si="52"/>
        <v>#VALUE!</v>
      </c>
      <c r="AF98" s="811" t="e">
        <f t="shared" si="53"/>
        <v>#VALUE!</v>
      </c>
      <c r="AG98" s="14">
        <f t="shared" si="54"/>
        <v>0</v>
      </c>
      <c r="AH98" s="813" t="str">
        <f t="shared" si="55"/>
        <v/>
      </c>
      <c r="AI98" s="14">
        <f t="shared" si="56"/>
        <v>0</v>
      </c>
      <c r="AJ98" s="814">
        <f t="shared" si="57"/>
        <v>0.5</v>
      </c>
      <c r="AK98" s="6">
        <f t="shared" si="58"/>
        <v>0</v>
      </c>
      <c r="AL98" s="815">
        <f t="shared" si="59"/>
        <v>0</v>
      </c>
    </row>
    <row r="99" spans="3:46" ht="12.75" customHeight="1" x14ac:dyDescent="0.2">
      <c r="C99" s="33"/>
      <c r="D99" s="638" t="str">
        <f t="shared" si="62"/>
        <v/>
      </c>
      <c r="E99" s="638" t="str">
        <f t="shared" si="62"/>
        <v/>
      </c>
      <c r="F99" s="638" t="str">
        <f t="shared" si="62"/>
        <v/>
      </c>
      <c r="G99" s="639" t="str">
        <f t="shared" si="40"/>
        <v/>
      </c>
      <c r="H99" s="640" t="str">
        <f t="shared" si="41"/>
        <v/>
      </c>
      <c r="I99" s="641" t="str">
        <f t="shared" si="41"/>
        <v/>
      </c>
      <c r="J99" s="639" t="str">
        <f t="shared" si="42"/>
        <v/>
      </c>
      <c r="K99" s="642" t="str">
        <f t="shared" si="61"/>
        <v/>
      </c>
      <c r="L99" s="798"/>
      <c r="M99" s="629">
        <v>0</v>
      </c>
      <c r="N99" s="881">
        <v>0</v>
      </c>
      <c r="O99" s="882" t="str">
        <f t="shared" si="45"/>
        <v/>
      </c>
      <c r="P99" s="808">
        <f t="shared" si="46"/>
        <v>0</v>
      </c>
      <c r="Q99" s="807">
        <v>0</v>
      </c>
      <c r="R99" s="304" t="str">
        <f t="shared" si="47"/>
        <v/>
      </c>
      <c r="S99" s="304" t="str">
        <f t="shared" si="48"/>
        <v/>
      </c>
      <c r="T99" s="305">
        <f>ROUND(IF(K99="",0,+Q99/1659*(AB99*12*(1+tab!$D$44+tab!$D$45)-tab!$D$43)*tab!$D$41),-1)</f>
        <v>0</v>
      </c>
      <c r="U99" s="818" t="str">
        <f t="shared" si="49"/>
        <v/>
      </c>
      <c r="V99" s="289"/>
      <c r="W99" s="682"/>
      <c r="AB99" s="812" t="str">
        <f t="shared" si="44"/>
        <v/>
      </c>
      <c r="AC99" s="848">
        <f t="shared" si="50"/>
        <v>0.60000000000000009</v>
      </c>
      <c r="AD99" s="811" t="e">
        <f t="shared" si="51"/>
        <v>#VALUE!</v>
      </c>
      <c r="AE99" s="811" t="e">
        <f t="shared" si="52"/>
        <v>#VALUE!</v>
      </c>
      <c r="AF99" s="811" t="e">
        <f t="shared" si="53"/>
        <v>#VALUE!</v>
      </c>
      <c r="AG99" s="14">
        <f t="shared" si="54"/>
        <v>0</v>
      </c>
      <c r="AH99" s="813" t="str">
        <f t="shared" si="55"/>
        <v/>
      </c>
      <c r="AI99" s="14">
        <f t="shared" si="56"/>
        <v>0</v>
      </c>
      <c r="AJ99" s="814">
        <f t="shared" si="57"/>
        <v>0.5</v>
      </c>
      <c r="AK99" s="6">
        <f t="shared" si="58"/>
        <v>0</v>
      </c>
      <c r="AL99" s="815">
        <f t="shared" si="59"/>
        <v>0</v>
      </c>
    </row>
    <row r="100" spans="3:46" x14ac:dyDescent="0.2">
      <c r="C100" s="33"/>
      <c r="D100" s="290"/>
      <c r="E100" s="290"/>
      <c r="F100" s="290"/>
      <c r="G100" s="150"/>
      <c r="H100" s="291"/>
      <c r="I100" s="150"/>
      <c r="J100" s="150"/>
      <c r="K100" s="306">
        <f>SUM(K80:K99)</f>
        <v>1</v>
      </c>
      <c r="L100" s="793"/>
      <c r="M100" s="806">
        <f t="shared" ref="M100:U100" si="63">SUM(M80:M99)</f>
        <v>0</v>
      </c>
      <c r="N100" s="806">
        <f t="shared" si="63"/>
        <v>0</v>
      </c>
      <c r="O100" s="806">
        <f t="shared" si="63"/>
        <v>50</v>
      </c>
      <c r="P100" s="806">
        <f t="shared" si="63"/>
        <v>50</v>
      </c>
      <c r="Q100" s="806">
        <f t="shared" si="63"/>
        <v>0</v>
      </c>
      <c r="R100" s="816">
        <f t="shared" si="63"/>
        <v>86049.203616636529</v>
      </c>
      <c r="S100" s="816">
        <f t="shared" si="63"/>
        <v>2673.996383363472</v>
      </c>
      <c r="T100" s="816">
        <f t="shared" si="63"/>
        <v>0</v>
      </c>
      <c r="U100" s="817">
        <f t="shared" si="63"/>
        <v>88723.199999999997</v>
      </c>
      <c r="V100" s="144"/>
      <c r="W100" s="682"/>
      <c r="AB100" s="812">
        <f>SUM(AB80:AB99)</f>
        <v>4621</v>
      </c>
      <c r="AL100" s="815">
        <f>SUM(AL80:AL99)</f>
        <v>0</v>
      </c>
    </row>
    <row r="101" spans="3:46" x14ac:dyDescent="0.2">
      <c r="C101" s="33"/>
      <c r="D101" s="145"/>
      <c r="E101" s="145"/>
      <c r="F101" s="145"/>
      <c r="G101" s="144"/>
      <c r="H101" s="151"/>
      <c r="I101" s="144"/>
      <c r="J101" s="144"/>
      <c r="K101" s="278"/>
      <c r="L101" s="677"/>
      <c r="M101" s="278"/>
      <c r="N101" s="144"/>
      <c r="O101" s="144"/>
      <c r="P101" s="292"/>
      <c r="Q101" s="292"/>
      <c r="R101" s="292"/>
      <c r="S101" s="292"/>
      <c r="T101" s="280"/>
      <c r="U101" s="293"/>
      <c r="V101" s="144"/>
      <c r="W101" s="682"/>
    </row>
    <row r="102" spans="3:46" x14ac:dyDescent="0.2">
      <c r="W102" s="682"/>
    </row>
    <row r="103" spans="3:46" s="7" customFormat="1" x14ac:dyDescent="0.2">
      <c r="D103" s="213"/>
      <c r="E103" s="213"/>
      <c r="F103" s="213"/>
      <c r="G103" s="214"/>
      <c r="H103" s="215"/>
      <c r="I103" s="214"/>
      <c r="J103" s="214"/>
      <c r="K103" s="217"/>
      <c r="L103" s="800"/>
      <c r="M103" s="222"/>
      <c r="T103" s="178"/>
      <c r="U103" s="223"/>
      <c r="W103" s="851"/>
      <c r="AC103" s="214"/>
      <c r="AD103" s="221"/>
      <c r="AL103" s="214"/>
      <c r="AM103" s="221"/>
      <c r="AT103" s="6"/>
    </row>
    <row r="104" spans="3:46" x14ac:dyDescent="0.2">
      <c r="C104" s="6" t="s">
        <v>87</v>
      </c>
      <c r="E104" s="201" t="str">
        <f>tab!E2</f>
        <v>2025/26</v>
      </c>
      <c r="W104" s="682"/>
    </row>
    <row r="105" spans="3:46" x14ac:dyDescent="0.2">
      <c r="C105" s="6" t="s">
        <v>88</v>
      </c>
      <c r="E105" s="201">
        <f>+tab!F3</f>
        <v>45931</v>
      </c>
      <c r="W105" s="682"/>
    </row>
    <row r="106" spans="3:46" s="7" customFormat="1" x14ac:dyDescent="0.2">
      <c r="D106" s="213"/>
      <c r="E106" s="213"/>
      <c r="F106" s="213"/>
      <c r="G106" s="214"/>
      <c r="H106" s="215"/>
      <c r="I106" s="214"/>
      <c r="J106" s="214"/>
      <c r="K106" s="217"/>
      <c r="L106" s="800"/>
      <c r="M106" s="222"/>
      <c r="T106" s="178"/>
      <c r="U106" s="223"/>
      <c r="W106" s="851"/>
      <c r="AC106" s="214"/>
      <c r="AD106" s="221"/>
      <c r="AL106" s="214"/>
      <c r="AM106" s="221"/>
      <c r="AT106" s="6"/>
    </row>
    <row r="107" spans="3:46" ht="12.75" customHeight="1" x14ac:dyDescent="0.2">
      <c r="C107" s="33"/>
      <c r="D107" s="145"/>
      <c r="E107" s="85"/>
      <c r="F107" s="145"/>
      <c r="G107" s="144"/>
      <c r="H107" s="151"/>
      <c r="I107" s="144"/>
      <c r="J107" s="144"/>
      <c r="K107" s="278"/>
      <c r="L107" s="677"/>
      <c r="M107" s="279"/>
      <c r="N107" s="33"/>
      <c r="O107" s="33"/>
      <c r="P107" s="33"/>
      <c r="Q107" s="33"/>
      <c r="R107" s="33"/>
      <c r="S107" s="33"/>
      <c r="T107" s="280"/>
      <c r="U107" s="281"/>
      <c r="V107" s="33"/>
      <c r="W107" s="682"/>
      <c r="X107" s="682"/>
      <c r="AC107" s="682"/>
      <c r="AD107" s="809"/>
      <c r="AE107" s="682"/>
      <c r="AF107" s="682"/>
      <c r="AG107" s="682"/>
      <c r="AH107" s="682"/>
      <c r="AI107" s="794"/>
      <c r="AJ107" s="705"/>
      <c r="AK107" s="792"/>
      <c r="AL107" s="810"/>
      <c r="AM107" s="176"/>
      <c r="AT107" s="7"/>
    </row>
    <row r="108" spans="3:46" ht="12.75" customHeight="1" x14ac:dyDescent="0.2">
      <c r="C108" s="282"/>
      <c r="D108" s="788" t="s">
        <v>89</v>
      </c>
      <c r="E108" s="789"/>
      <c r="F108" s="789"/>
      <c r="G108" s="789"/>
      <c r="H108" s="789"/>
      <c r="I108" s="789"/>
      <c r="J108" s="789"/>
      <c r="K108" s="789"/>
      <c r="L108" s="801"/>
      <c r="M108" s="819" t="s">
        <v>449</v>
      </c>
      <c r="N108" s="820"/>
      <c r="O108" s="821"/>
      <c r="P108" s="821"/>
      <c r="Q108" s="820"/>
      <c r="R108" s="822" t="s">
        <v>450</v>
      </c>
      <c r="S108" s="823"/>
      <c r="T108" s="823"/>
      <c r="U108" s="823"/>
      <c r="V108" s="824"/>
      <c r="W108" s="849"/>
      <c r="X108" s="826"/>
      <c r="Y108" s="827"/>
      <c r="Z108" s="828"/>
      <c r="AA108" s="828"/>
      <c r="AB108" s="829"/>
      <c r="AC108" s="827"/>
      <c r="AD108" s="829"/>
      <c r="AE108" s="827"/>
      <c r="AF108" s="830"/>
      <c r="AG108" s="830"/>
      <c r="AH108" s="831"/>
      <c r="AI108" s="832"/>
      <c r="AJ108" s="831"/>
      <c r="AK108" s="833"/>
      <c r="AL108" s="833"/>
      <c r="AM108" s="6"/>
      <c r="AN108" s="207"/>
      <c r="AO108" s="207"/>
    </row>
    <row r="109" spans="3:46" ht="12.75" customHeight="1" x14ac:dyDescent="0.2">
      <c r="C109" s="282"/>
      <c r="D109" s="295" t="s">
        <v>90</v>
      </c>
      <c r="E109" s="295" t="s">
        <v>91</v>
      </c>
      <c r="F109" s="295" t="s">
        <v>92</v>
      </c>
      <c r="G109" s="296" t="s">
        <v>93</v>
      </c>
      <c r="H109" s="297" t="s">
        <v>94</v>
      </c>
      <c r="I109" s="296" t="s">
        <v>61</v>
      </c>
      <c r="J109" s="296" t="s">
        <v>95</v>
      </c>
      <c r="K109" s="298" t="s">
        <v>96</v>
      </c>
      <c r="L109" s="796"/>
      <c r="M109" s="834" t="s">
        <v>451</v>
      </c>
      <c r="N109" s="835" t="s">
        <v>452</v>
      </c>
      <c r="O109" s="836" t="s">
        <v>453</v>
      </c>
      <c r="P109" s="837" t="s">
        <v>454</v>
      </c>
      <c r="Q109" s="835" t="s">
        <v>455</v>
      </c>
      <c r="R109" s="836" t="s">
        <v>97</v>
      </c>
      <c r="S109" s="834" t="s">
        <v>456</v>
      </c>
      <c r="T109" s="834" t="s">
        <v>457</v>
      </c>
      <c r="U109" s="834" t="s">
        <v>97</v>
      </c>
      <c r="V109" s="838"/>
      <c r="W109" s="850"/>
      <c r="X109" s="840"/>
      <c r="Y109" s="841"/>
      <c r="Z109" s="842"/>
      <c r="AA109" s="842"/>
      <c r="AB109" s="845" t="s">
        <v>208</v>
      </c>
      <c r="AC109" s="846" t="s">
        <v>458</v>
      </c>
      <c r="AD109" s="847" t="s">
        <v>459</v>
      </c>
      <c r="AE109" s="847" t="s">
        <v>459</v>
      </c>
      <c r="AF109" s="847" t="s">
        <v>460</v>
      </c>
      <c r="AG109" s="847" t="s">
        <v>455</v>
      </c>
      <c r="AH109" s="847" t="s">
        <v>461</v>
      </c>
      <c r="AI109" s="847" t="s">
        <v>462</v>
      </c>
      <c r="AJ109" s="847" t="s">
        <v>463</v>
      </c>
      <c r="AK109" s="847" t="s">
        <v>99</v>
      </c>
      <c r="AL109" s="751" t="s">
        <v>221</v>
      </c>
      <c r="AM109" s="6"/>
      <c r="AN109" s="207"/>
      <c r="AO109" s="206"/>
    </row>
    <row r="110" spans="3:46" ht="12.75" customHeight="1" x14ac:dyDescent="0.2">
      <c r="C110" s="282"/>
      <c r="D110" s="300"/>
      <c r="E110" s="295"/>
      <c r="F110" s="301"/>
      <c r="G110" s="296" t="s">
        <v>101</v>
      </c>
      <c r="H110" s="297" t="s">
        <v>102</v>
      </c>
      <c r="I110" s="296"/>
      <c r="J110" s="296"/>
      <c r="K110" s="298"/>
      <c r="L110" s="796"/>
      <c r="M110" s="843" t="s">
        <v>464</v>
      </c>
      <c r="N110" s="835" t="s">
        <v>465</v>
      </c>
      <c r="O110" s="836" t="s">
        <v>466</v>
      </c>
      <c r="P110" s="837" t="s">
        <v>44</v>
      </c>
      <c r="Q110" s="835" t="s">
        <v>467</v>
      </c>
      <c r="R110" s="836" t="s">
        <v>468</v>
      </c>
      <c r="S110" s="844" t="s">
        <v>469</v>
      </c>
      <c r="T110" s="844" t="s">
        <v>470</v>
      </c>
      <c r="U110" s="834" t="s">
        <v>44</v>
      </c>
      <c r="V110" s="838"/>
      <c r="W110" s="850"/>
      <c r="X110" s="840"/>
      <c r="Y110" s="833"/>
      <c r="Z110" s="842"/>
      <c r="AA110" s="842"/>
      <c r="AB110" s="847" t="s">
        <v>471</v>
      </c>
      <c r="AC110" s="848">
        <f>AC78</f>
        <v>0.60000000000000009</v>
      </c>
      <c r="AD110" s="847" t="s">
        <v>472</v>
      </c>
      <c r="AE110" s="847" t="s">
        <v>473</v>
      </c>
      <c r="AF110" s="847" t="s">
        <v>474</v>
      </c>
      <c r="AG110" s="847" t="s">
        <v>467</v>
      </c>
      <c r="AH110" s="847" t="s">
        <v>475</v>
      </c>
      <c r="AI110" s="847" t="s">
        <v>475</v>
      </c>
      <c r="AJ110" s="847" t="s">
        <v>476</v>
      </c>
      <c r="AK110" s="847"/>
      <c r="AL110" s="847" t="s">
        <v>98</v>
      </c>
      <c r="AM110" s="6"/>
      <c r="AO110" s="208"/>
    </row>
    <row r="111" spans="3:46" ht="12.75" customHeight="1" x14ac:dyDescent="0.2">
      <c r="C111" s="33"/>
      <c r="D111" s="145"/>
      <c r="E111" s="145"/>
      <c r="F111" s="145"/>
      <c r="G111" s="144"/>
      <c r="H111" s="151"/>
      <c r="I111" s="164"/>
      <c r="J111" s="164"/>
      <c r="K111" s="283"/>
      <c r="L111" s="797"/>
      <c r="M111" s="283"/>
      <c r="N111" s="284"/>
      <c r="O111" s="285"/>
      <c r="P111" s="286"/>
      <c r="Q111" s="286"/>
      <c r="R111" s="286"/>
      <c r="S111" s="286"/>
      <c r="T111" s="287"/>
      <c r="U111" s="288"/>
      <c r="V111" s="284"/>
      <c r="W111" s="682"/>
      <c r="AC111" s="6"/>
      <c r="AD111" s="6"/>
      <c r="AL111" s="6"/>
      <c r="AM111" s="6"/>
      <c r="AO111" s="208"/>
    </row>
    <row r="112" spans="3:46" ht="12.75" customHeight="1" x14ac:dyDescent="0.2">
      <c r="C112" s="33"/>
      <c r="D112" s="638" t="str">
        <f t="shared" ref="D112:F131" si="64">IF(D80=0,"",D80)</f>
        <v/>
      </c>
      <c r="E112" s="638" t="str">
        <f t="shared" si="64"/>
        <v>piet</v>
      </c>
      <c r="F112" s="638" t="str">
        <f t="shared" si="64"/>
        <v>chef</v>
      </c>
      <c r="G112" s="639">
        <f t="shared" ref="G112:G131" si="65">IF(G80="","",G80+1)</f>
        <v>25</v>
      </c>
      <c r="H112" s="640">
        <f t="shared" ref="H112:I131" si="66">IF(H80=0,"",H80)</f>
        <v>25600</v>
      </c>
      <c r="I112" s="641">
        <f t="shared" si="66"/>
        <v>12</v>
      </c>
      <c r="J112" s="639">
        <f t="shared" ref="J112:J131" si="67">IF(E112="","",IF(J80&lt;VLOOKUP(I112,saltab2022,22,FALSE),J80+1,J80))</f>
        <v>9</v>
      </c>
      <c r="K112" s="642">
        <f t="shared" ref="K112:K131" si="68">IF(K80="","",K80)</f>
        <v>1</v>
      </c>
      <c r="L112" s="798"/>
      <c r="M112" s="629">
        <v>0</v>
      </c>
      <c r="N112" s="881">
        <v>0</v>
      </c>
      <c r="O112" s="882">
        <f>IF(K112="","",K112*50)</f>
        <v>50</v>
      </c>
      <c r="P112" s="808">
        <f>SUM(M112:O112)</f>
        <v>50</v>
      </c>
      <c r="Q112" s="807">
        <v>0</v>
      </c>
      <c r="R112" s="304">
        <f>IF(K112="","",(1659*K112-P112)*AE112)</f>
        <v>91952.167811934909</v>
      </c>
      <c r="S112" s="304">
        <f>IF(K112="","",P112*AF112+AD112*(AH112+AI112*(1-AJ112)))</f>
        <v>2857.4321880650996</v>
      </c>
      <c r="T112" s="305">
        <f>ROUND(IF(K112="",0,+Q112/1659*(AB112*12*(1+tab!$D$44+tab!$D$45)-tab!$D$43)*tab!$D$41),-1)</f>
        <v>0</v>
      </c>
      <c r="U112" s="818">
        <f>IF(K112="","",IF(E112=0,0,(R112+S112+T112)))</f>
        <v>94809.600000000006</v>
      </c>
      <c r="V112" s="289"/>
      <c r="W112" s="682"/>
      <c r="AB112" s="812">
        <f t="shared" ref="AB112:AB131" si="69">IF(I112="","",VLOOKUP(I112,saltab2022,J112+1,FALSE))</f>
        <v>4938</v>
      </c>
      <c r="AC112" s="848">
        <f>AC$110</f>
        <v>0.60000000000000009</v>
      </c>
      <c r="AD112" s="811">
        <f>AB112*12/1659</f>
        <v>35.717902350813745</v>
      </c>
      <c r="AE112" s="811">
        <f>AB112*12*(1+AC112)/1659</f>
        <v>57.14864376130199</v>
      </c>
      <c r="AF112" s="811">
        <f>+AE112-AD112</f>
        <v>21.430741410488245</v>
      </c>
      <c r="AG112" s="14">
        <f>Q112</f>
        <v>0</v>
      </c>
      <c r="AH112" s="813">
        <f>O112</f>
        <v>50</v>
      </c>
      <c r="AI112" s="14">
        <f>(M112+N112)</f>
        <v>0</v>
      </c>
      <c r="AJ112" s="814">
        <f>IF(I112&gt;8,50%,40%)</f>
        <v>0.5</v>
      </c>
      <c r="AK112" s="6">
        <f>IF(G112&lt;25,0,IF(G112=25,25,IF(G112&lt;40,0,IF(G112=40,40,IF(G112&gt;=40,0)))))</f>
        <v>25</v>
      </c>
      <c r="AL112" s="815">
        <f>IF(AK112=25,AB112*1.08*K112/2,IF(AK112=40,AB112*1.08*K112,0))</f>
        <v>2666.52</v>
      </c>
    </row>
    <row r="113" spans="3:38" ht="12.75" customHeight="1" x14ac:dyDescent="0.2">
      <c r="C113" s="33"/>
      <c r="D113" s="638" t="str">
        <f t="shared" si="64"/>
        <v/>
      </c>
      <c r="E113" s="638" t="str">
        <f t="shared" si="64"/>
        <v/>
      </c>
      <c r="F113" s="638" t="str">
        <f t="shared" si="64"/>
        <v/>
      </c>
      <c r="G113" s="639" t="str">
        <f t="shared" si="65"/>
        <v/>
      </c>
      <c r="H113" s="640" t="str">
        <f t="shared" si="66"/>
        <v/>
      </c>
      <c r="I113" s="641" t="str">
        <f t="shared" si="66"/>
        <v/>
      </c>
      <c r="J113" s="639" t="str">
        <f t="shared" si="67"/>
        <v/>
      </c>
      <c r="K113" s="642" t="str">
        <f t="shared" si="68"/>
        <v/>
      </c>
      <c r="L113" s="798"/>
      <c r="M113" s="629">
        <v>0</v>
      </c>
      <c r="N113" s="881">
        <v>0</v>
      </c>
      <c r="O113" s="882" t="str">
        <f t="shared" ref="O113:O131" si="70">IF(K113="","",K113*50)</f>
        <v/>
      </c>
      <c r="P113" s="808">
        <f t="shared" ref="P113:P131" si="71">SUM(M113:O113)</f>
        <v>0</v>
      </c>
      <c r="Q113" s="807">
        <v>0</v>
      </c>
      <c r="R113" s="304" t="str">
        <f t="shared" ref="R113:R131" si="72">IF(K113="","",(1659*K113-P113)*AE113)</f>
        <v/>
      </c>
      <c r="S113" s="304" t="str">
        <f t="shared" ref="S113:S131" si="73">IF(K113="","",P113*AF113+AD113*(AH113+AI113*(1-AJ113)))</f>
        <v/>
      </c>
      <c r="T113" s="305">
        <f>ROUND(IF(K113="",0,+Q113/1659*(AB113*12*(1+tab!$D$44+tab!$D$45)-tab!$D$43)*tab!$D$41),-1)</f>
        <v>0</v>
      </c>
      <c r="U113" s="818" t="str">
        <f t="shared" ref="U113:U131" si="74">IF(K113="","",IF(E113=0,0,(R113+S113+T113)))</f>
        <v/>
      </c>
      <c r="V113" s="289"/>
      <c r="W113" s="682"/>
      <c r="AB113" s="812" t="str">
        <f t="shared" si="69"/>
        <v/>
      </c>
      <c r="AC113" s="848">
        <f t="shared" ref="AC113:AC131" si="75">AC$110</f>
        <v>0.60000000000000009</v>
      </c>
      <c r="AD113" s="811" t="e">
        <f t="shared" ref="AD113:AD131" si="76">AB113*12/1659</f>
        <v>#VALUE!</v>
      </c>
      <c r="AE113" s="811" t="e">
        <f t="shared" ref="AE113:AE131" si="77">AB113*12*(1+AC113)/1659</f>
        <v>#VALUE!</v>
      </c>
      <c r="AF113" s="811" t="e">
        <f t="shared" ref="AF113:AF131" si="78">+AE113-AD113</f>
        <v>#VALUE!</v>
      </c>
      <c r="AG113" s="14">
        <f t="shared" ref="AG113:AG131" si="79">Q113</f>
        <v>0</v>
      </c>
      <c r="AH113" s="813" t="str">
        <f t="shared" ref="AH113:AH131" si="80">O113</f>
        <v/>
      </c>
      <c r="AI113" s="14">
        <f t="shared" ref="AI113:AI131" si="81">(M113+N113)</f>
        <v>0</v>
      </c>
      <c r="AJ113" s="814">
        <f t="shared" ref="AJ113:AJ131" si="82">IF(I113&gt;8,50%,40%)</f>
        <v>0.5</v>
      </c>
      <c r="AK113" s="6">
        <f t="shared" ref="AK113:AK131" si="83">IF(G113&lt;25,0,IF(G113=25,25,IF(G113&lt;40,0,IF(G113=40,40,IF(G113&gt;=40,0)))))</f>
        <v>0</v>
      </c>
      <c r="AL113" s="815">
        <f t="shared" ref="AL113:AL131" si="84">IF(AK113=25,AB113*1.08*K113/2,IF(AK113=40,AB113*1.08*K113,0))</f>
        <v>0</v>
      </c>
    </row>
    <row r="114" spans="3:38" ht="12.75" customHeight="1" x14ac:dyDescent="0.2">
      <c r="C114" s="33"/>
      <c r="D114" s="638" t="str">
        <f t="shared" si="64"/>
        <v/>
      </c>
      <c r="E114" s="643" t="str">
        <f t="shared" si="64"/>
        <v/>
      </c>
      <c r="F114" s="643" t="str">
        <f t="shared" si="64"/>
        <v/>
      </c>
      <c r="G114" s="641" t="str">
        <f t="shared" si="65"/>
        <v/>
      </c>
      <c r="H114" s="644" t="str">
        <f t="shared" si="66"/>
        <v/>
      </c>
      <c r="I114" s="641" t="str">
        <f t="shared" si="66"/>
        <v/>
      </c>
      <c r="J114" s="639" t="str">
        <f t="shared" si="67"/>
        <v/>
      </c>
      <c r="K114" s="645" t="str">
        <f t="shared" si="68"/>
        <v/>
      </c>
      <c r="L114" s="799"/>
      <c r="M114" s="629">
        <v>0</v>
      </c>
      <c r="N114" s="881">
        <v>0</v>
      </c>
      <c r="O114" s="882" t="str">
        <f t="shared" si="70"/>
        <v/>
      </c>
      <c r="P114" s="808">
        <f t="shared" si="71"/>
        <v>0</v>
      </c>
      <c r="Q114" s="807">
        <v>0</v>
      </c>
      <c r="R114" s="304" t="str">
        <f t="shared" si="72"/>
        <v/>
      </c>
      <c r="S114" s="304" t="str">
        <f t="shared" si="73"/>
        <v/>
      </c>
      <c r="T114" s="305">
        <f>ROUND(IF(K114="",0,+Q114/1659*(AB114*12*(1+tab!$D$44+tab!$D$45)-tab!$D$43)*tab!$D$41),-1)</f>
        <v>0</v>
      </c>
      <c r="U114" s="818" t="str">
        <f t="shared" si="74"/>
        <v/>
      </c>
      <c r="V114" s="289"/>
      <c r="W114" s="682"/>
      <c r="AB114" s="812" t="str">
        <f t="shared" si="69"/>
        <v/>
      </c>
      <c r="AC114" s="848">
        <f t="shared" si="75"/>
        <v>0.60000000000000009</v>
      </c>
      <c r="AD114" s="811" t="e">
        <f t="shared" si="76"/>
        <v>#VALUE!</v>
      </c>
      <c r="AE114" s="811" t="e">
        <f t="shared" si="77"/>
        <v>#VALUE!</v>
      </c>
      <c r="AF114" s="811" t="e">
        <f t="shared" si="78"/>
        <v>#VALUE!</v>
      </c>
      <c r="AG114" s="14">
        <f t="shared" si="79"/>
        <v>0</v>
      </c>
      <c r="AH114" s="813" t="str">
        <f t="shared" si="80"/>
        <v/>
      </c>
      <c r="AI114" s="14">
        <f t="shared" si="81"/>
        <v>0</v>
      </c>
      <c r="AJ114" s="814">
        <f t="shared" si="82"/>
        <v>0.5</v>
      </c>
      <c r="AK114" s="6">
        <f t="shared" si="83"/>
        <v>0</v>
      </c>
      <c r="AL114" s="815">
        <f t="shared" si="84"/>
        <v>0</v>
      </c>
    </row>
    <row r="115" spans="3:38" ht="12.75" customHeight="1" x14ac:dyDescent="0.2">
      <c r="C115" s="33"/>
      <c r="D115" s="638" t="str">
        <f t="shared" si="64"/>
        <v/>
      </c>
      <c r="E115" s="638" t="str">
        <f t="shared" si="64"/>
        <v/>
      </c>
      <c r="F115" s="638" t="str">
        <f t="shared" si="64"/>
        <v/>
      </c>
      <c r="G115" s="639" t="str">
        <f t="shared" si="65"/>
        <v/>
      </c>
      <c r="H115" s="640" t="str">
        <f t="shared" si="66"/>
        <v/>
      </c>
      <c r="I115" s="641" t="str">
        <f t="shared" si="66"/>
        <v/>
      </c>
      <c r="J115" s="639" t="str">
        <f t="shared" si="67"/>
        <v/>
      </c>
      <c r="K115" s="642" t="str">
        <f t="shared" si="68"/>
        <v/>
      </c>
      <c r="L115" s="798"/>
      <c r="M115" s="629">
        <v>0</v>
      </c>
      <c r="N115" s="881">
        <v>0</v>
      </c>
      <c r="O115" s="882" t="str">
        <f t="shared" si="70"/>
        <v/>
      </c>
      <c r="P115" s="808">
        <f t="shared" si="71"/>
        <v>0</v>
      </c>
      <c r="Q115" s="807">
        <v>0</v>
      </c>
      <c r="R115" s="304" t="str">
        <f t="shared" si="72"/>
        <v/>
      </c>
      <c r="S115" s="304" t="str">
        <f t="shared" si="73"/>
        <v/>
      </c>
      <c r="T115" s="305">
        <f>ROUND(IF(K115="",0,+Q115/1659*(AB115*12*(1+tab!$D$44+tab!$D$45)-tab!$D$43)*tab!$D$41),-1)</f>
        <v>0</v>
      </c>
      <c r="U115" s="818" t="str">
        <f t="shared" si="74"/>
        <v/>
      </c>
      <c r="V115" s="289"/>
      <c r="W115" s="682"/>
      <c r="AB115" s="812" t="str">
        <f t="shared" si="69"/>
        <v/>
      </c>
      <c r="AC115" s="848">
        <f t="shared" si="75"/>
        <v>0.60000000000000009</v>
      </c>
      <c r="AD115" s="811" t="e">
        <f t="shared" si="76"/>
        <v>#VALUE!</v>
      </c>
      <c r="AE115" s="811" t="e">
        <f t="shared" si="77"/>
        <v>#VALUE!</v>
      </c>
      <c r="AF115" s="811" t="e">
        <f t="shared" si="78"/>
        <v>#VALUE!</v>
      </c>
      <c r="AG115" s="14">
        <f t="shared" si="79"/>
        <v>0</v>
      </c>
      <c r="AH115" s="813" t="str">
        <f t="shared" si="80"/>
        <v/>
      </c>
      <c r="AI115" s="14">
        <f t="shared" si="81"/>
        <v>0</v>
      </c>
      <c r="AJ115" s="814">
        <f t="shared" si="82"/>
        <v>0.5</v>
      </c>
      <c r="AK115" s="6">
        <f t="shared" si="83"/>
        <v>0</v>
      </c>
      <c r="AL115" s="815">
        <f t="shared" si="84"/>
        <v>0</v>
      </c>
    </row>
    <row r="116" spans="3:38" ht="12.75" customHeight="1" x14ac:dyDescent="0.2">
      <c r="C116" s="33"/>
      <c r="D116" s="638" t="str">
        <f t="shared" si="64"/>
        <v/>
      </c>
      <c r="E116" s="638" t="str">
        <f t="shared" si="64"/>
        <v/>
      </c>
      <c r="F116" s="638" t="str">
        <f t="shared" si="64"/>
        <v/>
      </c>
      <c r="G116" s="639" t="str">
        <f t="shared" si="65"/>
        <v/>
      </c>
      <c r="H116" s="640" t="str">
        <f t="shared" si="66"/>
        <v/>
      </c>
      <c r="I116" s="641" t="str">
        <f t="shared" si="66"/>
        <v/>
      </c>
      <c r="J116" s="639" t="str">
        <f t="shared" si="67"/>
        <v/>
      </c>
      <c r="K116" s="642" t="str">
        <f t="shared" si="68"/>
        <v/>
      </c>
      <c r="L116" s="798"/>
      <c r="M116" s="629">
        <v>0</v>
      </c>
      <c r="N116" s="881">
        <v>0</v>
      </c>
      <c r="O116" s="882" t="str">
        <f t="shared" si="70"/>
        <v/>
      </c>
      <c r="P116" s="808">
        <f t="shared" si="71"/>
        <v>0</v>
      </c>
      <c r="Q116" s="807">
        <v>0</v>
      </c>
      <c r="R116" s="304" t="str">
        <f t="shared" si="72"/>
        <v/>
      </c>
      <c r="S116" s="304" t="str">
        <f t="shared" si="73"/>
        <v/>
      </c>
      <c r="T116" s="305">
        <f>ROUND(IF(K116="",0,+Q116/1659*(AB116*12*(1+tab!$D$44+tab!$D$45)-tab!$D$43)*tab!$D$41),-1)</f>
        <v>0</v>
      </c>
      <c r="U116" s="818" t="str">
        <f t="shared" si="74"/>
        <v/>
      </c>
      <c r="V116" s="289"/>
      <c r="W116" s="682"/>
      <c r="AB116" s="812" t="str">
        <f t="shared" si="69"/>
        <v/>
      </c>
      <c r="AC116" s="848">
        <f t="shared" si="75"/>
        <v>0.60000000000000009</v>
      </c>
      <c r="AD116" s="811" t="e">
        <f t="shared" si="76"/>
        <v>#VALUE!</v>
      </c>
      <c r="AE116" s="811" t="e">
        <f t="shared" si="77"/>
        <v>#VALUE!</v>
      </c>
      <c r="AF116" s="811" t="e">
        <f t="shared" si="78"/>
        <v>#VALUE!</v>
      </c>
      <c r="AG116" s="14">
        <f t="shared" si="79"/>
        <v>0</v>
      </c>
      <c r="AH116" s="813" t="str">
        <f t="shared" si="80"/>
        <v/>
      </c>
      <c r="AI116" s="14">
        <f t="shared" si="81"/>
        <v>0</v>
      </c>
      <c r="AJ116" s="814">
        <f t="shared" si="82"/>
        <v>0.5</v>
      </c>
      <c r="AK116" s="6">
        <f t="shared" si="83"/>
        <v>0</v>
      </c>
      <c r="AL116" s="815">
        <f t="shared" si="84"/>
        <v>0</v>
      </c>
    </row>
    <row r="117" spans="3:38" ht="12.75" customHeight="1" x14ac:dyDescent="0.2">
      <c r="C117" s="33"/>
      <c r="D117" s="638" t="str">
        <f t="shared" si="64"/>
        <v/>
      </c>
      <c r="E117" s="638" t="str">
        <f t="shared" si="64"/>
        <v/>
      </c>
      <c r="F117" s="638" t="str">
        <f t="shared" si="64"/>
        <v/>
      </c>
      <c r="G117" s="639" t="str">
        <f t="shared" si="65"/>
        <v/>
      </c>
      <c r="H117" s="640" t="str">
        <f t="shared" si="66"/>
        <v/>
      </c>
      <c r="I117" s="641" t="str">
        <f t="shared" si="66"/>
        <v/>
      </c>
      <c r="J117" s="639" t="str">
        <f t="shared" si="67"/>
        <v/>
      </c>
      <c r="K117" s="642" t="str">
        <f t="shared" si="68"/>
        <v/>
      </c>
      <c r="L117" s="798"/>
      <c r="M117" s="629">
        <v>0</v>
      </c>
      <c r="N117" s="881">
        <v>0</v>
      </c>
      <c r="O117" s="882" t="str">
        <f t="shared" si="70"/>
        <v/>
      </c>
      <c r="P117" s="808">
        <f t="shared" si="71"/>
        <v>0</v>
      </c>
      <c r="Q117" s="807">
        <v>0</v>
      </c>
      <c r="R117" s="304" t="str">
        <f t="shared" si="72"/>
        <v/>
      </c>
      <c r="S117" s="304" t="str">
        <f t="shared" si="73"/>
        <v/>
      </c>
      <c r="T117" s="305">
        <f>ROUND(IF(K117="",0,+Q117/1659*(AB117*12*(1+tab!$D$44+tab!$D$45)-tab!$D$43)*tab!$D$41),-1)</f>
        <v>0</v>
      </c>
      <c r="U117" s="818" t="str">
        <f t="shared" si="74"/>
        <v/>
      </c>
      <c r="V117" s="289"/>
      <c r="W117" s="682"/>
      <c r="AB117" s="812" t="str">
        <f t="shared" si="69"/>
        <v/>
      </c>
      <c r="AC117" s="848">
        <f t="shared" si="75"/>
        <v>0.60000000000000009</v>
      </c>
      <c r="AD117" s="811" t="e">
        <f t="shared" si="76"/>
        <v>#VALUE!</v>
      </c>
      <c r="AE117" s="811" t="e">
        <f t="shared" si="77"/>
        <v>#VALUE!</v>
      </c>
      <c r="AF117" s="811" t="e">
        <f t="shared" si="78"/>
        <v>#VALUE!</v>
      </c>
      <c r="AG117" s="14">
        <f t="shared" si="79"/>
        <v>0</v>
      </c>
      <c r="AH117" s="813" t="str">
        <f t="shared" si="80"/>
        <v/>
      </c>
      <c r="AI117" s="14">
        <f t="shared" si="81"/>
        <v>0</v>
      </c>
      <c r="AJ117" s="814">
        <f t="shared" si="82"/>
        <v>0.5</v>
      </c>
      <c r="AK117" s="6">
        <f t="shared" si="83"/>
        <v>0</v>
      </c>
      <c r="AL117" s="815">
        <f t="shared" si="84"/>
        <v>0</v>
      </c>
    </row>
    <row r="118" spans="3:38" ht="12.75" customHeight="1" x14ac:dyDescent="0.2">
      <c r="C118" s="33"/>
      <c r="D118" s="638" t="str">
        <f t="shared" si="64"/>
        <v/>
      </c>
      <c r="E118" s="638" t="str">
        <f t="shared" si="64"/>
        <v/>
      </c>
      <c r="F118" s="638" t="str">
        <f t="shared" si="64"/>
        <v/>
      </c>
      <c r="G118" s="639" t="str">
        <f t="shared" si="65"/>
        <v/>
      </c>
      <c r="H118" s="640" t="str">
        <f t="shared" si="66"/>
        <v/>
      </c>
      <c r="I118" s="641" t="str">
        <f t="shared" si="66"/>
        <v/>
      </c>
      <c r="J118" s="639" t="str">
        <f t="shared" si="67"/>
        <v/>
      </c>
      <c r="K118" s="642" t="str">
        <f t="shared" si="68"/>
        <v/>
      </c>
      <c r="L118" s="798"/>
      <c r="M118" s="629">
        <v>0</v>
      </c>
      <c r="N118" s="881">
        <v>0</v>
      </c>
      <c r="O118" s="882" t="str">
        <f t="shared" si="70"/>
        <v/>
      </c>
      <c r="P118" s="808">
        <f t="shared" si="71"/>
        <v>0</v>
      </c>
      <c r="Q118" s="807">
        <v>0</v>
      </c>
      <c r="R118" s="304" t="str">
        <f t="shared" si="72"/>
        <v/>
      </c>
      <c r="S118" s="304" t="str">
        <f t="shared" si="73"/>
        <v/>
      </c>
      <c r="T118" s="305">
        <f>ROUND(IF(K118="",0,+Q118/1659*(AB118*12*(1+tab!$D$44+tab!$D$45)-tab!$D$43)*tab!$D$41),-1)</f>
        <v>0</v>
      </c>
      <c r="U118" s="818" t="str">
        <f t="shared" si="74"/>
        <v/>
      </c>
      <c r="V118" s="289"/>
      <c r="W118" s="682"/>
      <c r="AB118" s="812" t="str">
        <f t="shared" si="69"/>
        <v/>
      </c>
      <c r="AC118" s="848">
        <f t="shared" si="75"/>
        <v>0.60000000000000009</v>
      </c>
      <c r="AD118" s="811" t="e">
        <f t="shared" si="76"/>
        <v>#VALUE!</v>
      </c>
      <c r="AE118" s="811" t="e">
        <f t="shared" si="77"/>
        <v>#VALUE!</v>
      </c>
      <c r="AF118" s="811" t="e">
        <f t="shared" si="78"/>
        <v>#VALUE!</v>
      </c>
      <c r="AG118" s="14">
        <f t="shared" si="79"/>
        <v>0</v>
      </c>
      <c r="AH118" s="813" t="str">
        <f t="shared" si="80"/>
        <v/>
      </c>
      <c r="AI118" s="14">
        <f t="shared" si="81"/>
        <v>0</v>
      </c>
      <c r="AJ118" s="814">
        <f t="shared" si="82"/>
        <v>0.5</v>
      </c>
      <c r="AK118" s="6">
        <f t="shared" si="83"/>
        <v>0</v>
      </c>
      <c r="AL118" s="815">
        <f t="shared" si="84"/>
        <v>0</v>
      </c>
    </row>
    <row r="119" spans="3:38" ht="12.75" customHeight="1" x14ac:dyDescent="0.2">
      <c r="C119" s="33"/>
      <c r="D119" s="638" t="str">
        <f t="shared" si="64"/>
        <v/>
      </c>
      <c r="E119" s="638" t="str">
        <f t="shared" si="64"/>
        <v/>
      </c>
      <c r="F119" s="638" t="str">
        <f t="shared" si="64"/>
        <v/>
      </c>
      <c r="G119" s="639" t="str">
        <f t="shared" si="65"/>
        <v/>
      </c>
      <c r="H119" s="640" t="str">
        <f t="shared" si="66"/>
        <v/>
      </c>
      <c r="I119" s="641" t="str">
        <f t="shared" si="66"/>
        <v/>
      </c>
      <c r="J119" s="639" t="str">
        <f t="shared" si="67"/>
        <v/>
      </c>
      <c r="K119" s="642" t="str">
        <f t="shared" si="68"/>
        <v/>
      </c>
      <c r="L119" s="798"/>
      <c r="M119" s="629">
        <v>0</v>
      </c>
      <c r="N119" s="881">
        <v>0</v>
      </c>
      <c r="O119" s="882" t="str">
        <f t="shared" si="70"/>
        <v/>
      </c>
      <c r="P119" s="808">
        <f t="shared" si="71"/>
        <v>0</v>
      </c>
      <c r="Q119" s="807">
        <v>0</v>
      </c>
      <c r="R119" s="304" t="str">
        <f t="shared" si="72"/>
        <v/>
      </c>
      <c r="S119" s="304" t="str">
        <f t="shared" si="73"/>
        <v/>
      </c>
      <c r="T119" s="305">
        <f>ROUND(IF(K119="",0,+Q119/1659*(AB119*12*(1+tab!$D$44+tab!$D$45)-tab!$D$43)*tab!$D$41),-1)</f>
        <v>0</v>
      </c>
      <c r="U119" s="818" t="str">
        <f t="shared" si="74"/>
        <v/>
      </c>
      <c r="V119" s="289"/>
      <c r="W119" s="682"/>
      <c r="AB119" s="812" t="str">
        <f t="shared" si="69"/>
        <v/>
      </c>
      <c r="AC119" s="848">
        <f t="shared" si="75"/>
        <v>0.60000000000000009</v>
      </c>
      <c r="AD119" s="811" t="e">
        <f t="shared" si="76"/>
        <v>#VALUE!</v>
      </c>
      <c r="AE119" s="811" t="e">
        <f t="shared" si="77"/>
        <v>#VALUE!</v>
      </c>
      <c r="AF119" s="811" t="e">
        <f t="shared" si="78"/>
        <v>#VALUE!</v>
      </c>
      <c r="AG119" s="14">
        <f t="shared" si="79"/>
        <v>0</v>
      </c>
      <c r="AH119" s="813" t="str">
        <f t="shared" si="80"/>
        <v/>
      </c>
      <c r="AI119" s="14">
        <f t="shared" si="81"/>
        <v>0</v>
      </c>
      <c r="AJ119" s="814">
        <f t="shared" si="82"/>
        <v>0.5</v>
      </c>
      <c r="AK119" s="6">
        <f t="shared" si="83"/>
        <v>0</v>
      </c>
      <c r="AL119" s="815">
        <f t="shared" si="84"/>
        <v>0</v>
      </c>
    </row>
    <row r="120" spans="3:38" ht="12.75" customHeight="1" x14ac:dyDescent="0.2">
      <c r="C120" s="33"/>
      <c r="D120" s="638" t="str">
        <f t="shared" si="64"/>
        <v/>
      </c>
      <c r="E120" s="638" t="str">
        <f t="shared" si="64"/>
        <v/>
      </c>
      <c r="F120" s="638" t="str">
        <f t="shared" si="64"/>
        <v/>
      </c>
      <c r="G120" s="639" t="str">
        <f t="shared" si="65"/>
        <v/>
      </c>
      <c r="H120" s="640" t="str">
        <f t="shared" si="66"/>
        <v/>
      </c>
      <c r="I120" s="641" t="str">
        <f t="shared" si="66"/>
        <v/>
      </c>
      <c r="J120" s="639" t="str">
        <f t="shared" si="67"/>
        <v/>
      </c>
      <c r="K120" s="642" t="str">
        <f t="shared" si="68"/>
        <v/>
      </c>
      <c r="L120" s="798"/>
      <c r="M120" s="629">
        <v>0</v>
      </c>
      <c r="N120" s="881">
        <v>0</v>
      </c>
      <c r="O120" s="882" t="str">
        <f t="shared" si="70"/>
        <v/>
      </c>
      <c r="P120" s="808">
        <f t="shared" si="71"/>
        <v>0</v>
      </c>
      <c r="Q120" s="807">
        <v>0</v>
      </c>
      <c r="R120" s="304" t="str">
        <f t="shared" si="72"/>
        <v/>
      </c>
      <c r="S120" s="304" t="str">
        <f t="shared" si="73"/>
        <v/>
      </c>
      <c r="T120" s="305">
        <f>ROUND(IF(K120="",0,+Q120/1659*(AB120*12*(1+tab!$D$44+tab!$D$45)-tab!$D$43)*tab!$D$41),-1)</f>
        <v>0</v>
      </c>
      <c r="U120" s="818" t="str">
        <f t="shared" si="74"/>
        <v/>
      </c>
      <c r="V120" s="289"/>
      <c r="W120" s="682"/>
      <c r="AB120" s="812" t="str">
        <f t="shared" si="69"/>
        <v/>
      </c>
      <c r="AC120" s="848">
        <f t="shared" si="75"/>
        <v>0.60000000000000009</v>
      </c>
      <c r="AD120" s="811" t="e">
        <f t="shared" si="76"/>
        <v>#VALUE!</v>
      </c>
      <c r="AE120" s="811" t="e">
        <f t="shared" si="77"/>
        <v>#VALUE!</v>
      </c>
      <c r="AF120" s="811" t="e">
        <f t="shared" si="78"/>
        <v>#VALUE!</v>
      </c>
      <c r="AG120" s="14">
        <f t="shared" si="79"/>
        <v>0</v>
      </c>
      <c r="AH120" s="813" t="str">
        <f t="shared" si="80"/>
        <v/>
      </c>
      <c r="AI120" s="14">
        <f t="shared" si="81"/>
        <v>0</v>
      </c>
      <c r="AJ120" s="814">
        <f t="shared" si="82"/>
        <v>0.5</v>
      </c>
      <c r="AK120" s="6">
        <f t="shared" si="83"/>
        <v>0</v>
      </c>
      <c r="AL120" s="815">
        <f t="shared" si="84"/>
        <v>0</v>
      </c>
    </row>
    <row r="121" spans="3:38" ht="12.75" customHeight="1" x14ac:dyDescent="0.2">
      <c r="C121" s="33"/>
      <c r="D121" s="638" t="str">
        <f t="shared" si="64"/>
        <v/>
      </c>
      <c r="E121" s="638" t="str">
        <f t="shared" si="64"/>
        <v/>
      </c>
      <c r="F121" s="638" t="str">
        <f t="shared" si="64"/>
        <v/>
      </c>
      <c r="G121" s="639" t="str">
        <f t="shared" si="65"/>
        <v/>
      </c>
      <c r="H121" s="640" t="str">
        <f t="shared" si="66"/>
        <v/>
      </c>
      <c r="I121" s="641" t="str">
        <f t="shared" si="66"/>
        <v/>
      </c>
      <c r="J121" s="639" t="str">
        <f t="shared" si="67"/>
        <v/>
      </c>
      <c r="K121" s="642" t="str">
        <f t="shared" si="68"/>
        <v/>
      </c>
      <c r="L121" s="798"/>
      <c r="M121" s="629">
        <v>0</v>
      </c>
      <c r="N121" s="881">
        <v>0</v>
      </c>
      <c r="O121" s="882" t="str">
        <f t="shared" si="70"/>
        <v/>
      </c>
      <c r="P121" s="808">
        <f t="shared" si="71"/>
        <v>0</v>
      </c>
      <c r="Q121" s="807">
        <v>0</v>
      </c>
      <c r="R121" s="304" t="str">
        <f t="shared" si="72"/>
        <v/>
      </c>
      <c r="S121" s="304" t="str">
        <f t="shared" si="73"/>
        <v/>
      </c>
      <c r="T121" s="305">
        <f>ROUND(IF(K121="",0,+Q121/1659*(AB121*12*(1+tab!$D$44+tab!$D$45)-tab!$D$43)*tab!$D$41),-1)</f>
        <v>0</v>
      </c>
      <c r="U121" s="818" t="str">
        <f t="shared" si="74"/>
        <v/>
      </c>
      <c r="V121" s="289"/>
      <c r="W121" s="682"/>
      <c r="AB121" s="812" t="str">
        <f t="shared" si="69"/>
        <v/>
      </c>
      <c r="AC121" s="848">
        <f t="shared" si="75"/>
        <v>0.60000000000000009</v>
      </c>
      <c r="AD121" s="811" t="e">
        <f t="shared" si="76"/>
        <v>#VALUE!</v>
      </c>
      <c r="AE121" s="811" t="e">
        <f t="shared" si="77"/>
        <v>#VALUE!</v>
      </c>
      <c r="AF121" s="811" t="e">
        <f t="shared" si="78"/>
        <v>#VALUE!</v>
      </c>
      <c r="AG121" s="14">
        <f t="shared" si="79"/>
        <v>0</v>
      </c>
      <c r="AH121" s="813" t="str">
        <f t="shared" si="80"/>
        <v/>
      </c>
      <c r="AI121" s="14">
        <f t="shared" si="81"/>
        <v>0</v>
      </c>
      <c r="AJ121" s="814">
        <f t="shared" si="82"/>
        <v>0.5</v>
      </c>
      <c r="AK121" s="6">
        <f t="shared" si="83"/>
        <v>0</v>
      </c>
      <c r="AL121" s="815">
        <f t="shared" si="84"/>
        <v>0</v>
      </c>
    </row>
    <row r="122" spans="3:38" ht="12.75" customHeight="1" x14ac:dyDescent="0.2">
      <c r="C122" s="33"/>
      <c r="D122" s="638" t="str">
        <f t="shared" si="64"/>
        <v/>
      </c>
      <c r="E122" s="638" t="str">
        <f t="shared" si="64"/>
        <v/>
      </c>
      <c r="F122" s="638" t="str">
        <f t="shared" si="64"/>
        <v/>
      </c>
      <c r="G122" s="639" t="str">
        <f t="shared" si="65"/>
        <v/>
      </c>
      <c r="H122" s="640" t="str">
        <f t="shared" si="66"/>
        <v/>
      </c>
      <c r="I122" s="641" t="str">
        <f t="shared" si="66"/>
        <v/>
      </c>
      <c r="J122" s="639" t="str">
        <f t="shared" si="67"/>
        <v/>
      </c>
      <c r="K122" s="642" t="str">
        <f t="shared" si="68"/>
        <v/>
      </c>
      <c r="L122" s="798"/>
      <c r="M122" s="629">
        <v>0</v>
      </c>
      <c r="N122" s="881">
        <v>0</v>
      </c>
      <c r="O122" s="882" t="str">
        <f t="shared" si="70"/>
        <v/>
      </c>
      <c r="P122" s="808">
        <f t="shared" si="71"/>
        <v>0</v>
      </c>
      <c r="Q122" s="807">
        <v>0</v>
      </c>
      <c r="R122" s="304" t="str">
        <f t="shared" si="72"/>
        <v/>
      </c>
      <c r="S122" s="304" t="str">
        <f t="shared" si="73"/>
        <v/>
      </c>
      <c r="T122" s="305">
        <f>ROUND(IF(K122="",0,+Q122/1659*(AB122*12*(1+tab!$D$44+tab!$D$45)-tab!$D$43)*tab!$D$41),-1)</f>
        <v>0</v>
      </c>
      <c r="U122" s="818" t="str">
        <f t="shared" si="74"/>
        <v/>
      </c>
      <c r="V122" s="289"/>
      <c r="W122" s="682"/>
      <c r="AB122" s="812" t="str">
        <f t="shared" si="69"/>
        <v/>
      </c>
      <c r="AC122" s="848">
        <f t="shared" si="75"/>
        <v>0.60000000000000009</v>
      </c>
      <c r="AD122" s="811" t="e">
        <f t="shared" si="76"/>
        <v>#VALUE!</v>
      </c>
      <c r="AE122" s="811" t="e">
        <f t="shared" si="77"/>
        <v>#VALUE!</v>
      </c>
      <c r="AF122" s="811" t="e">
        <f t="shared" si="78"/>
        <v>#VALUE!</v>
      </c>
      <c r="AG122" s="14">
        <f t="shared" si="79"/>
        <v>0</v>
      </c>
      <c r="AH122" s="813" t="str">
        <f t="shared" si="80"/>
        <v/>
      </c>
      <c r="AI122" s="14">
        <f t="shared" si="81"/>
        <v>0</v>
      </c>
      <c r="AJ122" s="814">
        <f t="shared" si="82"/>
        <v>0.5</v>
      </c>
      <c r="AK122" s="6">
        <f t="shared" si="83"/>
        <v>0</v>
      </c>
      <c r="AL122" s="815">
        <f t="shared" si="84"/>
        <v>0</v>
      </c>
    </row>
    <row r="123" spans="3:38" ht="12.75" customHeight="1" x14ac:dyDescent="0.2">
      <c r="C123" s="33"/>
      <c r="D123" s="638" t="str">
        <f t="shared" si="64"/>
        <v/>
      </c>
      <c r="E123" s="638" t="str">
        <f t="shared" si="64"/>
        <v/>
      </c>
      <c r="F123" s="638" t="str">
        <f t="shared" si="64"/>
        <v/>
      </c>
      <c r="G123" s="639" t="str">
        <f t="shared" si="65"/>
        <v/>
      </c>
      <c r="H123" s="640" t="str">
        <f t="shared" si="66"/>
        <v/>
      </c>
      <c r="I123" s="641" t="str">
        <f t="shared" si="66"/>
        <v/>
      </c>
      <c r="J123" s="639" t="str">
        <f t="shared" si="67"/>
        <v/>
      </c>
      <c r="K123" s="642" t="str">
        <f t="shared" si="68"/>
        <v/>
      </c>
      <c r="L123" s="798"/>
      <c r="M123" s="629">
        <v>0</v>
      </c>
      <c r="N123" s="881">
        <v>0</v>
      </c>
      <c r="O123" s="882" t="str">
        <f t="shared" si="70"/>
        <v/>
      </c>
      <c r="P123" s="808">
        <f t="shared" si="71"/>
        <v>0</v>
      </c>
      <c r="Q123" s="807">
        <v>0</v>
      </c>
      <c r="R123" s="304" t="str">
        <f t="shared" si="72"/>
        <v/>
      </c>
      <c r="S123" s="304" t="str">
        <f t="shared" si="73"/>
        <v/>
      </c>
      <c r="T123" s="305">
        <f>ROUND(IF(K123="",0,+Q123/1659*(AB123*12*(1+tab!$D$44+tab!$D$45)-tab!$D$43)*tab!$D$41),-1)</f>
        <v>0</v>
      </c>
      <c r="U123" s="818" t="str">
        <f t="shared" si="74"/>
        <v/>
      </c>
      <c r="V123" s="289"/>
      <c r="W123" s="682"/>
      <c r="AB123" s="812" t="str">
        <f t="shared" si="69"/>
        <v/>
      </c>
      <c r="AC123" s="848">
        <f t="shared" si="75"/>
        <v>0.60000000000000009</v>
      </c>
      <c r="AD123" s="811" t="e">
        <f t="shared" si="76"/>
        <v>#VALUE!</v>
      </c>
      <c r="AE123" s="811" t="e">
        <f t="shared" si="77"/>
        <v>#VALUE!</v>
      </c>
      <c r="AF123" s="811" t="e">
        <f t="shared" si="78"/>
        <v>#VALUE!</v>
      </c>
      <c r="AG123" s="14">
        <f t="shared" si="79"/>
        <v>0</v>
      </c>
      <c r="AH123" s="813" t="str">
        <f t="shared" si="80"/>
        <v/>
      </c>
      <c r="AI123" s="14">
        <f t="shared" si="81"/>
        <v>0</v>
      </c>
      <c r="AJ123" s="814">
        <f t="shared" si="82"/>
        <v>0.5</v>
      </c>
      <c r="AK123" s="6">
        <f t="shared" si="83"/>
        <v>0</v>
      </c>
      <c r="AL123" s="815">
        <f t="shared" si="84"/>
        <v>0</v>
      </c>
    </row>
    <row r="124" spans="3:38" ht="12.75" customHeight="1" x14ac:dyDescent="0.2">
      <c r="C124" s="33"/>
      <c r="D124" s="638" t="str">
        <f t="shared" si="64"/>
        <v/>
      </c>
      <c r="E124" s="638" t="str">
        <f t="shared" si="64"/>
        <v/>
      </c>
      <c r="F124" s="638" t="str">
        <f t="shared" si="64"/>
        <v/>
      </c>
      <c r="G124" s="639" t="str">
        <f t="shared" si="65"/>
        <v/>
      </c>
      <c r="H124" s="640" t="str">
        <f t="shared" si="66"/>
        <v/>
      </c>
      <c r="I124" s="641" t="str">
        <f t="shared" si="66"/>
        <v/>
      </c>
      <c r="J124" s="639" t="str">
        <f t="shared" si="67"/>
        <v/>
      </c>
      <c r="K124" s="642" t="str">
        <f t="shared" si="68"/>
        <v/>
      </c>
      <c r="L124" s="798"/>
      <c r="M124" s="629">
        <v>0</v>
      </c>
      <c r="N124" s="881">
        <v>0</v>
      </c>
      <c r="O124" s="882" t="str">
        <f t="shared" si="70"/>
        <v/>
      </c>
      <c r="P124" s="808">
        <f t="shared" si="71"/>
        <v>0</v>
      </c>
      <c r="Q124" s="807">
        <v>0</v>
      </c>
      <c r="R124" s="304" t="str">
        <f t="shared" si="72"/>
        <v/>
      </c>
      <c r="S124" s="304" t="str">
        <f t="shared" si="73"/>
        <v/>
      </c>
      <c r="T124" s="305">
        <f>ROUND(IF(K124="",0,+Q124/1659*(AB124*12*(1+tab!$D$44+tab!$D$45)-tab!$D$43)*tab!$D$41),-1)</f>
        <v>0</v>
      </c>
      <c r="U124" s="818" t="str">
        <f t="shared" si="74"/>
        <v/>
      </c>
      <c r="V124" s="289"/>
      <c r="W124" s="682"/>
      <c r="AB124" s="812" t="str">
        <f t="shared" si="69"/>
        <v/>
      </c>
      <c r="AC124" s="848">
        <f t="shared" si="75"/>
        <v>0.60000000000000009</v>
      </c>
      <c r="AD124" s="811" t="e">
        <f t="shared" si="76"/>
        <v>#VALUE!</v>
      </c>
      <c r="AE124" s="811" t="e">
        <f t="shared" si="77"/>
        <v>#VALUE!</v>
      </c>
      <c r="AF124" s="811" t="e">
        <f t="shared" si="78"/>
        <v>#VALUE!</v>
      </c>
      <c r="AG124" s="14">
        <f t="shared" si="79"/>
        <v>0</v>
      </c>
      <c r="AH124" s="813" t="str">
        <f t="shared" si="80"/>
        <v/>
      </c>
      <c r="AI124" s="14">
        <f t="shared" si="81"/>
        <v>0</v>
      </c>
      <c r="AJ124" s="814">
        <f t="shared" si="82"/>
        <v>0.5</v>
      </c>
      <c r="AK124" s="6">
        <f t="shared" si="83"/>
        <v>0</v>
      </c>
      <c r="AL124" s="815">
        <f t="shared" si="84"/>
        <v>0</v>
      </c>
    </row>
    <row r="125" spans="3:38" ht="12.75" customHeight="1" x14ac:dyDescent="0.2">
      <c r="C125" s="33"/>
      <c r="D125" s="638" t="str">
        <f t="shared" si="64"/>
        <v/>
      </c>
      <c r="E125" s="638" t="str">
        <f t="shared" si="64"/>
        <v/>
      </c>
      <c r="F125" s="638" t="str">
        <f t="shared" si="64"/>
        <v/>
      </c>
      <c r="G125" s="639" t="str">
        <f t="shared" si="65"/>
        <v/>
      </c>
      <c r="H125" s="640" t="str">
        <f t="shared" si="66"/>
        <v/>
      </c>
      <c r="I125" s="641" t="str">
        <f t="shared" si="66"/>
        <v/>
      </c>
      <c r="J125" s="639" t="str">
        <f t="shared" si="67"/>
        <v/>
      </c>
      <c r="K125" s="642" t="str">
        <f t="shared" si="68"/>
        <v/>
      </c>
      <c r="L125" s="798"/>
      <c r="M125" s="629">
        <v>0</v>
      </c>
      <c r="N125" s="881">
        <v>0</v>
      </c>
      <c r="O125" s="882" t="str">
        <f t="shared" si="70"/>
        <v/>
      </c>
      <c r="P125" s="808">
        <f t="shared" si="71"/>
        <v>0</v>
      </c>
      <c r="Q125" s="807">
        <v>0</v>
      </c>
      <c r="R125" s="304" t="str">
        <f t="shared" si="72"/>
        <v/>
      </c>
      <c r="S125" s="304" t="str">
        <f t="shared" si="73"/>
        <v/>
      </c>
      <c r="T125" s="305">
        <f>ROUND(IF(K125="",0,+Q125/1659*(AB125*12*(1+tab!$D$44+tab!$D$45)-tab!$D$43)*tab!$D$41),-1)</f>
        <v>0</v>
      </c>
      <c r="U125" s="818" t="str">
        <f t="shared" si="74"/>
        <v/>
      </c>
      <c r="V125" s="289"/>
      <c r="W125" s="682"/>
      <c r="AB125" s="812" t="str">
        <f t="shared" si="69"/>
        <v/>
      </c>
      <c r="AC125" s="848">
        <f t="shared" si="75"/>
        <v>0.60000000000000009</v>
      </c>
      <c r="AD125" s="811" t="e">
        <f t="shared" si="76"/>
        <v>#VALUE!</v>
      </c>
      <c r="AE125" s="811" t="e">
        <f t="shared" si="77"/>
        <v>#VALUE!</v>
      </c>
      <c r="AF125" s="811" t="e">
        <f t="shared" si="78"/>
        <v>#VALUE!</v>
      </c>
      <c r="AG125" s="14">
        <f t="shared" si="79"/>
        <v>0</v>
      </c>
      <c r="AH125" s="813" t="str">
        <f t="shared" si="80"/>
        <v/>
      </c>
      <c r="AI125" s="14">
        <f t="shared" si="81"/>
        <v>0</v>
      </c>
      <c r="AJ125" s="814">
        <f t="shared" si="82"/>
        <v>0.5</v>
      </c>
      <c r="AK125" s="6">
        <f t="shared" si="83"/>
        <v>0</v>
      </c>
      <c r="AL125" s="815">
        <f t="shared" si="84"/>
        <v>0</v>
      </c>
    </row>
    <row r="126" spans="3:38" ht="12.75" customHeight="1" x14ac:dyDescent="0.2">
      <c r="C126" s="33"/>
      <c r="D126" s="638" t="str">
        <f t="shared" si="64"/>
        <v/>
      </c>
      <c r="E126" s="638" t="str">
        <f t="shared" si="64"/>
        <v/>
      </c>
      <c r="F126" s="638" t="str">
        <f t="shared" si="64"/>
        <v/>
      </c>
      <c r="G126" s="639" t="str">
        <f t="shared" si="65"/>
        <v/>
      </c>
      <c r="H126" s="640" t="str">
        <f t="shared" si="66"/>
        <v/>
      </c>
      <c r="I126" s="641" t="str">
        <f t="shared" si="66"/>
        <v/>
      </c>
      <c r="J126" s="639" t="str">
        <f t="shared" si="67"/>
        <v/>
      </c>
      <c r="K126" s="642" t="str">
        <f t="shared" si="68"/>
        <v/>
      </c>
      <c r="L126" s="798"/>
      <c r="M126" s="629">
        <v>0</v>
      </c>
      <c r="N126" s="881">
        <v>0</v>
      </c>
      <c r="O126" s="882" t="str">
        <f t="shared" si="70"/>
        <v/>
      </c>
      <c r="P126" s="808">
        <f t="shared" si="71"/>
        <v>0</v>
      </c>
      <c r="Q126" s="807">
        <v>0</v>
      </c>
      <c r="R126" s="304" t="str">
        <f t="shared" si="72"/>
        <v/>
      </c>
      <c r="S126" s="304" t="str">
        <f t="shared" si="73"/>
        <v/>
      </c>
      <c r="T126" s="305">
        <f>ROUND(IF(K126="",0,+Q126/1659*(AB126*12*(1+tab!$D$44+tab!$D$45)-tab!$D$43)*tab!$D$41),-1)</f>
        <v>0</v>
      </c>
      <c r="U126" s="818" t="str">
        <f t="shared" si="74"/>
        <v/>
      </c>
      <c r="V126" s="289"/>
      <c r="W126" s="682"/>
      <c r="AB126" s="812" t="str">
        <f t="shared" si="69"/>
        <v/>
      </c>
      <c r="AC126" s="848">
        <f t="shared" si="75"/>
        <v>0.60000000000000009</v>
      </c>
      <c r="AD126" s="811" t="e">
        <f t="shared" si="76"/>
        <v>#VALUE!</v>
      </c>
      <c r="AE126" s="811" t="e">
        <f t="shared" si="77"/>
        <v>#VALUE!</v>
      </c>
      <c r="AF126" s="811" t="e">
        <f t="shared" si="78"/>
        <v>#VALUE!</v>
      </c>
      <c r="AG126" s="14">
        <f t="shared" si="79"/>
        <v>0</v>
      </c>
      <c r="AH126" s="813" t="str">
        <f t="shared" si="80"/>
        <v/>
      </c>
      <c r="AI126" s="14">
        <f t="shared" si="81"/>
        <v>0</v>
      </c>
      <c r="AJ126" s="814">
        <f t="shared" si="82"/>
        <v>0.5</v>
      </c>
      <c r="AK126" s="6">
        <f t="shared" si="83"/>
        <v>0</v>
      </c>
      <c r="AL126" s="815">
        <f t="shared" si="84"/>
        <v>0</v>
      </c>
    </row>
    <row r="127" spans="3:38" ht="12.75" customHeight="1" x14ac:dyDescent="0.2">
      <c r="C127" s="33"/>
      <c r="D127" s="638" t="str">
        <f t="shared" si="64"/>
        <v/>
      </c>
      <c r="E127" s="638" t="str">
        <f t="shared" si="64"/>
        <v/>
      </c>
      <c r="F127" s="638" t="str">
        <f t="shared" si="64"/>
        <v/>
      </c>
      <c r="G127" s="639" t="str">
        <f t="shared" si="65"/>
        <v/>
      </c>
      <c r="H127" s="640" t="str">
        <f t="shared" si="66"/>
        <v/>
      </c>
      <c r="I127" s="641" t="str">
        <f t="shared" si="66"/>
        <v/>
      </c>
      <c r="J127" s="639" t="str">
        <f t="shared" si="67"/>
        <v/>
      </c>
      <c r="K127" s="642" t="str">
        <f t="shared" si="68"/>
        <v/>
      </c>
      <c r="L127" s="798"/>
      <c r="M127" s="629">
        <v>0</v>
      </c>
      <c r="N127" s="881">
        <v>0</v>
      </c>
      <c r="O127" s="882" t="str">
        <f t="shared" si="70"/>
        <v/>
      </c>
      <c r="P127" s="808">
        <f t="shared" si="71"/>
        <v>0</v>
      </c>
      <c r="Q127" s="807">
        <v>0</v>
      </c>
      <c r="R127" s="304" t="str">
        <f t="shared" si="72"/>
        <v/>
      </c>
      <c r="S127" s="304" t="str">
        <f t="shared" si="73"/>
        <v/>
      </c>
      <c r="T127" s="305">
        <f>ROUND(IF(K127="",0,+Q127/1659*(AB127*12*(1+tab!$D$44+tab!$D$45)-tab!$D$43)*tab!$D$41),-1)</f>
        <v>0</v>
      </c>
      <c r="U127" s="818" t="str">
        <f t="shared" si="74"/>
        <v/>
      </c>
      <c r="V127" s="289"/>
      <c r="W127" s="682"/>
      <c r="AB127" s="812" t="str">
        <f t="shared" si="69"/>
        <v/>
      </c>
      <c r="AC127" s="848">
        <f t="shared" si="75"/>
        <v>0.60000000000000009</v>
      </c>
      <c r="AD127" s="811" t="e">
        <f t="shared" si="76"/>
        <v>#VALUE!</v>
      </c>
      <c r="AE127" s="811" t="e">
        <f t="shared" si="77"/>
        <v>#VALUE!</v>
      </c>
      <c r="AF127" s="811" t="e">
        <f t="shared" si="78"/>
        <v>#VALUE!</v>
      </c>
      <c r="AG127" s="14">
        <f t="shared" si="79"/>
        <v>0</v>
      </c>
      <c r="AH127" s="813" t="str">
        <f t="shared" si="80"/>
        <v/>
      </c>
      <c r="AI127" s="14">
        <f t="shared" si="81"/>
        <v>0</v>
      </c>
      <c r="AJ127" s="814">
        <f t="shared" si="82"/>
        <v>0.5</v>
      </c>
      <c r="AK127" s="6">
        <f t="shared" si="83"/>
        <v>0</v>
      </c>
      <c r="AL127" s="815">
        <f t="shared" si="84"/>
        <v>0</v>
      </c>
    </row>
    <row r="128" spans="3:38" ht="12.75" customHeight="1" x14ac:dyDescent="0.2">
      <c r="C128" s="33"/>
      <c r="D128" s="638" t="str">
        <f t="shared" si="64"/>
        <v/>
      </c>
      <c r="E128" s="638" t="str">
        <f t="shared" si="64"/>
        <v/>
      </c>
      <c r="F128" s="638" t="str">
        <f t="shared" si="64"/>
        <v/>
      </c>
      <c r="G128" s="639" t="str">
        <f t="shared" si="65"/>
        <v/>
      </c>
      <c r="H128" s="640" t="str">
        <f t="shared" si="66"/>
        <v/>
      </c>
      <c r="I128" s="641" t="str">
        <f t="shared" si="66"/>
        <v/>
      </c>
      <c r="J128" s="639" t="str">
        <f t="shared" si="67"/>
        <v/>
      </c>
      <c r="K128" s="642" t="str">
        <f t="shared" si="68"/>
        <v/>
      </c>
      <c r="L128" s="798"/>
      <c r="M128" s="629">
        <v>0</v>
      </c>
      <c r="N128" s="881">
        <v>0</v>
      </c>
      <c r="O128" s="882" t="str">
        <f t="shared" si="70"/>
        <v/>
      </c>
      <c r="P128" s="808">
        <f t="shared" si="71"/>
        <v>0</v>
      </c>
      <c r="Q128" s="807">
        <v>0</v>
      </c>
      <c r="R128" s="304" t="str">
        <f t="shared" si="72"/>
        <v/>
      </c>
      <c r="S128" s="304" t="str">
        <f t="shared" si="73"/>
        <v/>
      </c>
      <c r="T128" s="305">
        <f>ROUND(IF(K128="",0,+Q128/1659*(AB128*12*(1+tab!$D$44+tab!$D$45)-tab!$D$43)*tab!$D$41),-1)</f>
        <v>0</v>
      </c>
      <c r="U128" s="818" t="str">
        <f t="shared" si="74"/>
        <v/>
      </c>
      <c r="V128" s="289"/>
      <c r="W128" s="682"/>
      <c r="AB128" s="812" t="str">
        <f t="shared" si="69"/>
        <v/>
      </c>
      <c r="AC128" s="848">
        <f t="shared" si="75"/>
        <v>0.60000000000000009</v>
      </c>
      <c r="AD128" s="811" t="e">
        <f t="shared" si="76"/>
        <v>#VALUE!</v>
      </c>
      <c r="AE128" s="811" t="e">
        <f t="shared" si="77"/>
        <v>#VALUE!</v>
      </c>
      <c r="AF128" s="811" t="e">
        <f t="shared" si="78"/>
        <v>#VALUE!</v>
      </c>
      <c r="AG128" s="14">
        <f t="shared" si="79"/>
        <v>0</v>
      </c>
      <c r="AH128" s="813" t="str">
        <f t="shared" si="80"/>
        <v/>
      </c>
      <c r="AI128" s="14">
        <f t="shared" si="81"/>
        <v>0</v>
      </c>
      <c r="AJ128" s="814">
        <f t="shared" si="82"/>
        <v>0.5</v>
      </c>
      <c r="AK128" s="6">
        <f t="shared" si="83"/>
        <v>0</v>
      </c>
      <c r="AL128" s="815">
        <f t="shared" si="84"/>
        <v>0</v>
      </c>
    </row>
    <row r="129" spans="3:46" ht="12.75" customHeight="1" x14ac:dyDescent="0.2">
      <c r="C129" s="33"/>
      <c r="D129" s="638" t="str">
        <f t="shared" si="64"/>
        <v/>
      </c>
      <c r="E129" s="638" t="str">
        <f t="shared" si="64"/>
        <v/>
      </c>
      <c r="F129" s="638" t="str">
        <f t="shared" si="64"/>
        <v/>
      </c>
      <c r="G129" s="639" t="str">
        <f t="shared" si="65"/>
        <v/>
      </c>
      <c r="H129" s="640" t="str">
        <f t="shared" si="66"/>
        <v/>
      </c>
      <c r="I129" s="641" t="str">
        <f t="shared" si="66"/>
        <v/>
      </c>
      <c r="J129" s="639" t="str">
        <f t="shared" si="67"/>
        <v/>
      </c>
      <c r="K129" s="642" t="str">
        <f t="shared" si="68"/>
        <v/>
      </c>
      <c r="L129" s="798"/>
      <c r="M129" s="629">
        <v>0</v>
      </c>
      <c r="N129" s="881">
        <v>0</v>
      </c>
      <c r="O129" s="882" t="str">
        <f t="shared" si="70"/>
        <v/>
      </c>
      <c r="P129" s="808">
        <f t="shared" si="71"/>
        <v>0</v>
      </c>
      <c r="Q129" s="807">
        <v>0</v>
      </c>
      <c r="R129" s="304" t="str">
        <f t="shared" si="72"/>
        <v/>
      </c>
      <c r="S129" s="304" t="str">
        <f t="shared" si="73"/>
        <v/>
      </c>
      <c r="T129" s="305">
        <f>ROUND(IF(K129="",0,+Q129/1659*(AB129*12*(1+tab!$D$44+tab!$D$45)-tab!$D$43)*tab!$D$41),-1)</f>
        <v>0</v>
      </c>
      <c r="U129" s="818" t="str">
        <f t="shared" si="74"/>
        <v/>
      </c>
      <c r="V129" s="289"/>
      <c r="W129" s="682"/>
      <c r="AB129" s="812" t="str">
        <f t="shared" si="69"/>
        <v/>
      </c>
      <c r="AC129" s="848">
        <f t="shared" si="75"/>
        <v>0.60000000000000009</v>
      </c>
      <c r="AD129" s="811" t="e">
        <f t="shared" si="76"/>
        <v>#VALUE!</v>
      </c>
      <c r="AE129" s="811" t="e">
        <f t="shared" si="77"/>
        <v>#VALUE!</v>
      </c>
      <c r="AF129" s="811" t="e">
        <f t="shared" si="78"/>
        <v>#VALUE!</v>
      </c>
      <c r="AG129" s="14">
        <f t="shared" si="79"/>
        <v>0</v>
      </c>
      <c r="AH129" s="813" t="str">
        <f t="shared" si="80"/>
        <v/>
      </c>
      <c r="AI129" s="14">
        <f t="shared" si="81"/>
        <v>0</v>
      </c>
      <c r="AJ129" s="814">
        <f t="shared" si="82"/>
        <v>0.5</v>
      </c>
      <c r="AK129" s="6">
        <f t="shared" si="83"/>
        <v>0</v>
      </c>
      <c r="AL129" s="815">
        <f t="shared" si="84"/>
        <v>0</v>
      </c>
    </row>
    <row r="130" spans="3:46" ht="12.75" customHeight="1" x14ac:dyDescent="0.2">
      <c r="C130" s="33"/>
      <c r="D130" s="638" t="str">
        <f t="shared" si="64"/>
        <v/>
      </c>
      <c r="E130" s="638" t="str">
        <f t="shared" si="64"/>
        <v/>
      </c>
      <c r="F130" s="638" t="str">
        <f t="shared" si="64"/>
        <v/>
      </c>
      <c r="G130" s="639" t="str">
        <f t="shared" si="65"/>
        <v/>
      </c>
      <c r="H130" s="640" t="str">
        <f t="shared" si="66"/>
        <v/>
      </c>
      <c r="I130" s="641" t="str">
        <f t="shared" si="66"/>
        <v/>
      </c>
      <c r="J130" s="639" t="str">
        <f t="shared" si="67"/>
        <v/>
      </c>
      <c r="K130" s="642" t="str">
        <f t="shared" si="68"/>
        <v/>
      </c>
      <c r="L130" s="798"/>
      <c r="M130" s="629">
        <v>0</v>
      </c>
      <c r="N130" s="881">
        <v>0</v>
      </c>
      <c r="O130" s="882" t="str">
        <f t="shared" si="70"/>
        <v/>
      </c>
      <c r="P130" s="808">
        <f t="shared" si="71"/>
        <v>0</v>
      </c>
      <c r="Q130" s="807">
        <v>0</v>
      </c>
      <c r="R130" s="304" t="str">
        <f t="shared" si="72"/>
        <v/>
      </c>
      <c r="S130" s="304" t="str">
        <f t="shared" si="73"/>
        <v/>
      </c>
      <c r="T130" s="305">
        <f>ROUND(IF(K130="",0,+Q130/1659*(AB130*12*(1+tab!$D$44+tab!$D$45)-tab!$D$43)*tab!$D$41),-1)</f>
        <v>0</v>
      </c>
      <c r="U130" s="818" t="str">
        <f t="shared" si="74"/>
        <v/>
      </c>
      <c r="V130" s="289"/>
      <c r="W130" s="682"/>
      <c r="AB130" s="812" t="str">
        <f t="shared" si="69"/>
        <v/>
      </c>
      <c r="AC130" s="848">
        <f t="shared" si="75"/>
        <v>0.60000000000000009</v>
      </c>
      <c r="AD130" s="811" t="e">
        <f t="shared" si="76"/>
        <v>#VALUE!</v>
      </c>
      <c r="AE130" s="811" t="e">
        <f t="shared" si="77"/>
        <v>#VALUE!</v>
      </c>
      <c r="AF130" s="811" t="e">
        <f t="shared" si="78"/>
        <v>#VALUE!</v>
      </c>
      <c r="AG130" s="14">
        <f t="shared" si="79"/>
        <v>0</v>
      </c>
      <c r="AH130" s="813" t="str">
        <f t="shared" si="80"/>
        <v/>
      </c>
      <c r="AI130" s="14">
        <f t="shared" si="81"/>
        <v>0</v>
      </c>
      <c r="AJ130" s="814">
        <f t="shared" si="82"/>
        <v>0.5</v>
      </c>
      <c r="AK130" s="6">
        <f t="shared" si="83"/>
        <v>0</v>
      </c>
      <c r="AL130" s="815">
        <f t="shared" si="84"/>
        <v>0</v>
      </c>
    </row>
    <row r="131" spans="3:46" ht="12.75" customHeight="1" x14ac:dyDescent="0.2">
      <c r="C131" s="33"/>
      <c r="D131" s="638" t="str">
        <f t="shared" si="64"/>
        <v/>
      </c>
      <c r="E131" s="638" t="str">
        <f t="shared" si="64"/>
        <v/>
      </c>
      <c r="F131" s="638" t="str">
        <f t="shared" si="64"/>
        <v/>
      </c>
      <c r="G131" s="639" t="str">
        <f t="shared" si="65"/>
        <v/>
      </c>
      <c r="H131" s="640" t="str">
        <f t="shared" si="66"/>
        <v/>
      </c>
      <c r="I131" s="641" t="str">
        <f t="shared" si="66"/>
        <v/>
      </c>
      <c r="J131" s="639" t="str">
        <f t="shared" si="67"/>
        <v/>
      </c>
      <c r="K131" s="642" t="str">
        <f t="shared" si="68"/>
        <v/>
      </c>
      <c r="L131" s="798"/>
      <c r="M131" s="629">
        <v>0</v>
      </c>
      <c r="N131" s="881">
        <v>0</v>
      </c>
      <c r="O131" s="882" t="str">
        <f t="shared" si="70"/>
        <v/>
      </c>
      <c r="P131" s="808">
        <f t="shared" si="71"/>
        <v>0</v>
      </c>
      <c r="Q131" s="807">
        <v>0</v>
      </c>
      <c r="R131" s="304" t="str">
        <f t="shared" si="72"/>
        <v/>
      </c>
      <c r="S131" s="304" t="str">
        <f t="shared" si="73"/>
        <v/>
      </c>
      <c r="T131" s="305">
        <f>ROUND(IF(K131="",0,+Q131/1659*(AB131*12*(1+tab!$D$44+tab!$D$45)-tab!$D$43)*tab!$D$41),-1)</f>
        <v>0</v>
      </c>
      <c r="U131" s="818" t="str">
        <f t="shared" si="74"/>
        <v/>
      </c>
      <c r="V131" s="289"/>
      <c r="W131" s="682"/>
      <c r="AB131" s="812" t="str">
        <f t="shared" si="69"/>
        <v/>
      </c>
      <c r="AC131" s="848">
        <f t="shared" si="75"/>
        <v>0.60000000000000009</v>
      </c>
      <c r="AD131" s="811" t="e">
        <f t="shared" si="76"/>
        <v>#VALUE!</v>
      </c>
      <c r="AE131" s="811" t="e">
        <f t="shared" si="77"/>
        <v>#VALUE!</v>
      </c>
      <c r="AF131" s="811" t="e">
        <f t="shared" si="78"/>
        <v>#VALUE!</v>
      </c>
      <c r="AG131" s="14">
        <f t="shared" si="79"/>
        <v>0</v>
      </c>
      <c r="AH131" s="813" t="str">
        <f t="shared" si="80"/>
        <v/>
      </c>
      <c r="AI131" s="14">
        <f t="shared" si="81"/>
        <v>0</v>
      </c>
      <c r="AJ131" s="814">
        <f t="shared" si="82"/>
        <v>0.5</v>
      </c>
      <c r="AK131" s="6">
        <f t="shared" si="83"/>
        <v>0</v>
      </c>
      <c r="AL131" s="815">
        <f t="shared" si="84"/>
        <v>0</v>
      </c>
    </row>
    <row r="132" spans="3:46" x14ac:dyDescent="0.2">
      <c r="C132" s="33"/>
      <c r="D132" s="290"/>
      <c r="E132" s="290"/>
      <c r="F132" s="290"/>
      <c r="G132" s="150"/>
      <c r="H132" s="291"/>
      <c r="I132" s="150"/>
      <c r="J132" s="150"/>
      <c r="K132" s="306">
        <f>SUM(K112:K131)</f>
        <v>1</v>
      </c>
      <c r="L132" s="793"/>
      <c r="M132" s="806">
        <f t="shared" ref="M132:U132" si="85">SUM(M112:M131)</f>
        <v>0</v>
      </c>
      <c r="N132" s="806">
        <f t="shared" si="85"/>
        <v>0</v>
      </c>
      <c r="O132" s="806">
        <f t="shared" si="85"/>
        <v>50</v>
      </c>
      <c r="P132" s="806">
        <f t="shared" si="85"/>
        <v>50</v>
      </c>
      <c r="Q132" s="806">
        <f t="shared" si="85"/>
        <v>0</v>
      </c>
      <c r="R132" s="816">
        <f t="shared" si="85"/>
        <v>91952.167811934909</v>
      </c>
      <c r="S132" s="816">
        <f t="shared" si="85"/>
        <v>2857.4321880650996</v>
      </c>
      <c r="T132" s="816">
        <f t="shared" si="85"/>
        <v>0</v>
      </c>
      <c r="U132" s="817">
        <f t="shared" si="85"/>
        <v>94809.600000000006</v>
      </c>
      <c r="V132" s="144"/>
      <c r="W132" s="682"/>
      <c r="AB132" s="812">
        <f>SUM(AB112:AB131)</f>
        <v>4938</v>
      </c>
      <c r="AL132" s="815">
        <f>SUM(AL112:AL131)</f>
        <v>2666.52</v>
      </c>
    </row>
    <row r="133" spans="3:46" x14ac:dyDescent="0.2">
      <c r="C133" s="33"/>
      <c r="D133" s="145"/>
      <c r="E133" s="145"/>
      <c r="F133" s="145"/>
      <c r="G133" s="144"/>
      <c r="H133" s="151"/>
      <c r="I133" s="144"/>
      <c r="J133" s="144"/>
      <c r="K133" s="278"/>
      <c r="L133" s="677"/>
      <c r="M133" s="278"/>
      <c r="N133" s="144"/>
      <c r="O133" s="144"/>
      <c r="P133" s="292"/>
      <c r="Q133" s="292"/>
      <c r="R133" s="292"/>
      <c r="S133" s="292"/>
      <c r="T133" s="280"/>
      <c r="U133" s="293"/>
      <c r="V133" s="144"/>
      <c r="W133" s="682"/>
    </row>
    <row r="134" spans="3:46" x14ac:dyDescent="0.2">
      <c r="W134" s="682"/>
    </row>
    <row r="135" spans="3:46" s="7" customFormat="1" x14ac:dyDescent="0.2">
      <c r="D135" s="213"/>
      <c r="E135" s="213"/>
      <c r="F135" s="213"/>
      <c r="G135" s="214"/>
      <c r="H135" s="215"/>
      <c r="I135" s="214"/>
      <c r="J135" s="214"/>
      <c r="K135" s="217"/>
      <c r="L135" s="800"/>
      <c r="M135" s="222"/>
      <c r="T135" s="178"/>
      <c r="U135" s="223"/>
      <c r="W135" s="851"/>
      <c r="AC135" s="214"/>
      <c r="AD135" s="221"/>
      <c r="AL135" s="214"/>
      <c r="AM135" s="221"/>
      <c r="AT135" s="6"/>
    </row>
    <row r="136" spans="3:46" x14ac:dyDescent="0.2">
      <c r="C136" s="6" t="s">
        <v>87</v>
      </c>
      <c r="E136" s="201" t="str">
        <f>tab!F2</f>
        <v>2026/27</v>
      </c>
      <c r="W136" s="682"/>
    </row>
    <row r="137" spans="3:46" x14ac:dyDescent="0.2">
      <c r="C137" s="6" t="s">
        <v>88</v>
      </c>
      <c r="E137" s="201">
        <f>+tab!G3</f>
        <v>46296</v>
      </c>
      <c r="W137" s="682"/>
    </row>
    <row r="138" spans="3:46" s="7" customFormat="1" x14ac:dyDescent="0.2">
      <c r="D138" s="213"/>
      <c r="E138" s="213"/>
      <c r="F138" s="213"/>
      <c r="G138" s="214"/>
      <c r="H138" s="215"/>
      <c r="I138" s="214"/>
      <c r="J138" s="214"/>
      <c r="K138" s="217"/>
      <c r="L138" s="800"/>
      <c r="M138" s="222"/>
      <c r="T138" s="178"/>
      <c r="U138" s="223"/>
      <c r="W138" s="851"/>
      <c r="AC138" s="214"/>
      <c r="AD138" s="221"/>
      <c r="AL138" s="214"/>
      <c r="AM138" s="221"/>
      <c r="AT138" s="6"/>
    </row>
    <row r="139" spans="3:46" ht="12.75" customHeight="1" x14ac:dyDescent="0.2">
      <c r="C139" s="33"/>
      <c r="D139" s="145"/>
      <c r="E139" s="85"/>
      <c r="F139" s="145"/>
      <c r="G139" s="144"/>
      <c r="H139" s="151"/>
      <c r="I139" s="144"/>
      <c r="J139" s="144"/>
      <c r="K139" s="278"/>
      <c r="L139" s="677"/>
      <c r="M139" s="279"/>
      <c r="N139" s="33"/>
      <c r="O139" s="33"/>
      <c r="P139" s="33"/>
      <c r="Q139" s="33"/>
      <c r="R139" s="33"/>
      <c r="S139" s="33"/>
      <c r="T139" s="280"/>
      <c r="U139" s="281"/>
      <c r="V139" s="33"/>
      <c r="W139" s="682"/>
      <c r="X139" s="682"/>
      <c r="AC139" s="682"/>
      <c r="AD139" s="809"/>
      <c r="AE139" s="682"/>
      <c r="AF139" s="682"/>
      <c r="AG139" s="682"/>
      <c r="AH139" s="682"/>
      <c r="AI139" s="794"/>
      <c r="AJ139" s="705"/>
      <c r="AK139" s="792"/>
      <c r="AL139" s="810"/>
      <c r="AM139" s="176"/>
      <c r="AT139" s="7"/>
    </row>
    <row r="140" spans="3:46" ht="12.75" customHeight="1" x14ac:dyDescent="0.2">
      <c r="C140" s="282"/>
      <c r="D140" s="788" t="s">
        <v>89</v>
      </c>
      <c r="E140" s="789"/>
      <c r="F140" s="789"/>
      <c r="G140" s="789"/>
      <c r="H140" s="789"/>
      <c r="I140" s="789"/>
      <c r="J140" s="789"/>
      <c r="K140" s="789"/>
      <c r="L140" s="801"/>
      <c r="M140" s="819" t="s">
        <v>449</v>
      </c>
      <c r="N140" s="820"/>
      <c r="O140" s="821"/>
      <c r="P140" s="821"/>
      <c r="Q140" s="820"/>
      <c r="R140" s="822" t="s">
        <v>450</v>
      </c>
      <c r="S140" s="823"/>
      <c r="T140" s="823"/>
      <c r="U140" s="823"/>
      <c r="V140" s="824"/>
      <c r="W140" s="849"/>
      <c r="X140" s="826"/>
      <c r="Y140" s="827"/>
      <c r="Z140" s="828"/>
      <c r="AA140" s="828"/>
      <c r="AB140" s="829"/>
      <c r="AC140" s="827"/>
      <c r="AD140" s="829"/>
      <c r="AE140" s="827"/>
      <c r="AF140" s="830"/>
      <c r="AG140" s="830"/>
      <c r="AH140" s="831"/>
      <c r="AI140" s="832"/>
      <c r="AJ140" s="831"/>
      <c r="AK140" s="833"/>
      <c r="AL140" s="833"/>
      <c r="AM140" s="6"/>
      <c r="AN140" s="207"/>
      <c r="AO140" s="207"/>
    </row>
    <row r="141" spans="3:46" ht="12.75" customHeight="1" x14ac:dyDescent="0.2">
      <c r="C141" s="282"/>
      <c r="D141" s="295" t="s">
        <v>90</v>
      </c>
      <c r="E141" s="295" t="s">
        <v>91</v>
      </c>
      <c r="F141" s="295" t="s">
        <v>92</v>
      </c>
      <c r="G141" s="296" t="s">
        <v>93</v>
      </c>
      <c r="H141" s="297" t="s">
        <v>94</v>
      </c>
      <c r="I141" s="296" t="s">
        <v>61</v>
      </c>
      <c r="J141" s="296" t="s">
        <v>95</v>
      </c>
      <c r="K141" s="298" t="s">
        <v>96</v>
      </c>
      <c r="L141" s="796"/>
      <c r="M141" s="834" t="s">
        <v>451</v>
      </c>
      <c r="N141" s="835" t="s">
        <v>452</v>
      </c>
      <c r="O141" s="836" t="s">
        <v>453</v>
      </c>
      <c r="P141" s="837" t="s">
        <v>454</v>
      </c>
      <c r="Q141" s="835" t="s">
        <v>455</v>
      </c>
      <c r="R141" s="836" t="s">
        <v>97</v>
      </c>
      <c r="S141" s="834" t="s">
        <v>456</v>
      </c>
      <c r="T141" s="834" t="s">
        <v>457</v>
      </c>
      <c r="U141" s="834" t="s">
        <v>97</v>
      </c>
      <c r="V141" s="838"/>
      <c r="W141" s="850"/>
      <c r="X141" s="840"/>
      <c r="Y141" s="841"/>
      <c r="Z141" s="842"/>
      <c r="AA141" s="842"/>
      <c r="AB141" s="845" t="s">
        <v>208</v>
      </c>
      <c r="AC141" s="846" t="s">
        <v>458</v>
      </c>
      <c r="AD141" s="847" t="s">
        <v>459</v>
      </c>
      <c r="AE141" s="847" t="s">
        <v>459</v>
      </c>
      <c r="AF141" s="847" t="s">
        <v>460</v>
      </c>
      <c r="AG141" s="847" t="s">
        <v>455</v>
      </c>
      <c r="AH141" s="847" t="s">
        <v>461</v>
      </c>
      <c r="AI141" s="847" t="s">
        <v>462</v>
      </c>
      <c r="AJ141" s="847" t="s">
        <v>463</v>
      </c>
      <c r="AK141" s="847" t="s">
        <v>99</v>
      </c>
      <c r="AL141" s="751" t="s">
        <v>221</v>
      </c>
      <c r="AM141" s="6"/>
      <c r="AN141" s="207"/>
      <c r="AO141" s="206"/>
    </row>
    <row r="142" spans="3:46" ht="12.75" customHeight="1" x14ac:dyDescent="0.2">
      <c r="C142" s="282"/>
      <c r="D142" s="300"/>
      <c r="E142" s="295"/>
      <c r="F142" s="301"/>
      <c r="G142" s="296" t="s">
        <v>101</v>
      </c>
      <c r="H142" s="297" t="s">
        <v>102</v>
      </c>
      <c r="I142" s="296"/>
      <c r="J142" s="296"/>
      <c r="K142" s="298"/>
      <c r="L142" s="796"/>
      <c r="M142" s="843" t="s">
        <v>464</v>
      </c>
      <c r="N142" s="835" t="s">
        <v>465</v>
      </c>
      <c r="O142" s="836" t="s">
        <v>466</v>
      </c>
      <c r="P142" s="837" t="s">
        <v>44</v>
      </c>
      <c r="Q142" s="835" t="s">
        <v>467</v>
      </c>
      <c r="R142" s="836" t="s">
        <v>468</v>
      </c>
      <c r="S142" s="844" t="s">
        <v>469</v>
      </c>
      <c r="T142" s="844" t="s">
        <v>470</v>
      </c>
      <c r="U142" s="834" t="s">
        <v>44</v>
      </c>
      <c r="V142" s="838"/>
      <c r="W142" s="850"/>
      <c r="X142" s="840"/>
      <c r="Y142" s="833"/>
      <c r="Z142" s="842"/>
      <c r="AA142" s="842"/>
      <c r="AB142" s="847" t="s">
        <v>471</v>
      </c>
      <c r="AC142" s="848">
        <f>AC81</f>
        <v>0.60000000000000009</v>
      </c>
      <c r="AD142" s="847" t="s">
        <v>472</v>
      </c>
      <c r="AE142" s="847" t="s">
        <v>473</v>
      </c>
      <c r="AF142" s="847" t="s">
        <v>474</v>
      </c>
      <c r="AG142" s="847" t="s">
        <v>467</v>
      </c>
      <c r="AH142" s="847" t="s">
        <v>475</v>
      </c>
      <c r="AI142" s="847" t="s">
        <v>475</v>
      </c>
      <c r="AJ142" s="847" t="s">
        <v>476</v>
      </c>
      <c r="AK142" s="847"/>
      <c r="AL142" s="847" t="s">
        <v>98</v>
      </c>
      <c r="AM142" s="6"/>
      <c r="AO142" s="208"/>
    </row>
    <row r="143" spans="3:46" ht="12.75" customHeight="1" x14ac:dyDescent="0.2">
      <c r="C143" s="33"/>
      <c r="D143" s="145"/>
      <c r="E143" s="145"/>
      <c r="F143" s="145"/>
      <c r="G143" s="144"/>
      <c r="H143" s="151"/>
      <c r="I143" s="164"/>
      <c r="J143" s="164"/>
      <c r="K143" s="283"/>
      <c r="L143" s="797"/>
      <c r="M143" s="283"/>
      <c r="N143" s="284"/>
      <c r="O143" s="285"/>
      <c r="P143" s="286"/>
      <c r="Q143" s="286"/>
      <c r="R143" s="286"/>
      <c r="S143" s="286"/>
      <c r="T143" s="287"/>
      <c r="U143" s="288"/>
      <c r="V143" s="284"/>
      <c r="W143" s="682"/>
      <c r="AC143" s="6"/>
      <c r="AD143" s="6"/>
      <c r="AL143" s="6"/>
      <c r="AM143" s="6"/>
      <c r="AO143" s="208"/>
    </row>
    <row r="144" spans="3:46" ht="12.75" customHeight="1" x14ac:dyDescent="0.2">
      <c r="C144" s="33"/>
      <c r="D144" s="638" t="str">
        <f>IF(D112=0,"",D112)</f>
        <v/>
      </c>
      <c r="E144" s="638" t="str">
        <f>IF(E112=0,"",E112)</f>
        <v>piet</v>
      </c>
      <c r="F144" s="638" t="str">
        <f>IF(F112=0,"",F112)</f>
        <v>chef</v>
      </c>
      <c r="G144" s="638">
        <f>IF(G112=0,"",G112+1)</f>
        <v>26</v>
      </c>
      <c r="H144" s="640">
        <f>IF(H112=0,"",H112)</f>
        <v>25600</v>
      </c>
      <c r="I144" s="641">
        <f>IF(I112=0,"",I112)</f>
        <v>12</v>
      </c>
      <c r="J144" s="639">
        <f t="shared" ref="J144:J163" si="86">IF(E144="","",IF(J112&lt;VLOOKUP(I144,saltab2022,22,FALSE),J112+1,J112))</f>
        <v>10</v>
      </c>
      <c r="K144" s="642">
        <f>IF(K112="","",K112)</f>
        <v>1</v>
      </c>
      <c r="L144" s="798"/>
      <c r="M144" s="629">
        <v>0</v>
      </c>
      <c r="N144" s="881">
        <v>0</v>
      </c>
      <c r="O144" s="882">
        <f>IF(K144="","",K144*50)</f>
        <v>50</v>
      </c>
      <c r="P144" s="808">
        <f>SUM(M144:O144)</f>
        <v>50</v>
      </c>
      <c r="Q144" s="807">
        <v>0</v>
      </c>
      <c r="R144" s="304">
        <f>IF(K144="","",(1659*K144-P144)*AE144)</f>
        <v>98395.150813743225</v>
      </c>
      <c r="S144" s="304">
        <f>IF(K144="","",P144*AF144+AD144*(AH144+AI144*(1-AJ144)))</f>
        <v>3057.6491862567814</v>
      </c>
      <c r="T144" s="305">
        <f>ROUND(IF(K144="",0,+Q144/1659*(AB144*12*(1+tab!$D$44+tab!$D$45)-tab!$D$43)*tab!$D$41),-1)</f>
        <v>0</v>
      </c>
      <c r="U144" s="818">
        <f>IF(K144="","",IF(E144=0,0,(R144+S144+T144)))</f>
        <v>101452.8</v>
      </c>
      <c r="V144" s="289"/>
      <c r="W144" s="682"/>
      <c r="AB144" s="812">
        <f t="shared" ref="AB144:AB163" si="87">IF(I144="","",VLOOKUP(I144,saltab2022,J144+1,FALSE))</f>
        <v>5284</v>
      </c>
      <c r="AC144" s="848">
        <f>AC$110</f>
        <v>0.60000000000000009</v>
      </c>
      <c r="AD144" s="811">
        <f>AB144*12/1659</f>
        <v>38.220614828209762</v>
      </c>
      <c r="AE144" s="811">
        <f>AB144*12*(1+AC144)/1659</f>
        <v>61.152983725135627</v>
      </c>
      <c r="AF144" s="811">
        <f>+AE144-AD144</f>
        <v>22.932368896925865</v>
      </c>
      <c r="AG144" s="14">
        <f>Q144</f>
        <v>0</v>
      </c>
      <c r="AH144" s="813">
        <f>O144</f>
        <v>50</v>
      </c>
      <c r="AI144" s="14">
        <f>(M144+N144)</f>
        <v>0</v>
      </c>
      <c r="AJ144" s="814">
        <f>IF(I144&gt;8,50%,40%)</f>
        <v>0.5</v>
      </c>
      <c r="AK144" s="6">
        <f>IF(G144&lt;25,0,IF(G144=25,25,IF(G144&lt;40,0,IF(G144=40,40,IF(G144&gt;=40,0)))))</f>
        <v>0</v>
      </c>
      <c r="AL144" s="815">
        <f>IF(AK144=25,AB144*1.08*K144/2,IF(AK144=40,AB144*1.08*K144,0))</f>
        <v>0</v>
      </c>
    </row>
    <row r="145" spans="3:38" ht="12.75" customHeight="1" x14ac:dyDescent="0.2">
      <c r="C145" s="33"/>
      <c r="D145" s="638" t="str">
        <f t="shared" ref="D145:F145" si="88">IF(D113=0,"",D113)</f>
        <v/>
      </c>
      <c r="E145" s="638" t="str">
        <f t="shared" si="88"/>
        <v/>
      </c>
      <c r="F145" s="638" t="str">
        <f t="shared" si="88"/>
        <v/>
      </c>
      <c r="G145" s="638" t="str">
        <f>IF(G113="","",G113+1)</f>
        <v/>
      </c>
      <c r="H145" s="640" t="str">
        <f t="shared" ref="H145:I145" si="89">IF(H113=0,"",H113)</f>
        <v/>
      </c>
      <c r="I145" s="641" t="str">
        <f t="shared" si="89"/>
        <v/>
      </c>
      <c r="J145" s="639" t="str">
        <f t="shared" si="86"/>
        <v/>
      </c>
      <c r="K145" s="642" t="str">
        <f t="shared" ref="K145:K163" si="90">IF(K113="","",K113)</f>
        <v/>
      </c>
      <c r="L145" s="798"/>
      <c r="M145" s="629">
        <v>0</v>
      </c>
      <c r="N145" s="881">
        <v>0</v>
      </c>
      <c r="O145" s="882" t="str">
        <f t="shared" ref="O145:O163" si="91">IF(K145="","",K145*50)</f>
        <v/>
      </c>
      <c r="P145" s="808">
        <f t="shared" ref="P145:P163" si="92">SUM(M145:O145)</f>
        <v>0</v>
      </c>
      <c r="Q145" s="807">
        <v>0</v>
      </c>
      <c r="R145" s="304" t="str">
        <f t="shared" ref="R145:R163" si="93">IF(K145="","",(1659*K145-P145)*AE145)</f>
        <v/>
      </c>
      <c r="S145" s="304" t="str">
        <f t="shared" ref="S145:S163" si="94">IF(K145="","",P145*AF145+AD145*(AH145+AI145*(1-AJ145)))</f>
        <v/>
      </c>
      <c r="T145" s="305">
        <f>ROUND(IF(K145="",0,+Q145/1659*(AB145*12*(1+tab!$D$44+tab!$D$45)-tab!$D$43)*tab!$D$41),-1)</f>
        <v>0</v>
      </c>
      <c r="U145" s="818" t="str">
        <f t="shared" ref="U145:U163" si="95">IF(K145="","",IF(E145=0,0,(R145+S145+T145)))</f>
        <v/>
      </c>
      <c r="V145" s="289"/>
      <c r="W145" s="682"/>
      <c r="AB145" s="812" t="str">
        <f t="shared" si="87"/>
        <v/>
      </c>
      <c r="AC145" s="848">
        <f t="shared" ref="AC145:AC163" si="96">AC$110</f>
        <v>0.60000000000000009</v>
      </c>
      <c r="AD145" s="811" t="e">
        <f t="shared" ref="AD145:AD163" si="97">AB145*12/1659</f>
        <v>#VALUE!</v>
      </c>
      <c r="AE145" s="811" t="e">
        <f t="shared" ref="AE145:AE163" si="98">AB145*12*(1+AC145)/1659</f>
        <v>#VALUE!</v>
      </c>
      <c r="AF145" s="811" t="e">
        <f t="shared" ref="AF145:AF163" si="99">+AE145-AD145</f>
        <v>#VALUE!</v>
      </c>
      <c r="AG145" s="14">
        <f t="shared" ref="AG145:AG163" si="100">Q145</f>
        <v>0</v>
      </c>
      <c r="AH145" s="813" t="str">
        <f t="shared" ref="AH145:AH163" si="101">O145</f>
        <v/>
      </c>
      <c r="AI145" s="14">
        <f t="shared" ref="AI145:AI163" si="102">(M145+N145)</f>
        <v>0</v>
      </c>
      <c r="AJ145" s="814">
        <f t="shared" ref="AJ145:AJ163" si="103">IF(I145&gt;8,50%,40%)</f>
        <v>0.5</v>
      </c>
      <c r="AK145" s="6">
        <f t="shared" ref="AK145:AK163" si="104">IF(G145&lt;25,0,IF(G145=25,25,IF(G145&lt;40,0,IF(G145=40,40,IF(G145&gt;=40,0)))))</f>
        <v>0</v>
      </c>
      <c r="AL145" s="815">
        <f t="shared" ref="AL145:AL163" si="105">IF(AK145=25,AB145*1.08*K145/2,IF(AK145=40,AB145*1.08*K145,0))</f>
        <v>0</v>
      </c>
    </row>
    <row r="146" spans="3:38" ht="12.75" customHeight="1" x14ac:dyDescent="0.2">
      <c r="C146" s="33"/>
      <c r="D146" s="638" t="str">
        <f t="shared" ref="D146:F146" si="106">IF(D114=0,"",D114)</f>
        <v/>
      </c>
      <c r="E146" s="638" t="str">
        <f t="shared" si="106"/>
        <v/>
      </c>
      <c r="F146" s="638" t="str">
        <f t="shared" si="106"/>
        <v/>
      </c>
      <c r="G146" s="638" t="str">
        <f t="shared" ref="G146:G163" si="107">IF(G114="","",G114+1)</f>
        <v/>
      </c>
      <c r="H146" s="640" t="str">
        <f t="shared" ref="H146:I146" si="108">IF(H114=0,"",H114)</f>
        <v/>
      </c>
      <c r="I146" s="641" t="str">
        <f t="shared" si="108"/>
        <v/>
      </c>
      <c r="J146" s="639" t="str">
        <f t="shared" si="86"/>
        <v/>
      </c>
      <c r="K146" s="642" t="str">
        <f t="shared" si="90"/>
        <v/>
      </c>
      <c r="L146" s="799"/>
      <c r="M146" s="629">
        <v>0</v>
      </c>
      <c r="N146" s="881">
        <v>0</v>
      </c>
      <c r="O146" s="882" t="str">
        <f t="shared" si="91"/>
        <v/>
      </c>
      <c r="P146" s="808">
        <f t="shared" si="92"/>
        <v>0</v>
      </c>
      <c r="Q146" s="807">
        <v>0</v>
      </c>
      <c r="R146" s="304" t="str">
        <f t="shared" si="93"/>
        <v/>
      </c>
      <c r="S146" s="304" t="str">
        <f t="shared" si="94"/>
        <v/>
      </c>
      <c r="T146" s="305">
        <f>ROUND(IF(K146="",0,+Q146/1659*(AB146*12*(1+tab!$D$44+tab!$D$45)-tab!$D$43)*tab!$D$41),-1)</f>
        <v>0</v>
      </c>
      <c r="U146" s="818" t="str">
        <f t="shared" si="95"/>
        <v/>
      </c>
      <c r="V146" s="289"/>
      <c r="W146" s="682"/>
      <c r="AB146" s="812" t="str">
        <f t="shared" si="87"/>
        <v/>
      </c>
      <c r="AC146" s="848">
        <f t="shared" si="96"/>
        <v>0.60000000000000009</v>
      </c>
      <c r="AD146" s="811" t="e">
        <f t="shared" si="97"/>
        <v>#VALUE!</v>
      </c>
      <c r="AE146" s="811" t="e">
        <f t="shared" si="98"/>
        <v>#VALUE!</v>
      </c>
      <c r="AF146" s="811" t="e">
        <f t="shared" si="99"/>
        <v>#VALUE!</v>
      </c>
      <c r="AG146" s="14">
        <f t="shared" si="100"/>
        <v>0</v>
      </c>
      <c r="AH146" s="813" t="str">
        <f t="shared" si="101"/>
        <v/>
      </c>
      <c r="AI146" s="14">
        <f t="shared" si="102"/>
        <v>0</v>
      </c>
      <c r="AJ146" s="814">
        <f t="shared" si="103"/>
        <v>0.5</v>
      </c>
      <c r="AK146" s="6">
        <f t="shared" si="104"/>
        <v>0</v>
      </c>
      <c r="AL146" s="815">
        <f t="shared" si="105"/>
        <v>0</v>
      </c>
    </row>
    <row r="147" spans="3:38" ht="12.75" customHeight="1" x14ac:dyDescent="0.2">
      <c r="C147" s="33"/>
      <c r="D147" s="638" t="str">
        <f t="shared" ref="D147:F147" si="109">IF(D115=0,"",D115)</f>
        <v/>
      </c>
      <c r="E147" s="638" t="str">
        <f t="shared" si="109"/>
        <v/>
      </c>
      <c r="F147" s="638" t="str">
        <f t="shared" si="109"/>
        <v/>
      </c>
      <c r="G147" s="638" t="str">
        <f t="shared" si="107"/>
        <v/>
      </c>
      <c r="H147" s="640" t="str">
        <f t="shared" ref="H147:I147" si="110">IF(H115=0,"",H115)</f>
        <v/>
      </c>
      <c r="I147" s="641" t="str">
        <f t="shared" si="110"/>
        <v/>
      </c>
      <c r="J147" s="639" t="str">
        <f t="shared" si="86"/>
        <v/>
      </c>
      <c r="K147" s="642" t="str">
        <f t="shared" si="90"/>
        <v/>
      </c>
      <c r="L147" s="798"/>
      <c r="M147" s="629">
        <v>0</v>
      </c>
      <c r="N147" s="881">
        <v>0</v>
      </c>
      <c r="O147" s="882" t="str">
        <f t="shared" si="91"/>
        <v/>
      </c>
      <c r="P147" s="808">
        <f t="shared" si="92"/>
        <v>0</v>
      </c>
      <c r="Q147" s="807">
        <v>0</v>
      </c>
      <c r="R147" s="304" t="str">
        <f t="shared" si="93"/>
        <v/>
      </c>
      <c r="S147" s="304" t="str">
        <f t="shared" si="94"/>
        <v/>
      </c>
      <c r="T147" s="305">
        <f>ROUND(IF(K147="",0,+Q147/1659*(AB147*12*(1+tab!$D$44+tab!$D$45)-tab!$D$43)*tab!$D$41),-1)</f>
        <v>0</v>
      </c>
      <c r="U147" s="818" t="str">
        <f t="shared" si="95"/>
        <v/>
      </c>
      <c r="V147" s="289"/>
      <c r="W147" s="682"/>
      <c r="AB147" s="812" t="str">
        <f t="shared" si="87"/>
        <v/>
      </c>
      <c r="AC147" s="848">
        <f t="shared" si="96"/>
        <v>0.60000000000000009</v>
      </c>
      <c r="AD147" s="811" t="e">
        <f t="shared" si="97"/>
        <v>#VALUE!</v>
      </c>
      <c r="AE147" s="811" t="e">
        <f t="shared" si="98"/>
        <v>#VALUE!</v>
      </c>
      <c r="AF147" s="811" t="e">
        <f t="shared" si="99"/>
        <v>#VALUE!</v>
      </c>
      <c r="AG147" s="14">
        <f t="shared" si="100"/>
        <v>0</v>
      </c>
      <c r="AH147" s="813" t="str">
        <f t="shared" si="101"/>
        <v/>
      </c>
      <c r="AI147" s="14">
        <f t="shared" si="102"/>
        <v>0</v>
      </c>
      <c r="AJ147" s="814">
        <f t="shared" si="103"/>
        <v>0.5</v>
      </c>
      <c r="AK147" s="6">
        <f t="shared" si="104"/>
        <v>0</v>
      </c>
      <c r="AL147" s="815">
        <f t="shared" si="105"/>
        <v>0</v>
      </c>
    </row>
    <row r="148" spans="3:38" ht="12.75" customHeight="1" x14ac:dyDescent="0.2">
      <c r="C148" s="33"/>
      <c r="D148" s="638" t="str">
        <f t="shared" ref="D148:F148" si="111">IF(D116=0,"",D116)</f>
        <v/>
      </c>
      <c r="E148" s="638" t="str">
        <f t="shared" si="111"/>
        <v/>
      </c>
      <c r="F148" s="638" t="str">
        <f t="shared" si="111"/>
        <v/>
      </c>
      <c r="G148" s="638" t="str">
        <f t="shared" si="107"/>
        <v/>
      </c>
      <c r="H148" s="640" t="str">
        <f t="shared" ref="H148:I148" si="112">IF(H116=0,"",H116)</f>
        <v/>
      </c>
      <c r="I148" s="641" t="str">
        <f t="shared" si="112"/>
        <v/>
      </c>
      <c r="J148" s="639" t="str">
        <f t="shared" si="86"/>
        <v/>
      </c>
      <c r="K148" s="642" t="str">
        <f t="shared" si="90"/>
        <v/>
      </c>
      <c r="L148" s="798"/>
      <c r="M148" s="629">
        <v>0</v>
      </c>
      <c r="N148" s="881">
        <v>0</v>
      </c>
      <c r="O148" s="882" t="str">
        <f t="shared" si="91"/>
        <v/>
      </c>
      <c r="P148" s="808">
        <f t="shared" si="92"/>
        <v>0</v>
      </c>
      <c r="Q148" s="807">
        <v>0</v>
      </c>
      <c r="R148" s="304" t="str">
        <f t="shared" si="93"/>
        <v/>
      </c>
      <c r="S148" s="304" t="str">
        <f t="shared" si="94"/>
        <v/>
      </c>
      <c r="T148" s="305">
        <f>ROUND(IF(K148="",0,+Q148/1659*(AB148*12*(1+tab!$D$44+tab!$D$45)-tab!$D$43)*tab!$D$41),-1)</f>
        <v>0</v>
      </c>
      <c r="U148" s="818" t="str">
        <f t="shared" si="95"/>
        <v/>
      </c>
      <c r="V148" s="289"/>
      <c r="W148" s="682"/>
      <c r="AB148" s="812" t="str">
        <f t="shared" si="87"/>
        <v/>
      </c>
      <c r="AC148" s="848">
        <f t="shared" si="96"/>
        <v>0.60000000000000009</v>
      </c>
      <c r="AD148" s="811" t="e">
        <f t="shared" si="97"/>
        <v>#VALUE!</v>
      </c>
      <c r="AE148" s="811" t="e">
        <f t="shared" si="98"/>
        <v>#VALUE!</v>
      </c>
      <c r="AF148" s="811" t="e">
        <f t="shared" si="99"/>
        <v>#VALUE!</v>
      </c>
      <c r="AG148" s="14">
        <f t="shared" si="100"/>
        <v>0</v>
      </c>
      <c r="AH148" s="813" t="str">
        <f t="shared" si="101"/>
        <v/>
      </c>
      <c r="AI148" s="14">
        <f t="shared" si="102"/>
        <v>0</v>
      </c>
      <c r="AJ148" s="814">
        <f t="shared" si="103"/>
        <v>0.5</v>
      </c>
      <c r="AK148" s="6">
        <f t="shared" si="104"/>
        <v>0</v>
      </c>
      <c r="AL148" s="815">
        <f t="shared" si="105"/>
        <v>0</v>
      </c>
    </row>
    <row r="149" spans="3:38" ht="12.75" customHeight="1" x14ac:dyDescent="0.2">
      <c r="C149" s="33"/>
      <c r="D149" s="638" t="str">
        <f t="shared" ref="D149:F149" si="113">IF(D117=0,"",D117)</f>
        <v/>
      </c>
      <c r="E149" s="638" t="str">
        <f t="shared" si="113"/>
        <v/>
      </c>
      <c r="F149" s="638" t="str">
        <f t="shared" si="113"/>
        <v/>
      </c>
      <c r="G149" s="638" t="str">
        <f t="shared" si="107"/>
        <v/>
      </c>
      <c r="H149" s="640" t="str">
        <f t="shared" ref="H149:I149" si="114">IF(H117=0,"",H117)</f>
        <v/>
      </c>
      <c r="I149" s="641" t="str">
        <f t="shared" si="114"/>
        <v/>
      </c>
      <c r="J149" s="639" t="str">
        <f t="shared" si="86"/>
        <v/>
      </c>
      <c r="K149" s="642" t="str">
        <f t="shared" si="90"/>
        <v/>
      </c>
      <c r="L149" s="798"/>
      <c r="M149" s="629">
        <v>0</v>
      </c>
      <c r="N149" s="881">
        <v>0</v>
      </c>
      <c r="O149" s="882" t="str">
        <f t="shared" si="91"/>
        <v/>
      </c>
      <c r="P149" s="808">
        <f t="shared" si="92"/>
        <v>0</v>
      </c>
      <c r="Q149" s="807">
        <v>0</v>
      </c>
      <c r="R149" s="304" t="str">
        <f t="shared" si="93"/>
        <v/>
      </c>
      <c r="S149" s="304" t="str">
        <f t="shared" si="94"/>
        <v/>
      </c>
      <c r="T149" s="305">
        <f>ROUND(IF(K149="",0,+Q149/1659*(AB149*12*(1+tab!$D$44+tab!$D$45)-tab!$D$43)*tab!$D$41),-1)</f>
        <v>0</v>
      </c>
      <c r="U149" s="818" t="str">
        <f t="shared" si="95"/>
        <v/>
      </c>
      <c r="V149" s="289"/>
      <c r="W149" s="682"/>
      <c r="AB149" s="812" t="str">
        <f t="shared" si="87"/>
        <v/>
      </c>
      <c r="AC149" s="848">
        <f t="shared" si="96"/>
        <v>0.60000000000000009</v>
      </c>
      <c r="AD149" s="811" t="e">
        <f t="shared" si="97"/>
        <v>#VALUE!</v>
      </c>
      <c r="AE149" s="811" t="e">
        <f t="shared" si="98"/>
        <v>#VALUE!</v>
      </c>
      <c r="AF149" s="811" t="e">
        <f t="shared" si="99"/>
        <v>#VALUE!</v>
      </c>
      <c r="AG149" s="14">
        <f t="shared" si="100"/>
        <v>0</v>
      </c>
      <c r="AH149" s="813" t="str">
        <f t="shared" si="101"/>
        <v/>
      </c>
      <c r="AI149" s="14">
        <f t="shared" si="102"/>
        <v>0</v>
      </c>
      <c r="AJ149" s="814">
        <f t="shared" si="103"/>
        <v>0.5</v>
      </c>
      <c r="AK149" s="6">
        <f t="shared" si="104"/>
        <v>0</v>
      </c>
      <c r="AL149" s="815">
        <f t="shared" si="105"/>
        <v>0</v>
      </c>
    </row>
    <row r="150" spans="3:38" ht="12.75" customHeight="1" x14ac:dyDescent="0.2">
      <c r="C150" s="33"/>
      <c r="D150" s="638" t="str">
        <f t="shared" ref="D150:F150" si="115">IF(D118=0,"",D118)</f>
        <v/>
      </c>
      <c r="E150" s="638" t="str">
        <f t="shared" si="115"/>
        <v/>
      </c>
      <c r="F150" s="638" t="str">
        <f t="shared" si="115"/>
        <v/>
      </c>
      <c r="G150" s="638" t="str">
        <f t="shared" si="107"/>
        <v/>
      </c>
      <c r="H150" s="640" t="str">
        <f t="shared" ref="H150:I150" si="116">IF(H118=0,"",H118)</f>
        <v/>
      </c>
      <c r="I150" s="641" t="str">
        <f t="shared" si="116"/>
        <v/>
      </c>
      <c r="J150" s="639" t="str">
        <f t="shared" si="86"/>
        <v/>
      </c>
      <c r="K150" s="642" t="str">
        <f t="shared" si="90"/>
        <v/>
      </c>
      <c r="L150" s="798"/>
      <c r="M150" s="629">
        <v>0</v>
      </c>
      <c r="N150" s="881">
        <v>0</v>
      </c>
      <c r="O150" s="882" t="str">
        <f t="shared" si="91"/>
        <v/>
      </c>
      <c r="P150" s="808">
        <f t="shared" si="92"/>
        <v>0</v>
      </c>
      <c r="Q150" s="807">
        <v>0</v>
      </c>
      <c r="R150" s="304" t="str">
        <f t="shared" si="93"/>
        <v/>
      </c>
      <c r="S150" s="304" t="str">
        <f t="shared" si="94"/>
        <v/>
      </c>
      <c r="T150" s="305">
        <f>ROUND(IF(K150="",0,+Q150/1659*(AB150*12*(1+tab!$D$44+tab!$D$45)-tab!$D$43)*tab!$D$41),-1)</f>
        <v>0</v>
      </c>
      <c r="U150" s="818" t="str">
        <f t="shared" si="95"/>
        <v/>
      </c>
      <c r="V150" s="289"/>
      <c r="W150" s="682"/>
      <c r="AB150" s="812" t="str">
        <f t="shared" si="87"/>
        <v/>
      </c>
      <c r="AC150" s="848">
        <f t="shared" si="96"/>
        <v>0.60000000000000009</v>
      </c>
      <c r="AD150" s="811" t="e">
        <f t="shared" si="97"/>
        <v>#VALUE!</v>
      </c>
      <c r="AE150" s="811" t="e">
        <f t="shared" si="98"/>
        <v>#VALUE!</v>
      </c>
      <c r="AF150" s="811" t="e">
        <f t="shared" si="99"/>
        <v>#VALUE!</v>
      </c>
      <c r="AG150" s="14">
        <f t="shared" si="100"/>
        <v>0</v>
      </c>
      <c r="AH150" s="813" t="str">
        <f t="shared" si="101"/>
        <v/>
      </c>
      <c r="AI150" s="14">
        <f t="shared" si="102"/>
        <v>0</v>
      </c>
      <c r="AJ150" s="814">
        <f t="shared" si="103"/>
        <v>0.5</v>
      </c>
      <c r="AK150" s="6">
        <f t="shared" si="104"/>
        <v>0</v>
      </c>
      <c r="AL150" s="815">
        <f t="shared" si="105"/>
        <v>0</v>
      </c>
    </row>
    <row r="151" spans="3:38" ht="12.75" customHeight="1" x14ac:dyDescent="0.2">
      <c r="C151" s="33"/>
      <c r="D151" s="638" t="str">
        <f t="shared" ref="D151:F151" si="117">IF(D119=0,"",D119)</f>
        <v/>
      </c>
      <c r="E151" s="638" t="str">
        <f t="shared" si="117"/>
        <v/>
      </c>
      <c r="F151" s="638" t="str">
        <f t="shared" si="117"/>
        <v/>
      </c>
      <c r="G151" s="638" t="str">
        <f t="shared" si="107"/>
        <v/>
      </c>
      <c r="H151" s="640" t="str">
        <f t="shared" ref="H151:I151" si="118">IF(H119=0,"",H119)</f>
        <v/>
      </c>
      <c r="I151" s="641" t="str">
        <f t="shared" si="118"/>
        <v/>
      </c>
      <c r="J151" s="639" t="str">
        <f t="shared" si="86"/>
        <v/>
      </c>
      <c r="K151" s="642" t="str">
        <f t="shared" si="90"/>
        <v/>
      </c>
      <c r="L151" s="798"/>
      <c r="M151" s="629">
        <v>0</v>
      </c>
      <c r="N151" s="881">
        <v>0</v>
      </c>
      <c r="O151" s="882" t="str">
        <f t="shared" si="91"/>
        <v/>
      </c>
      <c r="P151" s="808">
        <f t="shared" si="92"/>
        <v>0</v>
      </c>
      <c r="Q151" s="807">
        <v>0</v>
      </c>
      <c r="R151" s="304" t="str">
        <f t="shared" si="93"/>
        <v/>
      </c>
      <c r="S151" s="304" t="str">
        <f t="shared" si="94"/>
        <v/>
      </c>
      <c r="T151" s="305">
        <f>ROUND(IF(K151="",0,+Q151/1659*(AB151*12*(1+tab!$D$44+tab!$D$45)-tab!$D$43)*tab!$D$41),-1)</f>
        <v>0</v>
      </c>
      <c r="U151" s="818" t="str">
        <f t="shared" si="95"/>
        <v/>
      </c>
      <c r="V151" s="289"/>
      <c r="W151" s="682"/>
      <c r="AB151" s="812" t="str">
        <f t="shared" si="87"/>
        <v/>
      </c>
      <c r="AC151" s="848">
        <f t="shared" si="96"/>
        <v>0.60000000000000009</v>
      </c>
      <c r="AD151" s="811" t="e">
        <f t="shared" si="97"/>
        <v>#VALUE!</v>
      </c>
      <c r="AE151" s="811" t="e">
        <f t="shared" si="98"/>
        <v>#VALUE!</v>
      </c>
      <c r="AF151" s="811" t="e">
        <f t="shared" si="99"/>
        <v>#VALUE!</v>
      </c>
      <c r="AG151" s="14">
        <f t="shared" si="100"/>
        <v>0</v>
      </c>
      <c r="AH151" s="813" t="str">
        <f t="shared" si="101"/>
        <v/>
      </c>
      <c r="AI151" s="14">
        <f t="shared" si="102"/>
        <v>0</v>
      </c>
      <c r="AJ151" s="814">
        <f t="shared" si="103"/>
        <v>0.5</v>
      </c>
      <c r="AK151" s="6">
        <f t="shared" si="104"/>
        <v>0</v>
      </c>
      <c r="AL151" s="815">
        <f t="shared" si="105"/>
        <v>0</v>
      </c>
    </row>
    <row r="152" spans="3:38" ht="12.75" customHeight="1" x14ac:dyDescent="0.2">
      <c r="C152" s="33"/>
      <c r="D152" s="638" t="str">
        <f t="shared" ref="D152:F152" si="119">IF(D120=0,"",D120)</f>
        <v/>
      </c>
      <c r="E152" s="638" t="str">
        <f t="shared" si="119"/>
        <v/>
      </c>
      <c r="F152" s="638" t="str">
        <f t="shared" si="119"/>
        <v/>
      </c>
      <c r="G152" s="638" t="str">
        <f t="shared" si="107"/>
        <v/>
      </c>
      <c r="H152" s="640" t="str">
        <f t="shared" ref="H152:I152" si="120">IF(H120=0,"",H120)</f>
        <v/>
      </c>
      <c r="I152" s="641" t="str">
        <f t="shared" si="120"/>
        <v/>
      </c>
      <c r="J152" s="639" t="str">
        <f t="shared" si="86"/>
        <v/>
      </c>
      <c r="K152" s="642" t="str">
        <f t="shared" si="90"/>
        <v/>
      </c>
      <c r="L152" s="798"/>
      <c r="M152" s="629">
        <v>0</v>
      </c>
      <c r="N152" s="881">
        <v>0</v>
      </c>
      <c r="O152" s="882" t="str">
        <f t="shared" si="91"/>
        <v/>
      </c>
      <c r="P152" s="808">
        <f t="shared" si="92"/>
        <v>0</v>
      </c>
      <c r="Q152" s="807">
        <v>0</v>
      </c>
      <c r="R152" s="304" t="str">
        <f t="shared" si="93"/>
        <v/>
      </c>
      <c r="S152" s="304" t="str">
        <f t="shared" si="94"/>
        <v/>
      </c>
      <c r="T152" s="305">
        <f>ROUND(IF(K152="",0,+Q152/1659*(AB152*12*(1+tab!$D$44+tab!$D$45)-tab!$D$43)*tab!$D$41),-1)</f>
        <v>0</v>
      </c>
      <c r="U152" s="818" t="str">
        <f t="shared" si="95"/>
        <v/>
      </c>
      <c r="V152" s="289"/>
      <c r="W152" s="682"/>
      <c r="AB152" s="812" t="str">
        <f t="shared" si="87"/>
        <v/>
      </c>
      <c r="AC152" s="848">
        <f t="shared" si="96"/>
        <v>0.60000000000000009</v>
      </c>
      <c r="AD152" s="811" t="e">
        <f t="shared" si="97"/>
        <v>#VALUE!</v>
      </c>
      <c r="AE152" s="811" t="e">
        <f t="shared" si="98"/>
        <v>#VALUE!</v>
      </c>
      <c r="AF152" s="811" t="e">
        <f t="shared" si="99"/>
        <v>#VALUE!</v>
      </c>
      <c r="AG152" s="14">
        <f t="shared" si="100"/>
        <v>0</v>
      </c>
      <c r="AH152" s="813" t="str">
        <f t="shared" si="101"/>
        <v/>
      </c>
      <c r="AI152" s="14">
        <f t="shared" si="102"/>
        <v>0</v>
      </c>
      <c r="AJ152" s="814">
        <f t="shared" si="103"/>
        <v>0.5</v>
      </c>
      <c r="AK152" s="6">
        <f t="shared" si="104"/>
        <v>0</v>
      </c>
      <c r="AL152" s="815">
        <f t="shared" si="105"/>
        <v>0</v>
      </c>
    </row>
    <row r="153" spans="3:38" ht="12.75" customHeight="1" x14ac:dyDescent="0.2">
      <c r="C153" s="33"/>
      <c r="D153" s="638" t="str">
        <f t="shared" ref="D153:F153" si="121">IF(D121=0,"",D121)</f>
        <v/>
      </c>
      <c r="E153" s="638" t="str">
        <f t="shared" si="121"/>
        <v/>
      </c>
      <c r="F153" s="638" t="str">
        <f t="shared" si="121"/>
        <v/>
      </c>
      <c r="G153" s="638" t="str">
        <f t="shared" si="107"/>
        <v/>
      </c>
      <c r="H153" s="640" t="str">
        <f t="shared" ref="H153:I153" si="122">IF(H121=0,"",H121)</f>
        <v/>
      </c>
      <c r="I153" s="641" t="str">
        <f t="shared" si="122"/>
        <v/>
      </c>
      <c r="J153" s="639" t="str">
        <f t="shared" si="86"/>
        <v/>
      </c>
      <c r="K153" s="642" t="str">
        <f t="shared" si="90"/>
        <v/>
      </c>
      <c r="L153" s="798"/>
      <c r="M153" s="629">
        <v>0</v>
      </c>
      <c r="N153" s="881">
        <v>0</v>
      </c>
      <c r="O153" s="882" t="str">
        <f t="shared" si="91"/>
        <v/>
      </c>
      <c r="P153" s="808">
        <f t="shared" si="92"/>
        <v>0</v>
      </c>
      <c r="Q153" s="807">
        <v>0</v>
      </c>
      <c r="R153" s="304" t="str">
        <f t="shared" si="93"/>
        <v/>
      </c>
      <c r="S153" s="304" t="str">
        <f t="shared" si="94"/>
        <v/>
      </c>
      <c r="T153" s="305">
        <f>ROUND(IF(K153="",0,+Q153/1659*(AB153*12*(1+tab!$D$44+tab!$D$45)-tab!$D$43)*tab!$D$41),-1)</f>
        <v>0</v>
      </c>
      <c r="U153" s="818" t="str">
        <f t="shared" si="95"/>
        <v/>
      </c>
      <c r="V153" s="289"/>
      <c r="W153" s="682"/>
      <c r="AB153" s="812" t="str">
        <f t="shared" si="87"/>
        <v/>
      </c>
      <c r="AC153" s="848">
        <f t="shared" si="96"/>
        <v>0.60000000000000009</v>
      </c>
      <c r="AD153" s="811" t="e">
        <f t="shared" si="97"/>
        <v>#VALUE!</v>
      </c>
      <c r="AE153" s="811" t="e">
        <f t="shared" si="98"/>
        <v>#VALUE!</v>
      </c>
      <c r="AF153" s="811" t="e">
        <f t="shared" si="99"/>
        <v>#VALUE!</v>
      </c>
      <c r="AG153" s="14">
        <f t="shared" si="100"/>
        <v>0</v>
      </c>
      <c r="AH153" s="813" t="str">
        <f t="shared" si="101"/>
        <v/>
      </c>
      <c r="AI153" s="14">
        <f t="shared" si="102"/>
        <v>0</v>
      </c>
      <c r="AJ153" s="814">
        <f t="shared" si="103"/>
        <v>0.5</v>
      </c>
      <c r="AK153" s="6">
        <f t="shared" si="104"/>
        <v>0</v>
      </c>
      <c r="AL153" s="815">
        <f t="shared" si="105"/>
        <v>0</v>
      </c>
    </row>
    <row r="154" spans="3:38" ht="12.75" customHeight="1" x14ac:dyDescent="0.2">
      <c r="C154" s="33"/>
      <c r="D154" s="638" t="str">
        <f t="shared" ref="D154:F154" si="123">IF(D122=0,"",D122)</f>
        <v/>
      </c>
      <c r="E154" s="638" t="str">
        <f t="shared" si="123"/>
        <v/>
      </c>
      <c r="F154" s="638" t="str">
        <f t="shared" si="123"/>
        <v/>
      </c>
      <c r="G154" s="638" t="str">
        <f t="shared" si="107"/>
        <v/>
      </c>
      <c r="H154" s="640" t="str">
        <f t="shared" ref="H154:I154" si="124">IF(H122=0,"",H122)</f>
        <v/>
      </c>
      <c r="I154" s="641" t="str">
        <f t="shared" si="124"/>
        <v/>
      </c>
      <c r="J154" s="639" t="str">
        <f t="shared" si="86"/>
        <v/>
      </c>
      <c r="K154" s="642" t="str">
        <f t="shared" si="90"/>
        <v/>
      </c>
      <c r="L154" s="798"/>
      <c r="M154" s="629">
        <v>0</v>
      </c>
      <c r="N154" s="881">
        <v>0</v>
      </c>
      <c r="O154" s="882" t="str">
        <f t="shared" si="91"/>
        <v/>
      </c>
      <c r="P154" s="808">
        <f t="shared" si="92"/>
        <v>0</v>
      </c>
      <c r="Q154" s="807">
        <v>0</v>
      </c>
      <c r="R154" s="304" t="str">
        <f t="shared" si="93"/>
        <v/>
      </c>
      <c r="S154" s="304" t="str">
        <f t="shared" si="94"/>
        <v/>
      </c>
      <c r="T154" s="305">
        <f>ROUND(IF(K154="",0,+Q154/1659*(AB154*12*(1+tab!$D$44+tab!$D$45)-tab!$D$43)*tab!$D$41),-1)</f>
        <v>0</v>
      </c>
      <c r="U154" s="818" t="str">
        <f t="shared" si="95"/>
        <v/>
      </c>
      <c r="V154" s="289"/>
      <c r="W154" s="682"/>
      <c r="AB154" s="812" t="str">
        <f t="shared" si="87"/>
        <v/>
      </c>
      <c r="AC154" s="848">
        <f t="shared" si="96"/>
        <v>0.60000000000000009</v>
      </c>
      <c r="AD154" s="811" t="e">
        <f t="shared" si="97"/>
        <v>#VALUE!</v>
      </c>
      <c r="AE154" s="811" t="e">
        <f t="shared" si="98"/>
        <v>#VALUE!</v>
      </c>
      <c r="AF154" s="811" t="e">
        <f t="shared" si="99"/>
        <v>#VALUE!</v>
      </c>
      <c r="AG154" s="14">
        <f t="shared" si="100"/>
        <v>0</v>
      </c>
      <c r="AH154" s="813" t="str">
        <f t="shared" si="101"/>
        <v/>
      </c>
      <c r="AI154" s="14">
        <f t="shared" si="102"/>
        <v>0</v>
      </c>
      <c r="AJ154" s="814">
        <f t="shared" si="103"/>
        <v>0.5</v>
      </c>
      <c r="AK154" s="6">
        <f t="shared" si="104"/>
        <v>0</v>
      </c>
      <c r="AL154" s="815">
        <f t="shared" si="105"/>
        <v>0</v>
      </c>
    </row>
    <row r="155" spans="3:38" ht="12.75" customHeight="1" x14ac:dyDescent="0.2">
      <c r="C155" s="33"/>
      <c r="D155" s="638" t="str">
        <f t="shared" ref="D155:F155" si="125">IF(D123=0,"",D123)</f>
        <v/>
      </c>
      <c r="E155" s="638" t="str">
        <f t="shared" si="125"/>
        <v/>
      </c>
      <c r="F155" s="638" t="str">
        <f t="shared" si="125"/>
        <v/>
      </c>
      <c r="G155" s="638" t="str">
        <f t="shared" si="107"/>
        <v/>
      </c>
      <c r="H155" s="640" t="str">
        <f t="shared" ref="H155:I155" si="126">IF(H123=0,"",H123)</f>
        <v/>
      </c>
      <c r="I155" s="641" t="str">
        <f t="shared" si="126"/>
        <v/>
      </c>
      <c r="J155" s="639" t="str">
        <f t="shared" si="86"/>
        <v/>
      </c>
      <c r="K155" s="642" t="str">
        <f t="shared" si="90"/>
        <v/>
      </c>
      <c r="L155" s="798"/>
      <c r="M155" s="629">
        <v>0</v>
      </c>
      <c r="N155" s="881">
        <v>0</v>
      </c>
      <c r="O155" s="882" t="str">
        <f t="shared" si="91"/>
        <v/>
      </c>
      <c r="P155" s="808">
        <f t="shared" si="92"/>
        <v>0</v>
      </c>
      <c r="Q155" s="807">
        <v>0</v>
      </c>
      <c r="R155" s="304" t="str">
        <f t="shared" si="93"/>
        <v/>
      </c>
      <c r="S155" s="304" t="str">
        <f t="shared" si="94"/>
        <v/>
      </c>
      <c r="T155" s="305">
        <f>ROUND(IF(K155="",0,+Q155/1659*(AB155*12*(1+tab!$D$44+tab!$D$45)-tab!$D$43)*tab!$D$41),-1)</f>
        <v>0</v>
      </c>
      <c r="U155" s="818" t="str">
        <f t="shared" si="95"/>
        <v/>
      </c>
      <c r="V155" s="289"/>
      <c r="W155" s="682"/>
      <c r="AB155" s="812" t="str">
        <f t="shared" si="87"/>
        <v/>
      </c>
      <c r="AC155" s="848">
        <f t="shared" si="96"/>
        <v>0.60000000000000009</v>
      </c>
      <c r="AD155" s="811" t="e">
        <f t="shared" si="97"/>
        <v>#VALUE!</v>
      </c>
      <c r="AE155" s="811" t="e">
        <f t="shared" si="98"/>
        <v>#VALUE!</v>
      </c>
      <c r="AF155" s="811" t="e">
        <f t="shared" si="99"/>
        <v>#VALUE!</v>
      </c>
      <c r="AG155" s="14">
        <f t="shared" si="100"/>
        <v>0</v>
      </c>
      <c r="AH155" s="813" t="str">
        <f t="shared" si="101"/>
        <v/>
      </c>
      <c r="AI155" s="14">
        <f t="shared" si="102"/>
        <v>0</v>
      </c>
      <c r="AJ155" s="814">
        <f t="shared" si="103"/>
        <v>0.5</v>
      </c>
      <c r="AK155" s="6">
        <f t="shared" si="104"/>
        <v>0</v>
      </c>
      <c r="AL155" s="815">
        <f t="shared" si="105"/>
        <v>0</v>
      </c>
    </row>
    <row r="156" spans="3:38" ht="12.75" customHeight="1" x14ac:dyDescent="0.2">
      <c r="C156" s="33"/>
      <c r="D156" s="638" t="str">
        <f t="shared" ref="D156:F156" si="127">IF(D124=0,"",D124)</f>
        <v/>
      </c>
      <c r="E156" s="638" t="str">
        <f t="shared" si="127"/>
        <v/>
      </c>
      <c r="F156" s="638" t="str">
        <f t="shared" si="127"/>
        <v/>
      </c>
      <c r="G156" s="638" t="str">
        <f t="shared" si="107"/>
        <v/>
      </c>
      <c r="H156" s="640" t="str">
        <f t="shared" ref="H156:I156" si="128">IF(H124=0,"",H124)</f>
        <v/>
      </c>
      <c r="I156" s="641" t="str">
        <f t="shared" si="128"/>
        <v/>
      </c>
      <c r="J156" s="639" t="str">
        <f t="shared" si="86"/>
        <v/>
      </c>
      <c r="K156" s="642" t="str">
        <f t="shared" si="90"/>
        <v/>
      </c>
      <c r="L156" s="798"/>
      <c r="M156" s="629">
        <v>0</v>
      </c>
      <c r="N156" s="881">
        <v>0</v>
      </c>
      <c r="O156" s="882" t="str">
        <f t="shared" si="91"/>
        <v/>
      </c>
      <c r="P156" s="808">
        <f t="shared" si="92"/>
        <v>0</v>
      </c>
      <c r="Q156" s="807">
        <v>0</v>
      </c>
      <c r="R156" s="304" t="str">
        <f t="shared" si="93"/>
        <v/>
      </c>
      <c r="S156" s="304" t="str">
        <f t="shared" si="94"/>
        <v/>
      </c>
      <c r="T156" s="305">
        <f>ROUND(IF(K156="",0,+Q156/1659*(AB156*12*(1+tab!$D$44+tab!$D$45)-tab!$D$43)*tab!$D$41),-1)</f>
        <v>0</v>
      </c>
      <c r="U156" s="818" t="str">
        <f t="shared" si="95"/>
        <v/>
      </c>
      <c r="V156" s="289"/>
      <c r="W156" s="682"/>
      <c r="AB156" s="812" t="str">
        <f t="shared" si="87"/>
        <v/>
      </c>
      <c r="AC156" s="848">
        <f t="shared" si="96"/>
        <v>0.60000000000000009</v>
      </c>
      <c r="AD156" s="811" t="e">
        <f t="shared" si="97"/>
        <v>#VALUE!</v>
      </c>
      <c r="AE156" s="811" t="e">
        <f t="shared" si="98"/>
        <v>#VALUE!</v>
      </c>
      <c r="AF156" s="811" t="e">
        <f t="shared" si="99"/>
        <v>#VALUE!</v>
      </c>
      <c r="AG156" s="14">
        <f t="shared" si="100"/>
        <v>0</v>
      </c>
      <c r="AH156" s="813" t="str">
        <f t="shared" si="101"/>
        <v/>
      </c>
      <c r="AI156" s="14">
        <f t="shared" si="102"/>
        <v>0</v>
      </c>
      <c r="AJ156" s="814">
        <f t="shared" si="103"/>
        <v>0.5</v>
      </c>
      <c r="AK156" s="6">
        <f t="shared" si="104"/>
        <v>0</v>
      </c>
      <c r="AL156" s="815">
        <f t="shared" si="105"/>
        <v>0</v>
      </c>
    </row>
    <row r="157" spans="3:38" ht="12.75" customHeight="1" x14ac:dyDescent="0.2">
      <c r="C157" s="33"/>
      <c r="D157" s="638" t="str">
        <f t="shared" ref="D157:F157" si="129">IF(D125=0,"",D125)</f>
        <v/>
      </c>
      <c r="E157" s="638" t="str">
        <f t="shared" si="129"/>
        <v/>
      </c>
      <c r="F157" s="638" t="str">
        <f t="shared" si="129"/>
        <v/>
      </c>
      <c r="G157" s="638" t="str">
        <f t="shared" si="107"/>
        <v/>
      </c>
      <c r="H157" s="640" t="str">
        <f t="shared" ref="H157:I157" si="130">IF(H125=0,"",H125)</f>
        <v/>
      </c>
      <c r="I157" s="641" t="str">
        <f t="shared" si="130"/>
        <v/>
      </c>
      <c r="J157" s="639" t="str">
        <f t="shared" si="86"/>
        <v/>
      </c>
      <c r="K157" s="642" t="str">
        <f t="shared" si="90"/>
        <v/>
      </c>
      <c r="L157" s="798"/>
      <c r="M157" s="629">
        <v>0</v>
      </c>
      <c r="N157" s="881">
        <v>0</v>
      </c>
      <c r="O157" s="882" t="str">
        <f t="shared" si="91"/>
        <v/>
      </c>
      <c r="P157" s="808">
        <f t="shared" si="92"/>
        <v>0</v>
      </c>
      <c r="Q157" s="807">
        <v>0</v>
      </c>
      <c r="R157" s="304" t="str">
        <f t="shared" si="93"/>
        <v/>
      </c>
      <c r="S157" s="304" t="str">
        <f t="shared" si="94"/>
        <v/>
      </c>
      <c r="T157" s="305">
        <f>ROUND(IF(K157="",0,+Q157/1659*(AB157*12*(1+tab!$D$44+tab!$D$45)-tab!$D$43)*tab!$D$41),-1)</f>
        <v>0</v>
      </c>
      <c r="U157" s="818" t="str">
        <f t="shared" si="95"/>
        <v/>
      </c>
      <c r="V157" s="289"/>
      <c r="W157" s="682"/>
      <c r="AB157" s="812" t="str">
        <f t="shared" si="87"/>
        <v/>
      </c>
      <c r="AC157" s="848">
        <f t="shared" si="96"/>
        <v>0.60000000000000009</v>
      </c>
      <c r="AD157" s="811" t="e">
        <f t="shared" si="97"/>
        <v>#VALUE!</v>
      </c>
      <c r="AE157" s="811" t="e">
        <f t="shared" si="98"/>
        <v>#VALUE!</v>
      </c>
      <c r="AF157" s="811" t="e">
        <f t="shared" si="99"/>
        <v>#VALUE!</v>
      </c>
      <c r="AG157" s="14">
        <f t="shared" si="100"/>
        <v>0</v>
      </c>
      <c r="AH157" s="813" t="str">
        <f t="shared" si="101"/>
        <v/>
      </c>
      <c r="AI157" s="14">
        <f t="shared" si="102"/>
        <v>0</v>
      </c>
      <c r="AJ157" s="814">
        <f t="shared" si="103"/>
        <v>0.5</v>
      </c>
      <c r="AK157" s="6">
        <f t="shared" si="104"/>
        <v>0</v>
      </c>
      <c r="AL157" s="815">
        <f t="shared" si="105"/>
        <v>0</v>
      </c>
    </row>
    <row r="158" spans="3:38" ht="12.75" customHeight="1" x14ac:dyDescent="0.2">
      <c r="C158" s="33"/>
      <c r="D158" s="638" t="str">
        <f t="shared" ref="D158:F158" si="131">IF(D126=0,"",D126)</f>
        <v/>
      </c>
      <c r="E158" s="638" t="str">
        <f t="shared" si="131"/>
        <v/>
      </c>
      <c r="F158" s="638" t="str">
        <f t="shared" si="131"/>
        <v/>
      </c>
      <c r="G158" s="638" t="str">
        <f t="shared" si="107"/>
        <v/>
      </c>
      <c r="H158" s="640" t="str">
        <f t="shared" ref="H158:I158" si="132">IF(H126=0,"",H126)</f>
        <v/>
      </c>
      <c r="I158" s="641" t="str">
        <f t="shared" si="132"/>
        <v/>
      </c>
      <c r="J158" s="639" t="str">
        <f t="shared" si="86"/>
        <v/>
      </c>
      <c r="K158" s="642" t="str">
        <f t="shared" si="90"/>
        <v/>
      </c>
      <c r="L158" s="798"/>
      <c r="M158" s="629">
        <v>0</v>
      </c>
      <c r="N158" s="881">
        <v>0</v>
      </c>
      <c r="O158" s="882" t="str">
        <f t="shared" si="91"/>
        <v/>
      </c>
      <c r="P158" s="808">
        <f t="shared" si="92"/>
        <v>0</v>
      </c>
      <c r="Q158" s="807">
        <v>0</v>
      </c>
      <c r="R158" s="304" t="str">
        <f t="shared" si="93"/>
        <v/>
      </c>
      <c r="S158" s="304" t="str">
        <f t="shared" si="94"/>
        <v/>
      </c>
      <c r="T158" s="305">
        <f>ROUND(IF(K158="",0,+Q158/1659*(AB158*12*(1+tab!$D$44+tab!$D$45)-tab!$D$43)*tab!$D$41),-1)</f>
        <v>0</v>
      </c>
      <c r="U158" s="818" t="str">
        <f t="shared" si="95"/>
        <v/>
      </c>
      <c r="V158" s="289"/>
      <c r="W158" s="682"/>
      <c r="AB158" s="812" t="str">
        <f t="shared" si="87"/>
        <v/>
      </c>
      <c r="AC158" s="848">
        <f t="shared" si="96"/>
        <v>0.60000000000000009</v>
      </c>
      <c r="AD158" s="811" t="e">
        <f t="shared" si="97"/>
        <v>#VALUE!</v>
      </c>
      <c r="AE158" s="811" t="e">
        <f t="shared" si="98"/>
        <v>#VALUE!</v>
      </c>
      <c r="AF158" s="811" t="e">
        <f t="shared" si="99"/>
        <v>#VALUE!</v>
      </c>
      <c r="AG158" s="14">
        <f t="shared" si="100"/>
        <v>0</v>
      </c>
      <c r="AH158" s="813" t="str">
        <f t="shared" si="101"/>
        <v/>
      </c>
      <c r="AI158" s="14">
        <f t="shared" si="102"/>
        <v>0</v>
      </c>
      <c r="AJ158" s="814">
        <f t="shared" si="103"/>
        <v>0.5</v>
      </c>
      <c r="AK158" s="6">
        <f t="shared" si="104"/>
        <v>0</v>
      </c>
      <c r="AL158" s="815">
        <f t="shared" si="105"/>
        <v>0</v>
      </c>
    </row>
    <row r="159" spans="3:38" ht="12.75" customHeight="1" x14ac:dyDescent="0.2">
      <c r="C159" s="33"/>
      <c r="D159" s="638" t="str">
        <f t="shared" ref="D159:F159" si="133">IF(D127=0,"",D127)</f>
        <v/>
      </c>
      <c r="E159" s="638" t="str">
        <f t="shared" si="133"/>
        <v/>
      </c>
      <c r="F159" s="638" t="str">
        <f t="shared" si="133"/>
        <v/>
      </c>
      <c r="G159" s="638" t="str">
        <f t="shared" si="107"/>
        <v/>
      </c>
      <c r="H159" s="640" t="str">
        <f t="shared" ref="H159:I159" si="134">IF(H127=0,"",H127)</f>
        <v/>
      </c>
      <c r="I159" s="641" t="str">
        <f t="shared" si="134"/>
        <v/>
      </c>
      <c r="J159" s="639" t="str">
        <f t="shared" si="86"/>
        <v/>
      </c>
      <c r="K159" s="642" t="str">
        <f t="shared" si="90"/>
        <v/>
      </c>
      <c r="L159" s="798"/>
      <c r="M159" s="629">
        <v>0</v>
      </c>
      <c r="N159" s="881">
        <v>0</v>
      </c>
      <c r="O159" s="882" t="str">
        <f t="shared" si="91"/>
        <v/>
      </c>
      <c r="P159" s="808">
        <f t="shared" si="92"/>
        <v>0</v>
      </c>
      <c r="Q159" s="807">
        <v>0</v>
      </c>
      <c r="R159" s="304" t="str">
        <f t="shared" si="93"/>
        <v/>
      </c>
      <c r="S159" s="304" t="str">
        <f t="shared" si="94"/>
        <v/>
      </c>
      <c r="T159" s="305">
        <f>ROUND(IF(K159="",0,+Q159/1659*(AB159*12*(1+tab!$D$44+tab!$D$45)-tab!$D$43)*tab!$D$41),-1)</f>
        <v>0</v>
      </c>
      <c r="U159" s="818" t="str">
        <f t="shared" si="95"/>
        <v/>
      </c>
      <c r="V159" s="289"/>
      <c r="W159" s="682"/>
      <c r="AB159" s="812" t="str">
        <f t="shared" si="87"/>
        <v/>
      </c>
      <c r="AC159" s="848">
        <f t="shared" si="96"/>
        <v>0.60000000000000009</v>
      </c>
      <c r="AD159" s="811" t="e">
        <f t="shared" si="97"/>
        <v>#VALUE!</v>
      </c>
      <c r="AE159" s="811" t="e">
        <f t="shared" si="98"/>
        <v>#VALUE!</v>
      </c>
      <c r="AF159" s="811" t="e">
        <f t="shared" si="99"/>
        <v>#VALUE!</v>
      </c>
      <c r="AG159" s="14">
        <f t="shared" si="100"/>
        <v>0</v>
      </c>
      <c r="AH159" s="813" t="str">
        <f t="shared" si="101"/>
        <v/>
      </c>
      <c r="AI159" s="14">
        <f t="shared" si="102"/>
        <v>0</v>
      </c>
      <c r="AJ159" s="814">
        <f t="shared" si="103"/>
        <v>0.5</v>
      </c>
      <c r="AK159" s="6">
        <f t="shared" si="104"/>
        <v>0</v>
      </c>
      <c r="AL159" s="815">
        <f t="shared" si="105"/>
        <v>0</v>
      </c>
    </row>
    <row r="160" spans="3:38" ht="12.75" customHeight="1" x14ac:dyDescent="0.2">
      <c r="C160" s="33"/>
      <c r="D160" s="638" t="str">
        <f t="shared" ref="D160:F160" si="135">IF(D128=0,"",D128)</f>
        <v/>
      </c>
      <c r="E160" s="638" t="str">
        <f t="shared" si="135"/>
        <v/>
      </c>
      <c r="F160" s="638" t="str">
        <f t="shared" si="135"/>
        <v/>
      </c>
      <c r="G160" s="638" t="str">
        <f t="shared" si="107"/>
        <v/>
      </c>
      <c r="H160" s="640" t="str">
        <f t="shared" ref="H160:I160" si="136">IF(H128=0,"",H128)</f>
        <v/>
      </c>
      <c r="I160" s="641" t="str">
        <f t="shared" si="136"/>
        <v/>
      </c>
      <c r="J160" s="639" t="str">
        <f t="shared" si="86"/>
        <v/>
      </c>
      <c r="K160" s="642" t="str">
        <f t="shared" si="90"/>
        <v/>
      </c>
      <c r="L160" s="798"/>
      <c r="M160" s="629">
        <v>0</v>
      </c>
      <c r="N160" s="881">
        <v>0</v>
      </c>
      <c r="O160" s="882" t="str">
        <f t="shared" si="91"/>
        <v/>
      </c>
      <c r="P160" s="808">
        <f t="shared" si="92"/>
        <v>0</v>
      </c>
      <c r="Q160" s="807">
        <v>0</v>
      </c>
      <c r="R160" s="304" t="str">
        <f t="shared" si="93"/>
        <v/>
      </c>
      <c r="S160" s="304" t="str">
        <f t="shared" si="94"/>
        <v/>
      </c>
      <c r="T160" s="305">
        <f>ROUND(IF(K160="",0,+Q160/1659*(AB160*12*(1+tab!$D$44+tab!$D$45)-tab!$D$43)*tab!$D$41),-1)</f>
        <v>0</v>
      </c>
      <c r="U160" s="818" t="str">
        <f t="shared" si="95"/>
        <v/>
      </c>
      <c r="V160" s="289"/>
      <c r="W160" s="682"/>
      <c r="AB160" s="812" t="str">
        <f t="shared" si="87"/>
        <v/>
      </c>
      <c r="AC160" s="848">
        <f t="shared" si="96"/>
        <v>0.60000000000000009</v>
      </c>
      <c r="AD160" s="811" t="e">
        <f t="shared" si="97"/>
        <v>#VALUE!</v>
      </c>
      <c r="AE160" s="811" t="e">
        <f t="shared" si="98"/>
        <v>#VALUE!</v>
      </c>
      <c r="AF160" s="811" t="e">
        <f t="shared" si="99"/>
        <v>#VALUE!</v>
      </c>
      <c r="AG160" s="14">
        <f t="shared" si="100"/>
        <v>0</v>
      </c>
      <c r="AH160" s="813" t="str">
        <f t="shared" si="101"/>
        <v/>
      </c>
      <c r="AI160" s="14">
        <f t="shared" si="102"/>
        <v>0</v>
      </c>
      <c r="AJ160" s="814">
        <f t="shared" si="103"/>
        <v>0.5</v>
      </c>
      <c r="AK160" s="6">
        <f t="shared" si="104"/>
        <v>0</v>
      </c>
      <c r="AL160" s="815">
        <f t="shared" si="105"/>
        <v>0</v>
      </c>
    </row>
    <row r="161" spans="3:46" ht="12.75" customHeight="1" x14ac:dyDescent="0.2">
      <c r="C161" s="33"/>
      <c r="D161" s="638" t="str">
        <f t="shared" ref="D161:F161" si="137">IF(D129=0,"",D129)</f>
        <v/>
      </c>
      <c r="E161" s="638" t="str">
        <f t="shared" si="137"/>
        <v/>
      </c>
      <c r="F161" s="638" t="str">
        <f t="shared" si="137"/>
        <v/>
      </c>
      <c r="G161" s="638" t="str">
        <f t="shared" si="107"/>
        <v/>
      </c>
      <c r="H161" s="640" t="str">
        <f t="shared" ref="H161:I161" si="138">IF(H129=0,"",H129)</f>
        <v/>
      </c>
      <c r="I161" s="641" t="str">
        <f t="shared" si="138"/>
        <v/>
      </c>
      <c r="J161" s="639" t="str">
        <f t="shared" si="86"/>
        <v/>
      </c>
      <c r="K161" s="642" t="str">
        <f t="shared" si="90"/>
        <v/>
      </c>
      <c r="L161" s="798"/>
      <c r="M161" s="629">
        <v>0</v>
      </c>
      <c r="N161" s="881">
        <v>0</v>
      </c>
      <c r="O161" s="882" t="str">
        <f t="shared" si="91"/>
        <v/>
      </c>
      <c r="P161" s="808">
        <f t="shared" si="92"/>
        <v>0</v>
      </c>
      <c r="Q161" s="807">
        <v>0</v>
      </c>
      <c r="R161" s="304" t="str">
        <f t="shared" si="93"/>
        <v/>
      </c>
      <c r="S161" s="304" t="str">
        <f t="shared" si="94"/>
        <v/>
      </c>
      <c r="T161" s="305">
        <f>ROUND(IF(K161="",0,+Q161/1659*(AB161*12*(1+tab!$D$44+tab!$D$45)-tab!$D$43)*tab!$D$41),-1)</f>
        <v>0</v>
      </c>
      <c r="U161" s="818" t="str">
        <f t="shared" si="95"/>
        <v/>
      </c>
      <c r="V161" s="289"/>
      <c r="W161" s="682"/>
      <c r="AB161" s="812" t="str">
        <f t="shared" si="87"/>
        <v/>
      </c>
      <c r="AC161" s="848">
        <f t="shared" si="96"/>
        <v>0.60000000000000009</v>
      </c>
      <c r="AD161" s="811" t="e">
        <f t="shared" si="97"/>
        <v>#VALUE!</v>
      </c>
      <c r="AE161" s="811" t="e">
        <f t="shared" si="98"/>
        <v>#VALUE!</v>
      </c>
      <c r="AF161" s="811" t="e">
        <f t="shared" si="99"/>
        <v>#VALUE!</v>
      </c>
      <c r="AG161" s="14">
        <f t="shared" si="100"/>
        <v>0</v>
      </c>
      <c r="AH161" s="813" t="str">
        <f t="shared" si="101"/>
        <v/>
      </c>
      <c r="AI161" s="14">
        <f t="shared" si="102"/>
        <v>0</v>
      </c>
      <c r="AJ161" s="814">
        <f t="shared" si="103"/>
        <v>0.5</v>
      </c>
      <c r="AK161" s="6">
        <f t="shared" si="104"/>
        <v>0</v>
      </c>
      <c r="AL161" s="815">
        <f t="shared" si="105"/>
        <v>0</v>
      </c>
    </row>
    <row r="162" spans="3:46" ht="12.75" customHeight="1" x14ac:dyDescent="0.2">
      <c r="C162" s="33"/>
      <c r="D162" s="638" t="str">
        <f t="shared" ref="D162:F162" si="139">IF(D130=0,"",D130)</f>
        <v/>
      </c>
      <c r="E162" s="638" t="str">
        <f t="shared" si="139"/>
        <v/>
      </c>
      <c r="F162" s="638" t="str">
        <f t="shared" si="139"/>
        <v/>
      </c>
      <c r="G162" s="638" t="str">
        <f t="shared" si="107"/>
        <v/>
      </c>
      <c r="H162" s="640" t="str">
        <f t="shared" ref="H162:I162" si="140">IF(H130=0,"",H130)</f>
        <v/>
      </c>
      <c r="I162" s="641" t="str">
        <f t="shared" si="140"/>
        <v/>
      </c>
      <c r="J162" s="639" t="str">
        <f t="shared" si="86"/>
        <v/>
      </c>
      <c r="K162" s="642" t="str">
        <f t="shared" si="90"/>
        <v/>
      </c>
      <c r="L162" s="798"/>
      <c r="M162" s="629">
        <v>0</v>
      </c>
      <c r="N162" s="881">
        <v>0</v>
      </c>
      <c r="O162" s="882" t="str">
        <f t="shared" si="91"/>
        <v/>
      </c>
      <c r="P162" s="808">
        <f t="shared" si="92"/>
        <v>0</v>
      </c>
      <c r="Q162" s="807">
        <v>0</v>
      </c>
      <c r="R162" s="304" t="str">
        <f t="shared" si="93"/>
        <v/>
      </c>
      <c r="S162" s="304" t="str">
        <f t="shared" si="94"/>
        <v/>
      </c>
      <c r="T162" s="305">
        <f>ROUND(IF(K162="",0,+Q162/1659*(AB162*12*(1+tab!$D$44+tab!$D$45)-tab!$D$43)*tab!$D$41),-1)</f>
        <v>0</v>
      </c>
      <c r="U162" s="818" t="str">
        <f t="shared" si="95"/>
        <v/>
      </c>
      <c r="V162" s="289"/>
      <c r="W162" s="682"/>
      <c r="AB162" s="812" t="str">
        <f t="shared" si="87"/>
        <v/>
      </c>
      <c r="AC162" s="848">
        <f t="shared" si="96"/>
        <v>0.60000000000000009</v>
      </c>
      <c r="AD162" s="811" t="e">
        <f t="shared" si="97"/>
        <v>#VALUE!</v>
      </c>
      <c r="AE162" s="811" t="e">
        <f t="shared" si="98"/>
        <v>#VALUE!</v>
      </c>
      <c r="AF162" s="811" t="e">
        <f t="shared" si="99"/>
        <v>#VALUE!</v>
      </c>
      <c r="AG162" s="14">
        <f t="shared" si="100"/>
        <v>0</v>
      </c>
      <c r="AH162" s="813" t="str">
        <f t="shared" si="101"/>
        <v/>
      </c>
      <c r="AI162" s="14">
        <f t="shared" si="102"/>
        <v>0</v>
      </c>
      <c r="AJ162" s="814">
        <f t="shared" si="103"/>
        <v>0.5</v>
      </c>
      <c r="AK162" s="6">
        <f t="shared" si="104"/>
        <v>0</v>
      </c>
      <c r="AL162" s="815">
        <f t="shared" si="105"/>
        <v>0</v>
      </c>
    </row>
    <row r="163" spans="3:46" ht="12.75" customHeight="1" x14ac:dyDescent="0.2">
      <c r="C163" s="33"/>
      <c r="D163" s="638" t="str">
        <f t="shared" ref="D163:F163" si="141">IF(D131=0,"",D131)</f>
        <v/>
      </c>
      <c r="E163" s="638" t="str">
        <f t="shared" si="141"/>
        <v/>
      </c>
      <c r="F163" s="638" t="str">
        <f t="shared" si="141"/>
        <v/>
      </c>
      <c r="G163" s="638" t="str">
        <f t="shared" si="107"/>
        <v/>
      </c>
      <c r="H163" s="640" t="str">
        <f t="shared" ref="H163:I163" si="142">IF(H131=0,"",H131)</f>
        <v/>
      </c>
      <c r="I163" s="641" t="str">
        <f t="shared" si="142"/>
        <v/>
      </c>
      <c r="J163" s="639" t="str">
        <f t="shared" si="86"/>
        <v/>
      </c>
      <c r="K163" s="642" t="str">
        <f t="shared" si="90"/>
        <v/>
      </c>
      <c r="L163" s="798"/>
      <c r="M163" s="629">
        <v>0</v>
      </c>
      <c r="N163" s="881">
        <v>0</v>
      </c>
      <c r="O163" s="882" t="str">
        <f t="shared" si="91"/>
        <v/>
      </c>
      <c r="P163" s="808">
        <f t="shared" si="92"/>
        <v>0</v>
      </c>
      <c r="Q163" s="807">
        <v>0</v>
      </c>
      <c r="R163" s="304" t="str">
        <f t="shared" si="93"/>
        <v/>
      </c>
      <c r="S163" s="304" t="str">
        <f t="shared" si="94"/>
        <v/>
      </c>
      <c r="T163" s="305">
        <f>ROUND(IF(K163="",0,+Q163/1659*(AB163*12*(1+tab!$D$44+tab!$D$45)-tab!$D$43)*tab!$D$41),-1)</f>
        <v>0</v>
      </c>
      <c r="U163" s="818" t="str">
        <f t="shared" si="95"/>
        <v/>
      </c>
      <c r="V163" s="289"/>
      <c r="W163" s="682"/>
      <c r="AB163" s="812" t="str">
        <f t="shared" si="87"/>
        <v/>
      </c>
      <c r="AC163" s="848">
        <f t="shared" si="96"/>
        <v>0.60000000000000009</v>
      </c>
      <c r="AD163" s="811" t="e">
        <f t="shared" si="97"/>
        <v>#VALUE!</v>
      </c>
      <c r="AE163" s="811" t="e">
        <f t="shared" si="98"/>
        <v>#VALUE!</v>
      </c>
      <c r="AF163" s="811" t="e">
        <f t="shared" si="99"/>
        <v>#VALUE!</v>
      </c>
      <c r="AG163" s="14">
        <f t="shared" si="100"/>
        <v>0</v>
      </c>
      <c r="AH163" s="813" t="str">
        <f t="shared" si="101"/>
        <v/>
      </c>
      <c r="AI163" s="14">
        <f t="shared" si="102"/>
        <v>0</v>
      </c>
      <c r="AJ163" s="814">
        <f t="shared" si="103"/>
        <v>0.5</v>
      </c>
      <c r="AK163" s="6">
        <f t="shared" si="104"/>
        <v>0</v>
      </c>
      <c r="AL163" s="815">
        <f t="shared" si="105"/>
        <v>0</v>
      </c>
    </row>
    <row r="164" spans="3:46" x14ac:dyDescent="0.2">
      <c r="C164" s="33"/>
      <c r="D164" s="290"/>
      <c r="E164" s="290"/>
      <c r="F164" s="290"/>
      <c r="G164" s="150"/>
      <c r="H164" s="291"/>
      <c r="I164" s="150"/>
      <c r="J164" s="150"/>
      <c r="K164" s="306">
        <f>SUM(K144:K163)</f>
        <v>1</v>
      </c>
      <c r="L164" s="793"/>
      <c r="M164" s="806">
        <f t="shared" ref="M164:U164" si="143">SUM(M144:M163)</f>
        <v>0</v>
      </c>
      <c r="N164" s="806">
        <f t="shared" si="143"/>
        <v>0</v>
      </c>
      <c r="O164" s="806">
        <f t="shared" si="143"/>
        <v>50</v>
      </c>
      <c r="P164" s="806">
        <f t="shared" si="143"/>
        <v>50</v>
      </c>
      <c r="Q164" s="806">
        <f t="shared" si="143"/>
        <v>0</v>
      </c>
      <c r="R164" s="816">
        <f t="shared" si="143"/>
        <v>98395.150813743225</v>
      </c>
      <c r="S164" s="816">
        <f t="shared" si="143"/>
        <v>3057.6491862567814</v>
      </c>
      <c r="T164" s="816">
        <f t="shared" si="143"/>
        <v>0</v>
      </c>
      <c r="U164" s="817">
        <f t="shared" si="143"/>
        <v>101452.8</v>
      </c>
      <c r="V164" s="144"/>
      <c r="W164" s="682"/>
      <c r="AB164" s="812">
        <f>SUM(AB144:AB163)</f>
        <v>5284</v>
      </c>
      <c r="AL164" s="815">
        <f>SUM(AL144:AL163)</f>
        <v>0</v>
      </c>
    </row>
    <row r="165" spans="3:46" x14ac:dyDescent="0.2">
      <c r="D165" s="213"/>
      <c r="E165" s="213"/>
      <c r="F165" s="213"/>
      <c r="G165" s="214"/>
      <c r="H165" s="215"/>
      <c r="I165" s="214"/>
      <c r="J165" s="214"/>
      <c r="K165" s="1105"/>
      <c r="L165" s="1105"/>
      <c r="M165" s="1119"/>
      <c r="N165" s="1119"/>
      <c r="O165" s="1119"/>
      <c r="P165" s="1119"/>
      <c r="Q165" s="1119"/>
      <c r="R165" s="1120"/>
      <c r="S165" s="1120"/>
      <c r="T165" s="1120"/>
      <c r="U165" s="1121"/>
      <c r="V165" s="130"/>
      <c r="W165" s="682"/>
      <c r="AB165" s="812"/>
      <c r="AL165" s="815"/>
    </row>
    <row r="166" spans="3:46" x14ac:dyDescent="0.2">
      <c r="D166" s="213"/>
      <c r="E166" s="213"/>
      <c r="F166" s="213"/>
      <c r="G166" s="214"/>
      <c r="H166" s="215"/>
      <c r="I166" s="214"/>
      <c r="J166" s="214"/>
      <c r="K166" s="1105"/>
      <c r="L166" s="1105"/>
      <c r="M166" s="1119"/>
      <c r="N166" s="1119"/>
      <c r="O166" s="1119"/>
      <c r="P166" s="1119"/>
      <c r="Q166" s="1119"/>
      <c r="R166" s="1120"/>
      <c r="S166" s="1120"/>
      <c r="T166" s="1120"/>
      <c r="U166" s="1121"/>
      <c r="V166" s="130"/>
      <c r="W166" s="682"/>
      <c r="AB166" s="812"/>
      <c r="AL166" s="815"/>
    </row>
    <row r="167" spans="3:46" x14ac:dyDescent="0.2">
      <c r="D167" s="213"/>
      <c r="E167" s="213"/>
      <c r="F167" s="213"/>
      <c r="G167" s="214"/>
      <c r="H167" s="215"/>
      <c r="I167" s="214"/>
      <c r="J167" s="214"/>
      <c r="K167" s="1105"/>
      <c r="L167" s="1105"/>
      <c r="M167" s="1119"/>
      <c r="N167" s="1119"/>
      <c r="O167" s="1119"/>
      <c r="P167" s="1119"/>
      <c r="Q167" s="1119"/>
      <c r="R167" s="1120"/>
      <c r="S167" s="1120"/>
      <c r="T167" s="1120"/>
      <c r="U167" s="1121"/>
      <c r="V167" s="130"/>
      <c r="W167" s="682"/>
      <c r="AB167" s="812"/>
      <c r="AL167" s="815"/>
    </row>
    <row r="168" spans="3:46" x14ac:dyDescent="0.2">
      <c r="C168" s="6" t="s">
        <v>87</v>
      </c>
      <c r="E168" s="201" t="str">
        <f>tab!G2</f>
        <v>2027/28</v>
      </c>
      <c r="W168" s="682"/>
    </row>
    <row r="169" spans="3:46" x14ac:dyDescent="0.2">
      <c r="C169" s="6" t="s">
        <v>88</v>
      </c>
      <c r="E169" s="201">
        <f>+tab!H3</f>
        <v>46661</v>
      </c>
      <c r="W169" s="682"/>
    </row>
    <row r="170" spans="3:46" s="7" customFormat="1" x14ac:dyDescent="0.2">
      <c r="D170" s="213"/>
      <c r="E170" s="213"/>
      <c r="F170" s="213"/>
      <c r="G170" s="214"/>
      <c r="H170" s="215"/>
      <c r="I170" s="214"/>
      <c r="J170" s="214"/>
      <c r="K170" s="217"/>
      <c r="L170" s="800"/>
      <c r="M170" s="222"/>
      <c r="T170" s="178"/>
      <c r="U170" s="223"/>
      <c r="W170" s="851"/>
      <c r="AC170" s="214"/>
      <c r="AD170" s="221"/>
      <c r="AL170" s="214"/>
      <c r="AM170" s="221"/>
      <c r="AT170" s="6"/>
    </row>
    <row r="171" spans="3:46" ht="12.75" customHeight="1" x14ac:dyDescent="0.2">
      <c r="C171" s="33"/>
      <c r="D171" s="145"/>
      <c r="E171" s="85"/>
      <c r="F171" s="145"/>
      <c r="G171" s="144"/>
      <c r="H171" s="151"/>
      <c r="I171" s="144"/>
      <c r="J171" s="144"/>
      <c r="K171" s="278"/>
      <c r="L171" s="677"/>
      <c r="M171" s="279"/>
      <c r="N171" s="33"/>
      <c r="O171" s="33"/>
      <c r="P171" s="33"/>
      <c r="Q171" s="33"/>
      <c r="R171" s="33"/>
      <c r="S171" s="33"/>
      <c r="T171" s="280"/>
      <c r="U171" s="281"/>
      <c r="V171" s="33"/>
      <c r="W171" s="682"/>
      <c r="X171" s="682"/>
      <c r="AC171" s="682"/>
      <c r="AD171" s="809"/>
      <c r="AE171" s="682"/>
      <c r="AF171" s="682"/>
      <c r="AG171" s="682"/>
      <c r="AH171" s="682"/>
      <c r="AI171" s="794"/>
      <c r="AJ171" s="705"/>
      <c r="AK171" s="792"/>
      <c r="AL171" s="810"/>
      <c r="AM171" s="176"/>
      <c r="AT171" s="7"/>
    </row>
    <row r="172" spans="3:46" ht="12.75" customHeight="1" x14ac:dyDescent="0.2">
      <c r="C172" s="282"/>
      <c r="D172" s="788" t="s">
        <v>89</v>
      </c>
      <c r="E172" s="789"/>
      <c r="F172" s="789"/>
      <c r="G172" s="789"/>
      <c r="H172" s="789"/>
      <c r="I172" s="789"/>
      <c r="J172" s="789"/>
      <c r="K172" s="789"/>
      <c r="L172" s="801"/>
      <c r="M172" s="819" t="s">
        <v>449</v>
      </c>
      <c r="N172" s="820"/>
      <c r="O172" s="821"/>
      <c r="P172" s="821"/>
      <c r="Q172" s="820"/>
      <c r="R172" s="822" t="s">
        <v>450</v>
      </c>
      <c r="S172" s="823"/>
      <c r="T172" s="823"/>
      <c r="U172" s="823"/>
      <c r="V172" s="824"/>
      <c r="W172" s="849"/>
      <c r="X172" s="826"/>
      <c r="Y172" s="827"/>
      <c r="Z172" s="828"/>
      <c r="AA172" s="828"/>
      <c r="AB172" s="829"/>
      <c r="AC172" s="827"/>
      <c r="AD172" s="829"/>
      <c r="AE172" s="827"/>
      <c r="AF172" s="830"/>
      <c r="AG172" s="830"/>
      <c r="AH172" s="831"/>
      <c r="AI172" s="832"/>
      <c r="AJ172" s="831"/>
      <c r="AK172" s="833"/>
      <c r="AL172" s="833"/>
      <c r="AM172" s="6"/>
      <c r="AN172" s="207"/>
      <c r="AO172" s="207"/>
    </row>
    <row r="173" spans="3:46" ht="12.75" customHeight="1" x14ac:dyDescent="0.2">
      <c r="C173" s="282"/>
      <c r="D173" s="295" t="s">
        <v>90</v>
      </c>
      <c r="E173" s="295" t="s">
        <v>91</v>
      </c>
      <c r="F173" s="295" t="s">
        <v>92</v>
      </c>
      <c r="G173" s="296" t="s">
        <v>93</v>
      </c>
      <c r="H173" s="297" t="s">
        <v>94</v>
      </c>
      <c r="I173" s="296" t="s">
        <v>61</v>
      </c>
      <c r="J173" s="296" t="s">
        <v>95</v>
      </c>
      <c r="K173" s="298" t="s">
        <v>96</v>
      </c>
      <c r="L173" s="796"/>
      <c r="M173" s="834" t="s">
        <v>451</v>
      </c>
      <c r="N173" s="835" t="s">
        <v>452</v>
      </c>
      <c r="O173" s="836" t="s">
        <v>453</v>
      </c>
      <c r="P173" s="837" t="s">
        <v>454</v>
      </c>
      <c r="Q173" s="835" t="s">
        <v>455</v>
      </c>
      <c r="R173" s="836" t="s">
        <v>97</v>
      </c>
      <c r="S173" s="834" t="s">
        <v>456</v>
      </c>
      <c r="T173" s="834" t="s">
        <v>457</v>
      </c>
      <c r="U173" s="834" t="s">
        <v>97</v>
      </c>
      <c r="V173" s="838"/>
      <c r="W173" s="850"/>
      <c r="X173" s="840"/>
      <c r="Y173" s="841"/>
      <c r="Z173" s="842"/>
      <c r="AA173" s="842"/>
      <c r="AB173" s="845" t="s">
        <v>208</v>
      </c>
      <c r="AC173" s="846" t="s">
        <v>458</v>
      </c>
      <c r="AD173" s="847" t="s">
        <v>459</v>
      </c>
      <c r="AE173" s="847" t="s">
        <v>459</v>
      </c>
      <c r="AF173" s="847" t="s">
        <v>460</v>
      </c>
      <c r="AG173" s="847" t="s">
        <v>455</v>
      </c>
      <c r="AH173" s="847" t="s">
        <v>461</v>
      </c>
      <c r="AI173" s="847" t="s">
        <v>462</v>
      </c>
      <c r="AJ173" s="847" t="s">
        <v>463</v>
      </c>
      <c r="AK173" s="847" t="s">
        <v>99</v>
      </c>
      <c r="AL173" s="751" t="s">
        <v>221</v>
      </c>
      <c r="AM173" s="6"/>
      <c r="AN173" s="207"/>
      <c r="AO173" s="206"/>
    </row>
    <row r="174" spans="3:46" ht="12.75" customHeight="1" x14ac:dyDescent="0.2">
      <c r="C174" s="282"/>
      <c r="D174" s="300"/>
      <c r="E174" s="295"/>
      <c r="F174" s="301"/>
      <c r="G174" s="296" t="s">
        <v>101</v>
      </c>
      <c r="H174" s="297" t="s">
        <v>102</v>
      </c>
      <c r="I174" s="296"/>
      <c r="J174" s="296"/>
      <c r="K174" s="298"/>
      <c r="L174" s="796"/>
      <c r="M174" s="843" t="s">
        <v>464</v>
      </c>
      <c r="N174" s="835" t="s">
        <v>465</v>
      </c>
      <c r="O174" s="836" t="s">
        <v>466</v>
      </c>
      <c r="P174" s="837" t="s">
        <v>44</v>
      </c>
      <c r="Q174" s="835" t="s">
        <v>467</v>
      </c>
      <c r="R174" s="836" t="s">
        <v>468</v>
      </c>
      <c r="S174" s="844" t="s">
        <v>469</v>
      </c>
      <c r="T174" s="844" t="s">
        <v>470</v>
      </c>
      <c r="U174" s="834" t="s">
        <v>44</v>
      </c>
      <c r="V174" s="838"/>
      <c r="W174" s="850"/>
      <c r="X174" s="840"/>
      <c r="Y174" s="833"/>
      <c r="Z174" s="842"/>
      <c r="AA174" s="842"/>
      <c r="AB174" s="847" t="s">
        <v>471</v>
      </c>
      <c r="AC174" s="848">
        <f>AC110</f>
        <v>0.60000000000000009</v>
      </c>
      <c r="AD174" s="847" t="s">
        <v>472</v>
      </c>
      <c r="AE174" s="847" t="s">
        <v>473</v>
      </c>
      <c r="AF174" s="847" t="s">
        <v>474</v>
      </c>
      <c r="AG174" s="847" t="s">
        <v>467</v>
      </c>
      <c r="AH174" s="847" t="s">
        <v>475</v>
      </c>
      <c r="AI174" s="847" t="s">
        <v>475</v>
      </c>
      <c r="AJ174" s="847" t="s">
        <v>476</v>
      </c>
      <c r="AK174" s="847"/>
      <c r="AL174" s="847" t="s">
        <v>98</v>
      </c>
      <c r="AM174" s="6"/>
      <c r="AO174" s="208"/>
    </row>
    <row r="175" spans="3:46" ht="12.75" customHeight="1" x14ac:dyDescent="0.2">
      <c r="C175" s="33"/>
      <c r="D175" s="145"/>
      <c r="E175" s="145"/>
      <c r="F175" s="145"/>
      <c r="G175" s="144"/>
      <c r="H175" s="151"/>
      <c r="I175" s="164"/>
      <c r="J175" s="164"/>
      <c r="K175" s="283"/>
      <c r="L175" s="797"/>
      <c r="M175" s="283"/>
      <c r="N175" s="284"/>
      <c r="O175" s="285"/>
      <c r="P175" s="286"/>
      <c r="Q175" s="286"/>
      <c r="R175" s="286"/>
      <c r="S175" s="286"/>
      <c r="T175" s="287"/>
      <c r="U175" s="288"/>
      <c r="V175" s="284"/>
      <c r="W175" s="682"/>
      <c r="AC175" s="6"/>
      <c r="AD175" s="6"/>
      <c r="AL175" s="6"/>
      <c r="AM175" s="6"/>
      <c r="AO175" s="208"/>
    </row>
    <row r="176" spans="3:46" ht="12.75" customHeight="1" x14ac:dyDescent="0.2">
      <c r="C176" s="33"/>
      <c r="D176" s="638" t="str">
        <f>IF(D144=0,"",D144)</f>
        <v/>
      </c>
      <c r="E176" s="638" t="str">
        <f>IF(E144=0,"",E144)</f>
        <v>piet</v>
      </c>
      <c r="F176" s="638" t="str">
        <f>IF(F144=0,"",F144)</f>
        <v>chef</v>
      </c>
      <c r="G176" s="639">
        <f>IF(G144="","",G144+1)</f>
        <v>27</v>
      </c>
      <c r="H176" s="640">
        <f>IF(H144=0,"",H144)</f>
        <v>25600</v>
      </c>
      <c r="I176" s="641">
        <f>IF(I144=0,"",I144)</f>
        <v>12</v>
      </c>
      <c r="J176" s="639">
        <f t="shared" ref="J176:J195" si="144">IF(E176="","",IF(J144&lt;VLOOKUP(I176,saltab2022,22,FALSE),J144+1,J144))</f>
        <v>11</v>
      </c>
      <c r="K176" s="642">
        <f>IF(K144="","",K144)</f>
        <v>1</v>
      </c>
      <c r="L176" s="798"/>
      <c r="M176" s="629">
        <v>0</v>
      </c>
      <c r="N176" s="881">
        <v>0</v>
      </c>
      <c r="O176" s="882">
        <f>IF(K176="","",K176*50)</f>
        <v>50</v>
      </c>
      <c r="P176" s="808">
        <f>SUM(M176:O176)</f>
        <v>50</v>
      </c>
      <c r="Q176" s="807">
        <v>0</v>
      </c>
      <c r="R176" s="304">
        <f>IF(K176="","",(1659*K176-P176)*AE176)</f>
        <v>105340.90994575046</v>
      </c>
      <c r="S176" s="304">
        <f>IF(K176="","",P176*AF176+AD176*(AH176+AI176*(1-AJ176)))</f>
        <v>3273.4900542495479</v>
      </c>
      <c r="T176" s="305">
        <f>ROUND(IF(K176="",0,+Q176/1659*(AB176*12*(1+tab!$D$44+tab!$D$45)-tab!$D$43)*tab!$D$41),-1)</f>
        <v>0</v>
      </c>
      <c r="U176" s="818">
        <f>IF(K176="","",IF(E176=0,0,(R176+S176+T176)))</f>
        <v>108614.40000000001</v>
      </c>
      <c r="V176" s="289"/>
      <c r="W176" s="682"/>
      <c r="AB176" s="812">
        <f t="shared" ref="AB176:AB195" si="145">IF(I176="","",VLOOKUP(I176,saltab2022,J176+1,FALSE))</f>
        <v>5657</v>
      </c>
      <c r="AC176" s="848">
        <f>AC$110</f>
        <v>0.60000000000000009</v>
      </c>
      <c r="AD176" s="811">
        <f>AB176*12/1659</f>
        <v>40.918625678119348</v>
      </c>
      <c r="AE176" s="811">
        <f>AB176*12*(1+AC176)/1659</f>
        <v>65.469801084990962</v>
      </c>
      <c r="AF176" s="811">
        <f>+AE176-AD176</f>
        <v>24.551175406871614</v>
      </c>
      <c r="AG176" s="14">
        <f>Q176</f>
        <v>0</v>
      </c>
      <c r="AH176" s="813">
        <f>O176</f>
        <v>50</v>
      </c>
      <c r="AI176" s="14">
        <f>(M176+N176)</f>
        <v>0</v>
      </c>
      <c r="AJ176" s="814">
        <f>IF(I176&gt;8,50%,40%)</f>
        <v>0.5</v>
      </c>
      <c r="AK176" s="6">
        <f>IF(G176&lt;25,0,IF(G176=25,25,IF(G176&lt;40,0,IF(G176=40,40,IF(G176&gt;=40,0)))))</f>
        <v>0</v>
      </c>
      <c r="AL176" s="815">
        <f>IF(AK176=25,AB176*1.08*K176/2,IF(AK176=40,AB176*1.08*K176,0))</f>
        <v>0</v>
      </c>
    </row>
    <row r="177" spans="3:38" ht="12.75" customHeight="1" x14ac:dyDescent="0.2">
      <c r="C177" s="33"/>
      <c r="D177" s="638" t="str">
        <f t="shared" ref="D177:F177" si="146">IF(D145=0,"",D145)</f>
        <v/>
      </c>
      <c r="E177" s="638" t="str">
        <f t="shared" si="146"/>
        <v/>
      </c>
      <c r="F177" s="638" t="str">
        <f t="shared" si="146"/>
        <v/>
      </c>
      <c r="G177" s="639" t="str">
        <f t="shared" ref="G177:G195" si="147">IF(G145="","",G145+1)</f>
        <v/>
      </c>
      <c r="H177" s="640" t="str">
        <f t="shared" ref="H177:I177" si="148">IF(H145=0,"",H145)</f>
        <v/>
      </c>
      <c r="I177" s="641" t="str">
        <f t="shared" si="148"/>
        <v/>
      </c>
      <c r="J177" s="639" t="str">
        <f t="shared" si="144"/>
        <v/>
      </c>
      <c r="K177" s="642" t="str">
        <f t="shared" ref="K177:K195" si="149">IF(K145="","",K145)</f>
        <v/>
      </c>
      <c r="L177" s="798"/>
      <c r="M177" s="629">
        <v>0</v>
      </c>
      <c r="N177" s="881">
        <v>0</v>
      </c>
      <c r="O177" s="882" t="str">
        <f t="shared" ref="O177:O195" si="150">IF(K177="","",K177*50)</f>
        <v/>
      </c>
      <c r="P177" s="808">
        <f t="shared" ref="P177:P195" si="151">SUM(M177:O177)</f>
        <v>0</v>
      </c>
      <c r="Q177" s="807">
        <v>0</v>
      </c>
      <c r="R177" s="304" t="str">
        <f t="shared" ref="R177:R195" si="152">IF(K177="","",(1659*K177-P177)*AE177)</f>
        <v/>
      </c>
      <c r="S177" s="304" t="str">
        <f t="shared" ref="S177:S195" si="153">IF(K177="","",P177*AF177+AD177*(AH177+AI177*(1-AJ177)))</f>
        <v/>
      </c>
      <c r="T177" s="305">
        <f>ROUND(IF(K177="",0,+Q177/1659*(AB177*12*(1+tab!$D$44+tab!$D$45)-tab!$D$43)*tab!$D$41),-1)</f>
        <v>0</v>
      </c>
      <c r="U177" s="818" t="str">
        <f t="shared" ref="U177:U195" si="154">IF(K177="","",IF(E177=0,0,(R177+S177+T177)))</f>
        <v/>
      </c>
      <c r="V177" s="289"/>
      <c r="W177" s="682"/>
      <c r="AB177" s="812" t="str">
        <f t="shared" si="145"/>
        <v/>
      </c>
      <c r="AC177" s="848">
        <f t="shared" ref="AC177:AC195" si="155">AC$110</f>
        <v>0.60000000000000009</v>
      </c>
      <c r="AD177" s="811" t="e">
        <f t="shared" ref="AD177:AD195" si="156">AB177*12/1659</f>
        <v>#VALUE!</v>
      </c>
      <c r="AE177" s="811" t="e">
        <f t="shared" ref="AE177:AE195" si="157">AB177*12*(1+AC177)/1659</f>
        <v>#VALUE!</v>
      </c>
      <c r="AF177" s="811" t="e">
        <f t="shared" ref="AF177:AF195" si="158">+AE177-AD177</f>
        <v>#VALUE!</v>
      </c>
      <c r="AG177" s="14">
        <f t="shared" ref="AG177:AG195" si="159">Q177</f>
        <v>0</v>
      </c>
      <c r="AH177" s="813" t="str">
        <f t="shared" ref="AH177:AH195" si="160">O177</f>
        <v/>
      </c>
      <c r="AI177" s="14">
        <f t="shared" ref="AI177:AI195" si="161">(M177+N177)</f>
        <v>0</v>
      </c>
      <c r="AJ177" s="814">
        <f t="shared" ref="AJ177:AJ195" si="162">IF(I177&gt;8,50%,40%)</f>
        <v>0.5</v>
      </c>
      <c r="AK177" s="6">
        <f t="shared" ref="AK177:AK195" si="163">IF(G177&lt;25,0,IF(G177=25,25,IF(G177&lt;40,0,IF(G177=40,40,IF(G177&gt;=40,0)))))</f>
        <v>0</v>
      </c>
      <c r="AL177" s="815">
        <f t="shared" ref="AL177:AL195" si="164">IF(AK177=25,AB177*1.08*K177/2,IF(AK177=40,AB177*1.08*K177,0))</f>
        <v>0</v>
      </c>
    </row>
    <row r="178" spans="3:38" ht="12.75" customHeight="1" x14ac:dyDescent="0.2">
      <c r="C178" s="33"/>
      <c r="D178" s="638" t="str">
        <f t="shared" ref="D178:F178" si="165">IF(D146=0,"",D146)</f>
        <v/>
      </c>
      <c r="E178" s="638" t="str">
        <f t="shared" si="165"/>
        <v/>
      </c>
      <c r="F178" s="638" t="str">
        <f t="shared" si="165"/>
        <v/>
      </c>
      <c r="G178" s="639" t="str">
        <f t="shared" si="147"/>
        <v/>
      </c>
      <c r="H178" s="640" t="str">
        <f t="shared" ref="H178:I178" si="166">IF(H146=0,"",H146)</f>
        <v/>
      </c>
      <c r="I178" s="641" t="str">
        <f t="shared" si="166"/>
        <v/>
      </c>
      <c r="J178" s="639" t="str">
        <f t="shared" si="144"/>
        <v/>
      </c>
      <c r="K178" s="642" t="str">
        <f t="shared" si="149"/>
        <v/>
      </c>
      <c r="L178" s="799"/>
      <c r="M178" s="629">
        <v>0</v>
      </c>
      <c r="N178" s="881">
        <v>0</v>
      </c>
      <c r="O178" s="882" t="str">
        <f t="shared" si="150"/>
        <v/>
      </c>
      <c r="P178" s="808">
        <f t="shared" si="151"/>
        <v>0</v>
      </c>
      <c r="Q178" s="807">
        <v>0</v>
      </c>
      <c r="R178" s="304" t="str">
        <f t="shared" si="152"/>
        <v/>
      </c>
      <c r="S178" s="304" t="str">
        <f t="shared" si="153"/>
        <v/>
      </c>
      <c r="T178" s="305">
        <f>ROUND(IF(K178="",0,+Q178/1659*(AB178*12*(1+tab!$D$44+tab!$D$45)-tab!$D$43)*tab!$D$41),-1)</f>
        <v>0</v>
      </c>
      <c r="U178" s="818" t="str">
        <f t="shared" si="154"/>
        <v/>
      </c>
      <c r="V178" s="289"/>
      <c r="W178" s="682"/>
      <c r="AB178" s="812" t="str">
        <f t="shared" si="145"/>
        <v/>
      </c>
      <c r="AC178" s="848">
        <f t="shared" si="155"/>
        <v>0.60000000000000009</v>
      </c>
      <c r="AD178" s="811" t="e">
        <f t="shared" si="156"/>
        <v>#VALUE!</v>
      </c>
      <c r="AE178" s="811" t="e">
        <f t="shared" si="157"/>
        <v>#VALUE!</v>
      </c>
      <c r="AF178" s="811" t="e">
        <f t="shared" si="158"/>
        <v>#VALUE!</v>
      </c>
      <c r="AG178" s="14">
        <f t="shared" si="159"/>
        <v>0</v>
      </c>
      <c r="AH178" s="813" t="str">
        <f t="shared" si="160"/>
        <v/>
      </c>
      <c r="AI178" s="14">
        <f t="shared" si="161"/>
        <v>0</v>
      </c>
      <c r="AJ178" s="814">
        <f t="shared" si="162"/>
        <v>0.5</v>
      </c>
      <c r="AK178" s="6">
        <f t="shared" si="163"/>
        <v>0</v>
      </c>
      <c r="AL178" s="815">
        <f t="shared" si="164"/>
        <v>0</v>
      </c>
    </row>
    <row r="179" spans="3:38" ht="12.75" customHeight="1" x14ac:dyDescent="0.2">
      <c r="C179" s="33"/>
      <c r="D179" s="638" t="str">
        <f t="shared" ref="D179:F179" si="167">IF(D147=0,"",D147)</f>
        <v/>
      </c>
      <c r="E179" s="638" t="str">
        <f t="shared" si="167"/>
        <v/>
      </c>
      <c r="F179" s="638" t="str">
        <f t="shared" si="167"/>
        <v/>
      </c>
      <c r="G179" s="639" t="str">
        <f t="shared" si="147"/>
        <v/>
      </c>
      <c r="H179" s="640" t="str">
        <f t="shared" ref="H179:I179" si="168">IF(H147=0,"",H147)</f>
        <v/>
      </c>
      <c r="I179" s="641" t="str">
        <f t="shared" si="168"/>
        <v/>
      </c>
      <c r="J179" s="639" t="str">
        <f t="shared" si="144"/>
        <v/>
      </c>
      <c r="K179" s="642" t="str">
        <f t="shared" si="149"/>
        <v/>
      </c>
      <c r="L179" s="798"/>
      <c r="M179" s="629">
        <v>0</v>
      </c>
      <c r="N179" s="881">
        <v>0</v>
      </c>
      <c r="O179" s="882" t="str">
        <f t="shared" si="150"/>
        <v/>
      </c>
      <c r="P179" s="808">
        <f t="shared" si="151"/>
        <v>0</v>
      </c>
      <c r="Q179" s="807">
        <v>0</v>
      </c>
      <c r="R179" s="304" t="str">
        <f t="shared" si="152"/>
        <v/>
      </c>
      <c r="S179" s="304" t="str">
        <f t="shared" si="153"/>
        <v/>
      </c>
      <c r="T179" s="305">
        <f>ROUND(IF(K179="",0,+Q179/1659*(AB179*12*(1+tab!$D$44+tab!$D$45)-tab!$D$43)*tab!$D$41),-1)</f>
        <v>0</v>
      </c>
      <c r="U179" s="818" t="str">
        <f t="shared" si="154"/>
        <v/>
      </c>
      <c r="V179" s="289"/>
      <c r="W179" s="682"/>
      <c r="AB179" s="812" t="str">
        <f t="shared" si="145"/>
        <v/>
      </c>
      <c r="AC179" s="848">
        <f t="shared" si="155"/>
        <v>0.60000000000000009</v>
      </c>
      <c r="AD179" s="811" t="e">
        <f t="shared" si="156"/>
        <v>#VALUE!</v>
      </c>
      <c r="AE179" s="811" t="e">
        <f t="shared" si="157"/>
        <v>#VALUE!</v>
      </c>
      <c r="AF179" s="811" t="e">
        <f t="shared" si="158"/>
        <v>#VALUE!</v>
      </c>
      <c r="AG179" s="14">
        <f t="shared" si="159"/>
        <v>0</v>
      </c>
      <c r="AH179" s="813" t="str">
        <f t="shared" si="160"/>
        <v/>
      </c>
      <c r="AI179" s="14">
        <f t="shared" si="161"/>
        <v>0</v>
      </c>
      <c r="AJ179" s="814">
        <f t="shared" si="162"/>
        <v>0.5</v>
      </c>
      <c r="AK179" s="6">
        <f t="shared" si="163"/>
        <v>0</v>
      </c>
      <c r="AL179" s="815">
        <f t="shared" si="164"/>
        <v>0</v>
      </c>
    </row>
    <row r="180" spans="3:38" ht="12.75" customHeight="1" x14ac:dyDescent="0.2">
      <c r="C180" s="33"/>
      <c r="D180" s="638" t="str">
        <f t="shared" ref="D180:F180" si="169">IF(D148=0,"",D148)</f>
        <v/>
      </c>
      <c r="E180" s="638" t="str">
        <f t="shared" si="169"/>
        <v/>
      </c>
      <c r="F180" s="638" t="str">
        <f t="shared" si="169"/>
        <v/>
      </c>
      <c r="G180" s="639" t="str">
        <f t="shared" si="147"/>
        <v/>
      </c>
      <c r="H180" s="640" t="str">
        <f t="shared" ref="H180:I180" si="170">IF(H148=0,"",H148)</f>
        <v/>
      </c>
      <c r="I180" s="641" t="str">
        <f t="shared" si="170"/>
        <v/>
      </c>
      <c r="J180" s="639" t="str">
        <f t="shared" si="144"/>
        <v/>
      </c>
      <c r="K180" s="642" t="str">
        <f t="shared" si="149"/>
        <v/>
      </c>
      <c r="L180" s="798"/>
      <c r="M180" s="629">
        <v>0</v>
      </c>
      <c r="N180" s="881">
        <v>0</v>
      </c>
      <c r="O180" s="882" t="str">
        <f t="shared" si="150"/>
        <v/>
      </c>
      <c r="P180" s="808">
        <f t="shared" si="151"/>
        <v>0</v>
      </c>
      <c r="Q180" s="807">
        <v>0</v>
      </c>
      <c r="R180" s="304" t="str">
        <f t="shared" si="152"/>
        <v/>
      </c>
      <c r="S180" s="304" t="str">
        <f t="shared" si="153"/>
        <v/>
      </c>
      <c r="T180" s="305">
        <f>ROUND(IF(K180="",0,+Q180/1659*(AB180*12*(1+tab!$D$44+tab!$D$45)-tab!$D$43)*tab!$D$41),-1)</f>
        <v>0</v>
      </c>
      <c r="U180" s="818" t="str">
        <f t="shared" si="154"/>
        <v/>
      </c>
      <c r="V180" s="289"/>
      <c r="W180" s="682"/>
      <c r="AB180" s="812" t="str">
        <f t="shared" si="145"/>
        <v/>
      </c>
      <c r="AC180" s="848">
        <f t="shared" si="155"/>
        <v>0.60000000000000009</v>
      </c>
      <c r="AD180" s="811" t="e">
        <f t="shared" si="156"/>
        <v>#VALUE!</v>
      </c>
      <c r="AE180" s="811" t="e">
        <f t="shared" si="157"/>
        <v>#VALUE!</v>
      </c>
      <c r="AF180" s="811" t="e">
        <f t="shared" si="158"/>
        <v>#VALUE!</v>
      </c>
      <c r="AG180" s="14">
        <f t="shared" si="159"/>
        <v>0</v>
      </c>
      <c r="AH180" s="813" t="str">
        <f t="shared" si="160"/>
        <v/>
      </c>
      <c r="AI180" s="14">
        <f t="shared" si="161"/>
        <v>0</v>
      </c>
      <c r="AJ180" s="814">
        <f t="shared" si="162"/>
        <v>0.5</v>
      </c>
      <c r="AK180" s="6">
        <f t="shared" si="163"/>
        <v>0</v>
      </c>
      <c r="AL180" s="815">
        <f t="shared" si="164"/>
        <v>0</v>
      </c>
    </row>
    <row r="181" spans="3:38" ht="12.75" customHeight="1" x14ac:dyDescent="0.2">
      <c r="C181" s="33"/>
      <c r="D181" s="638" t="str">
        <f t="shared" ref="D181:F181" si="171">IF(D149=0,"",D149)</f>
        <v/>
      </c>
      <c r="E181" s="638" t="str">
        <f t="shared" si="171"/>
        <v/>
      </c>
      <c r="F181" s="638" t="str">
        <f t="shared" si="171"/>
        <v/>
      </c>
      <c r="G181" s="639" t="str">
        <f t="shared" si="147"/>
        <v/>
      </c>
      <c r="H181" s="640" t="str">
        <f t="shared" ref="H181:I181" si="172">IF(H149=0,"",H149)</f>
        <v/>
      </c>
      <c r="I181" s="641" t="str">
        <f t="shared" si="172"/>
        <v/>
      </c>
      <c r="J181" s="639" t="str">
        <f t="shared" si="144"/>
        <v/>
      </c>
      <c r="K181" s="642" t="str">
        <f t="shared" si="149"/>
        <v/>
      </c>
      <c r="L181" s="798"/>
      <c r="M181" s="629">
        <v>0</v>
      </c>
      <c r="N181" s="881">
        <v>0</v>
      </c>
      <c r="O181" s="882" t="str">
        <f t="shared" si="150"/>
        <v/>
      </c>
      <c r="P181" s="808">
        <f t="shared" si="151"/>
        <v>0</v>
      </c>
      <c r="Q181" s="807">
        <v>0</v>
      </c>
      <c r="R181" s="304" t="str">
        <f t="shared" si="152"/>
        <v/>
      </c>
      <c r="S181" s="304" t="str">
        <f t="shared" si="153"/>
        <v/>
      </c>
      <c r="T181" s="305">
        <f>ROUND(IF(K181="",0,+Q181/1659*(AB181*12*(1+tab!$D$44+tab!$D$45)-tab!$D$43)*tab!$D$41),-1)</f>
        <v>0</v>
      </c>
      <c r="U181" s="818" t="str">
        <f t="shared" si="154"/>
        <v/>
      </c>
      <c r="V181" s="289"/>
      <c r="W181" s="682"/>
      <c r="AB181" s="812" t="str">
        <f t="shared" si="145"/>
        <v/>
      </c>
      <c r="AC181" s="848">
        <f t="shared" si="155"/>
        <v>0.60000000000000009</v>
      </c>
      <c r="AD181" s="811" t="e">
        <f t="shared" si="156"/>
        <v>#VALUE!</v>
      </c>
      <c r="AE181" s="811" t="e">
        <f t="shared" si="157"/>
        <v>#VALUE!</v>
      </c>
      <c r="AF181" s="811" t="e">
        <f t="shared" si="158"/>
        <v>#VALUE!</v>
      </c>
      <c r="AG181" s="14">
        <f t="shared" si="159"/>
        <v>0</v>
      </c>
      <c r="AH181" s="813" t="str">
        <f t="shared" si="160"/>
        <v/>
      </c>
      <c r="AI181" s="14">
        <f t="shared" si="161"/>
        <v>0</v>
      </c>
      <c r="AJ181" s="814">
        <f t="shared" si="162"/>
        <v>0.5</v>
      </c>
      <c r="AK181" s="6">
        <f t="shared" si="163"/>
        <v>0</v>
      </c>
      <c r="AL181" s="815">
        <f t="shared" si="164"/>
        <v>0</v>
      </c>
    </row>
    <row r="182" spans="3:38" ht="12.75" customHeight="1" x14ac:dyDescent="0.2">
      <c r="C182" s="33"/>
      <c r="D182" s="638" t="str">
        <f t="shared" ref="D182:F182" si="173">IF(D150=0,"",D150)</f>
        <v/>
      </c>
      <c r="E182" s="638" t="str">
        <f t="shared" si="173"/>
        <v/>
      </c>
      <c r="F182" s="638" t="str">
        <f t="shared" si="173"/>
        <v/>
      </c>
      <c r="G182" s="639" t="str">
        <f t="shared" si="147"/>
        <v/>
      </c>
      <c r="H182" s="640" t="str">
        <f t="shared" ref="H182:I182" si="174">IF(H150=0,"",H150)</f>
        <v/>
      </c>
      <c r="I182" s="641" t="str">
        <f t="shared" si="174"/>
        <v/>
      </c>
      <c r="J182" s="639" t="str">
        <f t="shared" si="144"/>
        <v/>
      </c>
      <c r="K182" s="642" t="str">
        <f t="shared" si="149"/>
        <v/>
      </c>
      <c r="L182" s="798"/>
      <c r="M182" s="629">
        <v>0</v>
      </c>
      <c r="N182" s="881">
        <v>0</v>
      </c>
      <c r="O182" s="882" t="str">
        <f t="shared" si="150"/>
        <v/>
      </c>
      <c r="P182" s="808">
        <f t="shared" si="151"/>
        <v>0</v>
      </c>
      <c r="Q182" s="807">
        <v>0</v>
      </c>
      <c r="R182" s="304" t="str">
        <f t="shared" si="152"/>
        <v/>
      </c>
      <c r="S182" s="304" t="str">
        <f t="shared" si="153"/>
        <v/>
      </c>
      <c r="T182" s="305">
        <f>ROUND(IF(K182="",0,+Q182/1659*(AB182*12*(1+tab!$D$44+tab!$D$45)-tab!$D$43)*tab!$D$41),-1)</f>
        <v>0</v>
      </c>
      <c r="U182" s="818" t="str">
        <f t="shared" si="154"/>
        <v/>
      </c>
      <c r="V182" s="289"/>
      <c r="W182" s="682"/>
      <c r="AB182" s="812" t="str">
        <f t="shared" si="145"/>
        <v/>
      </c>
      <c r="AC182" s="848">
        <f t="shared" si="155"/>
        <v>0.60000000000000009</v>
      </c>
      <c r="AD182" s="811" t="e">
        <f t="shared" si="156"/>
        <v>#VALUE!</v>
      </c>
      <c r="AE182" s="811" t="e">
        <f t="shared" si="157"/>
        <v>#VALUE!</v>
      </c>
      <c r="AF182" s="811" t="e">
        <f t="shared" si="158"/>
        <v>#VALUE!</v>
      </c>
      <c r="AG182" s="14">
        <f t="shared" si="159"/>
        <v>0</v>
      </c>
      <c r="AH182" s="813" t="str">
        <f t="shared" si="160"/>
        <v/>
      </c>
      <c r="AI182" s="14">
        <f t="shared" si="161"/>
        <v>0</v>
      </c>
      <c r="AJ182" s="814">
        <f t="shared" si="162"/>
        <v>0.5</v>
      </c>
      <c r="AK182" s="6">
        <f t="shared" si="163"/>
        <v>0</v>
      </c>
      <c r="AL182" s="815">
        <f t="shared" si="164"/>
        <v>0</v>
      </c>
    </row>
    <row r="183" spans="3:38" ht="12.75" customHeight="1" x14ac:dyDescent="0.2">
      <c r="C183" s="33"/>
      <c r="D183" s="638" t="str">
        <f t="shared" ref="D183:F183" si="175">IF(D151=0,"",D151)</f>
        <v/>
      </c>
      <c r="E183" s="638" t="str">
        <f t="shared" si="175"/>
        <v/>
      </c>
      <c r="F183" s="638" t="str">
        <f t="shared" si="175"/>
        <v/>
      </c>
      <c r="G183" s="639" t="str">
        <f t="shared" si="147"/>
        <v/>
      </c>
      <c r="H183" s="640" t="str">
        <f t="shared" ref="H183:I183" si="176">IF(H151=0,"",H151)</f>
        <v/>
      </c>
      <c r="I183" s="641" t="str">
        <f t="shared" si="176"/>
        <v/>
      </c>
      <c r="J183" s="639" t="str">
        <f t="shared" si="144"/>
        <v/>
      </c>
      <c r="K183" s="642" t="str">
        <f t="shared" si="149"/>
        <v/>
      </c>
      <c r="L183" s="798"/>
      <c r="M183" s="629">
        <v>0</v>
      </c>
      <c r="N183" s="881">
        <v>0</v>
      </c>
      <c r="O183" s="882" t="str">
        <f t="shared" si="150"/>
        <v/>
      </c>
      <c r="P183" s="808">
        <f t="shared" si="151"/>
        <v>0</v>
      </c>
      <c r="Q183" s="807">
        <v>0</v>
      </c>
      <c r="R183" s="304" t="str">
        <f t="shared" si="152"/>
        <v/>
      </c>
      <c r="S183" s="304" t="str">
        <f t="shared" si="153"/>
        <v/>
      </c>
      <c r="T183" s="305">
        <f>ROUND(IF(K183="",0,+Q183/1659*(AB183*12*(1+tab!$D$44+tab!$D$45)-tab!$D$43)*tab!$D$41),-1)</f>
        <v>0</v>
      </c>
      <c r="U183" s="818" t="str">
        <f t="shared" si="154"/>
        <v/>
      </c>
      <c r="V183" s="289"/>
      <c r="W183" s="682"/>
      <c r="AB183" s="812" t="str">
        <f t="shared" si="145"/>
        <v/>
      </c>
      <c r="AC183" s="848">
        <f t="shared" si="155"/>
        <v>0.60000000000000009</v>
      </c>
      <c r="AD183" s="811" t="e">
        <f t="shared" si="156"/>
        <v>#VALUE!</v>
      </c>
      <c r="AE183" s="811" t="e">
        <f t="shared" si="157"/>
        <v>#VALUE!</v>
      </c>
      <c r="AF183" s="811" t="e">
        <f t="shared" si="158"/>
        <v>#VALUE!</v>
      </c>
      <c r="AG183" s="14">
        <f t="shared" si="159"/>
        <v>0</v>
      </c>
      <c r="AH183" s="813" t="str">
        <f t="shared" si="160"/>
        <v/>
      </c>
      <c r="AI183" s="14">
        <f t="shared" si="161"/>
        <v>0</v>
      </c>
      <c r="AJ183" s="814">
        <f t="shared" si="162"/>
        <v>0.5</v>
      </c>
      <c r="AK183" s="6">
        <f t="shared" si="163"/>
        <v>0</v>
      </c>
      <c r="AL183" s="815">
        <f t="shared" si="164"/>
        <v>0</v>
      </c>
    </row>
    <row r="184" spans="3:38" ht="12.75" customHeight="1" x14ac:dyDescent="0.2">
      <c r="C184" s="33"/>
      <c r="D184" s="638" t="str">
        <f t="shared" ref="D184:F184" si="177">IF(D152=0,"",D152)</f>
        <v/>
      </c>
      <c r="E184" s="638" t="str">
        <f t="shared" si="177"/>
        <v/>
      </c>
      <c r="F184" s="638" t="str">
        <f t="shared" si="177"/>
        <v/>
      </c>
      <c r="G184" s="639" t="str">
        <f t="shared" si="147"/>
        <v/>
      </c>
      <c r="H184" s="640" t="str">
        <f t="shared" ref="H184:I184" si="178">IF(H152=0,"",H152)</f>
        <v/>
      </c>
      <c r="I184" s="641" t="str">
        <f t="shared" si="178"/>
        <v/>
      </c>
      <c r="J184" s="639" t="str">
        <f t="shared" si="144"/>
        <v/>
      </c>
      <c r="K184" s="642" t="str">
        <f t="shared" si="149"/>
        <v/>
      </c>
      <c r="L184" s="798"/>
      <c r="M184" s="629">
        <v>0</v>
      </c>
      <c r="N184" s="881">
        <v>0</v>
      </c>
      <c r="O184" s="882" t="str">
        <f t="shared" si="150"/>
        <v/>
      </c>
      <c r="P184" s="808">
        <f t="shared" si="151"/>
        <v>0</v>
      </c>
      <c r="Q184" s="807">
        <v>0</v>
      </c>
      <c r="R184" s="304" t="str">
        <f t="shared" si="152"/>
        <v/>
      </c>
      <c r="S184" s="304" t="str">
        <f t="shared" si="153"/>
        <v/>
      </c>
      <c r="T184" s="305">
        <f>ROUND(IF(K184="",0,+Q184/1659*(AB184*12*(1+tab!$D$44+tab!$D$45)-tab!$D$43)*tab!$D$41),-1)</f>
        <v>0</v>
      </c>
      <c r="U184" s="818" t="str">
        <f t="shared" si="154"/>
        <v/>
      </c>
      <c r="V184" s="289"/>
      <c r="W184" s="682"/>
      <c r="AB184" s="812" t="str">
        <f t="shared" si="145"/>
        <v/>
      </c>
      <c r="AC184" s="848">
        <f t="shared" si="155"/>
        <v>0.60000000000000009</v>
      </c>
      <c r="AD184" s="811" t="e">
        <f t="shared" si="156"/>
        <v>#VALUE!</v>
      </c>
      <c r="AE184" s="811" t="e">
        <f t="shared" si="157"/>
        <v>#VALUE!</v>
      </c>
      <c r="AF184" s="811" t="e">
        <f t="shared" si="158"/>
        <v>#VALUE!</v>
      </c>
      <c r="AG184" s="14">
        <f t="shared" si="159"/>
        <v>0</v>
      </c>
      <c r="AH184" s="813" t="str">
        <f t="shared" si="160"/>
        <v/>
      </c>
      <c r="AI184" s="14">
        <f t="shared" si="161"/>
        <v>0</v>
      </c>
      <c r="AJ184" s="814">
        <f t="shared" si="162"/>
        <v>0.5</v>
      </c>
      <c r="AK184" s="6">
        <f t="shared" si="163"/>
        <v>0</v>
      </c>
      <c r="AL184" s="815">
        <f t="shared" si="164"/>
        <v>0</v>
      </c>
    </row>
    <row r="185" spans="3:38" ht="12.75" customHeight="1" x14ac:dyDescent="0.2">
      <c r="C185" s="33"/>
      <c r="D185" s="638" t="str">
        <f t="shared" ref="D185:F185" si="179">IF(D153=0,"",D153)</f>
        <v/>
      </c>
      <c r="E185" s="638" t="str">
        <f t="shared" si="179"/>
        <v/>
      </c>
      <c r="F185" s="638" t="str">
        <f t="shared" si="179"/>
        <v/>
      </c>
      <c r="G185" s="639" t="str">
        <f t="shared" si="147"/>
        <v/>
      </c>
      <c r="H185" s="640" t="str">
        <f t="shared" ref="H185:I185" si="180">IF(H153=0,"",H153)</f>
        <v/>
      </c>
      <c r="I185" s="641" t="str">
        <f t="shared" si="180"/>
        <v/>
      </c>
      <c r="J185" s="639" t="str">
        <f t="shared" si="144"/>
        <v/>
      </c>
      <c r="K185" s="642" t="str">
        <f t="shared" si="149"/>
        <v/>
      </c>
      <c r="L185" s="798"/>
      <c r="M185" s="629">
        <v>0</v>
      </c>
      <c r="N185" s="881">
        <v>0</v>
      </c>
      <c r="O185" s="882" t="str">
        <f t="shared" si="150"/>
        <v/>
      </c>
      <c r="P185" s="808">
        <f t="shared" si="151"/>
        <v>0</v>
      </c>
      <c r="Q185" s="807">
        <v>0</v>
      </c>
      <c r="R185" s="304" t="str">
        <f t="shared" si="152"/>
        <v/>
      </c>
      <c r="S185" s="304" t="str">
        <f t="shared" si="153"/>
        <v/>
      </c>
      <c r="T185" s="305">
        <f>ROUND(IF(K185="",0,+Q185/1659*(AB185*12*(1+tab!$D$44+tab!$D$45)-tab!$D$43)*tab!$D$41),-1)</f>
        <v>0</v>
      </c>
      <c r="U185" s="818" t="str">
        <f t="shared" si="154"/>
        <v/>
      </c>
      <c r="V185" s="289"/>
      <c r="W185" s="682"/>
      <c r="AB185" s="812" t="str">
        <f t="shared" si="145"/>
        <v/>
      </c>
      <c r="AC185" s="848">
        <f t="shared" si="155"/>
        <v>0.60000000000000009</v>
      </c>
      <c r="AD185" s="811" t="e">
        <f t="shared" si="156"/>
        <v>#VALUE!</v>
      </c>
      <c r="AE185" s="811" t="e">
        <f t="shared" si="157"/>
        <v>#VALUE!</v>
      </c>
      <c r="AF185" s="811" t="e">
        <f t="shared" si="158"/>
        <v>#VALUE!</v>
      </c>
      <c r="AG185" s="14">
        <f t="shared" si="159"/>
        <v>0</v>
      </c>
      <c r="AH185" s="813" t="str">
        <f t="shared" si="160"/>
        <v/>
      </c>
      <c r="AI185" s="14">
        <f t="shared" si="161"/>
        <v>0</v>
      </c>
      <c r="AJ185" s="814">
        <f t="shared" si="162"/>
        <v>0.5</v>
      </c>
      <c r="AK185" s="6">
        <f t="shared" si="163"/>
        <v>0</v>
      </c>
      <c r="AL185" s="815">
        <f t="shared" si="164"/>
        <v>0</v>
      </c>
    </row>
    <row r="186" spans="3:38" ht="12.75" customHeight="1" x14ac:dyDescent="0.2">
      <c r="C186" s="33"/>
      <c r="D186" s="638" t="str">
        <f t="shared" ref="D186:F186" si="181">IF(D154=0,"",D154)</f>
        <v/>
      </c>
      <c r="E186" s="638" t="str">
        <f t="shared" si="181"/>
        <v/>
      </c>
      <c r="F186" s="638" t="str">
        <f t="shared" si="181"/>
        <v/>
      </c>
      <c r="G186" s="639" t="str">
        <f t="shared" si="147"/>
        <v/>
      </c>
      <c r="H186" s="640" t="str">
        <f t="shared" ref="H186:I186" si="182">IF(H154=0,"",H154)</f>
        <v/>
      </c>
      <c r="I186" s="641" t="str">
        <f t="shared" si="182"/>
        <v/>
      </c>
      <c r="J186" s="639" t="str">
        <f t="shared" si="144"/>
        <v/>
      </c>
      <c r="K186" s="642" t="str">
        <f t="shared" si="149"/>
        <v/>
      </c>
      <c r="L186" s="798"/>
      <c r="M186" s="629">
        <v>0</v>
      </c>
      <c r="N186" s="881">
        <v>0</v>
      </c>
      <c r="O186" s="882" t="str">
        <f t="shared" si="150"/>
        <v/>
      </c>
      <c r="P186" s="808">
        <f t="shared" si="151"/>
        <v>0</v>
      </c>
      <c r="Q186" s="807">
        <v>0</v>
      </c>
      <c r="R186" s="304" t="str">
        <f t="shared" si="152"/>
        <v/>
      </c>
      <c r="S186" s="304" t="str">
        <f t="shared" si="153"/>
        <v/>
      </c>
      <c r="T186" s="305">
        <f>ROUND(IF(K186="",0,+Q186/1659*(AB186*12*(1+tab!$D$44+tab!$D$45)-tab!$D$43)*tab!$D$41),-1)</f>
        <v>0</v>
      </c>
      <c r="U186" s="818" t="str">
        <f t="shared" si="154"/>
        <v/>
      </c>
      <c r="V186" s="289"/>
      <c r="W186" s="682"/>
      <c r="AB186" s="812" t="str">
        <f t="shared" si="145"/>
        <v/>
      </c>
      <c r="AC186" s="848">
        <f t="shared" si="155"/>
        <v>0.60000000000000009</v>
      </c>
      <c r="AD186" s="811" t="e">
        <f t="shared" si="156"/>
        <v>#VALUE!</v>
      </c>
      <c r="AE186" s="811" t="e">
        <f t="shared" si="157"/>
        <v>#VALUE!</v>
      </c>
      <c r="AF186" s="811" t="e">
        <f t="shared" si="158"/>
        <v>#VALUE!</v>
      </c>
      <c r="AG186" s="14">
        <f t="shared" si="159"/>
        <v>0</v>
      </c>
      <c r="AH186" s="813" t="str">
        <f t="shared" si="160"/>
        <v/>
      </c>
      <c r="AI186" s="14">
        <f t="shared" si="161"/>
        <v>0</v>
      </c>
      <c r="AJ186" s="814">
        <f t="shared" si="162"/>
        <v>0.5</v>
      </c>
      <c r="AK186" s="6">
        <f t="shared" si="163"/>
        <v>0</v>
      </c>
      <c r="AL186" s="815">
        <f t="shared" si="164"/>
        <v>0</v>
      </c>
    </row>
    <row r="187" spans="3:38" ht="12.75" customHeight="1" x14ac:dyDescent="0.2">
      <c r="C187" s="33"/>
      <c r="D187" s="638" t="str">
        <f t="shared" ref="D187:F187" si="183">IF(D155=0,"",D155)</f>
        <v/>
      </c>
      <c r="E187" s="638" t="str">
        <f t="shared" si="183"/>
        <v/>
      </c>
      <c r="F187" s="638" t="str">
        <f t="shared" si="183"/>
        <v/>
      </c>
      <c r="G187" s="639" t="str">
        <f t="shared" si="147"/>
        <v/>
      </c>
      <c r="H187" s="640" t="str">
        <f t="shared" ref="H187:I187" si="184">IF(H155=0,"",H155)</f>
        <v/>
      </c>
      <c r="I187" s="641" t="str">
        <f t="shared" si="184"/>
        <v/>
      </c>
      <c r="J187" s="639" t="str">
        <f t="shared" si="144"/>
        <v/>
      </c>
      <c r="K187" s="642" t="str">
        <f t="shared" si="149"/>
        <v/>
      </c>
      <c r="L187" s="798"/>
      <c r="M187" s="629">
        <v>0</v>
      </c>
      <c r="N187" s="881">
        <v>0</v>
      </c>
      <c r="O187" s="882" t="str">
        <f t="shared" si="150"/>
        <v/>
      </c>
      <c r="P187" s="808">
        <f t="shared" si="151"/>
        <v>0</v>
      </c>
      <c r="Q187" s="807">
        <v>0</v>
      </c>
      <c r="R187" s="304" t="str">
        <f t="shared" si="152"/>
        <v/>
      </c>
      <c r="S187" s="304" t="str">
        <f t="shared" si="153"/>
        <v/>
      </c>
      <c r="T187" s="305">
        <f>ROUND(IF(K187="",0,+Q187/1659*(AB187*12*(1+tab!$D$44+tab!$D$45)-tab!$D$43)*tab!$D$41),-1)</f>
        <v>0</v>
      </c>
      <c r="U187" s="818" t="str">
        <f t="shared" si="154"/>
        <v/>
      </c>
      <c r="V187" s="289"/>
      <c r="W187" s="682"/>
      <c r="AB187" s="812" t="str">
        <f t="shared" si="145"/>
        <v/>
      </c>
      <c r="AC187" s="848">
        <f t="shared" si="155"/>
        <v>0.60000000000000009</v>
      </c>
      <c r="AD187" s="811" t="e">
        <f t="shared" si="156"/>
        <v>#VALUE!</v>
      </c>
      <c r="AE187" s="811" t="e">
        <f t="shared" si="157"/>
        <v>#VALUE!</v>
      </c>
      <c r="AF187" s="811" t="e">
        <f t="shared" si="158"/>
        <v>#VALUE!</v>
      </c>
      <c r="AG187" s="14">
        <f t="shared" si="159"/>
        <v>0</v>
      </c>
      <c r="AH187" s="813" t="str">
        <f t="shared" si="160"/>
        <v/>
      </c>
      <c r="AI187" s="14">
        <f t="shared" si="161"/>
        <v>0</v>
      </c>
      <c r="AJ187" s="814">
        <f t="shared" si="162"/>
        <v>0.5</v>
      </c>
      <c r="AK187" s="6">
        <f t="shared" si="163"/>
        <v>0</v>
      </c>
      <c r="AL187" s="815">
        <f t="shared" si="164"/>
        <v>0</v>
      </c>
    </row>
    <row r="188" spans="3:38" ht="12.75" customHeight="1" x14ac:dyDescent="0.2">
      <c r="C188" s="33"/>
      <c r="D188" s="638" t="str">
        <f t="shared" ref="D188:F188" si="185">IF(D156=0,"",D156)</f>
        <v/>
      </c>
      <c r="E188" s="638" t="str">
        <f t="shared" si="185"/>
        <v/>
      </c>
      <c r="F188" s="638" t="str">
        <f t="shared" si="185"/>
        <v/>
      </c>
      <c r="G188" s="639" t="str">
        <f t="shared" si="147"/>
        <v/>
      </c>
      <c r="H188" s="640" t="str">
        <f t="shared" ref="H188:I188" si="186">IF(H156=0,"",H156)</f>
        <v/>
      </c>
      <c r="I188" s="641" t="str">
        <f t="shared" si="186"/>
        <v/>
      </c>
      <c r="J188" s="639" t="str">
        <f t="shared" si="144"/>
        <v/>
      </c>
      <c r="K188" s="642" t="str">
        <f t="shared" si="149"/>
        <v/>
      </c>
      <c r="L188" s="798"/>
      <c r="M188" s="629">
        <v>0</v>
      </c>
      <c r="N188" s="881">
        <v>0</v>
      </c>
      <c r="O188" s="882" t="str">
        <f t="shared" si="150"/>
        <v/>
      </c>
      <c r="P188" s="808">
        <f t="shared" si="151"/>
        <v>0</v>
      </c>
      <c r="Q188" s="807">
        <v>0</v>
      </c>
      <c r="R188" s="304" t="str">
        <f t="shared" si="152"/>
        <v/>
      </c>
      <c r="S188" s="304" t="str">
        <f t="shared" si="153"/>
        <v/>
      </c>
      <c r="T188" s="305">
        <f>ROUND(IF(K188="",0,+Q188/1659*(AB188*12*(1+tab!$D$44+tab!$D$45)-tab!$D$43)*tab!$D$41),-1)</f>
        <v>0</v>
      </c>
      <c r="U188" s="818" t="str">
        <f t="shared" si="154"/>
        <v/>
      </c>
      <c r="V188" s="289"/>
      <c r="W188" s="682"/>
      <c r="AB188" s="812" t="str">
        <f t="shared" si="145"/>
        <v/>
      </c>
      <c r="AC188" s="848">
        <f t="shared" si="155"/>
        <v>0.60000000000000009</v>
      </c>
      <c r="AD188" s="811" t="e">
        <f t="shared" si="156"/>
        <v>#VALUE!</v>
      </c>
      <c r="AE188" s="811" t="e">
        <f t="shared" si="157"/>
        <v>#VALUE!</v>
      </c>
      <c r="AF188" s="811" t="e">
        <f t="shared" si="158"/>
        <v>#VALUE!</v>
      </c>
      <c r="AG188" s="14">
        <f t="shared" si="159"/>
        <v>0</v>
      </c>
      <c r="AH188" s="813" t="str">
        <f t="shared" si="160"/>
        <v/>
      </c>
      <c r="AI188" s="14">
        <f t="shared" si="161"/>
        <v>0</v>
      </c>
      <c r="AJ188" s="814">
        <f t="shared" si="162"/>
        <v>0.5</v>
      </c>
      <c r="AK188" s="6">
        <f t="shared" si="163"/>
        <v>0</v>
      </c>
      <c r="AL188" s="815">
        <f t="shared" si="164"/>
        <v>0</v>
      </c>
    </row>
    <row r="189" spans="3:38" ht="12.75" customHeight="1" x14ac:dyDescent="0.2">
      <c r="C189" s="33"/>
      <c r="D189" s="638" t="str">
        <f t="shared" ref="D189:F189" si="187">IF(D157=0,"",D157)</f>
        <v/>
      </c>
      <c r="E189" s="638" t="str">
        <f t="shared" si="187"/>
        <v/>
      </c>
      <c r="F189" s="638" t="str">
        <f t="shared" si="187"/>
        <v/>
      </c>
      <c r="G189" s="639" t="str">
        <f t="shared" si="147"/>
        <v/>
      </c>
      <c r="H189" s="640" t="str">
        <f t="shared" ref="H189:I189" si="188">IF(H157=0,"",H157)</f>
        <v/>
      </c>
      <c r="I189" s="641" t="str">
        <f t="shared" si="188"/>
        <v/>
      </c>
      <c r="J189" s="639" t="str">
        <f t="shared" si="144"/>
        <v/>
      </c>
      <c r="K189" s="642" t="str">
        <f t="shared" si="149"/>
        <v/>
      </c>
      <c r="L189" s="798"/>
      <c r="M189" s="629">
        <v>0</v>
      </c>
      <c r="N189" s="881">
        <v>0</v>
      </c>
      <c r="O189" s="882" t="str">
        <f t="shared" si="150"/>
        <v/>
      </c>
      <c r="P189" s="808">
        <f t="shared" si="151"/>
        <v>0</v>
      </c>
      <c r="Q189" s="807">
        <v>0</v>
      </c>
      <c r="R189" s="304" t="str">
        <f t="shared" si="152"/>
        <v/>
      </c>
      <c r="S189" s="304" t="str">
        <f t="shared" si="153"/>
        <v/>
      </c>
      <c r="T189" s="305">
        <f>ROUND(IF(K189="",0,+Q189/1659*(AB189*12*(1+tab!$D$44+tab!$D$45)-tab!$D$43)*tab!$D$41),-1)</f>
        <v>0</v>
      </c>
      <c r="U189" s="818" t="str">
        <f t="shared" si="154"/>
        <v/>
      </c>
      <c r="V189" s="289"/>
      <c r="W189" s="682"/>
      <c r="AB189" s="812" t="str">
        <f t="shared" si="145"/>
        <v/>
      </c>
      <c r="AC189" s="848">
        <f t="shared" si="155"/>
        <v>0.60000000000000009</v>
      </c>
      <c r="AD189" s="811" t="e">
        <f t="shared" si="156"/>
        <v>#VALUE!</v>
      </c>
      <c r="AE189" s="811" t="e">
        <f t="shared" si="157"/>
        <v>#VALUE!</v>
      </c>
      <c r="AF189" s="811" t="e">
        <f t="shared" si="158"/>
        <v>#VALUE!</v>
      </c>
      <c r="AG189" s="14">
        <f t="shared" si="159"/>
        <v>0</v>
      </c>
      <c r="AH189" s="813" t="str">
        <f t="shared" si="160"/>
        <v/>
      </c>
      <c r="AI189" s="14">
        <f t="shared" si="161"/>
        <v>0</v>
      </c>
      <c r="AJ189" s="814">
        <f t="shared" si="162"/>
        <v>0.5</v>
      </c>
      <c r="AK189" s="6">
        <f t="shared" si="163"/>
        <v>0</v>
      </c>
      <c r="AL189" s="815">
        <f t="shared" si="164"/>
        <v>0</v>
      </c>
    </row>
    <row r="190" spans="3:38" ht="12.75" customHeight="1" x14ac:dyDescent="0.2">
      <c r="C190" s="33"/>
      <c r="D190" s="638" t="str">
        <f t="shared" ref="D190:F190" si="189">IF(D158=0,"",D158)</f>
        <v/>
      </c>
      <c r="E190" s="638" t="str">
        <f t="shared" si="189"/>
        <v/>
      </c>
      <c r="F190" s="638" t="str">
        <f t="shared" si="189"/>
        <v/>
      </c>
      <c r="G190" s="639" t="str">
        <f t="shared" si="147"/>
        <v/>
      </c>
      <c r="H190" s="640" t="str">
        <f t="shared" ref="H190:I190" si="190">IF(H158=0,"",H158)</f>
        <v/>
      </c>
      <c r="I190" s="641" t="str">
        <f t="shared" si="190"/>
        <v/>
      </c>
      <c r="J190" s="639" t="str">
        <f t="shared" si="144"/>
        <v/>
      </c>
      <c r="K190" s="642" t="str">
        <f t="shared" si="149"/>
        <v/>
      </c>
      <c r="L190" s="798"/>
      <c r="M190" s="629">
        <v>0</v>
      </c>
      <c r="N190" s="881">
        <v>0</v>
      </c>
      <c r="O190" s="882" t="str">
        <f t="shared" si="150"/>
        <v/>
      </c>
      <c r="P190" s="808">
        <f t="shared" si="151"/>
        <v>0</v>
      </c>
      <c r="Q190" s="807">
        <v>0</v>
      </c>
      <c r="R190" s="304" t="str">
        <f t="shared" si="152"/>
        <v/>
      </c>
      <c r="S190" s="304" t="str">
        <f t="shared" si="153"/>
        <v/>
      </c>
      <c r="T190" s="305">
        <f>ROUND(IF(K190="",0,+Q190/1659*(AB190*12*(1+tab!$D$44+tab!$D$45)-tab!$D$43)*tab!$D$41),-1)</f>
        <v>0</v>
      </c>
      <c r="U190" s="818" t="str">
        <f t="shared" si="154"/>
        <v/>
      </c>
      <c r="V190" s="289"/>
      <c r="W190" s="682"/>
      <c r="AB190" s="812" t="str">
        <f t="shared" si="145"/>
        <v/>
      </c>
      <c r="AC190" s="848">
        <f t="shared" si="155"/>
        <v>0.60000000000000009</v>
      </c>
      <c r="AD190" s="811" t="e">
        <f t="shared" si="156"/>
        <v>#VALUE!</v>
      </c>
      <c r="AE190" s="811" t="e">
        <f t="shared" si="157"/>
        <v>#VALUE!</v>
      </c>
      <c r="AF190" s="811" t="e">
        <f t="shared" si="158"/>
        <v>#VALUE!</v>
      </c>
      <c r="AG190" s="14">
        <f t="shared" si="159"/>
        <v>0</v>
      </c>
      <c r="AH190" s="813" t="str">
        <f t="shared" si="160"/>
        <v/>
      </c>
      <c r="AI190" s="14">
        <f t="shared" si="161"/>
        <v>0</v>
      </c>
      <c r="AJ190" s="814">
        <f t="shared" si="162"/>
        <v>0.5</v>
      </c>
      <c r="AK190" s="6">
        <f t="shared" si="163"/>
        <v>0</v>
      </c>
      <c r="AL190" s="815">
        <f t="shared" si="164"/>
        <v>0</v>
      </c>
    </row>
    <row r="191" spans="3:38" ht="12.75" customHeight="1" x14ac:dyDescent="0.2">
      <c r="C191" s="33"/>
      <c r="D191" s="638" t="str">
        <f t="shared" ref="D191:F191" si="191">IF(D159=0,"",D159)</f>
        <v/>
      </c>
      <c r="E191" s="638" t="str">
        <f t="shared" si="191"/>
        <v/>
      </c>
      <c r="F191" s="638" t="str">
        <f t="shared" si="191"/>
        <v/>
      </c>
      <c r="G191" s="639" t="str">
        <f t="shared" si="147"/>
        <v/>
      </c>
      <c r="H191" s="640" t="str">
        <f t="shared" ref="H191:I191" si="192">IF(H159=0,"",H159)</f>
        <v/>
      </c>
      <c r="I191" s="641" t="str">
        <f t="shared" si="192"/>
        <v/>
      </c>
      <c r="J191" s="639" t="str">
        <f t="shared" si="144"/>
        <v/>
      </c>
      <c r="K191" s="642" t="str">
        <f t="shared" si="149"/>
        <v/>
      </c>
      <c r="L191" s="798"/>
      <c r="M191" s="629">
        <v>0</v>
      </c>
      <c r="N191" s="881">
        <v>0</v>
      </c>
      <c r="O191" s="882" t="str">
        <f t="shared" si="150"/>
        <v/>
      </c>
      <c r="P191" s="808">
        <f t="shared" si="151"/>
        <v>0</v>
      </c>
      <c r="Q191" s="807">
        <v>0</v>
      </c>
      <c r="R191" s="304" t="str">
        <f t="shared" si="152"/>
        <v/>
      </c>
      <c r="S191" s="304" t="str">
        <f t="shared" si="153"/>
        <v/>
      </c>
      <c r="T191" s="305">
        <f>ROUND(IF(K191="",0,+Q191/1659*(AB191*12*(1+tab!$D$44+tab!$D$45)-tab!$D$43)*tab!$D$41),-1)</f>
        <v>0</v>
      </c>
      <c r="U191" s="818" t="str">
        <f t="shared" si="154"/>
        <v/>
      </c>
      <c r="V191" s="289"/>
      <c r="W191" s="682"/>
      <c r="AB191" s="812" t="str">
        <f t="shared" si="145"/>
        <v/>
      </c>
      <c r="AC191" s="848">
        <f t="shared" si="155"/>
        <v>0.60000000000000009</v>
      </c>
      <c r="AD191" s="811" t="e">
        <f t="shared" si="156"/>
        <v>#VALUE!</v>
      </c>
      <c r="AE191" s="811" t="e">
        <f t="shared" si="157"/>
        <v>#VALUE!</v>
      </c>
      <c r="AF191" s="811" t="e">
        <f t="shared" si="158"/>
        <v>#VALUE!</v>
      </c>
      <c r="AG191" s="14">
        <f t="shared" si="159"/>
        <v>0</v>
      </c>
      <c r="AH191" s="813" t="str">
        <f t="shared" si="160"/>
        <v/>
      </c>
      <c r="AI191" s="14">
        <f t="shared" si="161"/>
        <v>0</v>
      </c>
      <c r="AJ191" s="814">
        <f t="shared" si="162"/>
        <v>0.5</v>
      </c>
      <c r="AK191" s="6">
        <f t="shared" si="163"/>
        <v>0</v>
      </c>
      <c r="AL191" s="815">
        <f t="shared" si="164"/>
        <v>0</v>
      </c>
    </row>
    <row r="192" spans="3:38" ht="12.75" customHeight="1" x14ac:dyDescent="0.2">
      <c r="C192" s="33"/>
      <c r="D192" s="638" t="str">
        <f t="shared" ref="D192:F192" si="193">IF(D160=0,"",D160)</f>
        <v/>
      </c>
      <c r="E192" s="638" t="str">
        <f t="shared" si="193"/>
        <v/>
      </c>
      <c r="F192" s="638" t="str">
        <f t="shared" si="193"/>
        <v/>
      </c>
      <c r="G192" s="639" t="str">
        <f t="shared" si="147"/>
        <v/>
      </c>
      <c r="H192" s="640" t="str">
        <f t="shared" ref="H192:I192" si="194">IF(H160=0,"",H160)</f>
        <v/>
      </c>
      <c r="I192" s="641" t="str">
        <f t="shared" si="194"/>
        <v/>
      </c>
      <c r="J192" s="639" t="str">
        <f t="shared" si="144"/>
        <v/>
      </c>
      <c r="K192" s="642" t="str">
        <f t="shared" si="149"/>
        <v/>
      </c>
      <c r="L192" s="798"/>
      <c r="M192" s="629">
        <v>0</v>
      </c>
      <c r="N192" s="881">
        <v>0</v>
      </c>
      <c r="O192" s="882" t="str">
        <f t="shared" si="150"/>
        <v/>
      </c>
      <c r="P192" s="808">
        <f t="shared" si="151"/>
        <v>0</v>
      </c>
      <c r="Q192" s="807">
        <v>0</v>
      </c>
      <c r="R192" s="304" t="str">
        <f t="shared" si="152"/>
        <v/>
      </c>
      <c r="S192" s="304" t="str">
        <f t="shared" si="153"/>
        <v/>
      </c>
      <c r="T192" s="305">
        <f>ROUND(IF(K192="",0,+Q192/1659*(AB192*12*(1+tab!$D$44+tab!$D$45)-tab!$D$43)*tab!$D$41),-1)</f>
        <v>0</v>
      </c>
      <c r="U192" s="818" t="str">
        <f t="shared" si="154"/>
        <v/>
      </c>
      <c r="V192" s="289"/>
      <c r="W192" s="682"/>
      <c r="AB192" s="812" t="str">
        <f t="shared" si="145"/>
        <v/>
      </c>
      <c r="AC192" s="848">
        <f t="shared" si="155"/>
        <v>0.60000000000000009</v>
      </c>
      <c r="AD192" s="811" t="e">
        <f t="shared" si="156"/>
        <v>#VALUE!</v>
      </c>
      <c r="AE192" s="811" t="e">
        <f t="shared" si="157"/>
        <v>#VALUE!</v>
      </c>
      <c r="AF192" s="811" t="e">
        <f t="shared" si="158"/>
        <v>#VALUE!</v>
      </c>
      <c r="AG192" s="14">
        <f t="shared" si="159"/>
        <v>0</v>
      </c>
      <c r="AH192" s="813" t="str">
        <f t="shared" si="160"/>
        <v/>
      </c>
      <c r="AI192" s="14">
        <f t="shared" si="161"/>
        <v>0</v>
      </c>
      <c r="AJ192" s="814">
        <f t="shared" si="162"/>
        <v>0.5</v>
      </c>
      <c r="AK192" s="6">
        <f t="shared" si="163"/>
        <v>0</v>
      </c>
      <c r="AL192" s="815">
        <f t="shared" si="164"/>
        <v>0</v>
      </c>
    </row>
    <row r="193" spans="3:46" ht="12.75" customHeight="1" x14ac:dyDescent="0.2">
      <c r="C193" s="33"/>
      <c r="D193" s="638" t="str">
        <f t="shared" ref="D193:F193" si="195">IF(D161=0,"",D161)</f>
        <v/>
      </c>
      <c r="E193" s="638" t="str">
        <f t="shared" si="195"/>
        <v/>
      </c>
      <c r="F193" s="638" t="str">
        <f t="shared" si="195"/>
        <v/>
      </c>
      <c r="G193" s="639" t="str">
        <f t="shared" si="147"/>
        <v/>
      </c>
      <c r="H193" s="640" t="str">
        <f t="shared" ref="H193:I193" si="196">IF(H161=0,"",H161)</f>
        <v/>
      </c>
      <c r="I193" s="641" t="str">
        <f t="shared" si="196"/>
        <v/>
      </c>
      <c r="J193" s="639" t="str">
        <f t="shared" si="144"/>
        <v/>
      </c>
      <c r="K193" s="642" t="str">
        <f t="shared" si="149"/>
        <v/>
      </c>
      <c r="L193" s="798"/>
      <c r="M193" s="629">
        <v>0</v>
      </c>
      <c r="N193" s="881">
        <v>0</v>
      </c>
      <c r="O193" s="882" t="str">
        <f t="shared" si="150"/>
        <v/>
      </c>
      <c r="P193" s="808">
        <f t="shared" si="151"/>
        <v>0</v>
      </c>
      <c r="Q193" s="807">
        <v>0</v>
      </c>
      <c r="R193" s="304" t="str">
        <f t="shared" si="152"/>
        <v/>
      </c>
      <c r="S193" s="304" t="str">
        <f t="shared" si="153"/>
        <v/>
      </c>
      <c r="T193" s="305">
        <f>ROUND(IF(K193="",0,+Q193/1659*(AB193*12*(1+tab!$D$44+tab!$D$45)-tab!$D$43)*tab!$D$41),-1)</f>
        <v>0</v>
      </c>
      <c r="U193" s="818" t="str">
        <f t="shared" si="154"/>
        <v/>
      </c>
      <c r="V193" s="289"/>
      <c r="W193" s="682"/>
      <c r="AB193" s="812" t="str">
        <f t="shared" si="145"/>
        <v/>
      </c>
      <c r="AC193" s="848">
        <f t="shared" si="155"/>
        <v>0.60000000000000009</v>
      </c>
      <c r="AD193" s="811" t="e">
        <f t="shared" si="156"/>
        <v>#VALUE!</v>
      </c>
      <c r="AE193" s="811" t="e">
        <f t="shared" si="157"/>
        <v>#VALUE!</v>
      </c>
      <c r="AF193" s="811" t="e">
        <f t="shared" si="158"/>
        <v>#VALUE!</v>
      </c>
      <c r="AG193" s="14">
        <f t="shared" si="159"/>
        <v>0</v>
      </c>
      <c r="AH193" s="813" t="str">
        <f t="shared" si="160"/>
        <v/>
      </c>
      <c r="AI193" s="14">
        <f t="shared" si="161"/>
        <v>0</v>
      </c>
      <c r="AJ193" s="814">
        <f t="shared" si="162"/>
        <v>0.5</v>
      </c>
      <c r="AK193" s="6">
        <f t="shared" si="163"/>
        <v>0</v>
      </c>
      <c r="AL193" s="815">
        <f t="shared" si="164"/>
        <v>0</v>
      </c>
    </row>
    <row r="194" spans="3:46" ht="12.75" customHeight="1" x14ac:dyDescent="0.2">
      <c r="C194" s="33"/>
      <c r="D194" s="638" t="str">
        <f t="shared" ref="D194:F194" si="197">IF(D162=0,"",D162)</f>
        <v/>
      </c>
      <c r="E194" s="638" t="str">
        <f t="shared" si="197"/>
        <v/>
      </c>
      <c r="F194" s="638" t="str">
        <f t="shared" si="197"/>
        <v/>
      </c>
      <c r="G194" s="639" t="str">
        <f t="shared" si="147"/>
        <v/>
      </c>
      <c r="H194" s="640" t="str">
        <f t="shared" ref="H194:I194" si="198">IF(H162=0,"",H162)</f>
        <v/>
      </c>
      <c r="I194" s="641" t="str">
        <f t="shared" si="198"/>
        <v/>
      </c>
      <c r="J194" s="639" t="str">
        <f t="shared" si="144"/>
        <v/>
      </c>
      <c r="K194" s="642" t="str">
        <f t="shared" si="149"/>
        <v/>
      </c>
      <c r="L194" s="798"/>
      <c r="M194" s="629">
        <v>0</v>
      </c>
      <c r="N194" s="881">
        <v>0</v>
      </c>
      <c r="O194" s="882" t="str">
        <f t="shared" si="150"/>
        <v/>
      </c>
      <c r="P194" s="808">
        <f t="shared" si="151"/>
        <v>0</v>
      </c>
      <c r="Q194" s="807">
        <v>0</v>
      </c>
      <c r="R194" s="304" t="str">
        <f t="shared" si="152"/>
        <v/>
      </c>
      <c r="S194" s="304" t="str">
        <f t="shared" si="153"/>
        <v/>
      </c>
      <c r="T194" s="305">
        <f>ROUND(IF(K194="",0,+Q194/1659*(AB194*12*(1+tab!$D$44+tab!$D$45)-tab!$D$43)*tab!$D$41),-1)</f>
        <v>0</v>
      </c>
      <c r="U194" s="818" t="str">
        <f t="shared" si="154"/>
        <v/>
      </c>
      <c r="V194" s="289"/>
      <c r="W194" s="682"/>
      <c r="AB194" s="812" t="str">
        <f t="shared" si="145"/>
        <v/>
      </c>
      <c r="AC194" s="848">
        <f t="shared" si="155"/>
        <v>0.60000000000000009</v>
      </c>
      <c r="AD194" s="811" t="e">
        <f t="shared" si="156"/>
        <v>#VALUE!</v>
      </c>
      <c r="AE194" s="811" t="e">
        <f t="shared" si="157"/>
        <v>#VALUE!</v>
      </c>
      <c r="AF194" s="811" t="e">
        <f t="shared" si="158"/>
        <v>#VALUE!</v>
      </c>
      <c r="AG194" s="14">
        <f t="shared" si="159"/>
        <v>0</v>
      </c>
      <c r="AH194" s="813" t="str">
        <f t="shared" si="160"/>
        <v/>
      </c>
      <c r="AI194" s="14">
        <f t="shared" si="161"/>
        <v>0</v>
      </c>
      <c r="AJ194" s="814">
        <f t="shared" si="162"/>
        <v>0.5</v>
      </c>
      <c r="AK194" s="6">
        <f t="shared" si="163"/>
        <v>0</v>
      </c>
      <c r="AL194" s="815">
        <f t="shared" si="164"/>
        <v>0</v>
      </c>
    </row>
    <row r="195" spans="3:46" ht="12.75" customHeight="1" x14ac:dyDescent="0.2">
      <c r="C195" s="33"/>
      <c r="D195" s="638" t="str">
        <f t="shared" ref="D195:F195" si="199">IF(D163=0,"",D163)</f>
        <v/>
      </c>
      <c r="E195" s="638" t="str">
        <f t="shared" si="199"/>
        <v/>
      </c>
      <c r="F195" s="638" t="str">
        <f t="shared" si="199"/>
        <v/>
      </c>
      <c r="G195" s="639" t="str">
        <f t="shared" si="147"/>
        <v/>
      </c>
      <c r="H195" s="640" t="str">
        <f t="shared" ref="H195:I195" si="200">IF(H163=0,"",H163)</f>
        <v/>
      </c>
      <c r="I195" s="641" t="str">
        <f t="shared" si="200"/>
        <v/>
      </c>
      <c r="J195" s="639" t="str">
        <f t="shared" si="144"/>
        <v/>
      </c>
      <c r="K195" s="642" t="str">
        <f t="shared" si="149"/>
        <v/>
      </c>
      <c r="L195" s="798"/>
      <c r="M195" s="629">
        <v>0</v>
      </c>
      <c r="N195" s="881">
        <v>0</v>
      </c>
      <c r="O195" s="882" t="str">
        <f t="shared" si="150"/>
        <v/>
      </c>
      <c r="P195" s="808">
        <f t="shared" si="151"/>
        <v>0</v>
      </c>
      <c r="Q195" s="807">
        <v>0</v>
      </c>
      <c r="R195" s="304" t="str">
        <f t="shared" si="152"/>
        <v/>
      </c>
      <c r="S195" s="304" t="str">
        <f t="shared" si="153"/>
        <v/>
      </c>
      <c r="T195" s="305">
        <f>ROUND(IF(K195="",0,+Q195/1659*(AB195*12*(1+tab!$D$44+tab!$D$45)-tab!$D$43)*tab!$D$41),-1)</f>
        <v>0</v>
      </c>
      <c r="U195" s="818" t="str">
        <f t="shared" si="154"/>
        <v/>
      </c>
      <c r="V195" s="289"/>
      <c r="W195" s="682"/>
      <c r="AB195" s="812" t="str">
        <f t="shared" si="145"/>
        <v/>
      </c>
      <c r="AC195" s="848">
        <f t="shared" si="155"/>
        <v>0.60000000000000009</v>
      </c>
      <c r="AD195" s="811" t="e">
        <f t="shared" si="156"/>
        <v>#VALUE!</v>
      </c>
      <c r="AE195" s="811" t="e">
        <f t="shared" si="157"/>
        <v>#VALUE!</v>
      </c>
      <c r="AF195" s="811" t="e">
        <f t="shared" si="158"/>
        <v>#VALUE!</v>
      </c>
      <c r="AG195" s="14">
        <f t="shared" si="159"/>
        <v>0</v>
      </c>
      <c r="AH195" s="813" t="str">
        <f t="shared" si="160"/>
        <v/>
      </c>
      <c r="AI195" s="14">
        <f t="shared" si="161"/>
        <v>0</v>
      </c>
      <c r="AJ195" s="814">
        <f t="shared" si="162"/>
        <v>0.5</v>
      </c>
      <c r="AK195" s="6">
        <f t="shared" si="163"/>
        <v>0</v>
      </c>
      <c r="AL195" s="815">
        <f t="shared" si="164"/>
        <v>0</v>
      </c>
    </row>
    <row r="196" spans="3:46" x14ac:dyDescent="0.2">
      <c r="C196" s="33"/>
      <c r="D196" s="290"/>
      <c r="E196" s="290"/>
      <c r="F196" s="290"/>
      <c r="G196" s="150"/>
      <c r="H196" s="291"/>
      <c r="I196" s="150"/>
      <c r="J196" s="150"/>
      <c r="K196" s="306">
        <f>SUM(K176:K195)</f>
        <v>1</v>
      </c>
      <c r="L196" s="793"/>
      <c r="M196" s="806">
        <f t="shared" ref="M196:U196" si="201">SUM(M176:M195)</f>
        <v>0</v>
      </c>
      <c r="N196" s="806">
        <f t="shared" si="201"/>
        <v>0</v>
      </c>
      <c r="O196" s="806">
        <f t="shared" si="201"/>
        <v>50</v>
      </c>
      <c r="P196" s="806">
        <f t="shared" si="201"/>
        <v>50</v>
      </c>
      <c r="Q196" s="806">
        <f t="shared" si="201"/>
        <v>0</v>
      </c>
      <c r="R196" s="816">
        <f t="shared" si="201"/>
        <v>105340.90994575046</v>
      </c>
      <c r="S196" s="816">
        <f t="shared" si="201"/>
        <v>3273.4900542495479</v>
      </c>
      <c r="T196" s="816">
        <f t="shared" si="201"/>
        <v>0</v>
      </c>
      <c r="U196" s="817">
        <f t="shared" si="201"/>
        <v>108614.40000000001</v>
      </c>
      <c r="V196" s="144"/>
      <c r="W196" s="682"/>
      <c r="AB196" s="812">
        <f>SUM(AB176:AB195)</f>
        <v>5657</v>
      </c>
      <c r="AL196" s="815">
        <f>SUM(AL176:AL195)</f>
        <v>0</v>
      </c>
    </row>
    <row r="197" spans="3:46" s="7" customFormat="1" x14ac:dyDescent="0.2">
      <c r="D197" s="213"/>
      <c r="E197" s="213"/>
      <c r="F197" s="213"/>
      <c r="G197" s="214"/>
      <c r="H197" s="215"/>
      <c r="I197" s="214"/>
      <c r="J197" s="214"/>
      <c r="K197" s="217"/>
      <c r="L197" s="800"/>
      <c r="M197" s="222"/>
      <c r="T197" s="178"/>
      <c r="U197" s="223"/>
      <c r="W197" s="851"/>
      <c r="AC197" s="214"/>
      <c r="AD197" s="221"/>
      <c r="AL197" s="214"/>
      <c r="AM197" s="221"/>
      <c r="AT197" s="6"/>
    </row>
    <row r="198" spans="3:46" s="7" customFormat="1" x14ac:dyDescent="0.2">
      <c r="D198" s="213"/>
      <c r="E198" s="213"/>
      <c r="F198" s="213"/>
      <c r="G198" s="214"/>
      <c r="H198" s="215"/>
      <c r="I198" s="214"/>
      <c r="J198" s="214"/>
      <c r="K198" s="217"/>
      <c r="L198" s="800"/>
      <c r="M198" s="222"/>
      <c r="T198" s="178"/>
      <c r="U198" s="223"/>
      <c r="W198" s="851"/>
      <c r="AC198" s="214"/>
      <c r="AD198" s="221"/>
      <c r="AL198" s="214"/>
      <c r="AM198" s="221"/>
      <c r="AT198" s="6"/>
    </row>
    <row r="199" spans="3:46" s="7" customFormat="1" x14ac:dyDescent="0.2">
      <c r="D199" s="213"/>
      <c r="E199" s="213"/>
      <c r="F199" s="213"/>
      <c r="G199" s="214"/>
      <c r="H199" s="215"/>
      <c r="I199" s="214"/>
      <c r="J199" s="214"/>
      <c r="K199" s="217"/>
      <c r="L199" s="800"/>
      <c r="M199" s="222"/>
      <c r="T199" s="178"/>
      <c r="U199" s="223"/>
      <c r="W199" s="851"/>
      <c r="AC199" s="214"/>
      <c r="AD199" s="221"/>
      <c r="AL199" s="214"/>
      <c r="AM199" s="221"/>
      <c r="AT199" s="6"/>
    </row>
    <row r="204" spans="3:46" x14ac:dyDescent="0.2">
      <c r="D204" s="487" t="s">
        <v>56</v>
      </c>
    </row>
    <row r="205" spans="3:46" x14ac:dyDescent="0.2">
      <c r="D205" s="487" t="s">
        <v>57</v>
      </c>
    </row>
    <row r="206" spans="3:46" x14ac:dyDescent="0.2">
      <c r="D206" s="487" t="s">
        <v>58</v>
      </c>
    </row>
    <row r="207" spans="3:46" x14ac:dyDescent="0.2">
      <c r="D207" s="487" t="s">
        <v>59</v>
      </c>
    </row>
    <row r="208" spans="3:46" x14ac:dyDescent="0.2">
      <c r="D208" s="487">
        <v>1</v>
      </c>
    </row>
    <row r="209" spans="4:4" x14ac:dyDescent="0.2">
      <c r="D209" s="487">
        <v>2</v>
      </c>
    </row>
    <row r="210" spans="4:4" x14ac:dyDescent="0.2">
      <c r="D210" s="487">
        <v>3</v>
      </c>
    </row>
    <row r="211" spans="4:4" x14ac:dyDescent="0.2">
      <c r="D211" s="487">
        <v>4</v>
      </c>
    </row>
    <row r="212" spans="4:4" x14ac:dyDescent="0.2">
      <c r="D212" s="487">
        <v>5</v>
      </c>
    </row>
    <row r="213" spans="4:4" x14ac:dyDescent="0.2">
      <c r="D213" s="487">
        <v>6</v>
      </c>
    </row>
    <row r="214" spans="4:4" x14ac:dyDescent="0.2">
      <c r="D214" s="487">
        <v>7</v>
      </c>
    </row>
    <row r="215" spans="4:4" x14ac:dyDescent="0.2">
      <c r="D215" s="487">
        <v>8</v>
      </c>
    </row>
    <row r="216" spans="4:4" x14ac:dyDescent="0.2">
      <c r="D216" s="487">
        <v>9</v>
      </c>
    </row>
    <row r="217" spans="4:4" x14ac:dyDescent="0.2">
      <c r="D217" s="487">
        <v>10</v>
      </c>
    </row>
    <row r="218" spans="4:4" x14ac:dyDescent="0.2">
      <c r="D218" s="487">
        <v>11</v>
      </c>
    </row>
    <row r="219" spans="4:4" x14ac:dyDescent="0.2">
      <c r="D219" s="487">
        <v>12</v>
      </c>
    </row>
    <row r="220" spans="4:4" x14ac:dyDescent="0.2">
      <c r="D220" s="487">
        <v>13</v>
      </c>
    </row>
    <row r="221" spans="4:4" x14ac:dyDescent="0.2">
      <c r="D221" s="487">
        <v>14</v>
      </c>
    </row>
    <row r="222" spans="4:4" x14ac:dyDescent="0.2">
      <c r="D222" s="487">
        <v>15</v>
      </c>
    </row>
    <row r="223" spans="4:4" x14ac:dyDescent="0.2">
      <c r="D223" s="487">
        <v>16</v>
      </c>
    </row>
    <row r="224" spans="4:4" x14ac:dyDescent="0.2">
      <c r="D224" s="487">
        <v>17</v>
      </c>
    </row>
    <row r="225" spans="4:39" x14ac:dyDescent="0.2">
      <c r="D225" s="487" t="s">
        <v>84</v>
      </c>
    </row>
    <row r="226" spans="4:39" x14ac:dyDescent="0.2">
      <c r="D226" s="487" t="s">
        <v>85</v>
      </c>
    </row>
    <row r="227" spans="4:39" x14ac:dyDescent="0.2">
      <c r="D227" s="487" t="s">
        <v>86</v>
      </c>
    </row>
    <row r="228" spans="4:39" x14ac:dyDescent="0.2">
      <c r="D228" s="487" t="s">
        <v>253</v>
      </c>
    </row>
    <row r="230" spans="4:39" x14ac:dyDescent="0.2">
      <c r="D230" s="101" t="s">
        <v>343</v>
      </c>
      <c r="E230" s="287" t="s">
        <v>485</v>
      </c>
      <c r="F230" s="64" t="s">
        <v>103</v>
      </c>
      <c r="G230" s="173" t="s">
        <v>484</v>
      </c>
      <c r="H230" s="287" t="s">
        <v>221</v>
      </c>
      <c r="I230" s="299"/>
      <c r="J230" s="294"/>
      <c r="K230" s="130"/>
      <c r="L230" s="792"/>
      <c r="M230" s="6"/>
      <c r="S230" s="178"/>
      <c r="T230" s="179"/>
      <c r="U230" s="180"/>
      <c r="AB230" s="130"/>
      <c r="AC230" s="181"/>
      <c r="AD230" s="6"/>
      <c r="AK230" s="130"/>
      <c r="AL230" s="181"/>
      <c r="AM230" s="6"/>
    </row>
    <row r="231" spans="4:39" x14ac:dyDescent="0.2">
      <c r="D231" s="9">
        <v>2022</v>
      </c>
      <c r="E231" s="855">
        <f>AB35*12</f>
        <v>48816</v>
      </c>
      <c r="F231" s="664">
        <f>AB35*AC$46*12</f>
        <v>29289.600000000002</v>
      </c>
      <c r="G231" s="664">
        <f>+S35</f>
        <v>2353.996383363472</v>
      </c>
      <c r="H231" s="287">
        <f>+AL35</f>
        <v>0</v>
      </c>
    </row>
    <row r="232" spans="4:39" x14ac:dyDescent="0.2">
      <c r="D232" s="9">
        <v>2023</v>
      </c>
      <c r="E232" s="1122">
        <f>AB68*12</f>
        <v>51948</v>
      </c>
      <c r="F232" s="1123">
        <f>AB68*AC$78*12</f>
        <v>31168.800000000007</v>
      </c>
      <c r="G232" s="664">
        <f>+S68</f>
        <v>2505.0271247739602</v>
      </c>
      <c r="H232" s="287">
        <f>+AL68</f>
        <v>0</v>
      </c>
    </row>
    <row r="233" spans="4:39" x14ac:dyDescent="0.2">
      <c r="D233" s="9">
        <v>2024</v>
      </c>
      <c r="E233" s="855">
        <f>AB100*12</f>
        <v>55452</v>
      </c>
      <c r="F233" s="664">
        <f>AB100*AC$110*12</f>
        <v>33271.200000000004</v>
      </c>
      <c r="G233" s="664">
        <f>+S100</f>
        <v>2673.996383363472</v>
      </c>
      <c r="H233" s="287">
        <f>+AL100</f>
        <v>0</v>
      </c>
    </row>
    <row r="234" spans="4:39" x14ac:dyDescent="0.2">
      <c r="D234" s="9">
        <v>2025</v>
      </c>
      <c r="E234" s="855">
        <f>AB132*12</f>
        <v>59256</v>
      </c>
      <c r="F234" s="664">
        <f>AB132*AC$110*12</f>
        <v>35553.600000000006</v>
      </c>
      <c r="G234" s="664">
        <f>+S132</f>
        <v>2857.4321880650996</v>
      </c>
      <c r="H234" s="287">
        <f>+AL132</f>
        <v>2666.52</v>
      </c>
    </row>
    <row r="235" spans="4:39" x14ac:dyDescent="0.2">
      <c r="D235" s="9">
        <v>2026</v>
      </c>
      <c r="E235" s="855">
        <f>AB164*12</f>
        <v>63408</v>
      </c>
      <c r="F235" s="664">
        <f>AB164*AC$110*12</f>
        <v>38044.800000000003</v>
      </c>
      <c r="G235" s="664">
        <f>+S164</f>
        <v>3057.6491862567814</v>
      </c>
      <c r="H235" s="287">
        <f>+AL164</f>
        <v>0</v>
      </c>
    </row>
    <row r="236" spans="4:39" x14ac:dyDescent="0.2">
      <c r="D236" s="9">
        <v>2027</v>
      </c>
      <c r="E236" s="855">
        <f>AB196*12</f>
        <v>67884</v>
      </c>
      <c r="F236" s="664">
        <f>AB196*AC$110*12</f>
        <v>40730.400000000009</v>
      </c>
      <c r="G236" s="664">
        <f>+S196</f>
        <v>3273.4900542495479</v>
      </c>
      <c r="H236" s="287">
        <f>+AL196</f>
        <v>0</v>
      </c>
    </row>
  </sheetData>
  <sheetProtection algorithmName="SHA-512" hashValue="HsxDdhKCkmcc6+nSKEgaWtL7XB8kNypn9FL9QGB9i20bhXi9is1qqsMe8736+rKP0udsQP62O+JRtCl0Z5xK6A==" saltValue="KFiMp9GqZkLsHSPo4xVz6w==" spinCount="100000" sheet="1" objects="1" scenarios="1"/>
  <phoneticPr fontId="0" type="noConversion"/>
  <dataValidations count="2">
    <dataValidation type="list" allowBlank="1" showInputMessage="1" showErrorMessage="1" sqref="I80:I99 I48:I67 I144:I163 I112:I131 I176:I195" xr:uid="{00000000-0002-0000-0600-000000000000}">
      <formula1>D$203:D$229</formula1>
    </dataValidation>
    <dataValidation type="list" allowBlank="1" showInputMessage="1" showErrorMessage="1" sqref="I15:I34" xr:uid="{00000000-0002-0000-0600-000001000000}">
      <formula1>_xlnm.Criteria</formula1>
    </dataValidation>
  </dataValidations>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colBreaks count="1" manualBreakCount="1">
    <brk id="23" min="1" max="178"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155"/>
  <sheetViews>
    <sheetView showGridLines="0" zoomScale="85" zoomScaleNormal="85" zoomScaleSheetLayoutView="85" workbookViewId="0">
      <selection activeCell="B2" sqref="B2"/>
    </sheetView>
  </sheetViews>
  <sheetFormatPr defaultRowHeight="12.75" x14ac:dyDescent="0.2"/>
  <cols>
    <col min="1" max="1" width="3.7109375" style="100" customWidth="1"/>
    <col min="2" max="3" width="2.7109375" style="100" customWidth="1"/>
    <col min="4" max="4" width="45.7109375" style="100" customWidth="1"/>
    <col min="5" max="5" width="0.85546875" style="100" customWidth="1"/>
    <col min="6" max="6" width="8.7109375" style="102" customWidth="1"/>
    <col min="7" max="7" width="2.7109375" style="100" customWidth="1"/>
    <col min="8" max="9" width="2.140625" style="100" customWidth="1"/>
    <col min="10" max="10" width="12.7109375" style="102" hidden="1" customWidth="1"/>
    <col min="11" max="15" width="12.7109375" style="102" customWidth="1"/>
    <col min="16" max="17" width="2.7109375" style="100" customWidth="1"/>
    <col min="18" max="16384" width="9.140625" style="100"/>
  </cols>
  <sheetData>
    <row r="2" spans="2:17" x14ac:dyDescent="0.2">
      <c r="B2" s="65"/>
      <c r="C2" s="66"/>
      <c r="D2" s="66"/>
      <c r="E2" s="66"/>
      <c r="F2" s="67"/>
      <c r="G2" s="66"/>
      <c r="H2" s="66"/>
      <c r="I2" s="66"/>
      <c r="J2" s="67"/>
      <c r="K2" s="67"/>
      <c r="L2" s="67"/>
      <c r="M2" s="67"/>
      <c r="N2" s="67"/>
      <c r="O2" s="67"/>
      <c r="P2" s="66"/>
      <c r="Q2" s="68"/>
    </row>
    <row r="3" spans="2:17" x14ac:dyDescent="0.2">
      <c r="B3" s="69"/>
      <c r="C3" s="5"/>
      <c r="D3" s="51"/>
      <c r="E3" s="5"/>
      <c r="F3" s="63"/>
      <c r="G3" s="5"/>
      <c r="H3" s="5"/>
      <c r="I3" s="5"/>
      <c r="J3" s="63"/>
      <c r="K3" s="63"/>
      <c r="L3" s="63"/>
      <c r="M3" s="63"/>
      <c r="N3" s="63"/>
      <c r="O3" s="63"/>
      <c r="P3" s="5"/>
      <c r="Q3" s="70"/>
    </row>
    <row r="4" spans="2:17" s="132" customFormat="1" ht="18.75" x14ac:dyDescent="0.3">
      <c r="B4" s="134"/>
      <c r="C4" s="472" t="s">
        <v>22</v>
      </c>
      <c r="D4" s="136"/>
      <c r="E4" s="136"/>
      <c r="F4" s="137"/>
      <c r="G4" s="136"/>
      <c r="H4" s="136"/>
      <c r="I4" s="136"/>
      <c r="J4" s="137"/>
      <c r="K4" s="137"/>
      <c r="L4" s="137"/>
      <c r="M4" s="137"/>
      <c r="N4" s="137"/>
      <c r="O4" s="137"/>
      <c r="P4" s="136"/>
      <c r="Q4" s="138"/>
    </row>
    <row r="5" spans="2:17" s="8" customFormat="1" ht="18.75" x14ac:dyDescent="0.3">
      <c r="B5" s="25"/>
      <c r="C5" s="972" t="str">
        <f>'geg ll'!C5</f>
        <v>Voorbeeld SWV VO Alkmaar</v>
      </c>
      <c r="D5" s="52"/>
      <c r="E5" s="26"/>
      <c r="F5" s="139"/>
      <c r="G5" s="26"/>
      <c r="H5" s="26"/>
      <c r="I5" s="26"/>
      <c r="J5" s="139"/>
      <c r="K5" s="139"/>
      <c r="L5" s="139"/>
      <c r="M5" s="139"/>
      <c r="N5" s="139"/>
      <c r="O5" s="139"/>
      <c r="P5" s="26"/>
      <c r="Q5" s="27"/>
    </row>
    <row r="6" spans="2:17" x14ac:dyDescent="0.2">
      <c r="B6" s="69"/>
      <c r="C6" s="5"/>
      <c r="D6" s="51"/>
      <c r="E6" s="5"/>
      <c r="F6" s="63"/>
      <c r="G6" s="5"/>
      <c r="H6" s="5"/>
      <c r="I6" s="5"/>
      <c r="J6" s="63"/>
      <c r="K6" s="63"/>
      <c r="L6" s="63"/>
      <c r="M6" s="63"/>
      <c r="N6" s="63"/>
      <c r="O6" s="63"/>
      <c r="P6" s="5"/>
      <c r="Q6" s="70"/>
    </row>
    <row r="7" spans="2:17" x14ac:dyDescent="0.2">
      <c r="B7" s="69"/>
      <c r="C7" s="5"/>
      <c r="D7" s="51"/>
      <c r="E7" s="5"/>
      <c r="F7" s="63"/>
      <c r="G7" s="5"/>
      <c r="H7" s="468"/>
      <c r="I7" s="468"/>
      <c r="J7" s="316"/>
      <c r="K7" s="63"/>
      <c r="L7" s="63"/>
      <c r="M7" s="63"/>
      <c r="N7" s="63"/>
      <c r="O7" s="63"/>
      <c r="P7" s="5"/>
      <c r="Q7" s="70"/>
    </row>
    <row r="8" spans="2:17" s="165" customFormat="1" x14ac:dyDescent="0.2">
      <c r="B8" s="166"/>
      <c r="C8" s="167"/>
      <c r="D8" s="167"/>
      <c r="E8" s="167"/>
      <c r="F8" s="464" t="s">
        <v>105</v>
      </c>
      <c r="G8" s="465"/>
      <c r="H8" s="468"/>
      <c r="I8" s="468"/>
      <c r="J8" s="457" t="e">
        <f>tab!#REF!</f>
        <v>#REF!</v>
      </c>
      <c r="K8" s="457">
        <f>tab!C4</f>
        <v>2023</v>
      </c>
      <c r="L8" s="457">
        <f>tab!D4</f>
        <v>2024</v>
      </c>
      <c r="M8" s="457">
        <f>tab!E4</f>
        <v>2025</v>
      </c>
      <c r="N8" s="457">
        <f>tab!F4</f>
        <v>2026</v>
      </c>
      <c r="O8" s="457">
        <f>tab!G4</f>
        <v>2027</v>
      </c>
      <c r="P8" s="167"/>
      <c r="Q8" s="168"/>
    </row>
    <row r="9" spans="2:17" x14ac:dyDescent="0.2">
      <c r="B9" s="69"/>
      <c r="C9" s="5"/>
      <c r="D9" s="5"/>
      <c r="E9" s="5"/>
      <c r="F9" s="477"/>
      <c r="G9" s="465"/>
      <c r="H9" s="465"/>
      <c r="I9" s="465"/>
      <c r="J9" s="477"/>
      <c r="K9" s="477"/>
      <c r="L9" s="477"/>
      <c r="M9" s="477"/>
      <c r="N9" s="477"/>
      <c r="O9" s="477"/>
      <c r="P9" s="5"/>
      <c r="Q9" s="70"/>
    </row>
    <row r="10" spans="2:17" x14ac:dyDescent="0.2">
      <c r="B10" s="69"/>
      <c r="C10" s="149"/>
      <c r="D10" s="153"/>
      <c r="E10" s="149"/>
      <c r="F10" s="64"/>
      <c r="G10" s="149"/>
      <c r="H10" s="149"/>
      <c r="I10" s="149"/>
      <c r="J10" s="64"/>
      <c r="K10" s="64"/>
      <c r="L10" s="64"/>
      <c r="M10" s="64"/>
      <c r="N10" s="64"/>
      <c r="O10" s="64"/>
      <c r="P10" s="149"/>
      <c r="Q10" s="70"/>
    </row>
    <row r="11" spans="2:17" x14ac:dyDescent="0.2">
      <c r="B11" s="69"/>
      <c r="C11" s="149"/>
      <c r="D11" s="462" t="s">
        <v>136</v>
      </c>
      <c r="E11" s="149"/>
      <c r="F11" s="64"/>
      <c r="G11" s="149"/>
      <c r="H11" s="149"/>
      <c r="I11" s="149"/>
      <c r="J11" s="64"/>
      <c r="K11" s="64"/>
      <c r="L11" s="64"/>
      <c r="M11" s="64"/>
      <c r="N11" s="64"/>
      <c r="O11" s="64"/>
      <c r="P11" s="149"/>
      <c r="Q11" s="70"/>
    </row>
    <row r="12" spans="2:17" x14ac:dyDescent="0.2">
      <c r="B12" s="69"/>
      <c r="C12" s="149"/>
      <c r="D12" s="153"/>
      <c r="E12" s="149"/>
      <c r="F12" s="64"/>
      <c r="G12" s="149"/>
      <c r="H12" s="149"/>
      <c r="I12" s="149"/>
      <c r="J12" s="64"/>
      <c r="K12" s="64"/>
      <c r="L12" s="64"/>
      <c r="M12" s="64"/>
      <c r="N12" s="64"/>
      <c r="O12" s="64"/>
      <c r="P12" s="149"/>
      <c r="Q12" s="70"/>
    </row>
    <row r="13" spans="2:17" x14ac:dyDescent="0.2">
      <c r="B13" s="69"/>
      <c r="C13" s="149"/>
      <c r="D13" s="153" t="s">
        <v>18</v>
      </c>
      <c r="E13" s="149"/>
      <c r="F13" s="64"/>
      <c r="G13" s="149"/>
      <c r="H13" s="149"/>
      <c r="I13" s="149"/>
      <c r="J13" s="498"/>
      <c r="K13" s="64"/>
      <c r="L13" s="64"/>
      <c r="M13" s="64"/>
      <c r="N13" s="64"/>
      <c r="O13" s="64"/>
      <c r="P13" s="149"/>
      <c r="Q13" s="70"/>
    </row>
    <row r="14" spans="2:17" x14ac:dyDescent="0.2">
      <c r="B14" s="69"/>
      <c r="C14" s="149"/>
      <c r="D14" s="417" t="s">
        <v>74</v>
      </c>
      <c r="E14" s="149"/>
      <c r="F14" s="64"/>
      <c r="G14" s="149"/>
      <c r="H14" s="499"/>
      <c r="I14" s="499"/>
      <c r="J14" s="1032"/>
      <c r="K14" s="60">
        <f t="shared" ref="K14:O14" si="0">+J14</f>
        <v>0</v>
      </c>
      <c r="L14" s="60">
        <f t="shared" si="0"/>
        <v>0</v>
      </c>
      <c r="M14" s="60">
        <f t="shared" si="0"/>
        <v>0</v>
      </c>
      <c r="N14" s="60">
        <f t="shared" si="0"/>
        <v>0</v>
      </c>
      <c r="O14" s="992">
        <f t="shared" si="0"/>
        <v>0</v>
      </c>
      <c r="P14" s="173"/>
      <c r="Q14" s="70"/>
    </row>
    <row r="15" spans="2:17" s="103" customFormat="1" x14ac:dyDescent="0.2">
      <c r="B15" s="72"/>
      <c r="C15" s="149"/>
      <c r="D15" s="417"/>
      <c r="E15" s="149"/>
      <c r="F15" s="64"/>
      <c r="G15" s="149"/>
      <c r="H15" s="499"/>
      <c r="I15" s="499"/>
      <c r="J15" s="1032"/>
      <c r="K15" s="60">
        <f t="shared" ref="K15:O16" si="1">+J15</f>
        <v>0</v>
      </c>
      <c r="L15" s="60">
        <f t="shared" si="1"/>
        <v>0</v>
      </c>
      <c r="M15" s="60">
        <f t="shared" si="1"/>
        <v>0</v>
      </c>
      <c r="N15" s="60">
        <f t="shared" si="1"/>
        <v>0</v>
      </c>
      <c r="O15" s="992">
        <f t="shared" si="1"/>
        <v>0</v>
      </c>
      <c r="P15" s="173"/>
      <c r="Q15" s="83"/>
    </row>
    <row r="16" spans="2:17" x14ac:dyDescent="0.2">
      <c r="B16" s="69"/>
      <c r="C16" s="149"/>
      <c r="D16" s="417"/>
      <c r="E16" s="149"/>
      <c r="F16" s="64"/>
      <c r="G16" s="149"/>
      <c r="H16" s="499"/>
      <c r="I16" s="499"/>
      <c r="J16" s="1032"/>
      <c r="K16" s="60">
        <f t="shared" si="1"/>
        <v>0</v>
      </c>
      <c r="L16" s="60">
        <f t="shared" si="1"/>
        <v>0</v>
      </c>
      <c r="M16" s="60">
        <f t="shared" si="1"/>
        <v>0</v>
      </c>
      <c r="N16" s="60">
        <f t="shared" si="1"/>
        <v>0</v>
      </c>
      <c r="O16" s="992">
        <f t="shared" si="1"/>
        <v>0</v>
      </c>
      <c r="P16" s="173"/>
      <c r="Q16" s="70"/>
    </row>
    <row r="17" spans="2:17" x14ac:dyDescent="0.2">
      <c r="B17" s="69"/>
      <c r="C17" s="149"/>
      <c r="D17" s="153"/>
      <c r="E17" s="149"/>
      <c r="F17" s="64"/>
      <c r="G17" s="149"/>
      <c r="H17" s="784"/>
      <c r="I17" s="784"/>
      <c r="J17" s="784"/>
      <c r="K17" s="425">
        <f t="shared" ref="K17:O17" si="2">SUM(K14:K16)</f>
        <v>0</v>
      </c>
      <c r="L17" s="425">
        <f t="shared" si="2"/>
        <v>0</v>
      </c>
      <c r="M17" s="425">
        <f t="shared" si="2"/>
        <v>0</v>
      </c>
      <c r="N17" s="425">
        <f t="shared" si="2"/>
        <v>0</v>
      </c>
      <c r="O17" s="425">
        <f t="shared" si="2"/>
        <v>0</v>
      </c>
      <c r="P17" s="173"/>
      <c r="Q17" s="70"/>
    </row>
    <row r="18" spans="2:17" x14ac:dyDescent="0.2">
      <c r="B18" s="69"/>
      <c r="C18" s="149"/>
      <c r="D18" s="421"/>
      <c r="E18" s="422"/>
      <c r="F18" s="423"/>
      <c r="G18" s="422"/>
      <c r="H18" s="423"/>
      <c r="I18" s="423"/>
      <c r="J18" s="1038"/>
      <c r="K18" s="423"/>
      <c r="L18" s="423"/>
      <c r="M18" s="423"/>
      <c r="N18" s="423"/>
      <c r="O18" s="423"/>
      <c r="P18" s="64"/>
      <c r="Q18" s="70"/>
    </row>
    <row r="19" spans="2:17" x14ac:dyDescent="0.2">
      <c r="B19" s="69"/>
      <c r="C19" s="149"/>
      <c r="D19" s="420"/>
      <c r="E19" s="122"/>
      <c r="F19" s="71"/>
      <c r="G19" s="122"/>
      <c r="H19" s="71"/>
      <c r="I19" s="71"/>
      <c r="J19" s="686"/>
      <c r="K19" s="71"/>
      <c r="L19" s="71"/>
      <c r="M19" s="71"/>
      <c r="N19" s="71"/>
      <c r="O19" s="71"/>
      <c r="P19" s="64"/>
      <c r="Q19" s="70"/>
    </row>
    <row r="20" spans="2:17" x14ac:dyDescent="0.2">
      <c r="B20" s="69"/>
      <c r="C20" s="149"/>
      <c r="D20" s="153" t="s">
        <v>19</v>
      </c>
      <c r="E20" s="33"/>
      <c r="F20" s="144"/>
      <c r="G20" s="33"/>
      <c r="H20" s="144"/>
      <c r="I20" s="144"/>
      <c r="J20" s="677"/>
      <c r="K20" s="144"/>
      <c r="L20" s="144"/>
      <c r="M20" s="144"/>
      <c r="N20" s="144"/>
      <c r="O20" s="144"/>
      <c r="P20" s="64"/>
      <c r="Q20" s="70"/>
    </row>
    <row r="21" spans="2:17" x14ac:dyDescent="0.2">
      <c r="B21" s="69"/>
      <c r="C21" s="149"/>
      <c r="D21" s="417" t="s">
        <v>74</v>
      </c>
      <c r="E21" s="149"/>
      <c r="F21" s="64"/>
      <c r="G21" s="149"/>
      <c r="H21" s="499"/>
      <c r="I21" s="499"/>
      <c r="J21" s="1032"/>
      <c r="K21" s="60">
        <f t="shared" ref="K21:O21" si="3">+J21</f>
        <v>0</v>
      </c>
      <c r="L21" s="60">
        <f t="shared" si="3"/>
        <v>0</v>
      </c>
      <c r="M21" s="60">
        <f t="shared" si="3"/>
        <v>0</v>
      </c>
      <c r="N21" s="60">
        <f t="shared" si="3"/>
        <v>0</v>
      </c>
      <c r="O21" s="992">
        <f t="shared" si="3"/>
        <v>0</v>
      </c>
      <c r="P21" s="64"/>
      <c r="Q21" s="70"/>
    </row>
    <row r="22" spans="2:17" x14ac:dyDescent="0.2">
      <c r="B22" s="69"/>
      <c r="C22" s="149"/>
      <c r="D22" s="417"/>
      <c r="E22" s="149"/>
      <c r="F22" s="64"/>
      <c r="G22" s="149"/>
      <c r="H22" s="499"/>
      <c r="I22" s="499"/>
      <c r="J22" s="1032"/>
      <c r="K22" s="60">
        <f t="shared" ref="K22:O23" si="4">+J22</f>
        <v>0</v>
      </c>
      <c r="L22" s="60">
        <f t="shared" si="4"/>
        <v>0</v>
      </c>
      <c r="M22" s="60">
        <f t="shared" si="4"/>
        <v>0</v>
      </c>
      <c r="N22" s="60">
        <f t="shared" si="4"/>
        <v>0</v>
      </c>
      <c r="O22" s="992">
        <f t="shared" si="4"/>
        <v>0</v>
      </c>
      <c r="P22" s="64"/>
      <c r="Q22" s="70"/>
    </row>
    <row r="23" spans="2:17" x14ac:dyDescent="0.2">
      <c r="B23" s="69"/>
      <c r="C23" s="149"/>
      <c r="D23" s="417"/>
      <c r="E23" s="149"/>
      <c r="F23" s="64"/>
      <c r="G23" s="149"/>
      <c r="H23" s="499"/>
      <c r="I23" s="499"/>
      <c r="J23" s="1032"/>
      <c r="K23" s="60">
        <f t="shared" si="4"/>
        <v>0</v>
      </c>
      <c r="L23" s="60">
        <f t="shared" si="4"/>
        <v>0</v>
      </c>
      <c r="M23" s="60">
        <f t="shared" si="4"/>
        <v>0</v>
      </c>
      <c r="N23" s="60">
        <f t="shared" si="4"/>
        <v>0</v>
      </c>
      <c r="O23" s="992">
        <f t="shared" si="4"/>
        <v>0</v>
      </c>
      <c r="P23" s="64"/>
      <c r="Q23" s="70"/>
    </row>
    <row r="24" spans="2:17" x14ac:dyDescent="0.2">
      <c r="B24" s="69"/>
      <c r="C24" s="149"/>
      <c r="D24" s="153"/>
      <c r="E24" s="149"/>
      <c r="F24" s="64"/>
      <c r="G24" s="149"/>
      <c r="H24" s="784"/>
      <c r="I24" s="784"/>
      <c r="J24" s="784"/>
      <c r="K24" s="425">
        <f t="shared" ref="K24:O24" si="5">SUM(K21:K23)</f>
        <v>0</v>
      </c>
      <c r="L24" s="425">
        <f t="shared" si="5"/>
        <v>0</v>
      </c>
      <c r="M24" s="425">
        <f t="shared" si="5"/>
        <v>0</v>
      </c>
      <c r="N24" s="425">
        <f t="shared" si="5"/>
        <v>0</v>
      </c>
      <c r="O24" s="425">
        <f t="shared" si="5"/>
        <v>0</v>
      </c>
      <c r="P24" s="64"/>
      <c r="Q24" s="70"/>
    </row>
    <row r="25" spans="2:17" x14ac:dyDescent="0.2">
      <c r="B25" s="69"/>
      <c r="C25" s="149"/>
      <c r="D25" s="421"/>
      <c r="E25" s="422"/>
      <c r="F25" s="423"/>
      <c r="G25" s="422"/>
      <c r="H25" s="423"/>
      <c r="I25" s="423"/>
      <c r="J25" s="1038"/>
      <c r="K25" s="423"/>
      <c r="L25" s="423"/>
      <c r="M25" s="423"/>
      <c r="N25" s="423"/>
      <c r="O25" s="423"/>
      <c r="P25" s="64"/>
      <c r="Q25" s="70"/>
    </row>
    <row r="26" spans="2:17" x14ac:dyDescent="0.2">
      <c r="B26" s="69"/>
      <c r="C26" s="149"/>
      <c r="D26" s="420"/>
      <c r="E26" s="122"/>
      <c r="F26" s="71"/>
      <c r="G26" s="122"/>
      <c r="H26" s="71"/>
      <c r="I26" s="71"/>
      <c r="J26" s="686"/>
      <c r="K26" s="71"/>
      <c r="L26" s="71"/>
      <c r="M26" s="71"/>
      <c r="N26" s="71"/>
      <c r="O26" s="71"/>
      <c r="P26" s="64"/>
      <c r="Q26" s="70"/>
    </row>
    <row r="27" spans="2:17" x14ac:dyDescent="0.2">
      <c r="B27" s="69"/>
      <c r="C27" s="149"/>
      <c r="D27" s="153" t="s">
        <v>100</v>
      </c>
      <c r="E27" s="149"/>
      <c r="F27" s="64"/>
      <c r="G27" s="149"/>
      <c r="H27" s="685"/>
      <c r="I27" s="685"/>
      <c r="J27" s="685"/>
      <c r="K27" s="426">
        <f t="shared" ref="K27:O27" si="6">K17+K24</f>
        <v>0</v>
      </c>
      <c r="L27" s="426">
        <f t="shared" si="6"/>
        <v>0</v>
      </c>
      <c r="M27" s="426">
        <f t="shared" si="6"/>
        <v>0</v>
      </c>
      <c r="N27" s="426">
        <f t="shared" si="6"/>
        <v>0</v>
      </c>
      <c r="O27" s="426">
        <f t="shared" si="6"/>
        <v>0</v>
      </c>
      <c r="P27" s="318"/>
      <c r="Q27" s="70"/>
    </row>
    <row r="28" spans="2:17" x14ac:dyDescent="0.2">
      <c r="B28" s="69"/>
      <c r="C28" s="149"/>
      <c r="D28" s="153"/>
      <c r="E28" s="149"/>
      <c r="F28" s="64"/>
      <c r="G28" s="149"/>
      <c r="H28" s="496"/>
      <c r="I28" s="496"/>
      <c r="J28" s="498"/>
      <c r="K28" s="64"/>
      <c r="L28" s="64"/>
      <c r="M28" s="64"/>
      <c r="N28" s="64"/>
      <c r="O28" s="64"/>
      <c r="P28" s="149"/>
      <c r="Q28" s="70"/>
    </row>
    <row r="29" spans="2:17" x14ac:dyDescent="0.2">
      <c r="B29" s="69"/>
      <c r="C29" s="5"/>
      <c r="D29" s="5"/>
      <c r="E29" s="5"/>
      <c r="F29" s="63"/>
      <c r="G29" s="5"/>
      <c r="H29" s="5"/>
      <c r="I29" s="5"/>
      <c r="J29" s="63"/>
      <c r="K29" s="63"/>
      <c r="L29" s="63"/>
      <c r="M29" s="63"/>
      <c r="N29" s="63"/>
      <c r="O29" s="63"/>
      <c r="P29" s="5"/>
      <c r="Q29" s="70"/>
    </row>
    <row r="30" spans="2:17" x14ac:dyDescent="0.2">
      <c r="B30" s="69"/>
      <c r="C30" s="149"/>
      <c r="D30" s="153"/>
      <c r="E30" s="149"/>
      <c r="F30" s="64"/>
      <c r="G30" s="149"/>
      <c r="H30" s="149"/>
      <c r="I30" s="149"/>
      <c r="J30" s="64"/>
      <c r="K30" s="64"/>
      <c r="L30" s="64"/>
      <c r="M30" s="64"/>
      <c r="N30" s="64"/>
      <c r="O30" s="64"/>
      <c r="P30" s="149"/>
      <c r="Q30" s="70"/>
    </row>
    <row r="31" spans="2:17" x14ac:dyDescent="0.2">
      <c r="B31" s="69"/>
      <c r="C31" s="149"/>
      <c r="D31" s="462" t="s">
        <v>137</v>
      </c>
      <c r="E31" s="149"/>
      <c r="F31" s="64"/>
      <c r="G31" s="149"/>
      <c r="H31" s="149"/>
      <c r="I31" s="149"/>
      <c r="J31" s="64"/>
      <c r="K31" s="64"/>
      <c r="L31" s="64"/>
      <c r="M31" s="64"/>
      <c r="N31" s="64"/>
      <c r="O31" s="64"/>
      <c r="P31" s="149"/>
      <c r="Q31" s="70"/>
    </row>
    <row r="32" spans="2:17" x14ac:dyDescent="0.2">
      <c r="B32" s="69"/>
      <c r="C32" s="149"/>
      <c r="D32" s="153"/>
      <c r="E32" s="149"/>
      <c r="F32" s="64"/>
      <c r="G32" s="149"/>
      <c r="H32" s="496"/>
      <c r="I32" s="496"/>
      <c r="J32" s="64"/>
      <c r="K32" s="64"/>
      <c r="L32" s="64"/>
      <c r="M32" s="64"/>
      <c r="N32" s="64"/>
      <c r="O32" s="64"/>
      <c r="P32" s="149"/>
      <c r="Q32" s="70"/>
    </row>
    <row r="33" spans="2:17" x14ac:dyDescent="0.2">
      <c r="B33" s="69"/>
      <c r="C33" s="149"/>
      <c r="D33" s="153" t="s">
        <v>18</v>
      </c>
      <c r="E33" s="149"/>
      <c r="F33" s="149"/>
      <c r="G33" s="149"/>
      <c r="H33" s="496"/>
      <c r="I33" s="496"/>
      <c r="J33" s="496"/>
      <c r="K33" s="149"/>
      <c r="L33" s="149"/>
      <c r="M33" s="149"/>
      <c r="N33" s="149"/>
      <c r="O33" s="149"/>
      <c r="P33" s="173"/>
      <c r="Q33" s="70"/>
    </row>
    <row r="34" spans="2:17" x14ac:dyDescent="0.2">
      <c r="B34" s="69"/>
      <c r="C34" s="149"/>
      <c r="D34" s="149" t="s">
        <v>138</v>
      </c>
      <c r="E34" s="149"/>
      <c r="F34" s="64"/>
      <c r="G34" s="149"/>
      <c r="H34" s="499"/>
      <c r="I34" s="499"/>
      <c r="J34" s="1032"/>
      <c r="K34" s="60">
        <f t="shared" ref="K34:K39" si="7">+J34</f>
        <v>0</v>
      </c>
      <c r="L34" s="60">
        <f t="shared" ref="L34:L39" si="8">+K34</f>
        <v>0</v>
      </c>
      <c r="M34" s="60">
        <f t="shared" ref="M34:M39" si="9">+L34</f>
        <v>0</v>
      </c>
      <c r="N34" s="60">
        <f t="shared" ref="N34:O39" si="10">+M34</f>
        <v>0</v>
      </c>
      <c r="O34" s="992">
        <f t="shared" si="10"/>
        <v>0</v>
      </c>
      <c r="P34" s="173"/>
      <c r="Q34" s="70"/>
    </row>
    <row r="35" spans="2:17" x14ac:dyDescent="0.2">
      <c r="B35" s="69"/>
      <c r="C35" s="149"/>
      <c r="D35" s="45" t="s">
        <v>147</v>
      </c>
      <c r="E35" s="149"/>
      <c r="F35" s="64"/>
      <c r="G35" s="149"/>
      <c r="H35" s="499"/>
      <c r="I35" s="499"/>
      <c r="J35" s="1032"/>
      <c r="K35" s="60">
        <f t="shared" si="7"/>
        <v>0</v>
      </c>
      <c r="L35" s="60">
        <f t="shared" si="8"/>
        <v>0</v>
      </c>
      <c r="M35" s="60">
        <f t="shared" si="9"/>
        <v>0</v>
      </c>
      <c r="N35" s="60">
        <f t="shared" si="10"/>
        <v>0</v>
      </c>
      <c r="O35" s="992">
        <f t="shared" si="10"/>
        <v>0</v>
      </c>
      <c r="P35" s="173"/>
      <c r="Q35" s="70"/>
    </row>
    <row r="36" spans="2:17" x14ac:dyDescent="0.2">
      <c r="B36" s="69"/>
      <c r="C36" s="149"/>
      <c r="D36" s="417"/>
      <c r="E36" s="149"/>
      <c r="F36" s="64"/>
      <c r="G36" s="149"/>
      <c r="H36" s="499"/>
      <c r="I36" s="499"/>
      <c r="J36" s="1032"/>
      <c r="K36" s="60">
        <f t="shared" si="7"/>
        <v>0</v>
      </c>
      <c r="L36" s="60">
        <f t="shared" si="8"/>
        <v>0</v>
      </c>
      <c r="M36" s="60">
        <f t="shared" si="9"/>
        <v>0</v>
      </c>
      <c r="N36" s="60">
        <f t="shared" si="10"/>
        <v>0</v>
      </c>
      <c r="O36" s="992">
        <f t="shared" si="10"/>
        <v>0</v>
      </c>
      <c r="P36" s="173"/>
      <c r="Q36" s="70"/>
    </row>
    <row r="37" spans="2:17" x14ac:dyDescent="0.2">
      <c r="B37" s="69"/>
      <c r="C37" s="149"/>
      <c r="D37" s="417"/>
      <c r="E37" s="149"/>
      <c r="F37" s="64"/>
      <c r="G37" s="149"/>
      <c r="H37" s="499"/>
      <c r="I37" s="499"/>
      <c r="J37" s="1032"/>
      <c r="K37" s="60">
        <f t="shared" si="7"/>
        <v>0</v>
      </c>
      <c r="L37" s="60">
        <f t="shared" si="8"/>
        <v>0</v>
      </c>
      <c r="M37" s="60">
        <f t="shared" si="9"/>
        <v>0</v>
      </c>
      <c r="N37" s="60">
        <f t="shared" si="10"/>
        <v>0</v>
      </c>
      <c r="O37" s="992">
        <f t="shared" si="10"/>
        <v>0</v>
      </c>
      <c r="P37" s="173"/>
      <c r="Q37" s="70"/>
    </row>
    <row r="38" spans="2:17" x14ac:dyDescent="0.2">
      <c r="B38" s="69"/>
      <c r="C38" s="149"/>
      <c r="D38" s="417"/>
      <c r="E38" s="149"/>
      <c r="F38" s="64"/>
      <c r="G38" s="149"/>
      <c r="H38" s="499"/>
      <c r="I38" s="499"/>
      <c r="J38" s="1032"/>
      <c r="K38" s="60">
        <f t="shared" si="7"/>
        <v>0</v>
      </c>
      <c r="L38" s="60">
        <f t="shared" si="8"/>
        <v>0</v>
      </c>
      <c r="M38" s="60">
        <f t="shared" si="9"/>
        <v>0</v>
      </c>
      <c r="N38" s="60">
        <f t="shared" si="10"/>
        <v>0</v>
      </c>
      <c r="O38" s="992">
        <f t="shared" si="10"/>
        <v>0</v>
      </c>
      <c r="P38" s="173"/>
      <c r="Q38" s="70"/>
    </row>
    <row r="39" spans="2:17" x14ac:dyDescent="0.2">
      <c r="B39" s="69"/>
      <c r="C39" s="149"/>
      <c r="D39" s="417"/>
      <c r="E39" s="149"/>
      <c r="F39" s="64"/>
      <c r="G39" s="149"/>
      <c r="H39" s="499"/>
      <c r="I39" s="499"/>
      <c r="J39" s="1032"/>
      <c r="K39" s="60">
        <f t="shared" si="7"/>
        <v>0</v>
      </c>
      <c r="L39" s="60">
        <f t="shared" si="8"/>
        <v>0</v>
      </c>
      <c r="M39" s="60">
        <f t="shared" si="9"/>
        <v>0</v>
      </c>
      <c r="N39" s="60">
        <f t="shared" si="10"/>
        <v>0</v>
      </c>
      <c r="O39" s="992">
        <f t="shared" si="10"/>
        <v>0</v>
      </c>
      <c r="P39" s="173"/>
      <c r="Q39" s="70"/>
    </row>
    <row r="40" spans="2:17" x14ac:dyDescent="0.2">
      <c r="B40" s="69"/>
      <c r="C40" s="149"/>
      <c r="D40" s="153"/>
      <c r="E40" s="149"/>
      <c r="F40" s="64"/>
      <c r="G40" s="149"/>
      <c r="H40" s="685"/>
      <c r="I40" s="685"/>
      <c r="J40" s="685"/>
      <c r="K40" s="426">
        <f t="shared" ref="K40:O40" si="11">SUM(K34:K39)</f>
        <v>0</v>
      </c>
      <c r="L40" s="426">
        <f t="shared" si="11"/>
        <v>0</v>
      </c>
      <c r="M40" s="426">
        <f t="shared" si="11"/>
        <v>0</v>
      </c>
      <c r="N40" s="426">
        <f t="shared" si="11"/>
        <v>0</v>
      </c>
      <c r="O40" s="426">
        <f t="shared" si="11"/>
        <v>0</v>
      </c>
      <c r="P40" s="149"/>
      <c r="Q40" s="70"/>
    </row>
    <row r="41" spans="2:17" x14ac:dyDescent="0.2">
      <c r="B41" s="69"/>
      <c r="C41" s="149"/>
      <c r="D41" s="421"/>
      <c r="E41" s="422"/>
      <c r="F41" s="423"/>
      <c r="G41" s="422"/>
      <c r="H41" s="423"/>
      <c r="I41" s="423"/>
      <c r="J41" s="1038"/>
      <c r="K41" s="423"/>
      <c r="L41" s="423"/>
      <c r="M41" s="423"/>
      <c r="N41" s="423"/>
      <c r="O41" s="423"/>
      <c r="P41" s="149"/>
      <c r="Q41" s="70"/>
    </row>
    <row r="42" spans="2:17" x14ac:dyDescent="0.2">
      <c r="B42" s="69"/>
      <c r="C42" s="149"/>
      <c r="D42" s="420"/>
      <c r="E42" s="122"/>
      <c r="F42" s="71"/>
      <c r="G42" s="122"/>
      <c r="H42" s="71"/>
      <c r="I42" s="71"/>
      <c r="J42" s="686"/>
      <c r="K42" s="71"/>
      <c r="L42" s="71"/>
      <c r="M42" s="71"/>
      <c r="N42" s="71"/>
      <c r="O42" s="71"/>
      <c r="P42" s="149"/>
      <c r="Q42" s="70"/>
    </row>
    <row r="43" spans="2:17" x14ac:dyDescent="0.2">
      <c r="B43" s="69"/>
      <c r="C43" s="149"/>
      <c r="D43" s="153" t="s">
        <v>19</v>
      </c>
      <c r="E43" s="149"/>
      <c r="F43" s="64"/>
      <c r="G43" s="149"/>
      <c r="H43" s="786"/>
      <c r="I43" s="786"/>
      <c r="J43" s="786"/>
      <c r="K43" s="450"/>
      <c r="L43" s="450"/>
      <c r="M43" s="450"/>
      <c r="N43" s="450"/>
      <c r="O43" s="450"/>
      <c r="P43" s="149"/>
      <c r="Q43" s="70"/>
    </row>
    <row r="44" spans="2:17" x14ac:dyDescent="0.2">
      <c r="B44" s="69"/>
      <c r="C44" s="149"/>
      <c r="D44" s="33" t="s">
        <v>138</v>
      </c>
      <c r="E44" s="149"/>
      <c r="F44" s="64"/>
      <c r="G44" s="149"/>
      <c r="H44" s="499"/>
      <c r="I44" s="499"/>
      <c r="J44" s="1032"/>
      <c r="K44" s="60">
        <f t="shared" ref="K44:O49" si="12">+J44</f>
        <v>0</v>
      </c>
      <c r="L44" s="60">
        <f t="shared" si="12"/>
        <v>0</v>
      </c>
      <c r="M44" s="60">
        <f t="shared" si="12"/>
        <v>0</v>
      </c>
      <c r="N44" s="60">
        <f t="shared" si="12"/>
        <v>0</v>
      </c>
      <c r="O44" s="992">
        <f t="shared" si="12"/>
        <v>0</v>
      </c>
      <c r="P44" s="149"/>
      <c r="Q44" s="70"/>
    </row>
    <row r="45" spans="2:17" x14ac:dyDescent="0.2">
      <c r="B45" s="69"/>
      <c r="C45" s="149"/>
      <c r="D45" s="45" t="s">
        <v>147</v>
      </c>
      <c r="E45" s="149"/>
      <c r="F45" s="64"/>
      <c r="G45" s="149"/>
      <c r="H45" s="499"/>
      <c r="I45" s="499"/>
      <c r="J45" s="1032"/>
      <c r="K45" s="60">
        <f t="shared" si="12"/>
        <v>0</v>
      </c>
      <c r="L45" s="60">
        <f t="shared" si="12"/>
        <v>0</v>
      </c>
      <c r="M45" s="60">
        <f t="shared" si="12"/>
        <v>0</v>
      </c>
      <c r="N45" s="60">
        <f t="shared" si="12"/>
        <v>0</v>
      </c>
      <c r="O45" s="992">
        <f t="shared" si="12"/>
        <v>0</v>
      </c>
      <c r="P45" s="149"/>
      <c r="Q45" s="70"/>
    </row>
    <row r="46" spans="2:17" x14ac:dyDescent="0.2">
      <c r="B46" s="69"/>
      <c r="C46" s="149"/>
      <c r="D46" s="417"/>
      <c r="E46" s="149"/>
      <c r="F46" s="64"/>
      <c r="G46" s="149"/>
      <c r="H46" s="499"/>
      <c r="I46" s="499"/>
      <c r="J46" s="1032"/>
      <c r="K46" s="60">
        <f t="shared" si="12"/>
        <v>0</v>
      </c>
      <c r="L46" s="60">
        <f t="shared" si="12"/>
        <v>0</v>
      </c>
      <c r="M46" s="60">
        <f t="shared" si="12"/>
        <v>0</v>
      </c>
      <c r="N46" s="60">
        <f t="shared" si="12"/>
        <v>0</v>
      </c>
      <c r="O46" s="992">
        <f t="shared" si="12"/>
        <v>0</v>
      </c>
      <c r="P46" s="149"/>
      <c r="Q46" s="70"/>
    </row>
    <row r="47" spans="2:17" x14ac:dyDescent="0.2">
      <c r="B47" s="69"/>
      <c r="C47" s="149"/>
      <c r="D47" s="417"/>
      <c r="E47" s="149"/>
      <c r="F47" s="64"/>
      <c r="G47" s="149"/>
      <c r="H47" s="499"/>
      <c r="I47" s="499"/>
      <c r="J47" s="1032"/>
      <c r="K47" s="60">
        <f t="shared" si="12"/>
        <v>0</v>
      </c>
      <c r="L47" s="60">
        <f t="shared" si="12"/>
        <v>0</v>
      </c>
      <c r="M47" s="60">
        <f t="shared" si="12"/>
        <v>0</v>
      </c>
      <c r="N47" s="60">
        <f t="shared" si="12"/>
        <v>0</v>
      </c>
      <c r="O47" s="992">
        <f t="shared" si="12"/>
        <v>0</v>
      </c>
      <c r="P47" s="149"/>
      <c r="Q47" s="70"/>
    </row>
    <row r="48" spans="2:17" x14ac:dyDescent="0.2">
      <c r="B48" s="69"/>
      <c r="C48" s="149"/>
      <c r="D48" s="417"/>
      <c r="E48" s="149"/>
      <c r="F48" s="64"/>
      <c r="G48" s="149"/>
      <c r="H48" s="499"/>
      <c r="I48" s="499"/>
      <c r="J48" s="1032"/>
      <c r="K48" s="60">
        <f t="shared" si="12"/>
        <v>0</v>
      </c>
      <c r="L48" s="60">
        <f t="shared" si="12"/>
        <v>0</v>
      </c>
      <c r="M48" s="60">
        <f t="shared" si="12"/>
        <v>0</v>
      </c>
      <c r="N48" s="60">
        <f t="shared" si="12"/>
        <v>0</v>
      </c>
      <c r="O48" s="992">
        <f t="shared" si="12"/>
        <v>0</v>
      </c>
      <c r="P48" s="149"/>
      <c r="Q48" s="70"/>
    </row>
    <row r="49" spans="2:17" x14ac:dyDescent="0.2">
      <c r="B49" s="69"/>
      <c r="C49" s="149"/>
      <c r="D49" s="417"/>
      <c r="E49" s="149"/>
      <c r="F49" s="64"/>
      <c r="G49" s="149"/>
      <c r="H49" s="499"/>
      <c r="I49" s="499"/>
      <c r="J49" s="1032"/>
      <c r="K49" s="60">
        <f t="shared" si="12"/>
        <v>0</v>
      </c>
      <c r="L49" s="60">
        <f t="shared" si="12"/>
        <v>0</v>
      </c>
      <c r="M49" s="60">
        <f t="shared" si="12"/>
        <v>0</v>
      </c>
      <c r="N49" s="60">
        <f t="shared" si="12"/>
        <v>0</v>
      </c>
      <c r="O49" s="992">
        <f t="shared" si="12"/>
        <v>0</v>
      </c>
      <c r="P49" s="149"/>
      <c r="Q49" s="70"/>
    </row>
    <row r="50" spans="2:17" x14ac:dyDescent="0.2">
      <c r="B50" s="69"/>
      <c r="C50" s="149"/>
      <c r="D50" s="153" t="s">
        <v>100</v>
      </c>
      <c r="E50" s="149"/>
      <c r="F50" s="64"/>
      <c r="G50" s="149"/>
      <c r="H50" s="685"/>
      <c r="I50" s="685"/>
      <c r="J50" s="685"/>
      <c r="K50" s="426">
        <f t="shared" ref="K50:O50" si="13">SUM(K44:K49)</f>
        <v>0</v>
      </c>
      <c r="L50" s="426">
        <f t="shared" si="13"/>
        <v>0</v>
      </c>
      <c r="M50" s="426">
        <f t="shared" si="13"/>
        <v>0</v>
      </c>
      <c r="N50" s="426">
        <f t="shared" si="13"/>
        <v>0</v>
      </c>
      <c r="O50" s="426">
        <f t="shared" si="13"/>
        <v>0</v>
      </c>
      <c r="P50" s="149"/>
      <c r="Q50" s="70"/>
    </row>
    <row r="51" spans="2:17" x14ac:dyDescent="0.2">
      <c r="B51" s="69"/>
      <c r="C51" s="149"/>
      <c r="D51" s="421"/>
      <c r="E51" s="422"/>
      <c r="F51" s="423"/>
      <c r="G51" s="422"/>
      <c r="H51" s="423"/>
      <c r="I51" s="423"/>
      <c r="J51" s="1038"/>
      <c r="K51" s="423"/>
      <c r="L51" s="423"/>
      <c r="M51" s="423"/>
      <c r="N51" s="423"/>
      <c r="O51" s="423"/>
      <c r="P51" s="149"/>
      <c r="Q51" s="70"/>
    </row>
    <row r="52" spans="2:17" x14ac:dyDescent="0.2">
      <c r="B52" s="69"/>
      <c r="C52" s="149"/>
      <c r="D52" s="420"/>
      <c r="E52" s="122"/>
      <c r="F52" s="71"/>
      <c r="G52" s="122"/>
      <c r="H52" s="71"/>
      <c r="I52" s="71"/>
      <c r="J52" s="686"/>
      <c r="K52" s="71"/>
      <c r="L52" s="71"/>
      <c r="M52" s="71"/>
      <c r="N52" s="71"/>
      <c r="O52" s="71"/>
      <c r="P52" s="149"/>
      <c r="Q52" s="70"/>
    </row>
    <row r="53" spans="2:17" x14ac:dyDescent="0.2">
      <c r="B53" s="69"/>
      <c r="C53" s="149"/>
      <c r="D53" s="153" t="s">
        <v>100</v>
      </c>
      <c r="E53" s="149"/>
      <c r="F53" s="64"/>
      <c r="G53" s="149"/>
      <c r="H53" s="685"/>
      <c r="I53" s="685"/>
      <c r="J53" s="685"/>
      <c r="K53" s="426">
        <f t="shared" ref="K53:O53" si="14">K40+K50</f>
        <v>0</v>
      </c>
      <c r="L53" s="426">
        <f t="shared" si="14"/>
        <v>0</v>
      </c>
      <c r="M53" s="426">
        <f t="shared" si="14"/>
        <v>0</v>
      </c>
      <c r="N53" s="426">
        <f t="shared" si="14"/>
        <v>0</v>
      </c>
      <c r="O53" s="426">
        <f t="shared" si="14"/>
        <v>0</v>
      </c>
      <c r="P53" s="149"/>
      <c r="Q53" s="70"/>
    </row>
    <row r="54" spans="2:17" x14ac:dyDescent="0.2">
      <c r="B54" s="69"/>
      <c r="C54" s="149"/>
      <c r="D54" s="153"/>
      <c r="E54" s="149"/>
      <c r="F54" s="64"/>
      <c r="G54" s="149"/>
      <c r="H54" s="149"/>
      <c r="I54" s="149"/>
      <c r="J54" s="498"/>
      <c r="K54" s="64"/>
      <c r="L54" s="64"/>
      <c r="M54" s="64"/>
      <c r="N54" s="64"/>
      <c r="O54" s="64"/>
      <c r="P54" s="149"/>
      <c r="Q54" s="70"/>
    </row>
    <row r="55" spans="2:17" x14ac:dyDescent="0.2">
      <c r="B55" s="69"/>
      <c r="C55" s="5"/>
      <c r="D55" s="5"/>
      <c r="E55" s="5"/>
      <c r="F55" s="63"/>
      <c r="G55" s="5"/>
      <c r="H55" s="5"/>
      <c r="I55" s="5"/>
      <c r="J55" s="63"/>
      <c r="K55" s="63"/>
      <c r="L55" s="63"/>
      <c r="M55" s="63"/>
      <c r="N55" s="63"/>
      <c r="O55" s="63"/>
      <c r="P55" s="5"/>
      <c r="Q55" s="70"/>
    </row>
    <row r="56" spans="2:17" x14ac:dyDescent="0.2">
      <c r="B56" s="69"/>
      <c r="C56" s="149"/>
      <c r="D56" s="153"/>
      <c r="E56" s="149"/>
      <c r="F56" s="64"/>
      <c r="G56" s="149"/>
      <c r="H56" s="149"/>
      <c r="I56" s="149"/>
      <c r="J56" s="64"/>
      <c r="K56" s="64"/>
      <c r="L56" s="64"/>
      <c r="M56" s="64"/>
      <c r="N56" s="64"/>
      <c r="O56" s="64"/>
      <c r="P56" s="149"/>
      <c r="Q56" s="70"/>
    </row>
    <row r="57" spans="2:17" x14ac:dyDescent="0.2">
      <c r="B57" s="69"/>
      <c r="C57" s="149"/>
      <c r="D57" s="153" t="s">
        <v>146</v>
      </c>
      <c r="E57" s="149"/>
      <c r="F57" s="64"/>
      <c r="G57" s="149"/>
      <c r="H57" s="685"/>
      <c r="I57" s="685"/>
      <c r="J57" s="685"/>
      <c r="K57" s="426">
        <f>K27+K53</f>
        <v>0</v>
      </c>
      <c r="L57" s="426">
        <f t="shared" ref="L57:O57" si="15">L27+L53</f>
        <v>0</v>
      </c>
      <c r="M57" s="426">
        <f t="shared" si="15"/>
        <v>0</v>
      </c>
      <c r="N57" s="426">
        <f t="shared" si="15"/>
        <v>0</v>
      </c>
      <c r="O57" s="426">
        <f t="shared" si="15"/>
        <v>0</v>
      </c>
      <c r="P57" s="149"/>
      <c r="Q57" s="70"/>
    </row>
    <row r="58" spans="2:17" x14ac:dyDescent="0.2">
      <c r="B58" s="69"/>
      <c r="C58" s="149"/>
      <c r="D58" s="153"/>
      <c r="E58" s="149"/>
      <c r="F58" s="64"/>
      <c r="G58" s="149"/>
      <c r="H58" s="149"/>
      <c r="I58" s="149"/>
      <c r="J58" s="64"/>
      <c r="K58" s="64"/>
      <c r="L58" s="64"/>
      <c r="M58" s="64"/>
      <c r="N58" s="64"/>
      <c r="O58" s="64"/>
      <c r="P58" s="149"/>
      <c r="Q58" s="70"/>
    </row>
    <row r="59" spans="2:17" x14ac:dyDescent="0.2">
      <c r="B59" s="69"/>
      <c r="C59" s="5"/>
      <c r="D59" s="5"/>
      <c r="E59" s="5"/>
      <c r="F59" s="63"/>
      <c r="G59" s="5"/>
      <c r="H59" s="5"/>
      <c r="I59" s="5"/>
      <c r="J59" s="63"/>
      <c r="K59" s="63"/>
      <c r="L59" s="63"/>
      <c r="M59" s="63"/>
      <c r="N59" s="63"/>
      <c r="O59" s="63"/>
      <c r="P59" s="5"/>
      <c r="Q59" s="70"/>
    </row>
    <row r="60" spans="2:17" x14ac:dyDescent="0.2">
      <c r="B60" s="78"/>
      <c r="C60" s="75"/>
      <c r="D60" s="75"/>
      <c r="E60" s="75"/>
      <c r="F60" s="76"/>
      <c r="G60" s="75"/>
      <c r="H60" s="75"/>
      <c r="I60" s="75"/>
      <c r="J60" s="76"/>
      <c r="K60" s="76"/>
      <c r="L60" s="76"/>
      <c r="M60" s="76"/>
      <c r="N60" s="76"/>
      <c r="O60" s="76"/>
      <c r="P60" s="75"/>
      <c r="Q60" s="77"/>
    </row>
    <row r="61" spans="2:17" x14ac:dyDescent="0.2">
      <c r="B61" s="65"/>
      <c r="C61" s="66"/>
      <c r="D61" s="66"/>
      <c r="E61" s="66"/>
      <c r="F61" s="67"/>
      <c r="G61" s="66"/>
      <c r="H61" s="66"/>
      <c r="I61" s="66"/>
      <c r="J61" s="67"/>
      <c r="K61" s="67"/>
      <c r="L61" s="67"/>
      <c r="M61" s="67"/>
      <c r="N61" s="67"/>
      <c r="O61" s="67"/>
      <c r="P61" s="66"/>
      <c r="Q61" s="68"/>
    </row>
    <row r="62" spans="2:17" x14ac:dyDescent="0.2">
      <c r="B62" s="69"/>
      <c r="C62" s="5"/>
      <c r="D62" s="5"/>
      <c r="E62" s="5"/>
      <c r="F62" s="63"/>
      <c r="G62" s="5"/>
      <c r="H62" s="5"/>
      <c r="I62" s="5"/>
      <c r="J62" s="63"/>
      <c r="K62" s="63"/>
      <c r="L62" s="63"/>
      <c r="M62" s="63"/>
      <c r="N62" s="63"/>
      <c r="O62" s="63"/>
      <c r="P62" s="5"/>
      <c r="Q62" s="70"/>
    </row>
    <row r="63" spans="2:17" x14ac:dyDescent="0.2">
      <c r="B63" s="69"/>
      <c r="C63" s="5"/>
      <c r="D63" s="5"/>
      <c r="E63" s="5"/>
      <c r="F63" s="63"/>
      <c r="G63" s="5"/>
      <c r="H63" s="468"/>
      <c r="I63" s="468"/>
      <c r="J63" s="468"/>
      <c r="K63" s="468">
        <f>K8</f>
        <v>2023</v>
      </c>
      <c r="L63" s="468">
        <f>L8</f>
        <v>2024</v>
      </c>
      <c r="M63" s="468">
        <f>M8</f>
        <v>2025</v>
      </c>
      <c r="N63" s="468">
        <f>N8</f>
        <v>2026</v>
      </c>
      <c r="O63" s="468">
        <f>O8</f>
        <v>2027</v>
      </c>
      <c r="P63" s="5"/>
      <c r="Q63" s="70"/>
    </row>
    <row r="64" spans="2:17" x14ac:dyDescent="0.2">
      <c r="B64" s="69"/>
      <c r="C64" s="5"/>
      <c r="D64" s="5"/>
      <c r="E64" s="5"/>
      <c r="F64" s="63"/>
      <c r="G64" s="5"/>
      <c r="H64" s="5"/>
      <c r="I64" s="5"/>
      <c r="J64" s="63"/>
      <c r="K64" s="63"/>
      <c r="L64" s="63"/>
      <c r="M64" s="63"/>
      <c r="N64" s="63"/>
      <c r="O64" s="63"/>
      <c r="P64" s="5"/>
      <c r="Q64" s="70"/>
    </row>
    <row r="65" spans="2:17" x14ac:dyDescent="0.2">
      <c r="B65" s="69"/>
      <c r="C65" s="149"/>
      <c r="D65" s="149"/>
      <c r="E65" s="149"/>
      <c r="F65" s="64"/>
      <c r="G65" s="149"/>
      <c r="H65" s="149"/>
      <c r="I65" s="149"/>
      <c r="J65" s="64"/>
      <c r="K65" s="64"/>
      <c r="L65" s="64"/>
      <c r="M65" s="64"/>
      <c r="N65" s="64"/>
      <c r="O65" s="64"/>
      <c r="P65" s="149"/>
      <c r="Q65" s="70"/>
    </row>
    <row r="66" spans="2:17" x14ac:dyDescent="0.2">
      <c r="B66" s="69"/>
      <c r="C66" s="149"/>
      <c r="D66" s="462" t="s">
        <v>64</v>
      </c>
      <c r="E66" s="149"/>
      <c r="F66" s="164" t="s">
        <v>177</v>
      </c>
      <c r="G66" s="149"/>
      <c r="H66" s="149"/>
      <c r="I66" s="149"/>
      <c r="J66" s="64"/>
      <c r="K66" s="64"/>
      <c r="L66" s="64"/>
      <c r="M66" s="64"/>
      <c r="N66" s="64"/>
      <c r="O66" s="64"/>
      <c r="P66" s="149"/>
      <c r="Q66" s="70"/>
    </row>
    <row r="67" spans="2:17" x14ac:dyDescent="0.2">
      <c r="B67" s="69"/>
      <c r="C67" s="149"/>
      <c r="D67" s="149"/>
      <c r="E67" s="149"/>
      <c r="F67" s="64"/>
      <c r="G67" s="149"/>
      <c r="H67" s="496"/>
      <c r="I67" s="496"/>
      <c r="J67" s="498"/>
      <c r="K67" s="64"/>
      <c r="L67" s="64"/>
      <c r="M67" s="64"/>
      <c r="N67" s="64"/>
      <c r="O67" s="64"/>
      <c r="P67" s="149"/>
      <c r="Q67" s="70"/>
    </row>
    <row r="68" spans="2:17" x14ac:dyDescent="0.2">
      <c r="B68" s="69"/>
      <c r="C68" s="149"/>
      <c r="D68" s="45" t="s">
        <v>70</v>
      </c>
      <c r="E68" s="149"/>
      <c r="F68" s="434"/>
      <c r="G68" s="149"/>
      <c r="H68" s="499"/>
      <c r="I68" s="499"/>
      <c r="J68" s="499"/>
      <c r="K68" s="61">
        <f>act!G30</f>
        <v>0</v>
      </c>
      <c r="L68" s="61">
        <f>act!H30</f>
        <v>0</v>
      </c>
      <c r="M68" s="61">
        <f>act!I30</f>
        <v>0</v>
      </c>
      <c r="N68" s="61">
        <f>act!J30</f>
        <v>0</v>
      </c>
      <c r="O68" s="61">
        <f>act!K30</f>
        <v>0</v>
      </c>
      <c r="P68" s="149"/>
      <c r="Q68" s="70"/>
    </row>
    <row r="69" spans="2:17" x14ac:dyDescent="0.2">
      <c r="B69" s="69"/>
      <c r="C69" s="149"/>
      <c r="D69" s="45" t="s">
        <v>71</v>
      </c>
      <c r="E69" s="149"/>
      <c r="F69" s="434"/>
      <c r="G69" s="149"/>
      <c r="H69" s="499"/>
      <c r="I69" s="499"/>
      <c r="J69" s="499"/>
      <c r="K69" s="61">
        <f>act!G31</f>
        <v>13875</v>
      </c>
      <c r="L69" s="61">
        <f>act!H31</f>
        <v>13875</v>
      </c>
      <c r="M69" s="61">
        <f>act!I31</f>
        <v>13875</v>
      </c>
      <c r="N69" s="61">
        <f>act!J31</f>
        <v>13875</v>
      </c>
      <c r="O69" s="61">
        <f>act!K31</f>
        <v>13875</v>
      </c>
      <c r="P69" s="149"/>
      <c r="Q69" s="70"/>
    </row>
    <row r="70" spans="2:17" x14ac:dyDescent="0.2">
      <c r="B70" s="69"/>
      <c r="C70" s="149"/>
      <c r="D70" s="45" t="s">
        <v>66</v>
      </c>
      <c r="E70" s="149"/>
      <c r="F70" s="434"/>
      <c r="G70" s="149"/>
      <c r="H70" s="499"/>
      <c r="I70" s="499"/>
      <c r="J70" s="499"/>
      <c r="K70" s="61">
        <f>act!G32</f>
        <v>0</v>
      </c>
      <c r="L70" s="61">
        <f>act!H32</f>
        <v>0</v>
      </c>
      <c r="M70" s="61">
        <f>act!I32</f>
        <v>0</v>
      </c>
      <c r="N70" s="61">
        <f>act!J32</f>
        <v>0</v>
      </c>
      <c r="O70" s="61">
        <f>act!K32</f>
        <v>0</v>
      </c>
      <c r="P70" s="149"/>
      <c r="Q70" s="70"/>
    </row>
    <row r="71" spans="2:17" x14ac:dyDescent="0.2">
      <c r="B71" s="69"/>
      <c r="C71" s="149"/>
      <c r="D71" s="45" t="s">
        <v>72</v>
      </c>
      <c r="E71" s="149"/>
      <c r="F71" s="434"/>
      <c r="G71" s="149"/>
      <c r="H71" s="499"/>
      <c r="I71" s="499"/>
      <c r="J71" s="499"/>
      <c r="K71" s="61">
        <f>act!G33</f>
        <v>0</v>
      </c>
      <c r="L71" s="61">
        <f>act!H33</f>
        <v>0</v>
      </c>
      <c r="M71" s="61">
        <f>act!I33</f>
        <v>0</v>
      </c>
      <c r="N71" s="61">
        <f>act!J33</f>
        <v>0</v>
      </c>
      <c r="O71" s="61">
        <f>act!K33</f>
        <v>0</v>
      </c>
      <c r="P71" s="149"/>
      <c r="Q71" s="70"/>
    </row>
    <row r="72" spans="2:17" x14ac:dyDescent="0.2">
      <c r="B72" s="69"/>
      <c r="C72" s="149"/>
      <c r="D72" s="149"/>
      <c r="E72" s="149"/>
      <c r="F72" s="64"/>
      <c r="G72" s="149"/>
      <c r="H72" s="498"/>
      <c r="I72" s="498"/>
      <c r="J72" s="498"/>
      <c r="K72" s="64"/>
      <c r="L72" s="64"/>
      <c r="M72" s="64"/>
      <c r="N72" s="64"/>
      <c r="O72" s="64"/>
      <c r="P72" s="149"/>
      <c r="Q72" s="70"/>
    </row>
    <row r="73" spans="2:17" x14ac:dyDescent="0.2">
      <c r="B73" s="69"/>
      <c r="C73" s="149"/>
      <c r="D73" s="153" t="s">
        <v>100</v>
      </c>
      <c r="E73" s="149"/>
      <c r="F73" s="64"/>
      <c r="G73" s="149"/>
      <c r="H73" s="685"/>
      <c r="I73" s="685"/>
      <c r="J73" s="685"/>
      <c r="K73" s="426">
        <f t="shared" ref="K73:O73" si="16">SUM(K68:K71)</f>
        <v>13875</v>
      </c>
      <c r="L73" s="426">
        <f t="shared" si="16"/>
        <v>13875</v>
      </c>
      <c r="M73" s="426">
        <f t="shared" si="16"/>
        <v>13875</v>
      </c>
      <c r="N73" s="426">
        <f t="shared" si="16"/>
        <v>13875</v>
      </c>
      <c r="O73" s="426">
        <f t="shared" si="16"/>
        <v>13875</v>
      </c>
      <c r="P73" s="149"/>
      <c r="Q73" s="70"/>
    </row>
    <row r="74" spans="2:17" x14ac:dyDescent="0.2">
      <c r="B74" s="69"/>
      <c r="C74" s="149"/>
      <c r="D74" s="149"/>
      <c r="E74" s="149"/>
      <c r="F74" s="64"/>
      <c r="G74" s="149"/>
      <c r="H74" s="496"/>
      <c r="I74" s="496"/>
      <c r="J74" s="498"/>
      <c r="K74" s="64"/>
      <c r="L74" s="64"/>
      <c r="M74" s="64"/>
      <c r="N74" s="64"/>
      <c r="O74" s="64"/>
      <c r="P74" s="149"/>
      <c r="Q74" s="70"/>
    </row>
    <row r="75" spans="2:17" x14ac:dyDescent="0.2">
      <c r="B75" s="69"/>
      <c r="C75" s="5"/>
      <c r="D75" s="5"/>
      <c r="E75" s="5"/>
      <c r="F75" s="63"/>
      <c r="G75" s="5"/>
      <c r="H75" s="5"/>
      <c r="I75" s="5"/>
      <c r="J75" s="63"/>
      <c r="K75" s="63"/>
      <c r="L75" s="63"/>
      <c r="M75" s="63"/>
      <c r="N75" s="63"/>
      <c r="O75" s="63"/>
      <c r="P75" s="5"/>
      <c r="Q75" s="70"/>
    </row>
    <row r="76" spans="2:17" x14ac:dyDescent="0.2">
      <c r="B76" s="69"/>
      <c r="C76" s="149"/>
      <c r="D76" s="149"/>
      <c r="E76" s="149"/>
      <c r="F76" s="64"/>
      <c r="G76" s="149"/>
      <c r="H76" s="149"/>
      <c r="I76" s="149"/>
      <c r="J76" s="64"/>
      <c r="K76" s="64"/>
      <c r="L76" s="64"/>
      <c r="M76" s="64"/>
      <c r="N76" s="64"/>
      <c r="O76" s="64"/>
      <c r="P76" s="149"/>
      <c r="Q76" s="70"/>
    </row>
    <row r="77" spans="2:17" x14ac:dyDescent="0.2">
      <c r="B77" s="69"/>
      <c r="C77" s="149"/>
      <c r="D77" s="462" t="s">
        <v>65</v>
      </c>
      <c r="E77" s="149"/>
      <c r="F77" s="64"/>
      <c r="G77" s="149"/>
      <c r="H77" s="149"/>
      <c r="I77" s="149"/>
      <c r="J77" s="64"/>
      <c r="K77" s="64"/>
      <c r="L77" s="64"/>
      <c r="M77" s="64"/>
      <c r="N77" s="64"/>
      <c r="O77" s="64"/>
      <c r="P77" s="149"/>
      <c r="Q77" s="70"/>
    </row>
    <row r="78" spans="2:17" x14ac:dyDescent="0.2">
      <c r="B78" s="69"/>
      <c r="C78" s="149"/>
      <c r="D78" s="149"/>
      <c r="E78" s="149"/>
      <c r="F78" s="64"/>
      <c r="G78" s="149"/>
      <c r="H78" s="149"/>
      <c r="I78" s="149"/>
      <c r="J78" s="64"/>
      <c r="K78" s="64"/>
      <c r="L78" s="64"/>
      <c r="M78" s="64"/>
      <c r="N78" s="64"/>
      <c r="O78" s="64"/>
      <c r="P78" s="149"/>
      <c r="Q78" s="70"/>
    </row>
    <row r="79" spans="2:17" x14ac:dyDescent="0.2">
      <c r="B79" s="69"/>
      <c r="C79" s="149"/>
      <c r="D79" s="153" t="s">
        <v>18</v>
      </c>
      <c r="E79" s="149"/>
      <c r="F79" s="64"/>
      <c r="G79" s="149"/>
      <c r="H79" s="496"/>
      <c r="I79" s="496"/>
      <c r="J79" s="498"/>
      <c r="K79" s="64"/>
      <c r="L79" s="64"/>
      <c r="M79" s="64"/>
      <c r="N79" s="64"/>
      <c r="O79" s="64"/>
      <c r="P79" s="149"/>
      <c r="Q79" s="70"/>
    </row>
    <row r="80" spans="2:17" x14ac:dyDescent="0.2">
      <c r="B80" s="69"/>
      <c r="C80" s="149"/>
      <c r="D80" s="417"/>
      <c r="E80" s="149"/>
      <c r="F80" s="434"/>
      <c r="G80" s="149"/>
      <c r="H80" s="499"/>
      <c r="I80" s="499"/>
      <c r="J80" s="1032"/>
      <c r="K80" s="60">
        <f t="shared" ref="K80:O80" si="17">J80</f>
        <v>0</v>
      </c>
      <c r="L80" s="60">
        <f t="shared" si="17"/>
        <v>0</v>
      </c>
      <c r="M80" s="60">
        <f t="shared" si="17"/>
        <v>0</v>
      </c>
      <c r="N80" s="60">
        <f t="shared" si="17"/>
        <v>0</v>
      </c>
      <c r="O80" s="992">
        <f t="shared" si="17"/>
        <v>0</v>
      </c>
      <c r="P80" s="149"/>
      <c r="Q80" s="70"/>
    </row>
    <row r="81" spans="2:17" x14ac:dyDescent="0.2">
      <c r="B81" s="69"/>
      <c r="C81" s="149"/>
      <c r="D81" s="952"/>
      <c r="E81" s="149"/>
      <c r="F81" s="434"/>
      <c r="G81" s="149"/>
      <c r="H81" s="499"/>
      <c r="I81" s="703"/>
      <c r="J81" s="1032"/>
      <c r="K81" s="60">
        <f t="shared" ref="K81:O82" si="18">J81</f>
        <v>0</v>
      </c>
      <c r="L81" s="60">
        <f t="shared" si="18"/>
        <v>0</v>
      </c>
      <c r="M81" s="60">
        <f t="shared" si="18"/>
        <v>0</v>
      </c>
      <c r="N81" s="60">
        <f t="shared" si="18"/>
        <v>0</v>
      </c>
      <c r="O81" s="992">
        <f t="shared" si="18"/>
        <v>0</v>
      </c>
      <c r="P81" s="149"/>
      <c r="Q81" s="70"/>
    </row>
    <row r="82" spans="2:17" x14ac:dyDescent="0.2">
      <c r="B82" s="69"/>
      <c r="C82" s="149"/>
      <c r="D82" s="952"/>
      <c r="E82" s="149"/>
      <c r="F82" s="434"/>
      <c r="G82" s="149"/>
      <c r="H82" s="499"/>
      <c r="I82" s="703"/>
      <c r="J82" s="1032"/>
      <c r="K82" s="60">
        <f t="shared" si="18"/>
        <v>0</v>
      </c>
      <c r="L82" s="60">
        <f t="shared" si="18"/>
        <v>0</v>
      </c>
      <c r="M82" s="60">
        <f t="shared" si="18"/>
        <v>0</v>
      </c>
      <c r="N82" s="60">
        <f t="shared" si="18"/>
        <v>0</v>
      </c>
      <c r="O82" s="992">
        <f t="shared" si="18"/>
        <v>0</v>
      </c>
      <c r="P82" s="149"/>
      <c r="Q82" s="70"/>
    </row>
    <row r="83" spans="2:17" x14ac:dyDescent="0.2">
      <c r="B83" s="69"/>
      <c r="C83" s="149"/>
      <c r="D83" s="153"/>
      <c r="E83" s="149"/>
      <c r="F83" s="64"/>
      <c r="G83" s="149"/>
      <c r="H83" s="787"/>
      <c r="I83" s="787"/>
      <c r="J83" s="787"/>
      <c r="K83" s="407">
        <f t="shared" ref="K83:O83" si="19">SUM(K80:K82)</f>
        <v>0</v>
      </c>
      <c r="L83" s="407">
        <f t="shared" si="19"/>
        <v>0</v>
      </c>
      <c r="M83" s="407">
        <f t="shared" si="19"/>
        <v>0</v>
      </c>
      <c r="N83" s="407">
        <f t="shared" si="19"/>
        <v>0</v>
      </c>
      <c r="O83" s="407">
        <f t="shared" si="19"/>
        <v>0</v>
      </c>
      <c r="P83" s="149"/>
      <c r="Q83" s="70"/>
    </row>
    <row r="84" spans="2:17" x14ac:dyDescent="0.2">
      <c r="B84" s="69"/>
      <c r="C84" s="149"/>
      <c r="D84" s="421"/>
      <c r="E84" s="422"/>
      <c r="F84" s="423"/>
      <c r="G84" s="422"/>
      <c r="H84" s="423"/>
      <c r="I84" s="423"/>
      <c r="J84" s="1038"/>
      <c r="K84" s="423"/>
      <c r="L84" s="423"/>
      <c r="M84" s="423"/>
      <c r="N84" s="423"/>
      <c r="O84" s="423"/>
      <c r="P84" s="149"/>
      <c r="Q84" s="70"/>
    </row>
    <row r="85" spans="2:17" x14ac:dyDescent="0.2">
      <c r="B85" s="69"/>
      <c r="C85" s="149"/>
      <c r="D85" s="420"/>
      <c r="E85" s="122"/>
      <c r="F85" s="71"/>
      <c r="G85" s="122"/>
      <c r="H85" s="71"/>
      <c r="I85" s="71"/>
      <c r="J85" s="686"/>
      <c r="K85" s="71"/>
      <c r="L85" s="71"/>
      <c r="M85" s="71"/>
      <c r="N85" s="71"/>
      <c r="O85" s="71"/>
      <c r="P85" s="149"/>
      <c r="Q85" s="70"/>
    </row>
    <row r="86" spans="2:17" x14ac:dyDescent="0.2">
      <c r="B86" s="69"/>
      <c r="C86" s="149"/>
      <c r="D86" s="153" t="s">
        <v>19</v>
      </c>
      <c r="E86" s="149"/>
      <c r="F86" s="64"/>
      <c r="G86" s="149"/>
      <c r="H86" s="149"/>
      <c r="I86" s="149"/>
      <c r="J86" s="498"/>
      <c r="K86" s="64"/>
      <c r="L86" s="64"/>
      <c r="M86" s="64"/>
      <c r="N86" s="64"/>
      <c r="O86" s="64"/>
      <c r="P86" s="149"/>
      <c r="Q86" s="70"/>
    </row>
    <row r="87" spans="2:17" x14ac:dyDescent="0.2">
      <c r="B87" s="69"/>
      <c r="C87" s="149"/>
      <c r="D87" s="417"/>
      <c r="E87" s="149"/>
      <c r="F87" s="434"/>
      <c r="G87" s="149"/>
      <c r="H87" s="703"/>
      <c r="I87" s="703"/>
      <c r="J87" s="1032"/>
      <c r="K87" s="419">
        <f t="shared" ref="K87:L89" si="20">J87</f>
        <v>0</v>
      </c>
      <c r="L87" s="419">
        <f t="shared" si="20"/>
        <v>0</v>
      </c>
      <c r="M87" s="419">
        <f t="shared" ref="M87:O89" si="21">L87</f>
        <v>0</v>
      </c>
      <c r="N87" s="419">
        <f t="shared" si="21"/>
        <v>0</v>
      </c>
      <c r="O87" s="991">
        <f t="shared" si="21"/>
        <v>0</v>
      </c>
      <c r="P87" s="149"/>
      <c r="Q87" s="70"/>
    </row>
    <row r="88" spans="2:17" x14ac:dyDescent="0.2">
      <c r="B88" s="69"/>
      <c r="C88" s="149"/>
      <c r="D88" s="417"/>
      <c r="E88" s="149"/>
      <c r="F88" s="434"/>
      <c r="G88" s="149"/>
      <c r="H88" s="703"/>
      <c r="I88" s="703"/>
      <c r="J88" s="1032"/>
      <c r="K88" s="419">
        <f t="shared" si="20"/>
        <v>0</v>
      </c>
      <c r="L88" s="419">
        <f t="shared" si="20"/>
        <v>0</v>
      </c>
      <c r="M88" s="419">
        <f t="shared" si="21"/>
        <v>0</v>
      </c>
      <c r="N88" s="419">
        <f t="shared" si="21"/>
        <v>0</v>
      </c>
      <c r="O88" s="991">
        <f t="shared" si="21"/>
        <v>0</v>
      </c>
      <c r="P88" s="149"/>
      <c r="Q88" s="70"/>
    </row>
    <row r="89" spans="2:17" x14ac:dyDescent="0.2">
      <c r="B89" s="69"/>
      <c r="C89" s="149"/>
      <c r="D89" s="417"/>
      <c r="E89" s="149"/>
      <c r="F89" s="434"/>
      <c r="G89" s="149"/>
      <c r="H89" s="703"/>
      <c r="I89" s="703"/>
      <c r="J89" s="1032"/>
      <c r="K89" s="419">
        <f t="shared" si="20"/>
        <v>0</v>
      </c>
      <c r="L89" s="419">
        <f t="shared" si="20"/>
        <v>0</v>
      </c>
      <c r="M89" s="419">
        <f t="shared" si="21"/>
        <v>0</v>
      </c>
      <c r="N89" s="419">
        <f t="shared" si="21"/>
        <v>0</v>
      </c>
      <c r="O89" s="991">
        <f t="shared" si="21"/>
        <v>0</v>
      </c>
      <c r="P89" s="149"/>
      <c r="Q89" s="70"/>
    </row>
    <row r="90" spans="2:17" x14ac:dyDescent="0.2">
      <c r="B90" s="69"/>
      <c r="C90" s="149"/>
      <c r="D90" s="153"/>
      <c r="E90" s="149"/>
      <c r="F90" s="64"/>
      <c r="G90" s="149"/>
      <c r="H90" s="787"/>
      <c r="I90" s="787"/>
      <c r="J90" s="787"/>
      <c r="K90" s="407">
        <f t="shared" ref="K90:O90" si="22">SUM(K87:K89)</f>
        <v>0</v>
      </c>
      <c r="L90" s="407">
        <f t="shared" si="22"/>
        <v>0</v>
      </c>
      <c r="M90" s="407">
        <f t="shared" si="22"/>
        <v>0</v>
      </c>
      <c r="N90" s="407">
        <f t="shared" si="22"/>
        <v>0</v>
      </c>
      <c r="O90" s="407">
        <f t="shared" si="22"/>
        <v>0</v>
      </c>
      <c r="P90" s="149"/>
      <c r="Q90" s="70"/>
    </row>
    <row r="91" spans="2:17" x14ac:dyDescent="0.2">
      <c r="B91" s="69"/>
      <c r="C91" s="149"/>
      <c r="D91" s="421"/>
      <c r="E91" s="422"/>
      <c r="F91" s="423"/>
      <c r="G91" s="422"/>
      <c r="H91" s="423"/>
      <c r="I91" s="423"/>
      <c r="J91" s="1038"/>
      <c r="K91" s="423"/>
      <c r="L91" s="423"/>
      <c r="M91" s="423"/>
      <c r="N91" s="423"/>
      <c r="O91" s="423"/>
      <c r="P91" s="149"/>
      <c r="Q91" s="70"/>
    </row>
    <row r="92" spans="2:17" x14ac:dyDescent="0.2">
      <c r="B92" s="69"/>
      <c r="C92" s="149"/>
      <c r="D92" s="420"/>
      <c r="E92" s="122"/>
      <c r="F92" s="71"/>
      <c r="G92" s="122"/>
      <c r="H92" s="71"/>
      <c r="I92" s="71"/>
      <c r="J92" s="686"/>
      <c r="K92" s="71"/>
      <c r="L92" s="71"/>
      <c r="M92" s="71"/>
      <c r="N92" s="71"/>
      <c r="O92" s="71"/>
      <c r="P92" s="149"/>
      <c r="Q92" s="70"/>
    </row>
    <row r="93" spans="2:17" x14ac:dyDescent="0.2">
      <c r="B93" s="69"/>
      <c r="C93" s="149"/>
      <c r="D93" s="153" t="s">
        <v>100</v>
      </c>
      <c r="E93" s="149"/>
      <c r="F93" s="64"/>
      <c r="G93" s="149"/>
      <c r="H93" s="685"/>
      <c r="I93" s="685"/>
      <c r="J93" s="685"/>
      <c r="K93" s="426">
        <f t="shared" ref="K93:O93" si="23">K83+K90</f>
        <v>0</v>
      </c>
      <c r="L93" s="426">
        <f t="shared" si="23"/>
        <v>0</v>
      </c>
      <c r="M93" s="426">
        <f t="shared" si="23"/>
        <v>0</v>
      </c>
      <c r="N93" s="426">
        <f t="shared" si="23"/>
        <v>0</v>
      </c>
      <c r="O93" s="426">
        <f t="shared" si="23"/>
        <v>0</v>
      </c>
      <c r="P93" s="149"/>
      <c r="Q93" s="70"/>
    </row>
    <row r="94" spans="2:17" x14ac:dyDescent="0.2">
      <c r="B94" s="69"/>
      <c r="C94" s="149"/>
      <c r="D94" s="149"/>
      <c r="E94" s="149"/>
      <c r="F94" s="64"/>
      <c r="G94" s="149"/>
      <c r="H94" s="149"/>
      <c r="I94" s="149"/>
      <c r="J94" s="498"/>
      <c r="K94" s="64"/>
      <c r="L94" s="64"/>
      <c r="M94" s="64"/>
      <c r="N94" s="64"/>
      <c r="O94" s="64"/>
      <c r="P94" s="149"/>
      <c r="Q94" s="70"/>
    </row>
    <row r="95" spans="2:17" x14ac:dyDescent="0.2">
      <c r="B95" s="69"/>
      <c r="C95" s="5"/>
      <c r="D95" s="5"/>
      <c r="E95" s="5"/>
      <c r="F95" s="63"/>
      <c r="G95" s="5"/>
      <c r="H95" s="5"/>
      <c r="I95" s="5"/>
      <c r="J95" s="63"/>
      <c r="K95" s="63"/>
      <c r="L95" s="63"/>
      <c r="M95" s="63"/>
      <c r="N95" s="63"/>
      <c r="O95" s="63"/>
      <c r="P95" s="5"/>
      <c r="Q95" s="70"/>
    </row>
    <row r="96" spans="2:17" x14ac:dyDescent="0.2">
      <c r="B96" s="69"/>
      <c r="C96" s="149"/>
      <c r="D96" s="149"/>
      <c r="E96" s="149"/>
      <c r="F96" s="64"/>
      <c r="G96" s="149"/>
      <c r="H96" s="149"/>
      <c r="I96" s="149"/>
      <c r="J96" s="64"/>
      <c r="K96" s="64"/>
      <c r="L96" s="64"/>
      <c r="M96" s="64"/>
      <c r="N96" s="64"/>
      <c r="O96" s="64"/>
      <c r="P96" s="149"/>
      <c r="Q96" s="70"/>
    </row>
    <row r="97" spans="2:17" x14ac:dyDescent="0.2">
      <c r="B97" s="69"/>
      <c r="C97" s="149"/>
      <c r="D97" s="462" t="s">
        <v>143</v>
      </c>
      <c r="E97" s="149"/>
      <c r="F97" s="64"/>
      <c r="G97" s="149"/>
      <c r="H97" s="149"/>
      <c r="I97" s="149"/>
      <c r="J97" s="64"/>
      <c r="K97" s="64"/>
      <c r="L97" s="64"/>
      <c r="M97" s="64"/>
      <c r="N97" s="64"/>
      <c r="O97" s="64"/>
      <c r="P97" s="149"/>
      <c r="Q97" s="70"/>
    </row>
    <row r="98" spans="2:17" x14ac:dyDescent="0.2">
      <c r="B98" s="69"/>
      <c r="C98" s="149"/>
      <c r="D98" s="149"/>
      <c r="E98" s="149"/>
      <c r="F98" s="64"/>
      <c r="G98" s="149"/>
      <c r="H98" s="149"/>
      <c r="I98" s="149"/>
      <c r="J98" s="64"/>
      <c r="K98" s="64"/>
      <c r="L98" s="64"/>
      <c r="M98" s="64"/>
      <c r="N98" s="64"/>
      <c r="O98" s="64"/>
      <c r="P98" s="149"/>
      <c r="Q98" s="70"/>
    </row>
    <row r="99" spans="2:17" x14ac:dyDescent="0.2">
      <c r="B99" s="69"/>
      <c r="C99" s="149"/>
      <c r="D99" s="153" t="s">
        <v>18</v>
      </c>
      <c r="E99" s="149"/>
      <c r="F99" s="64"/>
      <c r="G99" s="149"/>
      <c r="H99" s="149"/>
      <c r="I99" s="149"/>
      <c r="J99" s="498"/>
      <c r="K99" s="64"/>
      <c r="L99" s="64"/>
      <c r="M99" s="64"/>
      <c r="N99" s="64"/>
      <c r="O99" s="64"/>
      <c r="P99" s="149"/>
      <c r="Q99" s="70"/>
    </row>
    <row r="100" spans="2:17" x14ac:dyDescent="0.2">
      <c r="B100" s="69"/>
      <c r="C100" s="149"/>
      <c r="D100" s="149" t="s">
        <v>507</v>
      </c>
      <c r="E100" s="149"/>
      <c r="F100" s="106"/>
      <c r="G100" s="149"/>
      <c r="H100" s="149"/>
      <c r="I100" s="149"/>
      <c r="J100" s="1039"/>
      <c r="K100" s="912">
        <v>0</v>
      </c>
      <c r="L100" s="912">
        <v>0</v>
      </c>
      <c r="M100" s="912">
        <v>0</v>
      </c>
      <c r="N100" s="912">
        <v>0</v>
      </c>
      <c r="O100" s="912">
        <v>0</v>
      </c>
      <c r="P100" s="149"/>
      <c r="Q100" s="70"/>
    </row>
    <row r="101" spans="2:17" x14ac:dyDescent="0.2">
      <c r="B101" s="69"/>
      <c r="C101" s="149"/>
      <c r="D101" s="149" t="s">
        <v>508</v>
      </c>
      <c r="E101" s="149"/>
      <c r="F101" s="106"/>
      <c r="G101" s="149"/>
      <c r="H101" s="149"/>
      <c r="I101" s="149"/>
      <c r="J101" s="1039"/>
      <c r="K101" s="912">
        <v>0</v>
      </c>
      <c r="L101" s="912">
        <v>0</v>
      </c>
      <c r="M101" s="912">
        <v>0</v>
      </c>
      <c r="N101" s="912">
        <v>0</v>
      </c>
      <c r="O101" s="912">
        <v>0</v>
      </c>
      <c r="P101" s="149"/>
      <c r="Q101" s="70"/>
    </row>
    <row r="102" spans="2:17" x14ac:dyDescent="0.2">
      <c r="B102" s="69"/>
      <c r="C102" s="149"/>
      <c r="D102" s="149" t="s">
        <v>548</v>
      </c>
      <c r="E102" s="149"/>
      <c r="F102" s="106"/>
      <c r="G102" s="149"/>
      <c r="H102" s="149"/>
      <c r="I102" s="149"/>
      <c r="J102" s="1040"/>
      <c r="K102" s="916">
        <f t="shared" ref="K102:O102" si="24">SUM(K100:K101)</f>
        <v>0</v>
      </c>
      <c r="L102" s="916">
        <f t="shared" si="24"/>
        <v>0</v>
      </c>
      <c r="M102" s="916">
        <f t="shared" si="24"/>
        <v>0</v>
      </c>
      <c r="N102" s="916">
        <f t="shared" si="24"/>
        <v>0</v>
      </c>
      <c r="O102" s="916">
        <f t="shared" si="24"/>
        <v>0</v>
      </c>
      <c r="P102" s="149"/>
      <c r="Q102" s="70"/>
    </row>
    <row r="103" spans="2:17" x14ac:dyDescent="0.2">
      <c r="B103" s="69"/>
      <c r="C103" s="149"/>
      <c r="D103" s="153"/>
      <c r="E103" s="149"/>
      <c r="F103" s="498"/>
      <c r="G103" s="496"/>
      <c r="H103" s="496"/>
      <c r="I103" s="496"/>
      <c r="J103" s="498"/>
      <c r="K103" s="498"/>
      <c r="L103" s="498"/>
      <c r="M103" s="498"/>
      <c r="N103" s="498"/>
      <c r="O103" s="498"/>
      <c r="P103" s="149"/>
      <c r="Q103" s="70"/>
    </row>
    <row r="104" spans="2:17" x14ac:dyDescent="0.2">
      <c r="B104" s="69"/>
      <c r="C104" s="149"/>
      <c r="D104" s="496" t="s">
        <v>545</v>
      </c>
      <c r="E104" s="149"/>
      <c r="F104" s="434"/>
      <c r="G104" s="149"/>
      <c r="H104" s="499"/>
      <c r="I104" s="499"/>
      <c r="J104" s="1032"/>
      <c r="K104" s="60">
        <f t="shared" ref="K104:O104" si="25">J104</f>
        <v>0</v>
      </c>
      <c r="L104" s="60">
        <f t="shared" si="25"/>
        <v>0</v>
      </c>
      <c r="M104" s="60">
        <f t="shared" si="25"/>
        <v>0</v>
      </c>
      <c r="N104" s="60">
        <f t="shared" si="25"/>
        <v>0</v>
      </c>
      <c r="O104" s="992">
        <f t="shared" si="25"/>
        <v>0</v>
      </c>
      <c r="P104" s="149"/>
      <c r="Q104" s="70"/>
    </row>
    <row r="105" spans="2:17" x14ac:dyDescent="0.2">
      <c r="B105" s="69"/>
      <c r="C105" s="149"/>
      <c r="D105" s="417"/>
      <c r="E105" s="149"/>
      <c r="F105" s="434"/>
      <c r="G105" s="149"/>
      <c r="H105" s="499"/>
      <c r="I105" s="499"/>
      <c r="J105" s="1032"/>
      <c r="K105" s="60">
        <f t="shared" ref="K105:O108" si="26">J105</f>
        <v>0</v>
      </c>
      <c r="L105" s="60">
        <f t="shared" si="26"/>
        <v>0</v>
      </c>
      <c r="M105" s="60">
        <f t="shared" si="26"/>
        <v>0</v>
      </c>
      <c r="N105" s="60">
        <f t="shared" si="26"/>
        <v>0</v>
      </c>
      <c r="O105" s="992">
        <f t="shared" si="26"/>
        <v>0</v>
      </c>
      <c r="P105" s="149"/>
      <c r="Q105" s="70"/>
    </row>
    <row r="106" spans="2:17" x14ac:dyDescent="0.2">
      <c r="B106" s="69"/>
      <c r="C106" s="149"/>
      <c r="D106" s="417"/>
      <c r="E106" s="149"/>
      <c r="F106" s="434"/>
      <c r="G106" s="149"/>
      <c r="H106" s="499"/>
      <c r="I106" s="499"/>
      <c r="J106" s="1032"/>
      <c r="K106" s="60">
        <f t="shared" si="26"/>
        <v>0</v>
      </c>
      <c r="L106" s="60">
        <f t="shared" si="26"/>
        <v>0</v>
      </c>
      <c r="M106" s="60">
        <f t="shared" si="26"/>
        <v>0</v>
      </c>
      <c r="N106" s="60">
        <f t="shared" si="26"/>
        <v>0</v>
      </c>
      <c r="O106" s="992">
        <f t="shared" si="26"/>
        <v>0</v>
      </c>
      <c r="P106" s="149"/>
      <c r="Q106" s="70"/>
    </row>
    <row r="107" spans="2:17" x14ac:dyDescent="0.2">
      <c r="B107" s="69"/>
      <c r="C107" s="149"/>
      <c r="D107" s="416"/>
      <c r="E107" s="149"/>
      <c r="F107" s="434"/>
      <c r="G107" s="149"/>
      <c r="H107" s="499"/>
      <c r="I107" s="499"/>
      <c r="J107" s="1032"/>
      <c r="K107" s="60">
        <f t="shared" si="26"/>
        <v>0</v>
      </c>
      <c r="L107" s="60">
        <f t="shared" si="26"/>
        <v>0</v>
      </c>
      <c r="M107" s="60">
        <f t="shared" si="26"/>
        <v>0</v>
      </c>
      <c r="N107" s="60">
        <f t="shared" si="26"/>
        <v>0</v>
      </c>
      <c r="O107" s="992">
        <f t="shared" si="26"/>
        <v>0</v>
      </c>
      <c r="P107" s="149"/>
      <c r="Q107" s="70"/>
    </row>
    <row r="108" spans="2:17" x14ac:dyDescent="0.2">
      <c r="B108" s="69"/>
      <c r="C108" s="149"/>
      <c r="D108" s="417"/>
      <c r="E108" s="149"/>
      <c r="F108" s="434"/>
      <c r="G108" s="149"/>
      <c r="H108" s="499"/>
      <c r="I108" s="499"/>
      <c r="J108" s="1032"/>
      <c r="K108" s="60">
        <f t="shared" si="26"/>
        <v>0</v>
      </c>
      <c r="L108" s="60">
        <f t="shared" si="26"/>
        <v>0</v>
      </c>
      <c r="M108" s="60">
        <f t="shared" si="26"/>
        <v>0</v>
      </c>
      <c r="N108" s="60">
        <f t="shared" si="26"/>
        <v>0</v>
      </c>
      <c r="O108" s="992">
        <f t="shared" si="26"/>
        <v>0</v>
      </c>
      <c r="P108" s="149"/>
      <c r="Q108" s="70"/>
    </row>
    <row r="109" spans="2:17" x14ac:dyDescent="0.2">
      <c r="B109" s="69"/>
      <c r="C109" s="149"/>
      <c r="D109" s="416"/>
      <c r="E109" s="149"/>
      <c r="F109" s="434"/>
      <c r="G109" s="149"/>
      <c r="H109" s="499"/>
      <c r="I109" s="499"/>
      <c r="J109" s="1032"/>
      <c r="K109" s="60">
        <f t="shared" ref="K109:M111" si="27">+J109</f>
        <v>0</v>
      </c>
      <c r="L109" s="60">
        <f t="shared" si="27"/>
        <v>0</v>
      </c>
      <c r="M109" s="60">
        <f t="shared" si="27"/>
        <v>0</v>
      </c>
      <c r="N109" s="60">
        <f t="shared" ref="N109:O111" si="28">+M109</f>
        <v>0</v>
      </c>
      <c r="O109" s="992">
        <f t="shared" si="28"/>
        <v>0</v>
      </c>
      <c r="P109" s="149"/>
      <c r="Q109" s="70"/>
    </row>
    <row r="110" spans="2:17" x14ac:dyDescent="0.2">
      <c r="B110" s="69"/>
      <c r="C110" s="149"/>
      <c r="D110" s="417"/>
      <c r="E110" s="149"/>
      <c r="F110" s="434"/>
      <c r="G110" s="149"/>
      <c r="H110" s="499"/>
      <c r="I110" s="499"/>
      <c r="J110" s="1032"/>
      <c r="K110" s="60">
        <f t="shared" si="27"/>
        <v>0</v>
      </c>
      <c r="L110" s="60">
        <f t="shared" si="27"/>
        <v>0</v>
      </c>
      <c r="M110" s="60">
        <f t="shared" si="27"/>
        <v>0</v>
      </c>
      <c r="N110" s="60">
        <f t="shared" si="28"/>
        <v>0</v>
      </c>
      <c r="O110" s="992">
        <f t="shared" si="28"/>
        <v>0</v>
      </c>
      <c r="P110" s="149"/>
      <c r="Q110" s="70"/>
    </row>
    <row r="111" spans="2:17" x14ac:dyDescent="0.2">
      <c r="B111" s="69"/>
      <c r="C111" s="149"/>
      <c r="D111" s="417"/>
      <c r="E111" s="149"/>
      <c r="F111" s="434"/>
      <c r="G111" s="149"/>
      <c r="H111" s="499"/>
      <c r="I111" s="499"/>
      <c r="J111" s="1032"/>
      <c r="K111" s="60">
        <f t="shared" si="27"/>
        <v>0</v>
      </c>
      <c r="L111" s="60">
        <f t="shared" si="27"/>
        <v>0</v>
      </c>
      <c r="M111" s="60">
        <f t="shared" si="27"/>
        <v>0</v>
      </c>
      <c r="N111" s="60">
        <f t="shared" si="28"/>
        <v>0</v>
      </c>
      <c r="O111" s="992">
        <f t="shared" si="28"/>
        <v>0</v>
      </c>
      <c r="P111" s="149"/>
      <c r="Q111" s="70"/>
    </row>
    <row r="112" spans="2:17" x14ac:dyDescent="0.2">
      <c r="B112" s="69"/>
      <c r="C112" s="149"/>
      <c r="D112" s="153"/>
      <c r="E112" s="149"/>
      <c r="F112" s="64"/>
      <c r="G112" s="149"/>
      <c r="H112" s="685"/>
      <c r="I112" s="685"/>
      <c r="J112" s="685"/>
      <c r="K112" s="426">
        <f t="shared" ref="K112:O112" si="29">SUM(K102:K111)</f>
        <v>0</v>
      </c>
      <c r="L112" s="426">
        <f t="shared" si="29"/>
        <v>0</v>
      </c>
      <c r="M112" s="426">
        <f t="shared" si="29"/>
        <v>0</v>
      </c>
      <c r="N112" s="426">
        <f t="shared" si="29"/>
        <v>0</v>
      </c>
      <c r="O112" s="426">
        <f t="shared" si="29"/>
        <v>0</v>
      </c>
      <c r="P112" s="149"/>
      <c r="Q112" s="70"/>
    </row>
    <row r="113" spans="2:17" x14ac:dyDescent="0.2">
      <c r="B113" s="69"/>
      <c r="C113" s="149"/>
      <c r="D113" s="891"/>
      <c r="E113" s="892"/>
      <c r="F113" s="893"/>
      <c r="G113" s="892"/>
      <c r="H113" s="893"/>
      <c r="I113" s="893"/>
      <c r="J113" s="1033"/>
      <c r="K113" s="893"/>
      <c r="L113" s="893"/>
      <c r="M113" s="893"/>
      <c r="N113" s="893"/>
      <c r="O113" s="893"/>
      <c r="P113" s="149"/>
      <c r="Q113" s="70"/>
    </row>
    <row r="114" spans="2:17" x14ac:dyDescent="0.2">
      <c r="B114" s="69"/>
      <c r="C114" s="149"/>
      <c r="D114" s="894"/>
      <c r="E114" s="895"/>
      <c r="F114" s="896"/>
      <c r="G114" s="895"/>
      <c r="H114" s="896"/>
      <c r="I114" s="896"/>
      <c r="J114" s="1041"/>
      <c r="K114" s="896"/>
      <c r="L114" s="896"/>
      <c r="M114" s="896"/>
      <c r="N114" s="896"/>
      <c r="O114" s="896"/>
      <c r="P114" s="149"/>
      <c r="Q114" s="70"/>
    </row>
    <row r="115" spans="2:17" x14ac:dyDescent="0.2">
      <c r="B115" s="69"/>
      <c r="C115" s="149"/>
      <c r="D115" s="153" t="s">
        <v>19</v>
      </c>
      <c r="E115" s="33"/>
      <c r="F115" s="146"/>
      <c r="G115" s="33"/>
      <c r="H115" s="785"/>
      <c r="I115" s="785"/>
      <c r="J115" s="785"/>
      <c r="K115" s="33"/>
      <c r="L115" s="33"/>
      <c r="M115" s="33"/>
      <c r="N115" s="33"/>
      <c r="O115" s="33"/>
      <c r="P115" s="149"/>
      <c r="Q115" s="70"/>
    </row>
    <row r="116" spans="2:17" x14ac:dyDescent="0.2">
      <c r="B116" s="69"/>
      <c r="C116" s="149"/>
      <c r="D116" s="496" t="s">
        <v>545</v>
      </c>
      <c r="E116" s="149"/>
      <c r="F116" s="434"/>
      <c r="G116" s="149"/>
      <c r="H116" s="499"/>
      <c r="I116" s="499"/>
      <c r="J116" s="1032"/>
      <c r="K116" s="419">
        <f t="shared" ref="K116:K123" si="30">J116</f>
        <v>0</v>
      </c>
      <c r="L116" s="419">
        <f t="shared" ref="L116:L123" si="31">K116</f>
        <v>0</v>
      </c>
      <c r="M116" s="419">
        <f t="shared" ref="M116:M123" si="32">L116</f>
        <v>0</v>
      </c>
      <c r="N116" s="419">
        <f t="shared" ref="N116:O123" si="33">M116</f>
        <v>0</v>
      </c>
      <c r="O116" s="991">
        <f t="shared" si="33"/>
        <v>0</v>
      </c>
      <c r="P116" s="149"/>
      <c r="Q116" s="70"/>
    </row>
    <row r="117" spans="2:17" x14ac:dyDescent="0.2">
      <c r="B117" s="69"/>
      <c r="C117" s="149"/>
      <c r="D117" s="417"/>
      <c r="E117" s="149"/>
      <c r="F117" s="434"/>
      <c r="G117" s="149"/>
      <c r="H117" s="499"/>
      <c r="I117" s="499"/>
      <c r="J117" s="1032"/>
      <c r="K117" s="419">
        <f t="shared" si="30"/>
        <v>0</v>
      </c>
      <c r="L117" s="419">
        <f t="shared" si="31"/>
        <v>0</v>
      </c>
      <c r="M117" s="419">
        <f t="shared" si="32"/>
        <v>0</v>
      </c>
      <c r="N117" s="419">
        <f t="shared" si="33"/>
        <v>0</v>
      </c>
      <c r="O117" s="991">
        <f t="shared" si="33"/>
        <v>0</v>
      </c>
      <c r="P117" s="149"/>
      <c r="Q117" s="70"/>
    </row>
    <row r="118" spans="2:17" x14ac:dyDescent="0.2">
      <c r="B118" s="69"/>
      <c r="C118" s="149"/>
      <c r="D118" s="417"/>
      <c r="E118" s="149"/>
      <c r="F118" s="434"/>
      <c r="G118" s="149"/>
      <c r="H118" s="499"/>
      <c r="I118" s="499"/>
      <c r="J118" s="1032"/>
      <c r="K118" s="419">
        <f t="shared" si="30"/>
        <v>0</v>
      </c>
      <c r="L118" s="419">
        <f t="shared" si="31"/>
        <v>0</v>
      </c>
      <c r="M118" s="419">
        <f t="shared" si="32"/>
        <v>0</v>
      </c>
      <c r="N118" s="419">
        <f t="shared" si="33"/>
        <v>0</v>
      </c>
      <c r="O118" s="991">
        <f t="shared" si="33"/>
        <v>0</v>
      </c>
      <c r="P118" s="149"/>
      <c r="Q118" s="70"/>
    </row>
    <row r="119" spans="2:17" x14ac:dyDescent="0.2">
      <c r="B119" s="69"/>
      <c r="C119" s="149"/>
      <c r="D119" s="416"/>
      <c r="E119" s="149"/>
      <c r="F119" s="434"/>
      <c r="G119" s="149"/>
      <c r="H119" s="499"/>
      <c r="I119" s="499"/>
      <c r="J119" s="1032"/>
      <c r="K119" s="419">
        <f t="shared" si="30"/>
        <v>0</v>
      </c>
      <c r="L119" s="419">
        <f t="shared" si="31"/>
        <v>0</v>
      </c>
      <c r="M119" s="419">
        <f t="shared" si="32"/>
        <v>0</v>
      </c>
      <c r="N119" s="419">
        <f t="shared" si="33"/>
        <v>0</v>
      </c>
      <c r="O119" s="991">
        <f t="shared" si="33"/>
        <v>0</v>
      </c>
      <c r="P119" s="149"/>
      <c r="Q119" s="70"/>
    </row>
    <row r="120" spans="2:17" x14ac:dyDescent="0.2">
      <c r="B120" s="69"/>
      <c r="C120" s="149"/>
      <c r="D120" s="417"/>
      <c r="E120" s="149"/>
      <c r="F120" s="434"/>
      <c r="G120" s="149"/>
      <c r="H120" s="499"/>
      <c r="I120" s="499"/>
      <c r="J120" s="1032"/>
      <c r="K120" s="419">
        <f t="shared" si="30"/>
        <v>0</v>
      </c>
      <c r="L120" s="419">
        <f t="shared" si="31"/>
        <v>0</v>
      </c>
      <c r="M120" s="419">
        <f t="shared" si="32"/>
        <v>0</v>
      </c>
      <c r="N120" s="419">
        <f t="shared" si="33"/>
        <v>0</v>
      </c>
      <c r="O120" s="991">
        <f t="shared" si="33"/>
        <v>0</v>
      </c>
      <c r="P120" s="149"/>
      <c r="Q120" s="70"/>
    </row>
    <row r="121" spans="2:17" x14ac:dyDescent="0.2">
      <c r="B121" s="69"/>
      <c r="C121" s="149"/>
      <c r="D121" s="417"/>
      <c r="E121" s="149"/>
      <c r="F121" s="434"/>
      <c r="G121" s="149"/>
      <c r="H121" s="499"/>
      <c r="I121" s="499"/>
      <c r="J121" s="1032"/>
      <c r="K121" s="419">
        <f t="shared" si="30"/>
        <v>0</v>
      </c>
      <c r="L121" s="419">
        <f t="shared" si="31"/>
        <v>0</v>
      </c>
      <c r="M121" s="419">
        <f t="shared" si="32"/>
        <v>0</v>
      </c>
      <c r="N121" s="419">
        <f t="shared" si="33"/>
        <v>0</v>
      </c>
      <c r="O121" s="991">
        <f t="shared" si="33"/>
        <v>0</v>
      </c>
      <c r="P121" s="149"/>
      <c r="Q121" s="70"/>
    </row>
    <row r="122" spans="2:17" x14ac:dyDescent="0.2">
      <c r="B122" s="69"/>
      <c r="C122" s="149"/>
      <c r="D122" s="417"/>
      <c r="E122" s="149"/>
      <c r="F122" s="434"/>
      <c r="G122" s="149"/>
      <c r="H122" s="499"/>
      <c r="I122" s="499"/>
      <c r="J122" s="1032"/>
      <c r="K122" s="419">
        <f t="shared" si="30"/>
        <v>0</v>
      </c>
      <c r="L122" s="419">
        <f t="shared" si="31"/>
        <v>0</v>
      </c>
      <c r="M122" s="419">
        <f t="shared" si="32"/>
        <v>0</v>
      </c>
      <c r="N122" s="419">
        <f t="shared" si="33"/>
        <v>0</v>
      </c>
      <c r="O122" s="991">
        <f t="shared" si="33"/>
        <v>0</v>
      </c>
      <c r="P122" s="149"/>
      <c r="Q122" s="70"/>
    </row>
    <row r="123" spans="2:17" x14ac:dyDescent="0.2">
      <c r="B123" s="69"/>
      <c r="C123" s="149"/>
      <c r="D123" s="417"/>
      <c r="E123" s="149"/>
      <c r="F123" s="434"/>
      <c r="G123" s="149"/>
      <c r="H123" s="499"/>
      <c r="I123" s="499"/>
      <c r="J123" s="1032"/>
      <c r="K123" s="419">
        <f t="shared" si="30"/>
        <v>0</v>
      </c>
      <c r="L123" s="419">
        <f t="shared" si="31"/>
        <v>0</v>
      </c>
      <c r="M123" s="419">
        <f t="shared" si="32"/>
        <v>0</v>
      </c>
      <c r="N123" s="419">
        <f t="shared" si="33"/>
        <v>0</v>
      </c>
      <c r="O123" s="991">
        <f t="shared" si="33"/>
        <v>0</v>
      </c>
      <c r="P123" s="149"/>
      <c r="Q123" s="70"/>
    </row>
    <row r="124" spans="2:17" x14ac:dyDescent="0.2">
      <c r="B124" s="69"/>
      <c r="C124" s="149"/>
      <c r="D124" s="154"/>
      <c r="E124" s="149"/>
      <c r="F124" s="154"/>
      <c r="G124" s="149"/>
      <c r="H124" s="685"/>
      <c r="I124" s="685"/>
      <c r="J124" s="685"/>
      <c r="K124" s="426">
        <f>SUM(K116:K123)</f>
        <v>0</v>
      </c>
      <c r="L124" s="426">
        <f>SUM(L116:L123)</f>
        <v>0</v>
      </c>
      <c r="M124" s="426">
        <f>SUM(M116:M123)</f>
        <v>0</v>
      </c>
      <c r="N124" s="426">
        <f>SUM(N116:N123)</f>
        <v>0</v>
      </c>
      <c r="O124" s="426">
        <f>SUM(O116:O123)</f>
        <v>0</v>
      </c>
      <c r="P124" s="149"/>
      <c r="Q124" s="70"/>
    </row>
    <row r="125" spans="2:17" x14ac:dyDescent="0.2">
      <c r="B125" s="69"/>
      <c r="C125" s="149"/>
      <c r="D125" s="891"/>
      <c r="E125" s="892"/>
      <c r="F125" s="893"/>
      <c r="G125" s="892"/>
      <c r="H125" s="893"/>
      <c r="I125" s="893"/>
      <c r="J125" s="1033"/>
      <c r="K125" s="893"/>
      <c r="L125" s="893"/>
      <c r="M125" s="893"/>
      <c r="N125" s="893"/>
      <c r="O125" s="893"/>
      <c r="P125" s="149"/>
      <c r="Q125" s="70"/>
    </row>
    <row r="126" spans="2:17" x14ac:dyDescent="0.2">
      <c r="B126" s="69"/>
      <c r="C126" s="149"/>
      <c r="D126" s="913" t="s">
        <v>337</v>
      </c>
      <c r="E126" s="914"/>
      <c r="F126" s="915"/>
      <c r="G126" s="914"/>
      <c r="H126" s="915"/>
      <c r="I126" s="915"/>
      <c r="J126" s="1042"/>
      <c r="K126" s="915"/>
      <c r="L126" s="915"/>
      <c r="M126" s="915"/>
      <c r="N126" s="915"/>
      <c r="O126" s="915"/>
      <c r="P126" s="149"/>
      <c r="Q126" s="70"/>
    </row>
    <row r="127" spans="2:17" x14ac:dyDescent="0.2">
      <c r="B127" s="69"/>
      <c r="C127" s="149"/>
      <c r="D127" s="148" t="s">
        <v>329</v>
      </c>
      <c r="E127" s="33"/>
      <c r="F127" s="144"/>
      <c r="G127" s="33"/>
      <c r="H127" s="677"/>
      <c r="I127" s="677"/>
      <c r="J127" s="677"/>
      <c r="K127" s="144"/>
      <c r="L127" s="144"/>
      <c r="M127" s="144"/>
      <c r="N127" s="144"/>
      <c r="O127" s="144"/>
      <c r="P127" s="149"/>
      <c r="Q127" s="70"/>
    </row>
    <row r="128" spans="2:17" x14ac:dyDescent="0.2">
      <c r="B128" s="69"/>
      <c r="C128" s="149"/>
      <c r="D128" s="33" t="str">
        <f>+bekost!D153</f>
        <v>programma 1 Arrangementen</v>
      </c>
      <c r="E128" s="33"/>
      <c r="F128" s="41"/>
      <c r="G128" s="33"/>
      <c r="H128" s="703"/>
      <c r="I128" s="703"/>
      <c r="J128" s="1027"/>
      <c r="K128" s="646">
        <f>'programma''s'!I27</f>
        <v>1234</v>
      </c>
      <c r="L128" s="646">
        <f>'programma''s'!J27</f>
        <v>1234</v>
      </c>
      <c r="M128" s="646">
        <f>'programma''s'!K27</f>
        <v>1234</v>
      </c>
      <c r="N128" s="646">
        <f>'programma''s'!L27</f>
        <v>1234</v>
      </c>
      <c r="O128" s="993">
        <f>'programma''s'!M27</f>
        <v>1234</v>
      </c>
      <c r="P128" s="149"/>
      <c r="Q128" s="70"/>
    </row>
    <row r="129" spans="2:17" x14ac:dyDescent="0.2">
      <c r="B129" s="69"/>
      <c r="C129" s="149"/>
      <c r="D129" s="33" t="str">
        <f>+bekost!D154</f>
        <v>programma 2</v>
      </c>
      <c r="E129" s="33"/>
      <c r="F129" s="41"/>
      <c r="G129" s="33"/>
      <c r="H129" s="703"/>
      <c r="I129" s="703"/>
      <c r="J129" s="1027"/>
      <c r="K129" s="646">
        <f>'programma''s'!I47</f>
        <v>0</v>
      </c>
      <c r="L129" s="646">
        <f>'programma''s'!J47</f>
        <v>0</v>
      </c>
      <c r="M129" s="646">
        <f>'programma''s'!K47</f>
        <v>0</v>
      </c>
      <c r="N129" s="646">
        <f>'programma''s'!L47</f>
        <v>0</v>
      </c>
      <c r="O129" s="993">
        <f>'programma''s'!M47</f>
        <v>0</v>
      </c>
      <c r="P129" s="149"/>
      <c r="Q129" s="70"/>
    </row>
    <row r="130" spans="2:17" x14ac:dyDescent="0.2">
      <c r="B130" s="69"/>
      <c r="C130" s="149"/>
      <c r="D130" s="33" t="str">
        <f>+bekost!D155</f>
        <v>programma 3</v>
      </c>
      <c r="E130" s="33"/>
      <c r="F130" s="41"/>
      <c r="G130" s="33"/>
      <c r="H130" s="703"/>
      <c r="I130" s="703"/>
      <c r="J130" s="1027"/>
      <c r="K130" s="646">
        <f>'programma''s'!I67</f>
        <v>0</v>
      </c>
      <c r="L130" s="646">
        <f>'programma''s'!J67</f>
        <v>0</v>
      </c>
      <c r="M130" s="646">
        <f>'programma''s'!K67</f>
        <v>0</v>
      </c>
      <c r="N130" s="646">
        <f>'programma''s'!L67</f>
        <v>0</v>
      </c>
      <c r="O130" s="993">
        <f>'programma''s'!M67</f>
        <v>0</v>
      </c>
      <c r="P130" s="149"/>
      <c r="Q130" s="70"/>
    </row>
    <row r="131" spans="2:17" x14ac:dyDescent="0.2">
      <c r="B131" s="69"/>
      <c r="C131" s="149"/>
      <c r="D131" s="33" t="str">
        <f>+bekost!D156</f>
        <v>programma 4</v>
      </c>
      <c r="E131" s="33"/>
      <c r="F131" s="41"/>
      <c r="G131" s="33"/>
      <c r="H131" s="703"/>
      <c r="I131" s="703"/>
      <c r="J131" s="1027"/>
      <c r="K131" s="646">
        <f>'programma''s'!I87</f>
        <v>0</v>
      </c>
      <c r="L131" s="646">
        <f>'programma''s'!J87</f>
        <v>0</v>
      </c>
      <c r="M131" s="646">
        <f>'programma''s'!K87</f>
        <v>0</v>
      </c>
      <c r="N131" s="646">
        <f>'programma''s'!L87</f>
        <v>0</v>
      </c>
      <c r="O131" s="993">
        <f>'programma''s'!M87</f>
        <v>0</v>
      </c>
      <c r="P131" s="149"/>
      <c r="Q131" s="70"/>
    </row>
    <row r="132" spans="2:17" x14ac:dyDescent="0.2">
      <c r="B132" s="69"/>
      <c r="C132" s="149"/>
      <c r="D132" s="33" t="str">
        <f>+bekost!D157</f>
        <v>programma 5</v>
      </c>
      <c r="E132" s="33"/>
      <c r="F132" s="41"/>
      <c r="G132" s="33"/>
      <c r="H132" s="703"/>
      <c r="I132" s="703"/>
      <c r="J132" s="1027"/>
      <c r="K132" s="646">
        <f>'programma''s'!I107</f>
        <v>0</v>
      </c>
      <c r="L132" s="646">
        <f>'programma''s'!J107</f>
        <v>0</v>
      </c>
      <c r="M132" s="646">
        <f>'programma''s'!K107</f>
        <v>0</v>
      </c>
      <c r="N132" s="646">
        <f>'programma''s'!L107</f>
        <v>0</v>
      </c>
      <c r="O132" s="993">
        <f>'programma''s'!M107</f>
        <v>0</v>
      </c>
      <c r="P132" s="149"/>
      <c r="Q132" s="70"/>
    </row>
    <row r="133" spans="2:17" x14ac:dyDescent="0.2">
      <c r="B133" s="69"/>
      <c r="C133" s="149"/>
      <c r="D133" s="33" t="str">
        <f>+bekost!D158</f>
        <v>programma 6</v>
      </c>
      <c r="E133" s="33"/>
      <c r="F133" s="41"/>
      <c r="G133" s="33"/>
      <c r="H133" s="703"/>
      <c r="I133" s="703"/>
      <c r="J133" s="1027"/>
      <c r="K133" s="646">
        <f>'programma''s'!I130</f>
        <v>0</v>
      </c>
      <c r="L133" s="646">
        <f>'programma''s'!J130</f>
        <v>0</v>
      </c>
      <c r="M133" s="646">
        <f>'programma''s'!K130</f>
        <v>0</v>
      </c>
      <c r="N133" s="646">
        <f>'programma''s'!L130</f>
        <v>0</v>
      </c>
      <c r="O133" s="993">
        <f>'programma''s'!M130</f>
        <v>0</v>
      </c>
      <c r="P133" s="149"/>
      <c r="Q133" s="70"/>
    </row>
    <row r="134" spans="2:17" x14ac:dyDescent="0.2">
      <c r="B134" s="69"/>
      <c r="C134" s="149"/>
      <c r="D134" s="33" t="str">
        <f>+bekost!D159</f>
        <v>programma 7</v>
      </c>
      <c r="E134" s="33"/>
      <c r="F134" s="41"/>
      <c r="G134" s="33"/>
      <c r="H134" s="703"/>
      <c r="I134" s="703"/>
      <c r="J134" s="1027"/>
      <c r="K134" s="646">
        <f>'programma''s'!I150</f>
        <v>0</v>
      </c>
      <c r="L134" s="646">
        <f>'programma''s'!J150</f>
        <v>0</v>
      </c>
      <c r="M134" s="646">
        <f>'programma''s'!K150</f>
        <v>0</v>
      </c>
      <c r="N134" s="646">
        <f>'programma''s'!L150</f>
        <v>0</v>
      </c>
      <c r="O134" s="993">
        <f>'programma''s'!M150</f>
        <v>0</v>
      </c>
      <c r="P134" s="149"/>
      <c r="Q134" s="70"/>
    </row>
    <row r="135" spans="2:17" x14ac:dyDescent="0.2">
      <c r="B135" s="69"/>
      <c r="C135" s="149"/>
      <c r="D135" s="33" t="str">
        <f>+bekost!D160</f>
        <v>programma 8</v>
      </c>
      <c r="E135" s="33"/>
      <c r="F135" s="41"/>
      <c r="G135" s="33"/>
      <c r="H135" s="703"/>
      <c r="I135" s="703"/>
      <c r="J135" s="1027"/>
      <c r="K135" s="646">
        <f>'programma''s'!I170</f>
        <v>0</v>
      </c>
      <c r="L135" s="646">
        <f>'programma''s'!J170</f>
        <v>0</v>
      </c>
      <c r="M135" s="646">
        <f>'programma''s'!K170</f>
        <v>0</v>
      </c>
      <c r="N135" s="646">
        <f>'programma''s'!L170</f>
        <v>0</v>
      </c>
      <c r="O135" s="993">
        <f>'programma''s'!M170</f>
        <v>0</v>
      </c>
      <c r="P135" s="149"/>
      <c r="Q135" s="70"/>
    </row>
    <row r="136" spans="2:17" x14ac:dyDescent="0.2">
      <c r="B136" s="69"/>
      <c r="C136" s="149"/>
      <c r="D136" s="33" t="str">
        <f>+bekost!D161</f>
        <v>programma 9</v>
      </c>
      <c r="E136" s="33"/>
      <c r="F136" s="41"/>
      <c r="G136" s="33"/>
      <c r="H136" s="703"/>
      <c r="I136" s="703"/>
      <c r="J136" s="1027"/>
      <c r="K136" s="646">
        <f>'programma''s'!I190</f>
        <v>0</v>
      </c>
      <c r="L136" s="646">
        <f>'programma''s'!J190</f>
        <v>0</v>
      </c>
      <c r="M136" s="646">
        <f>'programma''s'!K190</f>
        <v>0</v>
      </c>
      <c r="N136" s="646">
        <f>'programma''s'!L190</f>
        <v>0</v>
      </c>
      <c r="O136" s="993">
        <f>'programma''s'!M190</f>
        <v>0</v>
      </c>
      <c r="P136" s="149"/>
      <c r="Q136" s="70"/>
    </row>
    <row r="137" spans="2:17" x14ac:dyDescent="0.2">
      <c r="B137" s="69"/>
      <c r="C137" s="149"/>
      <c r="D137" s="33" t="str">
        <f>+bekost!D162</f>
        <v>programma 10</v>
      </c>
      <c r="E137" s="33"/>
      <c r="F137" s="41"/>
      <c r="G137" s="33"/>
      <c r="H137" s="703"/>
      <c r="I137" s="703"/>
      <c r="J137" s="1027"/>
      <c r="K137" s="646">
        <f>'programma''s'!I210</f>
        <v>0</v>
      </c>
      <c r="L137" s="646">
        <f>'programma''s'!J210</f>
        <v>0</v>
      </c>
      <c r="M137" s="646">
        <f>'programma''s'!K210</f>
        <v>0</v>
      </c>
      <c r="N137" s="646">
        <f>'programma''s'!L210</f>
        <v>0</v>
      </c>
      <c r="O137" s="993">
        <f>'programma''s'!M210</f>
        <v>0</v>
      </c>
      <c r="P137" s="149"/>
      <c r="Q137" s="70"/>
    </row>
    <row r="138" spans="2:17" x14ac:dyDescent="0.2">
      <c r="B138" s="69"/>
      <c r="C138" s="149"/>
      <c r="D138" s="33"/>
      <c r="E138" s="33"/>
      <c r="F138" s="144"/>
      <c r="G138" s="33"/>
      <c r="H138" s="684"/>
      <c r="I138" s="684"/>
      <c r="J138" s="684"/>
      <c r="K138" s="427">
        <f t="shared" ref="K138:O138" si="34">SUM(K128:K137)</f>
        <v>1234</v>
      </c>
      <c r="L138" s="427">
        <f t="shared" si="34"/>
        <v>1234</v>
      </c>
      <c r="M138" s="427">
        <f t="shared" si="34"/>
        <v>1234</v>
      </c>
      <c r="N138" s="427">
        <f t="shared" si="34"/>
        <v>1234</v>
      </c>
      <c r="O138" s="427">
        <f t="shared" si="34"/>
        <v>1234</v>
      </c>
      <c r="P138" s="149"/>
      <c r="Q138" s="70"/>
    </row>
    <row r="139" spans="2:17" x14ac:dyDescent="0.2">
      <c r="B139" s="69"/>
      <c r="C139" s="149"/>
      <c r="D139" s="421"/>
      <c r="E139" s="422"/>
      <c r="F139" s="423"/>
      <c r="G139" s="422"/>
      <c r="H139" s="423"/>
      <c r="I139" s="423"/>
      <c r="J139" s="1038"/>
      <c r="K139" s="423"/>
      <c r="L139" s="423"/>
      <c r="M139" s="423"/>
      <c r="N139" s="423"/>
      <c r="O139" s="423"/>
      <c r="P139" s="149"/>
      <c r="Q139" s="70"/>
    </row>
    <row r="140" spans="2:17" x14ac:dyDescent="0.2">
      <c r="B140" s="69"/>
      <c r="C140" s="149"/>
      <c r="D140" s="420"/>
      <c r="E140" s="122"/>
      <c r="F140" s="71"/>
      <c r="G140" s="122"/>
      <c r="H140" s="71"/>
      <c r="I140" s="71"/>
      <c r="J140" s="686"/>
      <c r="K140" s="71"/>
      <c r="L140" s="71"/>
      <c r="M140" s="71"/>
      <c r="N140" s="71"/>
      <c r="O140" s="71"/>
      <c r="P140" s="149"/>
      <c r="Q140" s="70"/>
    </row>
    <row r="141" spans="2:17" x14ac:dyDescent="0.2">
      <c r="B141" s="69"/>
      <c r="C141" s="149"/>
      <c r="D141" s="153" t="s">
        <v>100</v>
      </c>
      <c r="E141" s="149"/>
      <c r="F141" s="64"/>
      <c r="G141" s="149"/>
      <c r="H141" s="685"/>
      <c r="I141" s="685"/>
      <c r="J141" s="685"/>
      <c r="K141" s="426">
        <f>K112+K124+K138</f>
        <v>1234</v>
      </c>
      <c r="L141" s="426">
        <f>L112+L124+L138</f>
        <v>1234</v>
      </c>
      <c r="M141" s="426">
        <f>M112+M124+M138</f>
        <v>1234</v>
      </c>
      <c r="N141" s="426">
        <f>N112+N124+N138</f>
        <v>1234</v>
      </c>
      <c r="O141" s="426">
        <f>O112+O124+O138</f>
        <v>1234</v>
      </c>
      <c r="P141" s="149"/>
      <c r="Q141" s="70"/>
    </row>
    <row r="142" spans="2:17" x14ac:dyDescent="0.2">
      <c r="B142" s="69"/>
      <c r="C142" s="149"/>
      <c r="D142" s="149"/>
      <c r="E142" s="149"/>
      <c r="F142" s="64"/>
      <c r="G142" s="149"/>
      <c r="H142" s="496"/>
      <c r="I142" s="496"/>
      <c r="J142" s="498"/>
      <c r="K142" s="64"/>
      <c r="L142" s="64"/>
      <c r="M142" s="64"/>
      <c r="N142" s="64"/>
      <c r="O142" s="64"/>
      <c r="P142" s="149"/>
      <c r="Q142" s="70"/>
    </row>
    <row r="143" spans="2:17" x14ac:dyDescent="0.2">
      <c r="B143" s="69"/>
      <c r="C143" s="5"/>
      <c r="D143" s="5"/>
      <c r="E143" s="5"/>
      <c r="F143" s="63"/>
      <c r="G143" s="5"/>
      <c r="H143" s="5"/>
      <c r="I143" s="5"/>
      <c r="J143" s="63"/>
      <c r="K143" s="63"/>
      <c r="L143" s="63"/>
      <c r="M143" s="63"/>
      <c r="N143" s="63"/>
      <c r="O143" s="63"/>
      <c r="P143" s="5"/>
      <c r="Q143" s="70"/>
    </row>
    <row r="144" spans="2:17" x14ac:dyDescent="0.2">
      <c r="B144" s="69"/>
      <c r="C144" s="149"/>
      <c r="D144" s="149"/>
      <c r="E144" s="149"/>
      <c r="F144" s="64"/>
      <c r="G144" s="149"/>
      <c r="H144" s="149"/>
      <c r="I144" s="149"/>
      <c r="J144" s="498"/>
      <c r="K144" s="64"/>
      <c r="L144" s="64"/>
      <c r="M144" s="64"/>
      <c r="N144" s="64"/>
      <c r="O144" s="64"/>
      <c r="P144" s="149"/>
      <c r="Q144" s="70"/>
    </row>
    <row r="145" spans="2:17" x14ac:dyDescent="0.2">
      <c r="B145" s="69"/>
      <c r="C145" s="149"/>
      <c r="D145" s="153" t="s">
        <v>144</v>
      </c>
      <c r="E145" s="149"/>
      <c r="F145" s="64"/>
      <c r="G145" s="149"/>
      <c r="H145" s="685"/>
      <c r="I145" s="685"/>
      <c r="J145" s="685"/>
      <c r="K145" s="426">
        <f>K73+K93+K141</f>
        <v>15109</v>
      </c>
      <c r="L145" s="426">
        <f>L73+L93+L141</f>
        <v>15109</v>
      </c>
      <c r="M145" s="426">
        <f>M73+M93+M141</f>
        <v>15109</v>
      </c>
      <c r="N145" s="426">
        <f>N73+N93+N141</f>
        <v>15109</v>
      </c>
      <c r="O145" s="426">
        <f>O73+O93+O141</f>
        <v>15109</v>
      </c>
      <c r="P145" s="149"/>
      <c r="Q145" s="70"/>
    </row>
    <row r="146" spans="2:17" x14ac:dyDescent="0.2">
      <c r="B146" s="69"/>
      <c r="C146" s="149"/>
      <c r="D146" s="149"/>
      <c r="E146" s="149"/>
      <c r="F146" s="64"/>
      <c r="G146" s="149"/>
      <c r="H146" s="64"/>
      <c r="I146" s="64"/>
      <c r="J146" s="498"/>
      <c r="K146" s="64"/>
      <c r="L146" s="64"/>
      <c r="M146" s="64"/>
      <c r="N146" s="64"/>
      <c r="O146" s="64"/>
      <c r="P146" s="149"/>
      <c r="Q146" s="70"/>
    </row>
    <row r="147" spans="2:17" x14ac:dyDescent="0.2">
      <c r="B147" s="69"/>
      <c r="C147" s="5"/>
      <c r="D147" s="5"/>
      <c r="E147" s="5"/>
      <c r="F147" s="63"/>
      <c r="G147" s="5"/>
      <c r="H147" s="5"/>
      <c r="I147" s="5"/>
      <c r="J147" s="63"/>
      <c r="K147" s="63"/>
      <c r="L147" s="63"/>
      <c r="M147" s="63"/>
      <c r="N147" s="63"/>
      <c r="O147" s="63"/>
      <c r="P147" s="5"/>
      <c r="Q147" s="70"/>
    </row>
    <row r="148" spans="2:17" x14ac:dyDescent="0.2">
      <c r="B148" s="69"/>
      <c r="C148" s="5"/>
      <c r="D148" s="5"/>
      <c r="E148" s="5"/>
      <c r="F148" s="63"/>
      <c r="G148" s="5"/>
      <c r="H148" s="5"/>
      <c r="I148" s="5"/>
      <c r="J148" s="63"/>
      <c r="K148" s="63"/>
      <c r="L148" s="63"/>
      <c r="M148" s="63"/>
      <c r="N148" s="63"/>
      <c r="O148" s="63"/>
      <c r="P148" s="5"/>
      <c r="Q148" s="70"/>
    </row>
    <row r="149" spans="2:17" x14ac:dyDescent="0.2">
      <c r="B149" s="69"/>
      <c r="C149" s="149"/>
      <c r="D149" s="149"/>
      <c r="E149" s="149"/>
      <c r="F149" s="64"/>
      <c r="G149" s="149"/>
      <c r="H149" s="64"/>
      <c r="I149" s="64"/>
      <c r="J149" s="64"/>
      <c r="K149" s="64"/>
      <c r="L149" s="64"/>
      <c r="M149" s="64"/>
      <c r="N149" s="64"/>
      <c r="O149" s="64"/>
      <c r="P149" s="149"/>
      <c r="Q149" s="70"/>
    </row>
    <row r="150" spans="2:17" x14ac:dyDescent="0.2">
      <c r="B150" s="69"/>
      <c r="C150" s="149"/>
      <c r="D150" s="462" t="s">
        <v>145</v>
      </c>
      <c r="E150" s="149"/>
      <c r="F150" s="64"/>
      <c r="G150" s="149"/>
      <c r="H150" s="685"/>
      <c r="I150" s="685"/>
      <c r="J150" s="685"/>
      <c r="K150" s="426">
        <f>K57-K145</f>
        <v>-15109</v>
      </c>
      <c r="L150" s="426">
        <f>L57-L145</f>
        <v>-15109</v>
      </c>
      <c r="M150" s="426">
        <f>M57-M145</f>
        <v>-15109</v>
      </c>
      <c r="N150" s="426">
        <f>N57-N145</f>
        <v>-15109</v>
      </c>
      <c r="O150" s="426">
        <f>O57-O145</f>
        <v>-15109</v>
      </c>
      <c r="P150" s="149"/>
      <c r="Q150" s="70"/>
    </row>
    <row r="151" spans="2:17" x14ac:dyDescent="0.2">
      <c r="B151" s="69"/>
      <c r="C151" s="149"/>
      <c r="D151" s="149"/>
      <c r="E151" s="149"/>
      <c r="F151" s="64"/>
      <c r="G151" s="149"/>
      <c r="H151" s="496"/>
      <c r="I151" s="496"/>
      <c r="J151" s="498"/>
      <c r="K151" s="64"/>
      <c r="L151" s="64"/>
      <c r="M151" s="64"/>
      <c r="N151" s="64"/>
      <c r="O151" s="64"/>
      <c r="P151" s="149"/>
      <c r="Q151" s="70"/>
    </row>
    <row r="152" spans="2:17" x14ac:dyDescent="0.2">
      <c r="B152" s="69"/>
      <c r="C152" s="5"/>
      <c r="D152" s="5"/>
      <c r="E152" s="5"/>
      <c r="F152" s="63"/>
      <c r="G152" s="5"/>
      <c r="H152" s="5"/>
      <c r="I152" s="5"/>
      <c r="J152" s="63"/>
      <c r="K152" s="63"/>
      <c r="L152" s="63"/>
      <c r="M152" s="63"/>
      <c r="N152" s="63"/>
      <c r="O152" s="63"/>
      <c r="P152" s="5"/>
      <c r="Q152" s="70"/>
    </row>
    <row r="153" spans="2:17" x14ac:dyDescent="0.2">
      <c r="B153" s="78"/>
      <c r="C153" s="75"/>
      <c r="D153" s="75"/>
      <c r="E153" s="75"/>
      <c r="F153" s="76"/>
      <c r="G153" s="75"/>
      <c r="H153" s="75"/>
      <c r="I153" s="75"/>
      <c r="J153" s="317"/>
      <c r="K153" s="317"/>
      <c r="L153" s="317"/>
      <c r="M153" s="317"/>
      <c r="N153" s="317"/>
      <c r="O153" s="317"/>
      <c r="P153" s="493" t="s">
        <v>254</v>
      </c>
      <c r="Q153" s="77"/>
    </row>
    <row r="154" spans="2:17" ht="12.75" customHeight="1" x14ac:dyDescent="0.2">
      <c r="F154" s="100"/>
      <c r="J154" s="100"/>
      <c r="K154" s="100"/>
      <c r="L154" s="100"/>
      <c r="M154" s="100"/>
      <c r="N154" s="100"/>
      <c r="O154" s="100"/>
    </row>
    <row r="155" spans="2:17" x14ac:dyDescent="0.2">
      <c r="D155" s="314"/>
      <c r="J155" s="178"/>
      <c r="K155" s="178"/>
      <c r="L155" s="100"/>
      <c r="M155" s="100"/>
      <c r="N155" s="100"/>
      <c r="O155" s="100"/>
    </row>
  </sheetData>
  <sheetProtection algorithmName="SHA-512" hashValue="C0STtDx3Gld+CmPLfayjf02FoIq0StnsQ4qWkJ7falS0UcdSlkRKc+oilj214aS348AKzw1vr2O1zOM8/ZzdKw==" saltValue="csPjuK4Os5kq/CD59Jzv4g==" spinCount="100000" sheet="1" objects="1" scenarios="1"/>
  <phoneticPr fontId="0" type="noConversion"/>
  <hyperlinks>
    <hyperlink ref="P153" r:id="rId1" xr:uid="{00000000-0004-0000-0700-000000000000}"/>
  </hyperlinks>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60" min="1" max="16" man="1"/>
    <brk id="153" min="1" max="1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P334"/>
  <sheetViews>
    <sheetView showGridLines="0" zoomScale="85" zoomScaleNormal="85" zoomScaleSheetLayoutView="85" workbookViewId="0">
      <selection activeCell="B2" sqref="B2"/>
    </sheetView>
  </sheetViews>
  <sheetFormatPr defaultRowHeight="12.75" x14ac:dyDescent="0.2"/>
  <cols>
    <col min="1" max="1" width="3.7109375" style="100" customWidth="1"/>
    <col min="2" max="3" width="2.7109375" style="100" customWidth="1"/>
    <col min="4" max="4" width="45.7109375" style="100" customWidth="1"/>
    <col min="5" max="5" width="0.85546875" style="100" customWidth="1"/>
    <col min="6" max="6" width="8.7109375" style="102" customWidth="1"/>
    <col min="7" max="7" width="2.7109375" style="100" customWidth="1"/>
    <col min="8" max="12" width="14.7109375" style="102" customWidth="1"/>
    <col min="13" max="14" width="14.7109375" style="102" hidden="1" customWidth="1"/>
    <col min="15" max="16" width="2.7109375" style="100" customWidth="1"/>
    <col min="17" max="16384" width="9.140625" style="100"/>
  </cols>
  <sheetData>
    <row r="2" spans="2:16" x14ac:dyDescent="0.2">
      <c r="B2" s="65"/>
      <c r="C2" s="66"/>
      <c r="D2" s="66"/>
      <c r="E2" s="66"/>
      <c r="F2" s="67"/>
      <c r="G2" s="66"/>
      <c r="H2" s="67"/>
      <c r="I2" s="67"/>
      <c r="J2" s="67"/>
      <c r="K2" s="67"/>
      <c r="L2" s="67"/>
      <c r="M2" s="67"/>
      <c r="N2" s="67"/>
      <c r="O2" s="66"/>
      <c r="P2" s="68"/>
    </row>
    <row r="3" spans="2:16" x14ac:dyDescent="0.2">
      <c r="B3" s="69"/>
      <c r="C3" s="5"/>
      <c r="D3" s="51"/>
      <c r="E3" s="5"/>
      <c r="F3" s="63"/>
      <c r="G3" s="5"/>
      <c r="H3" s="63"/>
      <c r="I3" s="63"/>
      <c r="J3" s="63"/>
      <c r="K3" s="63"/>
      <c r="L3" s="63"/>
      <c r="M3" s="63"/>
      <c r="N3" s="63"/>
      <c r="O3" s="5"/>
      <c r="P3" s="70"/>
    </row>
    <row r="4" spans="2:16" s="132" customFormat="1" ht="18.75" x14ac:dyDescent="0.3">
      <c r="B4" s="134"/>
      <c r="C4" s="485" t="s">
        <v>585</v>
      </c>
      <c r="D4" s="136"/>
      <c r="E4" s="136"/>
      <c r="F4" s="137"/>
      <c r="G4" s="136"/>
      <c r="H4" s="137"/>
      <c r="I4" s="137"/>
      <c r="J4" s="137"/>
      <c r="K4" s="137"/>
      <c r="L4" s="137"/>
      <c r="M4" s="137"/>
      <c r="N4" s="137"/>
      <c r="O4" s="136"/>
      <c r="P4" s="138"/>
    </row>
    <row r="5" spans="2:16" s="8" customFormat="1" ht="18.75" x14ac:dyDescent="0.3">
      <c r="B5" s="25"/>
      <c r="C5" s="972" t="str">
        <f>'geg ll'!C5</f>
        <v>Voorbeeld SWV VO Alkmaar</v>
      </c>
      <c r="D5" s="52"/>
      <c r="E5" s="26"/>
      <c r="F5" s="139"/>
      <c r="G5" s="26"/>
      <c r="H5" s="139"/>
      <c r="I5" s="139"/>
      <c r="J5" s="139"/>
      <c r="K5" s="139"/>
      <c r="L5" s="139"/>
      <c r="M5" s="139"/>
      <c r="N5" s="139"/>
      <c r="O5" s="26"/>
      <c r="P5" s="27"/>
    </row>
    <row r="6" spans="2:16" x14ac:dyDescent="0.2">
      <c r="B6" s="69"/>
      <c r="C6" s="5"/>
      <c r="D6" s="51"/>
      <c r="E6" s="5"/>
      <c r="F6" s="63"/>
      <c r="G6" s="5"/>
      <c r="H6" s="63"/>
      <c r="I6" s="63"/>
      <c r="J6" s="63"/>
      <c r="K6" s="63"/>
      <c r="L6" s="63"/>
      <c r="M6" s="63"/>
      <c r="N6" s="63"/>
      <c r="O6" s="5"/>
      <c r="P6" s="70"/>
    </row>
    <row r="7" spans="2:16" x14ac:dyDescent="0.2">
      <c r="B7" s="69"/>
      <c r="C7" s="5"/>
      <c r="D7" s="51"/>
      <c r="E7" s="5"/>
      <c r="F7" s="63"/>
      <c r="G7" s="5"/>
      <c r="H7" s="63"/>
      <c r="I7" s="316"/>
      <c r="J7" s="63"/>
      <c r="K7" s="63"/>
      <c r="L7" s="63"/>
      <c r="M7" s="63"/>
      <c r="N7" s="63"/>
      <c r="O7" s="5"/>
      <c r="P7" s="70"/>
    </row>
    <row r="8" spans="2:16" s="165" customFormat="1" x14ac:dyDescent="0.2">
      <c r="B8" s="166"/>
      <c r="C8" s="167"/>
      <c r="D8" s="167"/>
      <c r="E8" s="167"/>
      <c r="F8" s="478" t="s">
        <v>105</v>
      </c>
      <c r="G8" s="465"/>
      <c r="H8" s="457">
        <f>tab!C4</f>
        <v>2023</v>
      </c>
      <c r="I8" s="457">
        <f>tab!D4</f>
        <v>2024</v>
      </c>
      <c r="J8" s="457">
        <f>tab!E4</f>
        <v>2025</v>
      </c>
      <c r="K8" s="457">
        <f>tab!F4</f>
        <v>2026</v>
      </c>
      <c r="L8" s="457">
        <f>tab!G4</f>
        <v>2027</v>
      </c>
      <c r="M8" s="457">
        <f>tab!H4</f>
        <v>2028</v>
      </c>
      <c r="N8" s="468" t="str">
        <f>tab!E2</f>
        <v>2025/26</v>
      </c>
      <c r="O8" s="167"/>
      <c r="P8" s="168"/>
    </row>
    <row r="9" spans="2:16" x14ac:dyDescent="0.2">
      <c r="B9" s="69"/>
      <c r="C9" s="5"/>
      <c r="D9" s="5"/>
      <c r="E9" s="5"/>
      <c r="F9" s="63"/>
      <c r="G9" s="5"/>
      <c r="H9" s="63"/>
      <c r="I9" s="63"/>
      <c r="J9" s="63"/>
      <c r="K9" s="63"/>
      <c r="L9" s="63"/>
      <c r="M9" s="63"/>
      <c r="N9" s="63"/>
      <c r="O9" s="5"/>
      <c r="P9" s="70"/>
    </row>
    <row r="10" spans="2:16" x14ac:dyDescent="0.2">
      <c r="B10" s="69"/>
      <c r="C10" s="149"/>
      <c r="D10" s="153"/>
      <c r="E10" s="149"/>
      <c r="F10" s="64"/>
      <c r="G10" s="149"/>
      <c r="H10" s="64"/>
      <c r="I10" s="64"/>
      <c r="J10" s="64"/>
      <c r="K10" s="64"/>
      <c r="L10" s="64"/>
      <c r="M10" s="64"/>
      <c r="N10" s="64"/>
      <c r="O10" s="149"/>
      <c r="P10" s="70"/>
    </row>
    <row r="11" spans="2:16" x14ac:dyDescent="0.2">
      <c r="B11" s="69"/>
      <c r="C11" s="149"/>
      <c r="D11" s="921" t="str">
        <f>+bekost!D153</f>
        <v>programma 1 Arrangementen</v>
      </c>
      <c r="E11" s="149"/>
      <c r="F11" s="64"/>
      <c r="G11" s="149"/>
      <c r="H11" s="64"/>
      <c r="I11" s="64"/>
      <c r="J11" s="64"/>
      <c r="K11" s="64"/>
      <c r="L11" s="64"/>
      <c r="M11" s="64"/>
      <c r="N11" s="64"/>
      <c r="O11" s="149"/>
      <c r="P11" s="70"/>
    </row>
    <row r="12" spans="2:16" x14ac:dyDescent="0.2">
      <c r="B12" s="69"/>
      <c r="C12" s="149"/>
      <c r="D12" s="147"/>
      <c r="E12" s="149"/>
      <c r="F12" s="64"/>
      <c r="G12" s="149"/>
      <c r="H12" s="64"/>
      <c r="I12" s="64"/>
      <c r="J12" s="64"/>
      <c r="K12" s="64"/>
      <c r="L12" s="64"/>
      <c r="M12" s="64"/>
      <c r="N12" s="64"/>
      <c r="O12" s="149"/>
      <c r="P12" s="70"/>
    </row>
    <row r="13" spans="2:16" x14ac:dyDescent="0.2">
      <c r="B13" s="69"/>
      <c r="C13" s="149"/>
      <c r="D13" s="153" t="s">
        <v>338</v>
      </c>
      <c r="E13" s="149"/>
      <c r="F13" s="64"/>
      <c r="G13" s="149"/>
      <c r="H13" s="59">
        <f>H8</f>
        <v>2023</v>
      </c>
      <c r="I13" s="59">
        <f t="shared" ref="I13:N13" si="0">I8</f>
        <v>2024</v>
      </c>
      <c r="J13" s="59">
        <f t="shared" si="0"/>
        <v>2025</v>
      </c>
      <c r="K13" s="59">
        <f t="shared" si="0"/>
        <v>2026</v>
      </c>
      <c r="L13" s="59">
        <f t="shared" si="0"/>
        <v>2027</v>
      </c>
      <c r="M13" s="59">
        <f t="shared" si="0"/>
        <v>2028</v>
      </c>
      <c r="N13" s="59" t="str">
        <f t="shared" si="0"/>
        <v>2025/26</v>
      </c>
      <c r="O13" s="149"/>
      <c r="P13" s="70"/>
    </row>
    <row r="14" spans="2:16" x14ac:dyDescent="0.2">
      <c r="B14" s="69"/>
      <c r="C14" s="149"/>
      <c r="D14" s="458" t="s">
        <v>576</v>
      </c>
      <c r="E14" s="33"/>
      <c r="F14" s="41"/>
      <c r="G14" s="33"/>
      <c r="H14" s="419">
        <v>12345</v>
      </c>
      <c r="I14" s="419">
        <f t="shared" ref="I14:N14" si="1">H14</f>
        <v>12345</v>
      </c>
      <c r="J14" s="419">
        <f t="shared" si="1"/>
        <v>12345</v>
      </c>
      <c r="K14" s="419">
        <f t="shared" si="1"/>
        <v>12345</v>
      </c>
      <c r="L14" s="419">
        <f t="shared" si="1"/>
        <v>12345</v>
      </c>
      <c r="M14" s="419">
        <f t="shared" si="1"/>
        <v>12345</v>
      </c>
      <c r="N14" s="419">
        <f t="shared" si="1"/>
        <v>12345</v>
      </c>
      <c r="O14" s="149"/>
      <c r="P14" s="70"/>
    </row>
    <row r="15" spans="2:16" x14ac:dyDescent="0.2">
      <c r="B15" s="69"/>
      <c r="C15" s="149"/>
      <c r="D15" s="458"/>
      <c r="E15" s="33"/>
      <c r="F15" s="41"/>
      <c r="G15" s="33"/>
      <c r="H15" s="419">
        <v>0</v>
      </c>
      <c r="I15" s="419">
        <f t="shared" ref="I15:N18" si="2">H15</f>
        <v>0</v>
      </c>
      <c r="J15" s="419">
        <f t="shared" si="2"/>
        <v>0</v>
      </c>
      <c r="K15" s="419">
        <f t="shared" si="2"/>
        <v>0</v>
      </c>
      <c r="L15" s="419">
        <f t="shared" si="2"/>
        <v>0</v>
      </c>
      <c r="M15" s="419">
        <f t="shared" si="2"/>
        <v>0</v>
      </c>
      <c r="N15" s="419">
        <f t="shared" si="2"/>
        <v>0</v>
      </c>
      <c r="O15" s="149"/>
      <c r="P15" s="70"/>
    </row>
    <row r="16" spans="2:16" x14ac:dyDescent="0.2">
      <c r="B16" s="69"/>
      <c r="C16" s="149"/>
      <c r="D16" s="458"/>
      <c r="E16" s="33"/>
      <c r="F16" s="41"/>
      <c r="G16" s="33"/>
      <c r="H16" s="419">
        <v>0</v>
      </c>
      <c r="I16" s="419">
        <f>H16</f>
        <v>0</v>
      </c>
      <c r="J16" s="419">
        <f t="shared" si="2"/>
        <v>0</v>
      </c>
      <c r="K16" s="419">
        <f t="shared" si="2"/>
        <v>0</v>
      </c>
      <c r="L16" s="419">
        <f t="shared" si="2"/>
        <v>0</v>
      </c>
      <c r="M16" s="419">
        <f t="shared" si="2"/>
        <v>0</v>
      </c>
      <c r="N16" s="419">
        <f t="shared" si="2"/>
        <v>0</v>
      </c>
      <c r="O16" s="149"/>
      <c r="P16" s="70"/>
    </row>
    <row r="17" spans="2:16" x14ac:dyDescent="0.2">
      <c r="B17" s="69"/>
      <c r="C17" s="149"/>
      <c r="D17" s="451"/>
      <c r="E17" s="33"/>
      <c r="F17" s="41"/>
      <c r="G17" s="33"/>
      <c r="H17" s="419">
        <v>0</v>
      </c>
      <c r="I17" s="419">
        <f t="shared" si="2"/>
        <v>0</v>
      </c>
      <c r="J17" s="419">
        <f t="shared" si="2"/>
        <v>0</v>
      </c>
      <c r="K17" s="419">
        <f t="shared" si="2"/>
        <v>0</v>
      </c>
      <c r="L17" s="419">
        <f t="shared" si="2"/>
        <v>0</v>
      </c>
      <c r="M17" s="419">
        <f t="shared" si="2"/>
        <v>0</v>
      </c>
      <c r="N17" s="419">
        <f t="shared" si="2"/>
        <v>0</v>
      </c>
      <c r="O17" s="173"/>
      <c r="P17" s="70"/>
    </row>
    <row r="18" spans="2:16" x14ac:dyDescent="0.2">
      <c r="B18" s="69"/>
      <c r="C18" s="149"/>
      <c r="D18" s="451"/>
      <c r="E18" s="33"/>
      <c r="F18" s="41"/>
      <c r="G18" s="33"/>
      <c r="H18" s="419">
        <v>0</v>
      </c>
      <c r="I18" s="419">
        <f t="shared" si="2"/>
        <v>0</v>
      </c>
      <c r="J18" s="419">
        <f t="shared" si="2"/>
        <v>0</v>
      </c>
      <c r="K18" s="419">
        <f t="shared" si="2"/>
        <v>0</v>
      </c>
      <c r="L18" s="419">
        <f t="shared" si="2"/>
        <v>0</v>
      </c>
      <c r="M18" s="419">
        <f t="shared" si="2"/>
        <v>0</v>
      </c>
      <c r="N18" s="419">
        <f t="shared" si="2"/>
        <v>0</v>
      </c>
      <c r="O18" s="173"/>
      <c r="P18" s="70"/>
    </row>
    <row r="19" spans="2:16" x14ac:dyDescent="0.2">
      <c r="B19" s="69"/>
      <c r="C19" s="149"/>
      <c r="D19" s="33"/>
      <c r="E19" s="33"/>
      <c r="F19" s="144"/>
      <c r="G19" s="33"/>
      <c r="H19" s="427">
        <f t="shared" ref="H19:M19" si="3">SUM(H14:H18)</f>
        <v>12345</v>
      </c>
      <c r="I19" s="427">
        <f t="shared" si="3"/>
        <v>12345</v>
      </c>
      <c r="J19" s="427">
        <f t="shared" si="3"/>
        <v>12345</v>
      </c>
      <c r="K19" s="427">
        <f t="shared" si="3"/>
        <v>12345</v>
      </c>
      <c r="L19" s="427">
        <f t="shared" si="3"/>
        <v>12345</v>
      </c>
      <c r="M19" s="427">
        <f t="shared" si="3"/>
        <v>12345</v>
      </c>
      <c r="N19" s="427">
        <f>SUM(N14:N18)</f>
        <v>12345</v>
      </c>
      <c r="O19" s="149"/>
      <c r="P19" s="70"/>
    </row>
    <row r="20" spans="2:16" x14ac:dyDescent="0.2">
      <c r="B20" s="69"/>
      <c r="C20" s="149"/>
      <c r="D20" s="33"/>
      <c r="E20" s="33"/>
      <c r="F20" s="144"/>
      <c r="G20" s="33"/>
      <c r="H20" s="922"/>
      <c r="I20" s="922"/>
      <c r="J20" s="922"/>
      <c r="K20" s="922"/>
      <c r="L20" s="922"/>
      <c r="M20" s="922"/>
      <c r="N20" s="922"/>
      <c r="O20" s="149"/>
      <c r="P20" s="70"/>
    </row>
    <row r="21" spans="2:16" x14ac:dyDescent="0.2">
      <c r="B21" s="69"/>
      <c r="C21" s="149"/>
      <c r="D21" s="153" t="s">
        <v>339</v>
      </c>
      <c r="E21" s="33"/>
      <c r="F21" s="144"/>
      <c r="G21" s="33"/>
      <c r="H21" s="923">
        <f>H13</f>
        <v>2023</v>
      </c>
      <c r="I21" s="923">
        <f t="shared" ref="I21:N21" si="4">I13</f>
        <v>2024</v>
      </c>
      <c r="J21" s="923">
        <f t="shared" si="4"/>
        <v>2025</v>
      </c>
      <c r="K21" s="923">
        <f t="shared" si="4"/>
        <v>2026</v>
      </c>
      <c r="L21" s="923">
        <f t="shared" si="4"/>
        <v>2027</v>
      </c>
      <c r="M21" s="923">
        <f t="shared" si="4"/>
        <v>2028</v>
      </c>
      <c r="N21" s="923" t="str">
        <f t="shared" si="4"/>
        <v>2025/26</v>
      </c>
      <c r="O21" s="149"/>
      <c r="P21" s="70"/>
    </row>
    <row r="22" spans="2:16" x14ac:dyDescent="0.2">
      <c r="B22" s="69"/>
      <c r="C22" s="149"/>
      <c r="D22" s="458" t="s">
        <v>576</v>
      </c>
      <c r="E22" s="33"/>
      <c r="F22" s="41"/>
      <c r="G22" s="33"/>
      <c r="H22" s="946">
        <v>1234</v>
      </c>
      <c r="I22" s="946">
        <f t="shared" ref="I22:N22" si="5">H22</f>
        <v>1234</v>
      </c>
      <c r="J22" s="946">
        <f t="shared" si="5"/>
        <v>1234</v>
      </c>
      <c r="K22" s="946">
        <f t="shared" si="5"/>
        <v>1234</v>
      </c>
      <c r="L22" s="946">
        <f t="shared" si="5"/>
        <v>1234</v>
      </c>
      <c r="M22" s="946">
        <f t="shared" si="5"/>
        <v>1234</v>
      </c>
      <c r="N22" s="946">
        <f t="shared" si="5"/>
        <v>1234</v>
      </c>
      <c r="O22" s="149"/>
      <c r="P22" s="70"/>
    </row>
    <row r="23" spans="2:16" x14ac:dyDescent="0.2">
      <c r="B23" s="69"/>
      <c r="C23" s="149"/>
      <c r="D23" s="451"/>
      <c r="E23" s="33"/>
      <c r="F23" s="41"/>
      <c r="G23" s="33"/>
      <c r="H23" s="946">
        <v>0</v>
      </c>
      <c r="I23" s="946">
        <f t="shared" ref="I23:M26" si="6">H23</f>
        <v>0</v>
      </c>
      <c r="J23" s="946">
        <f t="shared" si="6"/>
        <v>0</v>
      </c>
      <c r="K23" s="946">
        <f t="shared" si="6"/>
        <v>0</v>
      </c>
      <c r="L23" s="946">
        <f t="shared" si="6"/>
        <v>0</v>
      </c>
      <c r="M23" s="946">
        <f t="shared" si="6"/>
        <v>0</v>
      </c>
      <c r="N23" s="946">
        <f>M23</f>
        <v>0</v>
      </c>
      <c r="O23" s="149"/>
      <c r="P23" s="70"/>
    </row>
    <row r="24" spans="2:16" x14ac:dyDescent="0.2">
      <c r="B24" s="69"/>
      <c r="C24" s="149"/>
      <c r="D24" s="451"/>
      <c r="E24" s="33"/>
      <c r="F24" s="41"/>
      <c r="G24" s="33"/>
      <c r="H24" s="946">
        <v>0</v>
      </c>
      <c r="I24" s="946">
        <f t="shared" si="6"/>
        <v>0</v>
      </c>
      <c r="J24" s="946">
        <f t="shared" si="6"/>
        <v>0</v>
      </c>
      <c r="K24" s="946">
        <f t="shared" si="6"/>
        <v>0</v>
      </c>
      <c r="L24" s="946">
        <f t="shared" si="6"/>
        <v>0</v>
      </c>
      <c r="M24" s="946">
        <f t="shared" si="6"/>
        <v>0</v>
      </c>
      <c r="N24" s="946">
        <f>M24</f>
        <v>0</v>
      </c>
      <c r="O24" s="149"/>
      <c r="P24" s="70"/>
    </row>
    <row r="25" spans="2:16" x14ac:dyDescent="0.2">
      <c r="B25" s="69"/>
      <c r="C25" s="149"/>
      <c r="D25" s="451"/>
      <c r="E25" s="33"/>
      <c r="F25" s="41"/>
      <c r="G25" s="33"/>
      <c r="H25" s="946">
        <v>0</v>
      </c>
      <c r="I25" s="946">
        <f t="shared" si="6"/>
        <v>0</v>
      </c>
      <c r="J25" s="946">
        <f t="shared" si="6"/>
        <v>0</v>
      </c>
      <c r="K25" s="946">
        <f t="shared" si="6"/>
        <v>0</v>
      </c>
      <c r="L25" s="946">
        <f t="shared" si="6"/>
        <v>0</v>
      </c>
      <c r="M25" s="946">
        <f t="shared" si="6"/>
        <v>0</v>
      </c>
      <c r="N25" s="946">
        <f>M25</f>
        <v>0</v>
      </c>
      <c r="O25" s="149"/>
      <c r="P25" s="70"/>
    </row>
    <row r="26" spans="2:16" x14ac:dyDescent="0.2">
      <c r="B26" s="69"/>
      <c r="C26" s="149"/>
      <c r="D26" s="451"/>
      <c r="E26" s="33"/>
      <c r="F26" s="41"/>
      <c r="G26" s="33"/>
      <c r="H26" s="946">
        <v>0</v>
      </c>
      <c r="I26" s="946">
        <f t="shared" si="6"/>
        <v>0</v>
      </c>
      <c r="J26" s="946">
        <f t="shared" si="6"/>
        <v>0</v>
      </c>
      <c r="K26" s="946">
        <f t="shared" si="6"/>
        <v>0</v>
      </c>
      <c r="L26" s="946">
        <f t="shared" si="6"/>
        <v>0</v>
      </c>
      <c r="M26" s="946">
        <f t="shared" si="6"/>
        <v>0</v>
      </c>
      <c r="N26" s="946">
        <f>M26</f>
        <v>0</v>
      </c>
      <c r="O26" s="149"/>
      <c r="P26" s="70"/>
    </row>
    <row r="27" spans="2:16" x14ac:dyDescent="0.2">
      <c r="B27" s="69"/>
      <c r="C27" s="149"/>
      <c r="D27" s="33"/>
      <c r="E27" s="33"/>
      <c r="F27" s="144"/>
      <c r="G27" s="33"/>
      <c r="H27" s="427">
        <f t="shared" ref="H27:M27" si="7">SUM(H22:H26)</f>
        <v>1234</v>
      </c>
      <c r="I27" s="427">
        <f t="shared" si="7"/>
        <v>1234</v>
      </c>
      <c r="J27" s="427">
        <f t="shared" si="7"/>
        <v>1234</v>
      </c>
      <c r="K27" s="427">
        <f t="shared" si="7"/>
        <v>1234</v>
      </c>
      <c r="L27" s="427">
        <f t="shared" si="7"/>
        <v>1234</v>
      </c>
      <c r="M27" s="427">
        <f t="shared" si="7"/>
        <v>1234</v>
      </c>
      <c r="N27" s="427">
        <f>SUM(N22:N26)</f>
        <v>1234</v>
      </c>
      <c r="O27" s="149"/>
      <c r="P27" s="70"/>
    </row>
    <row r="28" spans="2:16" x14ac:dyDescent="0.2">
      <c r="B28" s="69"/>
      <c r="C28" s="74"/>
      <c r="D28" s="38"/>
      <c r="E28" s="38"/>
      <c r="F28" s="39"/>
      <c r="G28" s="38"/>
      <c r="H28" s="924"/>
      <c r="I28" s="924"/>
      <c r="J28" s="924"/>
      <c r="K28" s="924"/>
      <c r="L28" s="924"/>
      <c r="M28" s="924"/>
      <c r="N28" s="924"/>
      <c r="O28" s="74"/>
      <c r="P28" s="70"/>
    </row>
    <row r="29" spans="2:16" x14ac:dyDescent="0.2">
      <c r="B29" s="69"/>
      <c r="C29" s="928"/>
      <c r="D29" s="925"/>
      <c r="E29" s="925"/>
      <c r="F29" s="926"/>
      <c r="G29" s="925"/>
      <c r="H29" s="927"/>
      <c r="I29" s="927"/>
      <c r="J29" s="927"/>
      <c r="K29" s="927"/>
      <c r="L29" s="927"/>
      <c r="M29" s="927"/>
      <c r="N29" s="927"/>
      <c r="O29" s="929"/>
      <c r="P29" s="70"/>
    </row>
    <row r="30" spans="2:16" x14ac:dyDescent="0.2">
      <c r="B30" s="69"/>
      <c r="C30" s="149"/>
      <c r="D30" s="153"/>
      <c r="E30" s="149"/>
      <c r="F30" s="64"/>
      <c r="G30" s="149"/>
      <c r="H30" s="64"/>
      <c r="I30" s="64"/>
      <c r="J30" s="64"/>
      <c r="K30" s="64"/>
      <c r="L30" s="64"/>
      <c r="M30" s="64"/>
      <c r="N30" s="64"/>
      <c r="O30" s="149"/>
      <c r="P30" s="70"/>
    </row>
    <row r="31" spans="2:16" x14ac:dyDescent="0.2">
      <c r="B31" s="69"/>
      <c r="C31" s="149"/>
      <c r="D31" s="921" t="str">
        <f>bekost!D154</f>
        <v>programma 2</v>
      </c>
      <c r="E31" s="149"/>
      <c r="F31" s="64"/>
      <c r="G31" s="149"/>
      <c r="H31" s="64"/>
      <c r="I31" s="64"/>
      <c r="J31" s="64"/>
      <c r="K31" s="64"/>
      <c r="L31" s="64"/>
      <c r="M31" s="64"/>
      <c r="N31" s="64"/>
      <c r="O31" s="149"/>
      <c r="P31" s="70"/>
    </row>
    <row r="32" spans="2:16" x14ac:dyDescent="0.2">
      <c r="B32" s="69"/>
      <c r="C32" s="149"/>
      <c r="D32" s="147"/>
      <c r="E32" s="149"/>
      <c r="F32" s="64"/>
      <c r="G32" s="149"/>
      <c r="H32" s="64"/>
      <c r="I32" s="64"/>
      <c r="J32" s="64"/>
      <c r="K32" s="64"/>
      <c r="L32" s="64"/>
      <c r="M32" s="64"/>
      <c r="N32" s="64"/>
      <c r="O32" s="149"/>
      <c r="P32" s="70"/>
    </row>
    <row r="33" spans="2:16" x14ac:dyDescent="0.2">
      <c r="B33" s="69"/>
      <c r="C33" s="149"/>
      <c r="D33" s="153" t="s">
        <v>338</v>
      </c>
      <c r="E33" s="149"/>
      <c r="F33" s="64"/>
      <c r="G33" s="149"/>
      <c r="H33" s="59">
        <f>H13</f>
        <v>2023</v>
      </c>
      <c r="I33" s="59">
        <f t="shared" ref="I33:N33" si="8">I13</f>
        <v>2024</v>
      </c>
      <c r="J33" s="59">
        <f t="shared" si="8"/>
        <v>2025</v>
      </c>
      <c r="K33" s="59">
        <f t="shared" si="8"/>
        <v>2026</v>
      </c>
      <c r="L33" s="59">
        <f t="shared" si="8"/>
        <v>2027</v>
      </c>
      <c r="M33" s="59">
        <f t="shared" si="8"/>
        <v>2028</v>
      </c>
      <c r="N33" s="59" t="str">
        <f t="shared" si="8"/>
        <v>2025/26</v>
      </c>
      <c r="O33" s="149"/>
      <c r="P33" s="70"/>
    </row>
    <row r="34" spans="2:16" x14ac:dyDescent="0.2">
      <c r="B34" s="69"/>
      <c r="C34" s="149"/>
      <c r="D34" s="458"/>
      <c r="E34" s="33"/>
      <c r="F34" s="41"/>
      <c r="G34" s="33"/>
      <c r="H34" s="419">
        <v>0</v>
      </c>
      <c r="I34" s="419">
        <f t="shared" ref="I34:N34" si="9">H34</f>
        <v>0</v>
      </c>
      <c r="J34" s="419">
        <f t="shared" si="9"/>
        <v>0</v>
      </c>
      <c r="K34" s="419">
        <f t="shared" si="9"/>
        <v>0</v>
      </c>
      <c r="L34" s="419">
        <f t="shared" si="9"/>
        <v>0</v>
      </c>
      <c r="M34" s="419">
        <f t="shared" si="9"/>
        <v>0</v>
      </c>
      <c r="N34" s="419">
        <f t="shared" si="9"/>
        <v>0</v>
      </c>
      <c r="O34" s="149"/>
      <c r="P34" s="70"/>
    </row>
    <row r="35" spans="2:16" x14ac:dyDescent="0.2">
      <c r="B35" s="69"/>
      <c r="C35" s="149"/>
      <c r="D35" s="458"/>
      <c r="E35" s="33"/>
      <c r="F35" s="41"/>
      <c r="G35" s="33"/>
      <c r="H35" s="419">
        <v>0</v>
      </c>
      <c r="I35" s="419">
        <f t="shared" ref="I35:N35" si="10">H35</f>
        <v>0</v>
      </c>
      <c r="J35" s="419">
        <f t="shared" si="10"/>
        <v>0</v>
      </c>
      <c r="K35" s="419">
        <f t="shared" si="10"/>
        <v>0</v>
      </c>
      <c r="L35" s="419">
        <f t="shared" si="10"/>
        <v>0</v>
      </c>
      <c r="M35" s="419">
        <f t="shared" si="10"/>
        <v>0</v>
      </c>
      <c r="N35" s="419">
        <f t="shared" si="10"/>
        <v>0</v>
      </c>
      <c r="O35" s="149"/>
      <c r="P35" s="70"/>
    </row>
    <row r="36" spans="2:16" x14ac:dyDescent="0.2">
      <c r="B36" s="69"/>
      <c r="C36" s="149"/>
      <c r="D36" s="458"/>
      <c r="E36" s="33"/>
      <c r="F36" s="41"/>
      <c r="G36" s="33"/>
      <c r="H36" s="419">
        <v>0</v>
      </c>
      <c r="I36" s="419">
        <f t="shared" ref="I36:N36" si="11">H36</f>
        <v>0</v>
      </c>
      <c r="J36" s="419">
        <f t="shared" si="11"/>
        <v>0</v>
      </c>
      <c r="K36" s="419">
        <f t="shared" si="11"/>
        <v>0</v>
      </c>
      <c r="L36" s="419">
        <f t="shared" si="11"/>
        <v>0</v>
      </c>
      <c r="M36" s="419">
        <f t="shared" si="11"/>
        <v>0</v>
      </c>
      <c r="N36" s="419">
        <f t="shared" si="11"/>
        <v>0</v>
      </c>
      <c r="O36" s="149"/>
      <c r="P36" s="70"/>
    </row>
    <row r="37" spans="2:16" x14ac:dyDescent="0.2">
      <c r="B37" s="69"/>
      <c r="C37" s="149"/>
      <c r="D37" s="458"/>
      <c r="E37" s="33"/>
      <c r="F37" s="41"/>
      <c r="G37" s="33"/>
      <c r="H37" s="419">
        <v>0</v>
      </c>
      <c r="I37" s="419">
        <f t="shared" ref="I37:N37" si="12">H37</f>
        <v>0</v>
      </c>
      <c r="J37" s="419">
        <f t="shared" si="12"/>
        <v>0</v>
      </c>
      <c r="K37" s="419">
        <f t="shared" si="12"/>
        <v>0</v>
      </c>
      <c r="L37" s="419">
        <f t="shared" si="12"/>
        <v>0</v>
      </c>
      <c r="M37" s="419">
        <f t="shared" si="12"/>
        <v>0</v>
      </c>
      <c r="N37" s="419">
        <f t="shared" si="12"/>
        <v>0</v>
      </c>
      <c r="O37" s="173"/>
      <c r="P37" s="70"/>
    </row>
    <row r="38" spans="2:16" x14ac:dyDescent="0.2">
      <c r="B38" s="69"/>
      <c r="C38" s="149"/>
      <c r="D38" s="451"/>
      <c r="E38" s="33"/>
      <c r="F38" s="41"/>
      <c r="G38" s="33"/>
      <c r="H38" s="419">
        <v>0</v>
      </c>
      <c r="I38" s="419">
        <f t="shared" ref="I38:N38" si="13">H38</f>
        <v>0</v>
      </c>
      <c r="J38" s="419">
        <f t="shared" si="13"/>
        <v>0</v>
      </c>
      <c r="K38" s="419">
        <f t="shared" si="13"/>
        <v>0</v>
      </c>
      <c r="L38" s="419">
        <f t="shared" si="13"/>
        <v>0</v>
      </c>
      <c r="M38" s="419">
        <f t="shared" si="13"/>
        <v>0</v>
      </c>
      <c r="N38" s="419">
        <f t="shared" si="13"/>
        <v>0</v>
      </c>
      <c r="O38" s="173"/>
      <c r="P38" s="70"/>
    </row>
    <row r="39" spans="2:16" x14ac:dyDescent="0.2">
      <c r="B39" s="69"/>
      <c r="C39" s="149"/>
      <c r="D39" s="33"/>
      <c r="E39" s="33"/>
      <c r="F39" s="144"/>
      <c r="G39" s="33"/>
      <c r="H39" s="427">
        <f t="shared" ref="H39:M39" si="14">SUM(H34:H38)</f>
        <v>0</v>
      </c>
      <c r="I39" s="427">
        <f t="shared" si="14"/>
        <v>0</v>
      </c>
      <c r="J39" s="427">
        <f t="shared" si="14"/>
        <v>0</v>
      </c>
      <c r="K39" s="427">
        <f t="shared" si="14"/>
        <v>0</v>
      </c>
      <c r="L39" s="427">
        <f t="shared" si="14"/>
        <v>0</v>
      </c>
      <c r="M39" s="427">
        <f t="shared" si="14"/>
        <v>0</v>
      </c>
      <c r="N39" s="427">
        <f>SUM(N34:N38)</f>
        <v>0</v>
      </c>
      <c r="O39" s="149"/>
      <c r="P39" s="70"/>
    </row>
    <row r="40" spans="2:16" x14ac:dyDescent="0.2">
      <c r="B40" s="69"/>
      <c r="C40" s="149"/>
      <c r="D40" s="33"/>
      <c r="E40" s="33"/>
      <c r="F40" s="144"/>
      <c r="G40" s="33"/>
      <c r="H40" s="922"/>
      <c r="I40" s="922"/>
      <c r="J40" s="922"/>
      <c r="K40" s="922"/>
      <c r="L40" s="922"/>
      <c r="M40" s="922"/>
      <c r="N40" s="922"/>
      <c r="O40" s="149"/>
      <c r="P40" s="70"/>
    </row>
    <row r="41" spans="2:16" x14ac:dyDescent="0.2">
      <c r="B41" s="69"/>
      <c r="C41" s="149"/>
      <c r="D41" s="153" t="s">
        <v>339</v>
      </c>
      <c r="E41" s="33"/>
      <c r="F41" s="144"/>
      <c r="G41" s="33"/>
      <c r="H41" s="923">
        <f>H21</f>
        <v>2023</v>
      </c>
      <c r="I41" s="923">
        <f t="shared" ref="I41:N41" si="15">I21</f>
        <v>2024</v>
      </c>
      <c r="J41" s="923">
        <f t="shared" si="15"/>
        <v>2025</v>
      </c>
      <c r="K41" s="923">
        <f t="shared" si="15"/>
        <v>2026</v>
      </c>
      <c r="L41" s="923">
        <f t="shared" si="15"/>
        <v>2027</v>
      </c>
      <c r="M41" s="923">
        <f t="shared" si="15"/>
        <v>2028</v>
      </c>
      <c r="N41" s="923" t="str">
        <f t="shared" si="15"/>
        <v>2025/26</v>
      </c>
      <c r="O41" s="149"/>
      <c r="P41" s="70"/>
    </row>
    <row r="42" spans="2:16" x14ac:dyDescent="0.2">
      <c r="B42" s="69"/>
      <c r="C42" s="149"/>
      <c r="D42" s="458"/>
      <c r="E42" s="33"/>
      <c r="F42" s="41"/>
      <c r="G42" s="33"/>
      <c r="H42" s="946">
        <v>0</v>
      </c>
      <c r="I42" s="946">
        <f t="shared" ref="I42:N42" si="16">H42</f>
        <v>0</v>
      </c>
      <c r="J42" s="946">
        <f t="shared" si="16"/>
        <v>0</v>
      </c>
      <c r="K42" s="946">
        <f t="shared" si="16"/>
        <v>0</v>
      </c>
      <c r="L42" s="946">
        <f t="shared" si="16"/>
        <v>0</v>
      </c>
      <c r="M42" s="946">
        <f t="shared" si="16"/>
        <v>0</v>
      </c>
      <c r="N42" s="946">
        <f t="shared" si="16"/>
        <v>0</v>
      </c>
      <c r="O42" s="149"/>
      <c r="P42" s="70"/>
    </row>
    <row r="43" spans="2:16" x14ac:dyDescent="0.2">
      <c r="B43" s="69"/>
      <c r="C43" s="149"/>
      <c r="D43" s="451"/>
      <c r="E43" s="33"/>
      <c r="F43" s="41"/>
      <c r="G43" s="33"/>
      <c r="H43" s="946">
        <v>0</v>
      </c>
      <c r="I43" s="946">
        <f t="shared" ref="I43:M46" si="17">H43</f>
        <v>0</v>
      </c>
      <c r="J43" s="946">
        <f t="shared" si="17"/>
        <v>0</v>
      </c>
      <c r="K43" s="946">
        <f t="shared" si="17"/>
        <v>0</v>
      </c>
      <c r="L43" s="946">
        <f t="shared" si="17"/>
        <v>0</v>
      </c>
      <c r="M43" s="946">
        <f t="shared" si="17"/>
        <v>0</v>
      </c>
      <c r="N43" s="946">
        <f>M43</f>
        <v>0</v>
      </c>
      <c r="O43" s="149"/>
      <c r="P43" s="70"/>
    </row>
    <row r="44" spans="2:16" x14ac:dyDescent="0.2">
      <c r="B44" s="69"/>
      <c r="C44" s="149"/>
      <c r="D44" s="451"/>
      <c r="E44" s="33"/>
      <c r="F44" s="41"/>
      <c r="G44" s="33"/>
      <c r="H44" s="946">
        <v>0</v>
      </c>
      <c r="I44" s="946">
        <f t="shared" si="17"/>
        <v>0</v>
      </c>
      <c r="J44" s="946">
        <f t="shared" si="17"/>
        <v>0</v>
      </c>
      <c r="K44" s="946">
        <f t="shared" si="17"/>
        <v>0</v>
      </c>
      <c r="L44" s="946">
        <f t="shared" si="17"/>
        <v>0</v>
      </c>
      <c r="M44" s="946">
        <f t="shared" si="17"/>
        <v>0</v>
      </c>
      <c r="N44" s="946">
        <f>M44</f>
        <v>0</v>
      </c>
      <c r="O44" s="149"/>
      <c r="P44" s="70"/>
    </row>
    <row r="45" spans="2:16" x14ac:dyDescent="0.2">
      <c r="B45" s="69"/>
      <c r="C45" s="149"/>
      <c r="D45" s="451"/>
      <c r="E45" s="33"/>
      <c r="F45" s="41"/>
      <c r="G45" s="33"/>
      <c r="H45" s="946">
        <v>0</v>
      </c>
      <c r="I45" s="946">
        <f t="shared" si="17"/>
        <v>0</v>
      </c>
      <c r="J45" s="946">
        <f t="shared" si="17"/>
        <v>0</v>
      </c>
      <c r="K45" s="946">
        <f t="shared" si="17"/>
        <v>0</v>
      </c>
      <c r="L45" s="946">
        <f t="shared" si="17"/>
        <v>0</v>
      </c>
      <c r="M45" s="946">
        <f t="shared" si="17"/>
        <v>0</v>
      </c>
      <c r="N45" s="946">
        <f>M45</f>
        <v>0</v>
      </c>
      <c r="O45" s="149"/>
      <c r="P45" s="70"/>
    </row>
    <row r="46" spans="2:16" x14ac:dyDescent="0.2">
      <c r="B46" s="69"/>
      <c r="C46" s="149"/>
      <c r="D46" s="451"/>
      <c r="E46" s="33"/>
      <c r="F46" s="41"/>
      <c r="G46" s="33"/>
      <c r="H46" s="946">
        <v>0</v>
      </c>
      <c r="I46" s="946">
        <f t="shared" si="17"/>
        <v>0</v>
      </c>
      <c r="J46" s="946">
        <f t="shared" si="17"/>
        <v>0</v>
      </c>
      <c r="K46" s="946">
        <f t="shared" si="17"/>
        <v>0</v>
      </c>
      <c r="L46" s="946">
        <f t="shared" si="17"/>
        <v>0</v>
      </c>
      <c r="M46" s="946">
        <f t="shared" si="17"/>
        <v>0</v>
      </c>
      <c r="N46" s="946">
        <f>M46</f>
        <v>0</v>
      </c>
      <c r="O46" s="149"/>
      <c r="P46" s="70"/>
    </row>
    <row r="47" spans="2:16" x14ac:dyDescent="0.2">
      <c r="B47" s="69"/>
      <c r="C47" s="149"/>
      <c r="D47" s="33"/>
      <c r="E47" s="33"/>
      <c r="F47" s="144"/>
      <c r="G47" s="33"/>
      <c r="H47" s="427">
        <f t="shared" ref="H47:N47" si="18">SUM(H42:H46)</f>
        <v>0</v>
      </c>
      <c r="I47" s="427">
        <f t="shared" si="18"/>
        <v>0</v>
      </c>
      <c r="J47" s="427">
        <f t="shared" si="18"/>
        <v>0</v>
      </c>
      <c r="K47" s="427">
        <f t="shared" si="18"/>
        <v>0</v>
      </c>
      <c r="L47" s="427">
        <f t="shared" si="18"/>
        <v>0</v>
      </c>
      <c r="M47" s="427">
        <f t="shared" si="18"/>
        <v>0</v>
      </c>
      <c r="N47" s="427">
        <f t="shared" si="18"/>
        <v>0</v>
      </c>
      <c r="O47" s="149"/>
      <c r="P47" s="70"/>
    </row>
    <row r="48" spans="2:16" x14ac:dyDescent="0.2">
      <c r="B48" s="69"/>
      <c r="C48" s="74"/>
      <c r="D48" s="38"/>
      <c r="E48" s="38"/>
      <c r="F48" s="39"/>
      <c r="G48" s="38"/>
      <c r="H48" s="924"/>
      <c r="I48" s="924"/>
      <c r="J48" s="924"/>
      <c r="K48" s="924"/>
      <c r="L48" s="924"/>
      <c r="M48" s="924"/>
      <c r="N48" s="924"/>
      <c r="O48" s="74"/>
      <c r="P48" s="70"/>
    </row>
    <row r="49" spans="2:16" x14ac:dyDescent="0.2">
      <c r="B49" s="69"/>
      <c r="C49" s="928"/>
      <c r="D49" s="925"/>
      <c r="E49" s="925"/>
      <c r="F49" s="926"/>
      <c r="G49" s="925"/>
      <c r="H49" s="927"/>
      <c r="I49" s="927"/>
      <c r="J49" s="927"/>
      <c r="K49" s="927"/>
      <c r="L49" s="927"/>
      <c r="M49" s="927"/>
      <c r="N49" s="927"/>
      <c r="O49" s="929"/>
      <c r="P49" s="70"/>
    </row>
    <row r="50" spans="2:16" x14ac:dyDescent="0.2">
      <c r="B50" s="69"/>
      <c r="C50" s="149"/>
      <c r="D50" s="153"/>
      <c r="E50" s="149"/>
      <c r="F50" s="64"/>
      <c r="G50" s="149"/>
      <c r="H50" s="64"/>
      <c r="I50" s="64"/>
      <c r="J50" s="64"/>
      <c r="K50" s="64"/>
      <c r="L50" s="64"/>
      <c r="M50" s="64"/>
      <c r="N50" s="64"/>
      <c r="O50" s="149"/>
      <c r="P50" s="70"/>
    </row>
    <row r="51" spans="2:16" x14ac:dyDescent="0.2">
      <c r="B51" s="69"/>
      <c r="C51" s="149"/>
      <c r="D51" s="921" t="str">
        <f>bekost!D155</f>
        <v>programma 3</v>
      </c>
      <c r="E51" s="149"/>
      <c r="F51" s="64"/>
      <c r="G51" s="149"/>
      <c r="H51" s="64"/>
      <c r="I51" s="64"/>
      <c r="J51" s="64"/>
      <c r="K51" s="64"/>
      <c r="L51" s="64"/>
      <c r="M51" s="64"/>
      <c r="N51" s="64"/>
      <c r="O51" s="149"/>
      <c r="P51" s="70"/>
    </row>
    <row r="52" spans="2:16" x14ac:dyDescent="0.2">
      <c r="B52" s="69"/>
      <c r="C52" s="149"/>
      <c r="D52" s="147"/>
      <c r="E52" s="149"/>
      <c r="F52" s="64"/>
      <c r="G52" s="149"/>
      <c r="H52" s="64"/>
      <c r="I52" s="64"/>
      <c r="J52" s="64"/>
      <c r="K52" s="64"/>
      <c r="L52" s="64"/>
      <c r="M52" s="64"/>
      <c r="N52" s="64"/>
      <c r="O52" s="149"/>
      <c r="P52" s="70"/>
    </row>
    <row r="53" spans="2:16" x14ac:dyDescent="0.2">
      <c r="B53" s="69"/>
      <c r="C53" s="149"/>
      <c r="D53" s="153" t="s">
        <v>338</v>
      </c>
      <c r="E53" s="149"/>
      <c r="F53" s="64"/>
      <c r="G53" s="149"/>
      <c r="H53" s="59">
        <f>H13</f>
        <v>2023</v>
      </c>
      <c r="I53" s="59">
        <f t="shared" ref="I53:N53" si="19">I13</f>
        <v>2024</v>
      </c>
      <c r="J53" s="59">
        <f t="shared" si="19"/>
        <v>2025</v>
      </c>
      <c r="K53" s="59">
        <f t="shared" si="19"/>
        <v>2026</v>
      </c>
      <c r="L53" s="59">
        <f t="shared" si="19"/>
        <v>2027</v>
      </c>
      <c r="M53" s="59">
        <f t="shared" si="19"/>
        <v>2028</v>
      </c>
      <c r="N53" s="59" t="str">
        <f t="shared" si="19"/>
        <v>2025/26</v>
      </c>
      <c r="O53" s="149"/>
      <c r="P53" s="70"/>
    </row>
    <row r="54" spans="2:16" x14ac:dyDescent="0.2">
      <c r="B54" s="69"/>
      <c r="C54" s="149"/>
      <c r="D54" s="458"/>
      <c r="E54" s="33"/>
      <c r="F54" s="41"/>
      <c r="G54" s="33"/>
      <c r="H54" s="419">
        <v>0</v>
      </c>
      <c r="I54" s="419">
        <f t="shared" ref="I54:N54" si="20">H54</f>
        <v>0</v>
      </c>
      <c r="J54" s="419">
        <f t="shared" si="20"/>
        <v>0</v>
      </c>
      <c r="K54" s="419">
        <f t="shared" si="20"/>
        <v>0</v>
      </c>
      <c r="L54" s="419">
        <f t="shared" si="20"/>
        <v>0</v>
      </c>
      <c r="M54" s="419">
        <f t="shared" si="20"/>
        <v>0</v>
      </c>
      <c r="N54" s="419">
        <f t="shared" si="20"/>
        <v>0</v>
      </c>
      <c r="O54" s="149"/>
      <c r="P54" s="70"/>
    </row>
    <row r="55" spans="2:16" x14ac:dyDescent="0.2">
      <c r="B55" s="69"/>
      <c r="C55" s="149"/>
      <c r="D55" s="451"/>
      <c r="E55" s="33"/>
      <c r="F55" s="41"/>
      <c r="G55" s="33"/>
      <c r="H55" s="419">
        <v>0</v>
      </c>
      <c r="I55" s="419">
        <f t="shared" ref="I55:N55" si="21">H55</f>
        <v>0</v>
      </c>
      <c r="J55" s="419">
        <f t="shared" si="21"/>
        <v>0</v>
      </c>
      <c r="K55" s="419">
        <f t="shared" si="21"/>
        <v>0</v>
      </c>
      <c r="L55" s="419">
        <f t="shared" si="21"/>
        <v>0</v>
      </c>
      <c r="M55" s="419">
        <f t="shared" si="21"/>
        <v>0</v>
      </c>
      <c r="N55" s="419">
        <f t="shared" si="21"/>
        <v>0</v>
      </c>
      <c r="O55" s="149"/>
      <c r="P55" s="70"/>
    </row>
    <row r="56" spans="2:16" x14ac:dyDescent="0.2">
      <c r="B56" s="69"/>
      <c r="C56" s="149"/>
      <c r="D56" s="451"/>
      <c r="E56" s="33"/>
      <c r="F56" s="41"/>
      <c r="G56" s="33"/>
      <c r="H56" s="419">
        <v>0</v>
      </c>
      <c r="I56" s="419">
        <f t="shared" ref="I56:N56" si="22">H56</f>
        <v>0</v>
      </c>
      <c r="J56" s="419">
        <f t="shared" si="22"/>
        <v>0</v>
      </c>
      <c r="K56" s="419">
        <f t="shared" si="22"/>
        <v>0</v>
      </c>
      <c r="L56" s="419">
        <f t="shared" si="22"/>
        <v>0</v>
      </c>
      <c r="M56" s="419">
        <f t="shared" si="22"/>
        <v>0</v>
      </c>
      <c r="N56" s="419">
        <f t="shared" si="22"/>
        <v>0</v>
      </c>
      <c r="O56" s="149"/>
      <c r="P56" s="70"/>
    </row>
    <row r="57" spans="2:16" x14ac:dyDescent="0.2">
      <c r="B57" s="69"/>
      <c r="C57" s="149"/>
      <c r="D57" s="451"/>
      <c r="E57" s="33"/>
      <c r="F57" s="41"/>
      <c r="G57" s="33"/>
      <c r="H57" s="419">
        <v>0</v>
      </c>
      <c r="I57" s="419">
        <f t="shared" ref="I57:N57" si="23">H57</f>
        <v>0</v>
      </c>
      <c r="J57" s="419">
        <f t="shared" si="23"/>
        <v>0</v>
      </c>
      <c r="K57" s="419">
        <f t="shared" si="23"/>
        <v>0</v>
      </c>
      <c r="L57" s="419">
        <f t="shared" si="23"/>
        <v>0</v>
      </c>
      <c r="M57" s="419">
        <f t="shared" si="23"/>
        <v>0</v>
      </c>
      <c r="N57" s="419">
        <f t="shared" si="23"/>
        <v>0</v>
      </c>
      <c r="O57" s="173"/>
      <c r="P57" s="70"/>
    </row>
    <row r="58" spans="2:16" x14ac:dyDescent="0.2">
      <c r="B58" s="69"/>
      <c r="C58" s="149"/>
      <c r="D58" s="451"/>
      <c r="E58" s="33"/>
      <c r="F58" s="41"/>
      <c r="G58" s="33"/>
      <c r="H58" s="419">
        <v>0</v>
      </c>
      <c r="I58" s="419">
        <f t="shared" ref="I58:N58" si="24">H58</f>
        <v>0</v>
      </c>
      <c r="J58" s="419">
        <f t="shared" si="24"/>
        <v>0</v>
      </c>
      <c r="K58" s="419">
        <f t="shared" si="24"/>
        <v>0</v>
      </c>
      <c r="L58" s="419">
        <f t="shared" si="24"/>
        <v>0</v>
      </c>
      <c r="M58" s="419">
        <f t="shared" si="24"/>
        <v>0</v>
      </c>
      <c r="N58" s="419">
        <f t="shared" si="24"/>
        <v>0</v>
      </c>
      <c r="O58" s="173"/>
      <c r="P58" s="70"/>
    </row>
    <row r="59" spans="2:16" x14ac:dyDescent="0.2">
      <c r="B59" s="69"/>
      <c r="C59" s="149"/>
      <c r="D59" s="33"/>
      <c r="E59" s="33"/>
      <c r="F59" s="144"/>
      <c r="G59" s="33"/>
      <c r="H59" s="427">
        <f t="shared" ref="H59:M59" si="25">SUM(H54:H58)</f>
        <v>0</v>
      </c>
      <c r="I59" s="427">
        <f t="shared" si="25"/>
        <v>0</v>
      </c>
      <c r="J59" s="427">
        <f t="shared" si="25"/>
        <v>0</v>
      </c>
      <c r="K59" s="427">
        <f t="shared" si="25"/>
        <v>0</v>
      </c>
      <c r="L59" s="427">
        <f t="shared" si="25"/>
        <v>0</v>
      </c>
      <c r="M59" s="427">
        <f t="shared" si="25"/>
        <v>0</v>
      </c>
      <c r="N59" s="427">
        <f>SUM(N54:N58)</f>
        <v>0</v>
      </c>
      <c r="O59" s="149"/>
      <c r="P59" s="70"/>
    </row>
    <row r="60" spans="2:16" x14ac:dyDescent="0.2">
      <c r="B60" s="69"/>
      <c r="C60" s="149"/>
      <c r="D60" s="33"/>
      <c r="E60" s="33"/>
      <c r="F60" s="144"/>
      <c r="G60" s="33"/>
      <c r="H60" s="922"/>
      <c r="I60" s="922"/>
      <c r="J60" s="922"/>
      <c r="K60" s="922"/>
      <c r="L60" s="922"/>
      <c r="M60" s="922"/>
      <c r="N60" s="922"/>
      <c r="O60" s="149"/>
      <c r="P60" s="70"/>
    </row>
    <row r="61" spans="2:16" x14ac:dyDescent="0.2">
      <c r="B61" s="69"/>
      <c r="C61" s="149"/>
      <c r="D61" s="153" t="s">
        <v>339</v>
      </c>
      <c r="E61" s="33"/>
      <c r="F61" s="144"/>
      <c r="G61" s="33"/>
      <c r="H61" s="923">
        <f>H21</f>
        <v>2023</v>
      </c>
      <c r="I61" s="923">
        <f t="shared" ref="I61:N61" si="26">I21</f>
        <v>2024</v>
      </c>
      <c r="J61" s="923">
        <f t="shared" si="26"/>
        <v>2025</v>
      </c>
      <c r="K61" s="923">
        <f t="shared" si="26"/>
        <v>2026</v>
      </c>
      <c r="L61" s="923">
        <f t="shared" si="26"/>
        <v>2027</v>
      </c>
      <c r="M61" s="923">
        <f t="shared" si="26"/>
        <v>2028</v>
      </c>
      <c r="N61" s="923" t="str">
        <f t="shared" si="26"/>
        <v>2025/26</v>
      </c>
      <c r="O61" s="149"/>
      <c r="P61" s="70"/>
    </row>
    <row r="62" spans="2:16" x14ac:dyDescent="0.2">
      <c r="B62" s="69"/>
      <c r="C62" s="149"/>
      <c r="D62" s="458"/>
      <c r="E62" s="33"/>
      <c r="F62" s="41"/>
      <c r="G62" s="33"/>
      <c r="H62" s="946">
        <v>0</v>
      </c>
      <c r="I62" s="946">
        <f t="shared" ref="I62:N62" si="27">H62</f>
        <v>0</v>
      </c>
      <c r="J62" s="946">
        <f t="shared" si="27"/>
        <v>0</v>
      </c>
      <c r="K62" s="946">
        <f t="shared" si="27"/>
        <v>0</v>
      </c>
      <c r="L62" s="946">
        <f t="shared" si="27"/>
        <v>0</v>
      </c>
      <c r="M62" s="946">
        <f t="shared" si="27"/>
        <v>0</v>
      </c>
      <c r="N62" s="946">
        <f t="shared" si="27"/>
        <v>0</v>
      </c>
      <c r="O62" s="149"/>
      <c r="P62" s="70"/>
    </row>
    <row r="63" spans="2:16" x14ac:dyDescent="0.2">
      <c r="B63" s="69"/>
      <c r="C63" s="149"/>
      <c r="D63" s="451"/>
      <c r="E63" s="33"/>
      <c r="F63" s="41"/>
      <c r="G63" s="33"/>
      <c r="H63" s="946">
        <v>0</v>
      </c>
      <c r="I63" s="946">
        <f t="shared" ref="I63:M66" si="28">H63</f>
        <v>0</v>
      </c>
      <c r="J63" s="946">
        <f t="shared" si="28"/>
        <v>0</v>
      </c>
      <c r="K63" s="946">
        <f t="shared" si="28"/>
        <v>0</v>
      </c>
      <c r="L63" s="946">
        <f t="shared" si="28"/>
        <v>0</v>
      </c>
      <c r="M63" s="946">
        <f t="shared" si="28"/>
        <v>0</v>
      </c>
      <c r="N63" s="946">
        <f>M63</f>
        <v>0</v>
      </c>
      <c r="O63" s="149"/>
      <c r="P63" s="70"/>
    </row>
    <row r="64" spans="2:16" x14ac:dyDescent="0.2">
      <c r="B64" s="69"/>
      <c r="C64" s="149"/>
      <c r="D64" s="451"/>
      <c r="E64" s="33"/>
      <c r="F64" s="41"/>
      <c r="G64" s="33"/>
      <c r="H64" s="946">
        <v>0</v>
      </c>
      <c r="I64" s="946">
        <f t="shared" si="28"/>
        <v>0</v>
      </c>
      <c r="J64" s="946">
        <f t="shared" si="28"/>
        <v>0</v>
      </c>
      <c r="K64" s="946">
        <f t="shared" si="28"/>
        <v>0</v>
      </c>
      <c r="L64" s="946">
        <f t="shared" si="28"/>
        <v>0</v>
      </c>
      <c r="M64" s="946">
        <f t="shared" si="28"/>
        <v>0</v>
      </c>
      <c r="N64" s="946">
        <f>M64</f>
        <v>0</v>
      </c>
      <c r="O64" s="149"/>
      <c r="P64" s="70"/>
    </row>
    <row r="65" spans="2:16" x14ac:dyDescent="0.2">
      <c r="B65" s="69"/>
      <c r="C65" s="149"/>
      <c r="D65" s="451"/>
      <c r="E65" s="33"/>
      <c r="F65" s="41"/>
      <c r="G65" s="33"/>
      <c r="H65" s="946">
        <v>0</v>
      </c>
      <c r="I65" s="946">
        <f t="shared" si="28"/>
        <v>0</v>
      </c>
      <c r="J65" s="946">
        <f t="shared" si="28"/>
        <v>0</v>
      </c>
      <c r="K65" s="946">
        <f t="shared" si="28"/>
        <v>0</v>
      </c>
      <c r="L65" s="946">
        <f t="shared" si="28"/>
        <v>0</v>
      </c>
      <c r="M65" s="946">
        <f t="shared" si="28"/>
        <v>0</v>
      </c>
      <c r="N65" s="946">
        <f>M65</f>
        <v>0</v>
      </c>
      <c r="O65" s="149"/>
      <c r="P65" s="70"/>
    </row>
    <row r="66" spans="2:16" x14ac:dyDescent="0.2">
      <c r="B66" s="69"/>
      <c r="C66" s="149"/>
      <c r="D66" s="451"/>
      <c r="E66" s="33"/>
      <c r="F66" s="41"/>
      <c r="G66" s="33"/>
      <c r="H66" s="946">
        <v>0</v>
      </c>
      <c r="I66" s="946">
        <f t="shared" si="28"/>
        <v>0</v>
      </c>
      <c r="J66" s="946">
        <f t="shared" si="28"/>
        <v>0</v>
      </c>
      <c r="K66" s="946">
        <f t="shared" si="28"/>
        <v>0</v>
      </c>
      <c r="L66" s="946">
        <f t="shared" si="28"/>
        <v>0</v>
      </c>
      <c r="M66" s="946">
        <f t="shared" si="28"/>
        <v>0</v>
      </c>
      <c r="N66" s="946">
        <f>M66</f>
        <v>0</v>
      </c>
      <c r="O66" s="149"/>
      <c r="P66" s="70"/>
    </row>
    <row r="67" spans="2:16" x14ac:dyDescent="0.2">
      <c r="B67" s="69"/>
      <c r="C67" s="149"/>
      <c r="D67" s="33"/>
      <c r="E67" s="33"/>
      <c r="F67" s="144"/>
      <c r="G67" s="33"/>
      <c r="H67" s="427">
        <f t="shared" ref="H67:N67" si="29">SUM(H62:H66)</f>
        <v>0</v>
      </c>
      <c r="I67" s="427">
        <f t="shared" si="29"/>
        <v>0</v>
      </c>
      <c r="J67" s="427">
        <f t="shared" si="29"/>
        <v>0</v>
      </c>
      <c r="K67" s="427">
        <f t="shared" si="29"/>
        <v>0</v>
      </c>
      <c r="L67" s="427">
        <f t="shared" si="29"/>
        <v>0</v>
      </c>
      <c r="M67" s="427">
        <f t="shared" si="29"/>
        <v>0</v>
      </c>
      <c r="N67" s="427">
        <f t="shared" si="29"/>
        <v>0</v>
      </c>
      <c r="O67" s="149"/>
      <c r="P67" s="70"/>
    </row>
    <row r="68" spans="2:16" x14ac:dyDescent="0.2">
      <c r="B68" s="69"/>
      <c r="C68" s="74"/>
      <c r="D68" s="38"/>
      <c r="E68" s="38"/>
      <c r="F68" s="39"/>
      <c r="G68" s="38"/>
      <c r="H68" s="924"/>
      <c r="I68" s="924"/>
      <c r="J68" s="924"/>
      <c r="K68" s="924"/>
      <c r="L68" s="924"/>
      <c r="M68" s="924"/>
      <c r="N68" s="924"/>
      <c r="O68" s="74"/>
      <c r="P68" s="70"/>
    </row>
    <row r="69" spans="2:16" x14ac:dyDescent="0.2">
      <c r="B69" s="69"/>
      <c r="C69" s="928"/>
      <c r="D69" s="925"/>
      <c r="E69" s="925"/>
      <c r="F69" s="926"/>
      <c r="G69" s="925"/>
      <c r="H69" s="927"/>
      <c r="I69" s="927"/>
      <c r="J69" s="927"/>
      <c r="K69" s="927"/>
      <c r="L69" s="927"/>
      <c r="M69" s="927"/>
      <c r="N69" s="927"/>
      <c r="O69" s="929"/>
      <c r="P69" s="70"/>
    </row>
    <row r="70" spans="2:16" x14ac:dyDescent="0.2">
      <c r="B70" s="69"/>
      <c r="C70" s="149"/>
      <c r="D70" s="153"/>
      <c r="E70" s="149"/>
      <c r="F70" s="64"/>
      <c r="G70" s="149"/>
      <c r="H70" s="64"/>
      <c r="I70" s="64"/>
      <c r="J70" s="64"/>
      <c r="K70" s="64"/>
      <c r="L70" s="64"/>
      <c r="M70" s="64"/>
      <c r="N70" s="64"/>
      <c r="O70" s="149"/>
      <c r="P70" s="70"/>
    </row>
    <row r="71" spans="2:16" x14ac:dyDescent="0.2">
      <c r="B71" s="69"/>
      <c r="C71" s="149"/>
      <c r="D71" s="921" t="str">
        <f>bekost!D156</f>
        <v>programma 4</v>
      </c>
      <c r="E71" s="149"/>
      <c r="F71" s="64"/>
      <c r="G71" s="149"/>
      <c r="H71" s="64"/>
      <c r="I71" s="64"/>
      <c r="J71" s="64"/>
      <c r="K71" s="64"/>
      <c r="L71" s="64"/>
      <c r="M71" s="64"/>
      <c r="N71" s="64"/>
      <c r="O71" s="149"/>
      <c r="P71" s="70"/>
    </row>
    <row r="72" spans="2:16" x14ac:dyDescent="0.2">
      <c r="B72" s="69"/>
      <c r="C72" s="149"/>
      <c r="D72" s="147"/>
      <c r="E72" s="149"/>
      <c r="F72" s="64"/>
      <c r="G72" s="149"/>
      <c r="H72" s="64"/>
      <c r="I72" s="64"/>
      <c r="J72" s="64"/>
      <c r="K72" s="64"/>
      <c r="L72" s="64"/>
      <c r="M72" s="64"/>
      <c r="N72" s="64"/>
      <c r="O72" s="149"/>
      <c r="P72" s="70"/>
    </row>
    <row r="73" spans="2:16" x14ac:dyDescent="0.2">
      <c r="B73" s="69"/>
      <c r="C73" s="149"/>
      <c r="D73" s="153" t="s">
        <v>338</v>
      </c>
      <c r="E73" s="149"/>
      <c r="F73" s="64"/>
      <c r="G73" s="149"/>
      <c r="H73" s="59">
        <f>H13</f>
        <v>2023</v>
      </c>
      <c r="I73" s="59">
        <f t="shared" ref="I73:N73" si="30">I13</f>
        <v>2024</v>
      </c>
      <c r="J73" s="59">
        <f t="shared" si="30"/>
        <v>2025</v>
      </c>
      <c r="K73" s="59">
        <f t="shared" si="30"/>
        <v>2026</v>
      </c>
      <c r="L73" s="59">
        <f t="shared" si="30"/>
        <v>2027</v>
      </c>
      <c r="M73" s="59">
        <f t="shared" si="30"/>
        <v>2028</v>
      </c>
      <c r="N73" s="59" t="str">
        <f t="shared" si="30"/>
        <v>2025/26</v>
      </c>
      <c r="O73" s="149"/>
      <c r="P73" s="70"/>
    </row>
    <row r="74" spans="2:16" x14ac:dyDescent="0.2">
      <c r="B74" s="69"/>
      <c r="C74" s="149"/>
      <c r="D74" s="458"/>
      <c r="E74" s="33"/>
      <c r="F74" s="41"/>
      <c r="G74" s="33"/>
      <c r="H74" s="419">
        <v>0</v>
      </c>
      <c r="I74" s="419">
        <f t="shared" ref="I74:N74" si="31">H74</f>
        <v>0</v>
      </c>
      <c r="J74" s="419">
        <f t="shared" si="31"/>
        <v>0</v>
      </c>
      <c r="K74" s="419">
        <f t="shared" si="31"/>
        <v>0</v>
      </c>
      <c r="L74" s="419">
        <f t="shared" si="31"/>
        <v>0</v>
      </c>
      <c r="M74" s="419">
        <f t="shared" si="31"/>
        <v>0</v>
      </c>
      <c r="N74" s="419">
        <f t="shared" si="31"/>
        <v>0</v>
      </c>
      <c r="O74" s="149"/>
      <c r="P74" s="70"/>
    </row>
    <row r="75" spans="2:16" x14ac:dyDescent="0.2">
      <c r="B75" s="69"/>
      <c r="C75" s="149"/>
      <c r="D75" s="451"/>
      <c r="E75" s="33"/>
      <c r="F75" s="41"/>
      <c r="G75" s="33"/>
      <c r="H75" s="419">
        <v>0</v>
      </c>
      <c r="I75" s="419">
        <f t="shared" ref="I75:N75" si="32">H75</f>
        <v>0</v>
      </c>
      <c r="J75" s="419">
        <f t="shared" si="32"/>
        <v>0</v>
      </c>
      <c r="K75" s="419">
        <f t="shared" si="32"/>
        <v>0</v>
      </c>
      <c r="L75" s="419">
        <f t="shared" si="32"/>
        <v>0</v>
      </c>
      <c r="M75" s="419">
        <f t="shared" si="32"/>
        <v>0</v>
      </c>
      <c r="N75" s="419">
        <f t="shared" si="32"/>
        <v>0</v>
      </c>
      <c r="O75" s="149"/>
      <c r="P75" s="70"/>
    </row>
    <row r="76" spans="2:16" x14ac:dyDescent="0.2">
      <c r="B76" s="69"/>
      <c r="C76" s="149"/>
      <c r="D76" s="451"/>
      <c r="E76" s="33"/>
      <c r="F76" s="41"/>
      <c r="G76" s="33"/>
      <c r="H76" s="419">
        <v>0</v>
      </c>
      <c r="I76" s="419">
        <f t="shared" ref="I76:N76" si="33">H76</f>
        <v>0</v>
      </c>
      <c r="J76" s="419">
        <f t="shared" si="33"/>
        <v>0</v>
      </c>
      <c r="K76" s="419">
        <f t="shared" si="33"/>
        <v>0</v>
      </c>
      <c r="L76" s="419">
        <f t="shared" si="33"/>
        <v>0</v>
      </c>
      <c r="M76" s="419">
        <f t="shared" si="33"/>
        <v>0</v>
      </c>
      <c r="N76" s="419">
        <f t="shared" si="33"/>
        <v>0</v>
      </c>
      <c r="O76" s="149"/>
      <c r="P76" s="70"/>
    </row>
    <row r="77" spans="2:16" x14ac:dyDescent="0.2">
      <c r="B77" s="69"/>
      <c r="C77" s="149"/>
      <c r="D77" s="451"/>
      <c r="E77" s="33"/>
      <c r="F77" s="41"/>
      <c r="G77" s="33"/>
      <c r="H77" s="419">
        <v>0</v>
      </c>
      <c r="I77" s="419">
        <f t="shared" ref="I77:N77" si="34">H77</f>
        <v>0</v>
      </c>
      <c r="J77" s="419">
        <f t="shared" si="34"/>
        <v>0</v>
      </c>
      <c r="K77" s="419">
        <f t="shared" si="34"/>
        <v>0</v>
      </c>
      <c r="L77" s="419">
        <f t="shared" si="34"/>
        <v>0</v>
      </c>
      <c r="M77" s="419">
        <f t="shared" si="34"/>
        <v>0</v>
      </c>
      <c r="N77" s="419">
        <f t="shared" si="34"/>
        <v>0</v>
      </c>
      <c r="O77" s="173"/>
      <c r="P77" s="70"/>
    </row>
    <row r="78" spans="2:16" x14ac:dyDescent="0.2">
      <c r="B78" s="69"/>
      <c r="C78" s="149"/>
      <c r="D78" s="451"/>
      <c r="E78" s="33"/>
      <c r="F78" s="41"/>
      <c r="G78" s="33"/>
      <c r="H78" s="419">
        <v>0</v>
      </c>
      <c r="I78" s="419">
        <f t="shared" ref="I78:N78" si="35">H78</f>
        <v>0</v>
      </c>
      <c r="J78" s="419">
        <f t="shared" si="35"/>
        <v>0</v>
      </c>
      <c r="K78" s="419">
        <f t="shared" si="35"/>
        <v>0</v>
      </c>
      <c r="L78" s="419">
        <f t="shared" si="35"/>
        <v>0</v>
      </c>
      <c r="M78" s="419">
        <f t="shared" si="35"/>
        <v>0</v>
      </c>
      <c r="N78" s="419">
        <f t="shared" si="35"/>
        <v>0</v>
      </c>
      <c r="O78" s="173"/>
      <c r="P78" s="70"/>
    </row>
    <row r="79" spans="2:16" x14ac:dyDescent="0.2">
      <c r="B79" s="69"/>
      <c r="C79" s="149"/>
      <c r="D79" s="33"/>
      <c r="E79" s="33"/>
      <c r="F79" s="144"/>
      <c r="G79" s="33"/>
      <c r="H79" s="427">
        <f t="shared" ref="H79:M79" si="36">SUM(H74:H78)</f>
        <v>0</v>
      </c>
      <c r="I79" s="427">
        <f t="shared" si="36"/>
        <v>0</v>
      </c>
      <c r="J79" s="427">
        <f t="shared" si="36"/>
        <v>0</v>
      </c>
      <c r="K79" s="427">
        <f t="shared" si="36"/>
        <v>0</v>
      </c>
      <c r="L79" s="427">
        <f t="shared" si="36"/>
        <v>0</v>
      </c>
      <c r="M79" s="427">
        <f t="shared" si="36"/>
        <v>0</v>
      </c>
      <c r="N79" s="427">
        <f>SUM(N74:N78)</f>
        <v>0</v>
      </c>
      <c r="O79" s="149"/>
      <c r="P79" s="70"/>
    </row>
    <row r="80" spans="2:16" x14ac:dyDescent="0.2">
      <c r="B80" s="69"/>
      <c r="C80" s="149"/>
      <c r="D80" s="33"/>
      <c r="E80" s="33"/>
      <c r="F80" s="144"/>
      <c r="G80" s="33"/>
      <c r="H80" s="922"/>
      <c r="I80" s="922"/>
      <c r="J80" s="922"/>
      <c r="K80" s="922"/>
      <c r="L80" s="922"/>
      <c r="M80" s="922"/>
      <c r="N80" s="922"/>
      <c r="O80" s="149"/>
      <c r="P80" s="70"/>
    </row>
    <row r="81" spans="2:16" x14ac:dyDescent="0.2">
      <c r="B81" s="69"/>
      <c r="C81" s="149"/>
      <c r="D81" s="153" t="s">
        <v>339</v>
      </c>
      <c r="E81" s="33"/>
      <c r="F81" s="144"/>
      <c r="G81" s="33"/>
      <c r="H81" s="923">
        <f>H21</f>
        <v>2023</v>
      </c>
      <c r="I81" s="923">
        <f t="shared" ref="I81:N81" si="37">I21</f>
        <v>2024</v>
      </c>
      <c r="J81" s="923">
        <f t="shared" si="37"/>
        <v>2025</v>
      </c>
      <c r="K81" s="923">
        <f t="shared" si="37"/>
        <v>2026</v>
      </c>
      <c r="L81" s="923">
        <f t="shared" si="37"/>
        <v>2027</v>
      </c>
      <c r="M81" s="923">
        <f t="shared" si="37"/>
        <v>2028</v>
      </c>
      <c r="N81" s="923" t="str">
        <f t="shared" si="37"/>
        <v>2025/26</v>
      </c>
      <c r="O81" s="149"/>
      <c r="P81" s="70"/>
    </row>
    <row r="82" spans="2:16" x14ac:dyDescent="0.2">
      <c r="B82" s="69"/>
      <c r="C82" s="149"/>
      <c r="D82" s="458"/>
      <c r="E82" s="33"/>
      <c r="F82" s="41"/>
      <c r="G82" s="33"/>
      <c r="H82" s="946">
        <v>0</v>
      </c>
      <c r="I82" s="946">
        <f t="shared" ref="I82:N82" si="38">H82</f>
        <v>0</v>
      </c>
      <c r="J82" s="946">
        <f t="shared" si="38"/>
        <v>0</v>
      </c>
      <c r="K82" s="946">
        <f t="shared" si="38"/>
        <v>0</v>
      </c>
      <c r="L82" s="946">
        <f t="shared" si="38"/>
        <v>0</v>
      </c>
      <c r="M82" s="946">
        <f t="shared" si="38"/>
        <v>0</v>
      </c>
      <c r="N82" s="946">
        <f t="shared" si="38"/>
        <v>0</v>
      </c>
      <c r="O82" s="149"/>
      <c r="P82" s="70"/>
    </row>
    <row r="83" spans="2:16" x14ac:dyDescent="0.2">
      <c r="B83" s="69"/>
      <c r="C83" s="149"/>
      <c r="D83" s="451"/>
      <c r="E83" s="33"/>
      <c r="F83" s="41"/>
      <c r="G83" s="33"/>
      <c r="H83" s="946">
        <v>0</v>
      </c>
      <c r="I83" s="946">
        <f t="shared" ref="I83:M86" si="39">H83</f>
        <v>0</v>
      </c>
      <c r="J83" s="946">
        <f t="shared" si="39"/>
        <v>0</v>
      </c>
      <c r="K83" s="946">
        <f t="shared" si="39"/>
        <v>0</v>
      </c>
      <c r="L83" s="946">
        <f t="shared" si="39"/>
        <v>0</v>
      </c>
      <c r="M83" s="946">
        <f t="shared" si="39"/>
        <v>0</v>
      </c>
      <c r="N83" s="946">
        <f>M83</f>
        <v>0</v>
      </c>
      <c r="O83" s="149"/>
      <c r="P83" s="70"/>
    </row>
    <row r="84" spans="2:16" x14ac:dyDescent="0.2">
      <c r="B84" s="69"/>
      <c r="C84" s="149"/>
      <c r="D84" s="451"/>
      <c r="E84" s="33"/>
      <c r="F84" s="41"/>
      <c r="G84" s="33"/>
      <c r="H84" s="946">
        <v>0</v>
      </c>
      <c r="I84" s="946">
        <f t="shared" si="39"/>
        <v>0</v>
      </c>
      <c r="J84" s="946">
        <f t="shared" si="39"/>
        <v>0</v>
      </c>
      <c r="K84" s="946">
        <f t="shared" si="39"/>
        <v>0</v>
      </c>
      <c r="L84" s="946">
        <f t="shared" si="39"/>
        <v>0</v>
      </c>
      <c r="M84" s="946">
        <f t="shared" si="39"/>
        <v>0</v>
      </c>
      <c r="N84" s="946">
        <f>M84</f>
        <v>0</v>
      </c>
      <c r="O84" s="149"/>
      <c r="P84" s="70"/>
    </row>
    <row r="85" spans="2:16" x14ac:dyDescent="0.2">
      <c r="B85" s="69"/>
      <c r="C85" s="149"/>
      <c r="D85" s="451"/>
      <c r="E85" s="33"/>
      <c r="F85" s="41"/>
      <c r="G85" s="33"/>
      <c r="H85" s="946">
        <v>0</v>
      </c>
      <c r="I85" s="946">
        <f t="shared" si="39"/>
        <v>0</v>
      </c>
      <c r="J85" s="946">
        <f t="shared" si="39"/>
        <v>0</v>
      </c>
      <c r="K85" s="946">
        <f t="shared" si="39"/>
        <v>0</v>
      </c>
      <c r="L85" s="946">
        <f t="shared" si="39"/>
        <v>0</v>
      </c>
      <c r="M85" s="946">
        <f t="shared" si="39"/>
        <v>0</v>
      </c>
      <c r="N85" s="946">
        <f>M85</f>
        <v>0</v>
      </c>
      <c r="O85" s="149"/>
      <c r="P85" s="70"/>
    </row>
    <row r="86" spans="2:16" x14ac:dyDescent="0.2">
      <c r="B86" s="69"/>
      <c r="C86" s="149"/>
      <c r="D86" s="451"/>
      <c r="E86" s="33"/>
      <c r="F86" s="41"/>
      <c r="G86" s="33"/>
      <c r="H86" s="946">
        <v>0</v>
      </c>
      <c r="I86" s="946">
        <f t="shared" si="39"/>
        <v>0</v>
      </c>
      <c r="J86" s="946">
        <f t="shared" si="39"/>
        <v>0</v>
      </c>
      <c r="K86" s="946">
        <f t="shared" si="39"/>
        <v>0</v>
      </c>
      <c r="L86" s="946">
        <f t="shared" si="39"/>
        <v>0</v>
      </c>
      <c r="M86" s="946">
        <f t="shared" si="39"/>
        <v>0</v>
      </c>
      <c r="N86" s="946">
        <f>M86</f>
        <v>0</v>
      </c>
      <c r="O86" s="149"/>
      <c r="P86" s="70"/>
    </row>
    <row r="87" spans="2:16" x14ac:dyDescent="0.2">
      <c r="B87" s="69"/>
      <c r="C87" s="149"/>
      <c r="D87" s="33"/>
      <c r="E87" s="33"/>
      <c r="F87" s="144"/>
      <c r="G87" s="33"/>
      <c r="H87" s="427">
        <f t="shared" ref="H87:N87" si="40">SUM(H82:H86)</f>
        <v>0</v>
      </c>
      <c r="I87" s="427">
        <f t="shared" si="40"/>
        <v>0</v>
      </c>
      <c r="J87" s="427">
        <f t="shared" si="40"/>
        <v>0</v>
      </c>
      <c r="K87" s="427">
        <f t="shared" si="40"/>
        <v>0</v>
      </c>
      <c r="L87" s="427">
        <f t="shared" si="40"/>
        <v>0</v>
      </c>
      <c r="M87" s="427">
        <f t="shared" si="40"/>
        <v>0</v>
      </c>
      <c r="N87" s="427">
        <f t="shared" si="40"/>
        <v>0</v>
      </c>
      <c r="O87" s="149"/>
      <c r="P87" s="70"/>
    </row>
    <row r="88" spans="2:16" x14ac:dyDescent="0.2">
      <c r="B88" s="69"/>
      <c r="C88" s="74"/>
      <c r="D88" s="38"/>
      <c r="E88" s="38"/>
      <c r="F88" s="39"/>
      <c r="G88" s="38"/>
      <c r="H88" s="924"/>
      <c r="I88" s="924"/>
      <c r="J88" s="924"/>
      <c r="K88" s="924"/>
      <c r="L88" s="924"/>
      <c r="M88" s="924"/>
      <c r="N88" s="924"/>
      <c r="O88" s="74"/>
      <c r="P88" s="70"/>
    </row>
    <row r="89" spans="2:16" x14ac:dyDescent="0.2">
      <c r="B89" s="69"/>
      <c r="C89" s="928"/>
      <c r="D89" s="925"/>
      <c r="E89" s="925"/>
      <c r="F89" s="926"/>
      <c r="G89" s="925"/>
      <c r="H89" s="927"/>
      <c r="I89" s="927"/>
      <c r="J89" s="927"/>
      <c r="K89" s="927"/>
      <c r="L89" s="927"/>
      <c r="M89" s="927"/>
      <c r="N89" s="927"/>
      <c r="O89" s="929"/>
      <c r="P89" s="70"/>
    </row>
    <row r="90" spans="2:16" x14ac:dyDescent="0.2">
      <c r="B90" s="69"/>
      <c r="C90" s="149"/>
      <c r="D90" s="153"/>
      <c r="E90" s="149"/>
      <c r="F90" s="64"/>
      <c r="G90" s="149"/>
      <c r="H90" s="64"/>
      <c r="I90" s="64"/>
      <c r="J90" s="64"/>
      <c r="K90" s="64"/>
      <c r="L90" s="64"/>
      <c r="M90" s="64"/>
      <c r="N90" s="64"/>
      <c r="O90" s="149"/>
      <c r="P90" s="70"/>
    </row>
    <row r="91" spans="2:16" x14ac:dyDescent="0.2">
      <c r="B91" s="69"/>
      <c r="C91" s="149"/>
      <c r="D91" s="921" t="str">
        <f>bekost!D157</f>
        <v>programma 5</v>
      </c>
      <c r="E91" s="149"/>
      <c r="F91" s="64"/>
      <c r="G91" s="149"/>
      <c r="H91" s="64"/>
      <c r="I91" s="64"/>
      <c r="J91" s="64"/>
      <c r="K91" s="64"/>
      <c r="L91" s="64"/>
      <c r="M91" s="64"/>
      <c r="N91" s="64"/>
      <c r="O91" s="149"/>
      <c r="P91" s="70"/>
    </row>
    <row r="92" spans="2:16" x14ac:dyDescent="0.2">
      <c r="B92" s="69"/>
      <c r="C92" s="149"/>
      <c r="D92" s="147"/>
      <c r="E92" s="149"/>
      <c r="F92" s="64"/>
      <c r="G92" s="149"/>
      <c r="H92" s="64"/>
      <c r="I92" s="64"/>
      <c r="J92" s="64"/>
      <c r="K92" s="64"/>
      <c r="L92" s="64"/>
      <c r="M92" s="64"/>
      <c r="N92" s="64"/>
      <c r="O92" s="149"/>
      <c r="P92" s="70"/>
    </row>
    <row r="93" spans="2:16" x14ac:dyDescent="0.2">
      <c r="B93" s="69"/>
      <c r="C93" s="149"/>
      <c r="D93" s="153" t="s">
        <v>338</v>
      </c>
      <c r="E93" s="149"/>
      <c r="F93" s="64"/>
      <c r="G93" s="149"/>
      <c r="H93" s="59">
        <f>H13</f>
        <v>2023</v>
      </c>
      <c r="I93" s="59">
        <f t="shared" ref="I93:N93" si="41">I13</f>
        <v>2024</v>
      </c>
      <c r="J93" s="59">
        <f t="shared" si="41"/>
        <v>2025</v>
      </c>
      <c r="K93" s="59">
        <f t="shared" si="41"/>
        <v>2026</v>
      </c>
      <c r="L93" s="59">
        <f t="shared" si="41"/>
        <v>2027</v>
      </c>
      <c r="M93" s="59">
        <f t="shared" si="41"/>
        <v>2028</v>
      </c>
      <c r="N93" s="59" t="str">
        <f t="shared" si="41"/>
        <v>2025/26</v>
      </c>
      <c r="O93" s="149"/>
      <c r="P93" s="70"/>
    </row>
    <row r="94" spans="2:16" x14ac:dyDescent="0.2">
      <c r="B94" s="69"/>
      <c r="C94" s="149"/>
      <c r="D94" s="458"/>
      <c r="E94" s="33"/>
      <c r="F94" s="41"/>
      <c r="G94" s="33"/>
      <c r="H94" s="419">
        <v>0</v>
      </c>
      <c r="I94" s="419">
        <f t="shared" ref="I94:N94" si="42">H94</f>
        <v>0</v>
      </c>
      <c r="J94" s="419">
        <f t="shared" si="42"/>
        <v>0</v>
      </c>
      <c r="K94" s="419">
        <f t="shared" si="42"/>
        <v>0</v>
      </c>
      <c r="L94" s="419">
        <f t="shared" si="42"/>
        <v>0</v>
      </c>
      <c r="M94" s="419">
        <f t="shared" si="42"/>
        <v>0</v>
      </c>
      <c r="N94" s="419">
        <f t="shared" si="42"/>
        <v>0</v>
      </c>
      <c r="O94" s="149"/>
      <c r="P94" s="70"/>
    </row>
    <row r="95" spans="2:16" x14ac:dyDescent="0.2">
      <c r="B95" s="69"/>
      <c r="C95" s="149"/>
      <c r="D95" s="451"/>
      <c r="E95" s="33"/>
      <c r="F95" s="41"/>
      <c r="G95" s="33"/>
      <c r="H95" s="419">
        <v>0</v>
      </c>
      <c r="I95" s="419">
        <f t="shared" ref="I95:N95" si="43">H95</f>
        <v>0</v>
      </c>
      <c r="J95" s="419">
        <f t="shared" si="43"/>
        <v>0</v>
      </c>
      <c r="K95" s="419">
        <f t="shared" si="43"/>
        <v>0</v>
      </c>
      <c r="L95" s="419">
        <f t="shared" si="43"/>
        <v>0</v>
      </c>
      <c r="M95" s="419">
        <f t="shared" si="43"/>
        <v>0</v>
      </c>
      <c r="N95" s="419">
        <f t="shared" si="43"/>
        <v>0</v>
      </c>
      <c r="O95" s="149"/>
      <c r="P95" s="70"/>
    </row>
    <row r="96" spans="2:16" x14ac:dyDescent="0.2">
      <c r="B96" s="69"/>
      <c r="C96" s="149"/>
      <c r="D96" s="451"/>
      <c r="E96" s="33"/>
      <c r="F96" s="41"/>
      <c r="G96" s="33"/>
      <c r="H96" s="419">
        <v>0</v>
      </c>
      <c r="I96" s="419">
        <f t="shared" ref="I96:N96" si="44">H96</f>
        <v>0</v>
      </c>
      <c r="J96" s="419">
        <f t="shared" si="44"/>
        <v>0</v>
      </c>
      <c r="K96" s="419">
        <f t="shared" si="44"/>
        <v>0</v>
      </c>
      <c r="L96" s="419">
        <f t="shared" si="44"/>
        <v>0</v>
      </c>
      <c r="M96" s="419">
        <f t="shared" si="44"/>
        <v>0</v>
      </c>
      <c r="N96" s="419">
        <f t="shared" si="44"/>
        <v>0</v>
      </c>
      <c r="O96" s="149"/>
      <c r="P96" s="70"/>
    </row>
    <row r="97" spans="2:16" x14ac:dyDescent="0.2">
      <c r="B97" s="69"/>
      <c r="C97" s="149"/>
      <c r="D97" s="451"/>
      <c r="E97" s="33"/>
      <c r="F97" s="41"/>
      <c r="G97" s="33"/>
      <c r="H97" s="419">
        <v>0</v>
      </c>
      <c r="I97" s="419">
        <f t="shared" ref="I97:N97" si="45">H97</f>
        <v>0</v>
      </c>
      <c r="J97" s="419">
        <f t="shared" si="45"/>
        <v>0</v>
      </c>
      <c r="K97" s="419">
        <f t="shared" si="45"/>
        <v>0</v>
      </c>
      <c r="L97" s="419">
        <f t="shared" si="45"/>
        <v>0</v>
      </c>
      <c r="M97" s="419">
        <f t="shared" si="45"/>
        <v>0</v>
      </c>
      <c r="N97" s="419">
        <f t="shared" si="45"/>
        <v>0</v>
      </c>
      <c r="O97" s="173"/>
      <c r="P97" s="70"/>
    </row>
    <row r="98" spans="2:16" x14ac:dyDescent="0.2">
      <c r="B98" s="69"/>
      <c r="C98" s="149"/>
      <c r="D98" s="451"/>
      <c r="E98" s="33"/>
      <c r="F98" s="41"/>
      <c r="G98" s="33"/>
      <c r="H98" s="419">
        <v>0</v>
      </c>
      <c r="I98" s="419">
        <f t="shared" ref="I98:N98" si="46">H98</f>
        <v>0</v>
      </c>
      <c r="J98" s="419">
        <f t="shared" si="46"/>
        <v>0</v>
      </c>
      <c r="K98" s="419">
        <f t="shared" si="46"/>
        <v>0</v>
      </c>
      <c r="L98" s="419">
        <f t="shared" si="46"/>
        <v>0</v>
      </c>
      <c r="M98" s="419">
        <f t="shared" si="46"/>
        <v>0</v>
      </c>
      <c r="N98" s="419">
        <f t="shared" si="46"/>
        <v>0</v>
      </c>
      <c r="O98" s="173"/>
      <c r="P98" s="70"/>
    </row>
    <row r="99" spans="2:16" x14ac:dyDescent="0.2">
      <c r="B99" s="938"/>
      <c r="C99" s="149"/>
      <c r="D99" s="33"/>
      <c r="E99" s="33"/>
      <c r="F99" s="144"/>
      <c r="G99" s="33"/>
      <c r="H99" s="427">
        <f t="shared" ref="H99:M99" si="47">SUM(H94:H98)</f>
        <v>0</v>
      </c>
      <c r="I99" s="427">
        <f t="shared" si="47"/>
        <v>0</v>
      </c>
      <c r="J99" s="427">
        <f t="shared" si="47"/>
        <v>0</v>
      </c>
      <c r="K99" s="427">
        <f t="shared" si="47"/>
        <v>0</v>
      </c>
      <c r="L99" s="427">
        <f t="shared" si="47"/>
        <v>0</v>
      </c>
      <c r="M99" s="427">
        <f t="shared" si="47"/>
        <v>0</v>
      </c>
      <c r="N99" s="427">
        <f>SUM(N94:N98)</f>
        <v>0</v>
      </c>
      <c r="O99" s="149"/>
      <c r="P99" s="939"/>
    </row>
    <row r="100" spans="2:16" x14ac:dyDescent="0.2">
      <c r="B100" s="938"/>
      <c r="C100" s="149"/>
      <c r="D100" s="33"/>
      <c r="E100" s="33"/>
      <c r="F100" s="144"/>
      <c r="G100" s="33"/>
      <c r="H100" s="922"/>
      <c r="I100" s="922"/>
      <c r="J100" s="922"/>
      <c r="K100" s="922"/>
      <c r="L100" s="922"/>
      <c r="M100" s="922"/>
      <c r="N100" s="922"/>
      <c r="O100" s="149"/>
      <c r="P100" s="939"/>
    </row>
    <row r="101" spans="2:16" x14ac:dyDescent="0.2">
      <c r="B101" s="69"/>
      <c r="C101" s="149"/>
      <c r="D101" s="153" t="s">
        <v>339</v>
      </c>
      <c r="E101" s="33"/>
      <c r="F101" s="144"/>
      <c r="G101" s="33"/>
      <c r="H101" s="923">
        <f>H21</f>
        <v>2023</v>
      </c>
      <c r="I101" s="923">
        <f t="shared" ref="I101:N101" si="48">I21</f>
        <v>2024</v>
      </c>
      <c r="J101" s="923">
        <f t="shared" si="48"/>
        <v>2025</v>
      </c>
      <c r="K101" s="923">
        <f t="shared" si="48"/>
        <v>2026</v>
      </c>
      <c r="L101" s="923">
        <f t="shared" si="48"/>
        <v>2027</v>
      </c>
      <c r="M101" s="923">
        <f t="shared" si="48"/>
        <v>2028</v>
      </c>
      <c r="N101" s="923" t="str">
        <f t="shared" si="48"/>
        <v>2025/26</v>
      </c>
      <c r="O101" s="149"/>
      <c r="P101" s="70"/>
    </row>
    <row r="102" spans="2:16" x14ac:dyDescent="0.2">
      <c r="B102" s="69"/>
      <c r="C102" s="149"/>
      <c r="D102" s="458"/>
      <c r="E102" s="33"/>
      <c r="F102" s="41"/>
      <c r="G102" s="33"/>
      <c r="H102" s="946">
        <v>0</v>
      </c>
      <c r="I102" s="946">
        <f t="shared" ref="I102:N102" si="49">H102</f>
        <v>0</v>
      </c>
      <c r="J102" s="946">
        <f t="shared" si="49"/>
        <v>0</v>
      </c>
      <c r="K102" s="946">
        <f t="shared" si="49"/>
        <v>0</v>
      </c>
      <c r="L102" s="946">
        <f t="shared" si="49"/>
        <v>0</v>
      </c>
      <c r="M102" s="946">
        <f t="shared" si="49"/>
        <v>0</v>
      </c>
      <c r="N102" s="946">
        <f t="shared" si="49"/>
        <v>0</v>
      </c>
      <c r="O102" s="149"/>
      <c r="P102" s="70"/>
    </row>
    <row r="103" spans="2:16" x14ac:dyDescent="0.2">
      <c r="B103" s="69"/>
      <c r="C103" s="149"/>
      <c r="D103" s="451"/>
      <c r="E103" s="33"/>
      <c r="F103" s="41"/>
      <c r="G103" s="33"/>
      <c r="H103" s="946">
        <v>0</v>
      </c>
      <c r="I103" s="946">
        <f t="shared" ref="I103:M106" si="50">H103</f>
        <v>0</v>
      </c>
      <c r="J103" s="946">
        <f t="shared" si="50"/>
        <v>0</v>
      </c>
      <c r="K103" s="946">
        <f t="shared" si="50"/>
        <v>0</v>
      </c>
      <c r="L103" s="946">
        <f t="shared" si="50"/>
        <v>0</v>
      </c>
      <c r="M103" s="946">
        <f t="shared" si="50"/>
        <v>0</v>
      </c>
      <c r="N103" s="946">
        <f>M103</f>
        <v>0</v>
      </c>
      <c r="O103" s="149"/>
      <c r="P103" s="70"/>
    </row>
    <row r="104" spans="2:16" x14ac:dyDescent="0.2">
      <c r="B104" s="69"/>
      <c r="C104" s="149"/>
      <c r="D104" s="451"/>
      <c r="E104" s="33"/>
      <c r="F104" s="41"/>
      <c r="G104" s="33"/>
      <c r="H104" s="946">
        <v>0</v>
      </c>
      <c r="I104" s="946">
        <f t="shared" si="50"/>
        <v>0</v>
      </c>
      <c r="J104" s="946">
        <f t="shared" si="50"/>
        <v>0</v>
      </c>
      <c r="K104" s="946">
        <f t="shared" si="50"/>
        <v>0</v>
      </c>
      <c r="L104" s="946">
        <f t="shared" si="50"/>
        <v>0</v>
      </c>
      <c r="M104" s="946">
        <f t="shared" si="50"/>
        <v>0</v>
      </c>
      <c r="N104" s="946">
        <f>M104</f>
        <v>0</v>
      </c>
      <c r="O104" s="149"/>
      <c r="P104" s="70"/>
    </row>
    <row r="105" spans="2:16" x14ac:dyDescent="0.2">
      <c r="B105" s="69"/>
      <c r="C105" s="149"/>
      <c r="D105" s="451"/>
      <c r="E105" s="33"/>
      <c r="F105" s="41"/>
      <c r="G105" s="33"/>
      <c r="H105" s="946">
        <v>0</v>
      </c>
      <c r="I105" s="946">
        <f t="shared" si="50"/>
        <v>0</v>
      </c>
      <c r="J105" s="946">
        <f t="shared" si="50"/>
        <v>0</v>
      </c>
      <c r="K105" s="946">
        <f t="shared" si="50"/>
        <v>0</v>
      </c>
      <c r="L105" s="946">
        <f t="shared" si="50"/>
        <v>0</v>
      </c>
      <c r="M105" s="946">
        <f t="shared" si="50"/>
        <v>0</v>
      </c>
      <c r="N105" s="946">
        <f>M105</f>
        <v>0</v>
      </c>
      <c r="O105" s="149"/>
      <c r="P105" s="70"/>
    </row>
    <row r="106" spans="2:16" x14ac:dyDescent="0.2">
      <c r="B106" s="69"/>
      <c r="C106" s="149"/>
      <c r="D106" s="451"/>
      <c r="E106" s="33"/>
      <c r="F106" s="41"/>
      <c r="G106" s="33"/>
      <c r="H106" s="946">
        <v>0</v>
      </c>
      <c r="I106" s="946">
        <f t="shared" si="50"/>
        <v>0</v>
      </c>
      <c r="J106" s="946">
        <f t="shared" si="50"/>
        <v>0</v>
      </c>
      <c r="K106" s="946">
        <f t="shared" si="50"/>
        <v>0</v>
      </c>
      <c r="L106" s="946">
        <f t="shared" si="50"/>
        <v>0</v>
      </c>
      <c r="M106" s="946">
        <f t="shared" si="50"/>
        <v>0</v>
      </c>
      <c r="N106" s="946">
        <f>M106</f>
        <v>0</v>
      </c>
      <c r="O106" s="149"/>
      <c r="P106" s="70"/>
    </row>
    <row r="107" spans="2:16" x14ac:dyDescent="0.2">
      <c r="B107" s="69"/>
      <c r="C107" s="149"/>
      <c r="D107" s="33"/>
      <c r="E107" s="33"/>
      <c r="F107" s="144"/>
      <c r="G107" s="33"/>
      <c r="H107" s="427">
        <f t="shared" ref="H107:N107" si="51">SUM(H102:H106)</f>
        <v>0</v>
      </c>
      <c r="I107" s="427">
        <f t="shared" si="51"/>
        <v>0</v>
      </c>
      <c r="J107" s="427">
        <f t="shared" si="51"/>
        <v>0</v>
      </c>
      <c r="K107" s="427">
        <f t="shared" si="51"/>
        <v>0</v>
      </c>
      <c r="L107" s="427">
        <f t="shared" si="51"/>
        <v>0</v>
      </c>
      <c r="M107" s="427">
        <f t="shared" si="51"/>
        <v>0</v>
      </c>
      <c r="N107" s="427">
        <f t="shared" si="51"/>
        <v>0</v>
      </c>
      <c r="O107" s="149"/>
      <c r="P107" s="70"/>
    </row>
    <row r="108" spans="2:16" x14ac:dyDescent="0.2">
      <c r="B108" s="69"/>
      <c r="C108" s="74"/>
      <c r="D108" s="38"/>
      <c r="E108" s="38"/>
      <c r="F108" s="39"/>
      <c r="G108" s="38"/>
      <c r="H108" s="924"/>
      <c r="I108" s="924"/>
      <c r="J108" s="924"/>
      <c r="K108" s="924"/>
      <c r="L108" s="924"/>
      <c r="M108" s="924"/>
      <c r="N108" s="924"/>
      <c r="O108" s="74"/>
      <c r="P108" s="70"/>
    </row>
    <row r="109" spans="2:16" x14ac:dyDescent="0.2">
      <c r="B109" s="69"/>
      <c r="C109" s="933"/>
      <c r="D109" s="934"/>
      <c r="E109" s="934"/>
      <c r="F109" s="935"/>
      <c r="G109" s="934"/>
      <c r="H109" s="936"/>
      <c r="I109" s="936"/>
      <c r="J109" s="936"/>
      <c r="K109" s="936"/>
      <c r="L109" s="936"/>
      <c r="M109" s="936"/>
      <c r="N109" s="936"/>
      <c r="O109" s="937"/>
      <c r="P109" s="70"/>
    </row>
    <row r="110" spans="2:16" x14ac:dyDescent="0.2">
      <c r="B110" s="880"/>
      <c r="C110" s="533"/>
      <c r="D110" s="941"/>
      <c r="E110" s="941"/>
      <c r="F110" s="942"/>
      <c r="G110" s="941"/>
      <c r="H110" s="943"/>
      <c r="I110" s="943"/>
      <c r="J110" s="943"/>
      <c r="K110" s="943"/>
      <c r="L110" s="943"/>
      <c r="M110" s="943"/>
      <c r="N110" s="943"/>
      <c r="O110" s="533"/>
      <c r="P110" s="944"/>
    </row>
    <row r="111" spans="2:16" x14ac:dyDescent="0.2">
      <c r="B111" s="65"/>
      <c r="C111" s="947"/>
      <c r="D111" s="656"/>
      <c r="E111" s="656"/>
      <c r="F111" s="802"/>
      <c r="G111" s="656"/>
      <c r="H111" s="948"/>
      <c r="I111" s="948"/>
      <c r="J111" s="948"/>
      <c r="K111" s="948"/>
      <c r="L111" s="948"/>
      <c r="M111" s="948"/>
      <c r="N111" s="948"/>
      <c r="O111" s="947"/>
      <c r="P111" s="68"/>
    </row>
    <row r="112" spans="2:16" x14ac:dyDescent="0.2">
      <c r="B112" s="69"/>
      <c r="C112" s="509"/>
      <c r="D112" s="655"/>
      <c r="E112" s="655"/>
      <c r="F112" s="803"/>
      <c r="G112" s="655"/>
      <c r="H112" s="940"/>
      <c r="I112" s="940"/>
      <c r="J112" s="940"/>
      <c r="K112" s="940"/>
      <c r="L112" s="940"/>
      <c r="M112" s="940"/>
      <c r="N112" s="940"/>
      <c r="O112" s="509"/>
      <c r="P112" s="70"/>
    </row>
    <row r="113" spans="2:16" x14ac:dyDescent="0.2">
      <c r="B113" s="69"/>
      <c r="C113" s="149"/>
      <c r="D113" s="153"/>
      <c r="E113" s="149"/>
      <c r="F113" s="64"/>
      <c r="G113" s="149"/>
      <c r="H113" s="64"/>
      <c r="I113" s="64"/>
      <c r="J113" s="64"/>
      <c r="K113" s="64"/>
      <c r="L113" s="64"/>
      <c r="M113" s="64"/>
      <c r="N113" s="64"/>
      <c r="O113" s="149"/>
      <c r="P113" s="70"/>
    </row>
    <row r="114" spans="2:16" s="103" customFormat="1" x14ac:dyDescent="0.2">
      <c r="B114" s="72"/>
      <c r="C114" s="149"/>
      <c r="D114" s="921" t="str">
        <f>bekost!D158</f>
        <v>programma 6</v>
      </c>
      <c r="E114" s="149"/>
      <c r="F114" s="64"/>
      <c r="G114" s="149"/>
      <c r="H114" s="64"/>
      <c r="I114" s="64"/>
      <c r="J114" s="64"/>
      <c r="K114" s="64"/>
      <c r="L114" s="64"/>
      <c r="M114" s="64"/>
      <c r="N114" s="64"/>
      <c r="O114" s="149"/>
      <c r="P114" s="83"/>
    </row>
    <row r="115" spans="2:16" x14ac:dyDescent="0.2">
      <c r="B115" s="69"/>
      <c r="C115" s="149"/>
      <c r="D115" s="147"/>
      <c r="E115" s="149"/>
      <c r="F115" s="64"/>
      <c r="G115" s="149"/>
      <c r="H115" s="64"/>
      <c r="I115" s="64"/>
      <c r="J115" s="64"/>
      <c r="K115" s="64"/>
      <c r="L115" s="64"/>
      <c r="M115" s="64"/>
      <c r="N115" s="64"/>
      <c r="O115" s="149"/>
      <c r="P115" s="70"/>
    </row>
    <row r="116" spans="2:16" x14ac:dyDescent="0.2">
      <c r="B116" s="69"/>
      <c r="C116" s="149"/>
      <c r="D116" s="153" t="s">
        <v>338</v>
      </c>
      <c r="E116" s="149"/>
      <c r="F116" s="64"/>
      <c r="G116" s="149"/>
      <c r="H116" s="59">
        <f>H13</f>
        <v>2023</v>
      </c>
      <c r="I116" s="59">
        <f t="shared" ref="I116:N116" si="52">I13</f>
        <v>2024</v>
      </c>
      <c r="J116" s="59">
        <f t="shared" si="52"/>
        <v>2025</v>
      </c>
      <c r="K116" s="59">
        <f t="shared" si="52"/>
        <v>2026</v>
      </c>
      <c r="L116" s="59">
        <f t="shared" si="52"/>
        <v>2027</v>
      </c>
      <c r="M116" s="59">
        <f t="shared" si="52"/>
        <v>2028</v>
      </c>
      <c r="N116" s="59" t="str">
        <f t="shared" si="52"/>
        <v>2025/26</v>
      </c>
      <c r="O116" s="149"/>
      <c r="P116" s="70"/>
    </row>
    <row r="117" spans="2:16" x14ac:dyDescent="0.2">
      <c r="B117" s="69"/>
      <c r="C117" s="149"/>
      <c r="D117" s="458"/>
      <c r="E117" s="33"/>
      <c r="F117" s="41"/>
      <c r="G117" s="33"/>
      <c r="H117" s="419">
        <v>0</v>
      </c>
      <c r="I117" s="419">
        <f t="shared" ref="I117:N117" si="53">H117</f>
        <v>0</v>
      </c>
      <c r="J117" s="419">
        <f t="shared" si="53"/>
        <v>0</v>
      </c>
      <c r="K117" s="419">
        <f t="shared" si="53"/>
        <v>0</v>
      </c>
      <c r="L117" s="419">
        <f t="shared" si="53"/>
        <v>0</v>
      </c>
      <c r="M117" s="419">
        <f t="shared" si="53"/>
        <v>0</v>
      </c>
      <c r="N117" s="419">
        <f t="shared" si="53"/>
        <v>0</v>
      </c>
      <c r="O117" s="149"/>
      <c r="P117" s="70"/>
    </row>
    <row r="118" spans="2:16" x14ac:dyDescent="0.2">
      <c r="B118" s="69"/>
      <c r="C118" s="149"/>
      <c r="D118" s="451"/>
      <c r="E118" s="33"/>
      <c r="F118" s="41"/>
      <c r="G118" s="33"/>
      <c r="H118" s="419">
        <v>0</v>
      </c>
      <c r="I118" s="419">
        <f t="shared" ref="I118:N118" si="54">H118</f>
        <v>0</v>
      </c>
      <c r="J118" s="419">
        <f t="shared" si="54"/>
        <v>0</v>
      </c>
      <c r="K118" s="419">
        <f t="shared" si="54"/>
        <v>0</v>
      </c>
      <c r="L118" s="419">
        <f t="shared" si="54"/>
        <v>0</v>
      </c>
      <c r="M118" s="419">
        <f t="shared" si="54"/>
        <v>0</v>
      </c>
      <c r="N118" s="419">
        <f t="shared" si="54"/>
        <v>0</v>
      </c>
      <c r="O118" s="149"/>
      <c r="P118" s="70"/>
    </row>
    <row r="119" spans="2:16" x14ac:dyDescent="0.2">
      <c r="B119" s="69"/>
      <c r="C119" s="149"/>
      <c r="D119" s="451"/>
      <c r="E119" s="33"/>
      <c r="F119" s="41"/>
      <c r="G119" s="33"/>
      <c r="H119" s="419">
        <v>0</v>
      </c>
      <c r="I119" s="419">
        <f t="shared" ref="I119:N119" si="55">H119</f>
        <v>0</v>
      </c>
      <c r="J119" s="419">
        <f t="shared" si="55"/>
        <v>0</v>
      </c>
      <c r="K119" s="419">
        <f t="shared" si="55"/>
        <v>0</v>
      </c>
      <c r="L119" s="419">
        <f t="shared" si="55"/>
        <v>0</v>
      </c>
      <c r="M119" s="419">
        <f t="shared" si="55"/>
        <v>0</v>
      </c>
      <c r="N119" s="419">
        <f t="shared" si="55"/>
        <v>0</v>
      </c>
      <c r="O119" s="149"/>
      <c r="P119" s="70"/>
    </row>
    <row r="120" spans="2:16" x14ac:dyDescent="0.2">
      <c r="B120" s="69"/>
      <c r="C120" s="149"/>
      <c r="D120" s="451"/>
      <c r="E120" s="33"/>
      <c r="F120" s="41"/>
      <c r="G120" s="33"/>
      <c r="H120" s="419">
        <v>0</v>
      </c>
      <c r="I120" s="419">
        <f t="shared" ref="I120:N120" si="56">H120</f>
        <v>0</v>
      </c>
      <c r="J120" s="419">
        <f t="shared" si="56"/>
        <v>0</v>
      </c>
      <c r="K120" s="419">
        <f t="shared" si="56"/>
        <v>0</v>
      </c>
      <c r="L120" s="419">
        <f t="shared" si="56"/>
        <v>0</v>
      </c>
      <c r="M120" s="419">
        <f t="shared" si="56"/>
        <v>0</v>
      </c>
      <c r="N120" s="419">
        <f t="shared" si="56"/>
        <v>0</v>
      </c>
      <c r="O120" s="173"/>
      <c r="P120" s="70"/>
    </row>
    <row r="121" spans="2:16" x14ac:dyDescent="0.2">
      <c r="B121" s="69"/>
      <c r="C121" s="149"/>
      <c r="D121" s="451"/>
      <c r="E121" s="33"/>
      <c r="F121" s="41"/>
      <c r="G121" s="33"/>
      <c r="H121" s="419">
        <v>0</v>
      </c>
      <c r="I121" s="419">
        <f t="shared" ref="I121:N121" si="57">H121</f>
        <v>0</v>
      </c>
      <c r="J121" s="419">
        <f t="shared" si="57"/>
        <v>0</v>
      </c>
      <c r="K121" s="419">
        <f t="shared" si="57"/>
        <v>0</v>
      </c>
      <c r="L121" s="419">
        <f t="shared" si="57"/>
        <v>0</v>
      </c>
      <c r="M121" s="419">
        <f t="shared" si="57"/>
        <v>0</v>
      </c>
      <c r="N121" s="419">
        <f t="shared" si="57"/>
        <v>0</v>
      </c>
      <c r="O121" s="173"/>
      <c r="P121" s="70"/>
    </row>
    <row r="122" spans="2:16" s="103" customFormat="1" x14ac:dyDescent="0.2">
      <c r="B122" s="72"/>
      <c r="C122" s="149"/>
      <c r="D122" s="33"/>
      <c r="E122" s="33"/>
      <c r="F122" s="144"/>
      <c r="G122" s="33"/>
      <c r="H122" s="427">
        <f t="shared" ref="H122:M122" si="58">SUM(H117:H121)</f>
        <v>0</v>
      </c>
      <c r="I122" s="427">
        <f t="shared" si="58"/>
        <v>0</v>
      </c>
      <c r="J122" s="427">
        <f t="shared" si="58"/>
        <v>0</v>
      </c>
      <c r="K122" s="427">
        <f t="shared" si="58"/>
        <v>0</v>
      </c>
      <c r="L122" s="427">
        <f t="shared" si="58"/>
        <v>0</v>
      </c>
      <c r="M122" s="427">
        <f t="shared" si="58"/>
        <v>0</v>
      </c>
      <c r="N122" s="427">
        <f>SUM(N117:N121)</f>
        <v>0</v>
      </c>
      <c r="O122" s="149"/>
      <c r="P122" s="83"/>
    </row>
    <row r="123" spans="2:16" x14ac:dyDescent="0.2">
      <c r="B123" s="69"/>
      <c r="C123" s="149"/>
      <c r="D123" s="33"/>
      <c r="E123" s="33"/>
      <c r="F123" s="144"/>
      <c r="G123" s="33"/>
      <c r="H123" s="922"/>
      <c r="I123" s="922"/>
      <c r="J123" s="922"/>
      <c r="K123" s="922"/>
      <c r="L123" s="922"/>
      <c r="M123" s="922"/>
      <c r="N123" s="922"/>
      <c r="O123" s="149"/>
      <c r="P123" s="70"/>
    </row>
    <row r="124" spans="2:16" x14ac:dyDescent="0.2">
      <c r="B124" s="69"/>
      <c r="C124" s="149"/>
      <c r="D124" s="153" t="s">
        <v>339</v>
      </c>
      <c r="E124" s="33"/>
      <c r="F124" s="144"/>
      <c r="G124" s="33"/>
      <c r="H124" s="923">
        <f>H21</f>
        <v>2023</v>
      </c>
      <c r="I124" s="923">
        <f t="shared" ref="I124:N124" si="59">I21</f>
        <v>2024</v>
      </c>
      <c r="J124" s="923">
        <f t="shared" si="59"/>
        <v>2025</v>
      </c>
      <c r="K124" s="923">
        <f t="shared" si="59"/>
        <v>2026</v>
      </c>
      <c r="L124" s="923">
        <f t="shared" si="59"/>
        <v>2027</v>
      </c>
      <c r="M124" s="923">
        <f t="shared" si="59"/>
        <v>2028</v>
      </c>
      <c r="N124" s="923" t="str">
        <f t="shared" si="59"/>
        <v>2025/26</v>
      </c>
      <c r="O124" s="149"/>
      <c r="P124" s="70"/>
    </row>
    <row r="125" spans="2:16" x14ac:dyDescent="0.2">
      <c r="B125" s="69"/>
      <c r="C125" s="149"/>
      <c r="D125" s="458"/>
      <c r="E125" s="33"/>
      <c r="F125" s="41"/>
      <c r="G125" s="33"/>
      <c r="H125" s="946">
        <v>0</v>
      </c>
      <c r="I125" s="946">
        <f t="shared" ref="I125:N125" si="60">H125</f>
        <v>0</v>
      </c>
      <c r="J125" s="946">
        <f t="shared" si="60"/>
        <v>0</v>
      </c>
      <c r="K125" s="946">
        <f t="shared" si="60"/>
        <v>0</v>
      </c>
      <c r="L125" s="946">
        <f t="shared" si="60"/>
        <v>0</v>
      </c>
      <c r="M125" s="946">
        <f t="shared" si="60"/>
        <v>0</v>
      </c>
      <c r="N125" s="946">
        <f t="shared" si="60"/>
        <v>0</v>
      </c>
      <c r="O125" s="149"/>
      <c r="P125" s="70"/>
    </row>
    <row r="126" spans="2:16" x14ac:dyDescent="0.2">
      <c r="B126" s="69"/>
      <c r="C126" s="149"/>
      <c r="D126" s="451"/>
      <c r="E126" s="33"/>
      <c r="F126" s="41"/>
      <c r="G126" s="33"/>
      <c r="H126" s="946">
        <v>0</v>
      </c>
      <c r="I126" s="946">
        <f t="shared" ref="I126:M129" si="61">H126</f>
        <v>0</v>
      </c>
      <c r="J126" s="946">
        <f t="shared" si="61"/>
        <v>0</v>
      </c>
      <c r="K126" s="946">
        <f t="shared" si="61"/>
        <v>0</v>
      </c>
      <c r="L126" s="946">
        <f t="shared" si="61"/>
        <v>0</v>
      </c>
      <c r="M126" s="946">
        <f t="shared" si="61"/>
        <v>0</v>
      </c>
      <c r="N126" s="946">
        <f>M126</f>
        <v>0</v>
      </c>
      <c r="O126" s="149"/>
      <c r="P126" s="70"/>
    </row>
    <row r="127" spans="2:16" x14ac:dyDescent="0.2">
      <c r="B127" s="69"/>
      <c r="C127" s="149"/>
      <c r="D127" s="451"/>
      <c r="E127" s="33"/>
      <c r="F127" s="41"/>
      <c r="G127" s="33"/>
      <c r="H127" s="946">
        <v>0</v>
      </c>
      <c r="I127" s="946">
        <f t="shared" si="61"/>
        <v>0</v>
      </c>
      <c r="J127" s="946">
        <f t="shared" si="61"/>
        <v>0</v>
      </c>
      <c r="K127" s="946">
        <f t="shared" si="61"/>
        <v>0</v>
      </c>
      <c r="L127" s="946">
        <f t="shared" si="61"/>
        <v>0</v>
      </c>
      <c r="M127" s="946">
        <f t="shared" si="61"/>
        <v>0</v>
      </c>
      <c r="N127" s="946">
        <f>M127</f>
        <v>0</v>
      </c>
      <c r="O127" s="149"/>
      <c r="P127" s="70"/>
    </row>
    <row r="128" spans="2:16" x14ac:dyDescent="0.2">
      <c r="B128" s="69"/>
      <c r="C128" s="149"/>
      <c r="D128" s="451"/>
      <c r="E128" s="33"/>
      <c r="F128" s="41"/>
      <c r="G128" s="33"/>
      <c r="H128" s="946">
        <v>0</v>
      </c>
      <c r="I128" s="946">
        <f t="shared" si="61"/>
        <v>0</v>
      </c>
      <c r="J128" s="946">
        <f t="shared" si="61"/>
        <v>0</v>
      </c>
      <c r="K128" s="946">
        <f t="shared" si="61"/>
        <v>0</v>
      </c>
      <c r="L128" s="946">
        <f t="shared" si="61"/>
        <v>0</v>
      </c>
      <c r="M128" s="946">
        <f t="shared" si="61"/>
        <v>0</v>
      </c>
      <c r="N128" s="946">
        <f>M128</f>
        <v>0</v>
      </c>
      <c r="O128" s="149"/>
      <c r="P128" s="70"/>
    </row>
    <row r="129" spans="2:16" x14ac:dyDescent="0.2">
      <c r="B129" s="69"/>
      <c r="C129" s="149"/>
      <c r="D129" s="451"/>
      <c r="E129" s="33"/>
      <c r="F129" s="41"/>
      <c r="G129" s="33"/>
      <c r="H129" s="946">
        <v>0</v>
      </c>
      <c r="I129" s="946">
        <f t="shared" si="61"/>
        <v>0</v>
      </c>
      <c r="J129" s="946">
        <f t="shared" si="61"/>
        <v>0</v>
      </c>
      <c r="K129" s="946">
        <f t="shared" si="61"/>
        <v>0</v>
      </c>
      <c r="L129" s="946">
        <f t="shared" si="61"/>
        <v>0</v>
      </c>
      <c r="M129" s="946">
        <f t="shared" si="61"/>
        <v>0</v>
      </c>
      <c r="N129" s="946">
        <f>M129</f>
        <v>0</v>
      </c>
      <c r="O129" s="149"/>
      <c r="P129" s="70"/>
    </row>
    <row r="130" spans="2:16" x14ac:dyDescent="0.2">
      <c r="B130" s="69"/>
      <c r="C130" s="149"/>
      <c r="D130" s="33"/>
      <c r="E130" s="33"/>
      <c r="F130" s="144"/>
      <c r="G130" s="33"/>
      <c r="H130" s="427">
        <f t="shared" ref="H130:N130" si="62">SUM(H125:H129)</f>
        <v>0</v>
      </c>
      <c r="I130" s="427">
        <f t="shared" si="62"/>
        <v>0</v>
      </c>
      <c r="J130" s="427">
        <f t="shared" si="62"/>
        <v>0</v>
      </c>
      <c r="K130" s="427">
        <f t="shared" si="62"/>
        <v>0</v>
      </c>
      <c r="L130" s="427">
        <f t="shared" si="62"/>
        <v>0</v>
      </c>
      <c r="M130" s="427">
        <f t="shared" si="62"/>
        <v>0</v>
      </c>
      <c r="N130" s="427">
        <f t="shared" si="62"/>
        <v>0</v>
      </c>
      <c r="O130" s="149"/>
      <c r="P130" s="70"/>
    </row>
    <row r="131" spans="2:16" x14ac:dyDescent="0.2">
      <c r="B131" s="69"/>
      <c r="C131" s="74"/>
      <c r="D131" s="38"/>
      <c r="E131" s="38"/>
      <c r="F131" s="39"/>
      <c r="G131" s="38"/>
      <c r="H131" s="924"/>
      <c r="I131" s="924"/>
      <c r="J131" s="924"/>
      <c r="K131" s="924"/>
      <c r="L131" s="924"/>
      <c r="M131" s="924"/>
      <c r="N131" s="924"/>
      <c r="O131" s="74"/>
      <c r="P131" s="70"/>
    </row>
    <row r="132" spans="2:16" x14ac:dyDescent="0.2">
      <c r="B132" s="69"/>
      <c r="C132" s="928"/>
      <c r="D132" s="925"/>
      <c r="E132" s="925"/>
      <c r="F132" s="926"/>
      <c r="G132" s="925"/>
      <c r="H132" s="927"/>
      <c r="I132" s="927"/>
      <c r="J132" s="927"/>
      <c r="K132" s="927"/>
      <c r="L132" s="927"/>
      <c r="M132" s="927"/>
      <c r="N132" s="927"/>
      <c r="O132" s="929"/>
      <c r="P132" s="70"/>
    </row>
    <row r="133" spans="2:16" x14ac:dyDescent="0.2">
      <c r="B133" s="69"/>
      <c r="C133" s="149"/>
      <c r="D133" s="153"/>
      <c r="E133" s="149"/>
      <c r="F133" s="64"/>
      <c r="G133" s="149"/>
      <c r="H133" s="64"/>
      <c r="I133" s="64"/>
      <c r="J133" s="64"/>
      <c r="K133" s="64"/>
      <c r="L133" s="64"/>
      <c r="M133" s="64"/>
      <c r="N133" s="64"/>
      <c r="O133" s="149"/>
      <c r="P133" s="70"/>
    </row>
    <row r="134" spans="2:16" x14ac:dyDescent="0.2">
      <c r="B134" s="69"/>
      <c r="C134" s="149"/>
      <c r="D134" s="921" t="str">
        <f>bekost!D159</f>
        <v>programma 7</v>
      </c>
      <c r="E134" s="149"/>
      <c r="F134" s="64"/>
      <c r="G134" s="149"/>
      <c r="H134" s="64"/>
      <c r="I134" s="64"/>
      <c r="J134" s="64"/>
      <c r="K134" s="64"/>
      <c r="L134" s="64"/>
      <c r="M134" s="64"/>
      <c r="N134" s="64"/>
      <c r="O134" s="149"/>
      <c r="P134" s="70"/>
    </row>
    <row r="135" spans="2:16" x14ac:dyDescent="0.2">
      <c r="B135" s="69"/>
      <c r="C135" s="149"/>
      <c r="D135" s="147"/>
      <c r="E135" s="149"/>
      <c r="F135" s="64"/>
      <c r="G135" s="149"/>
      <c r="H135" s="64"/>
      <c r="I135" s="64"/>
      <c r="J135" s="64"/>
      <c r="K135" s="64"/>
      <c r="L135" s="64"/>
      <c r="M135" s="64"/>
      <c r="N135" s="64"/>
      <c r="O135" s="149"/>
      <c r="P135" s="70"/>
    </row>
    <row r="136" spans="2:16" x14ac:dyDescent="0.2">
      <c r="B136" s="69"/>
      <c r="C136" s="149"/>
      <c r="D136" s="153" t="s">
        <v>338</v>
      </c>
      <c r="E136" s="149"/>
      <c r="F136" s="64"/>
      <c r="G136" s="149"/>
      <c r="H136" s="59">
        <f>H13</f>
        <v>2023</v>
      </c>
      <c r="I136" s="59">
        <f t="shared" ref="I136:N136" si="63">I13</f>
        <v>2024</v>
      </c>
      <c r="J136" s="59">
        <f t="shared" si="63"/>
        <v>2025</v>
      </c>
      <c r="K136" s="59">
        <f t="shared" si="63"/>
        <v>2026</v>
      </c>
      <c r="L136" s="59">
        <f t="shared" si="63"/>
        <v>2027</v>
      </c>
      <c r="M136" s="59">
        <f t="shared" si="63"/>
        <v>2028</v>
      </c>
      <c r="N136" s="59" t="str">
        <f t="shared" si="63"/>
        <v>2025/26</v>
      </c>
      <c r="O136" s="149"/>
      <c r="P136" s="70"/>
    </row>
    <row r="137" spans="2:16" x14ac:dyDescent="0.2">
      <c r="B137" s="69"/>
      <c r="C137" s="149"/>
      <c r="D137" s="458"/>
      <c r="E137" s="33"/>
      <c r="F137" s="41"/>
      <c r="G137" s="33"/>
      <c r="H137" s="419">
        <v>0</v>
      </c>
      <c r="I137" s="419">
        <f t="shared" ref="I137:N137" si="64">H137</f>
        <v>0</v>
      </c>
      <c r="J137" s="419">
        <f t="shared" si="64"/>
        <v>0</v>
      </c>
      <c r="K137" s="419">
        <f t="shared" si="64"/>
        <v>0</v>
      </c>
      <c r="L137" s="419">
        <f t="shared" si="64"/>
        <v>0</v>
      </c>
      <c r="M137" s="419">
        <f t="shared" si="64"/>
        <v>0</v>
      </c>
      <c r="N137" s="419">
        <f t="shared" si="64"/>
        <v>0</v>
      </c>
      <c r="O137" s="149"/>
      <c r="P137" s="70"/>
    </row>
    <row r="138" spans="2:16" x14ac:dyDescent="0.2">
      <c r="B138" s="69"/>
      <c r="C138" s="149"/>
      <c r="D138" s="451"/>
      <c r="E138" s="33"/>
      <c r="F138" s="41"/>
      <c r="G138" s="33"/>
      <c r="H138" s="419">
        <v>0</v>
      </c>
      <c r="I138" s="419">
        <f t="shared" ref="I138:N138" si="65">H138</f>
        <v>0</v>
      </c>
      <c r="J138" s="419">
        <f t="shared" si="65"/>
        <v>0</v>
      </c>
      <c r="K138" s="419">
        <f t="shared" si="65"/>
        <v>0</v>
      </c>
      <c r="L138" s="419">
        <f t="shared" si="65"/>
        <v>0</v>
      </c>
      <c r="M138" s="419">
        <f t="shared" si="65"/>
        <v>0</v>
      </c>
      <c r="N138" s="419">
        <f t="shared" si="65"/>
        <v>0</v>
      </c>
      <c r="O138" s="149"/>
      <c r="P138" s="70"/>
    </row>
    <row r="139" spans="2:16" x14ac:dyDescent="0.2">
      <c r="B139" s="69"/>
      <c r="C139" s="149"/>
      <c r="D139" s="451"/>
      <c r="E139" s="33"/>
      <c r="F139" s="41"/>
      <c r="G139" s="33"/>
      <c r="H139" s="419">
        <v>0</v>
      </c>
      <c r="I139" s="419">
        <f t="shared" ref="I139:N139" si="66">H139</f>
        <v>0</v>
      </c>
      <c r="J139" s="419">
        <f t="shared" si="66"/>
        <v>0</v>
      </c>
      <c r="K139" s="419">
        <f t="shared" si="66"/>
        <v>0</v>
      </c>
      <c r="L139" s="419">
        <f t="shared" si="66"/>
        <v>0</v>
      </c>
      <c r="M139" s="419">
        <f t="shared" si="66"/>
        <v>0</v>
      </c>
      <c r="N139" s="419">
        <f t="shared" si="66"/>
        <v>0</v>
      </c>
      <c r="O139" s="149"/>
      <c r="P139" s="70"/>
    </row>
    <row r="140" spans="2:16" x14ac:dyDescent="0.2">
      <c r="B140" s="69"/>
      <c r="C140" s="149"/>
      <c r="D140" s="451"/>
      <c r="E140" s="33"/>
      <c r="F140" s="41"/>
      <c r="G140" s="33"/>
      <c r="H140" s="419">
        <v>0</v>
      </c>
      <c r="I140" s="419">
        <f t="shared" ref="I140:N140" si="67">H140</f>
        <v>0</v>
      </c>
      <c r="J140" s="419">
        <f t="shared" si="67"/>
        <v>0</v>
      </c>
      <c r="K140" s="419">
        <f t="shared" si="67"/>
        <v>0</v>
      </c>
      <c r="L140" s="419">
        <f t="shared" si="67"/>
        <v>0</v>
      </c>
      <c r="M140" s="419">
        <f t="shared" si="67"/>
        <v>0</v>
      </c>
      <c r="N140" s="419">
        <f t="shared" si="67"/>
        <v>0</v>
      </c>
      <c r="O140" s="173"/>
      <c r="P140" s="70"/>
    </row>
    <row r="141" spans="2:16" x14ac:dyDescent="0.2">
      <c r="B141" s="69"/>
      <c r="C141" s="149"/>
      <c r="D141" s="451"/>
      <c r="E141" s="33"/>
      <c r="F141" s="41"/>
      <c r="G141" s="33"/>
      <c r="H141" s="419">
        <v>0</v>
      </c>
      <c r="I141" s="419">
        <f t="shared" ref="I141:N141" si="68">H141</f>
        <v>0</v>
      </c>
      <c r="J141" s="419">
        <f t="shared" si="68"/>
        <v>0</v>
      </c>
      <c r="K141" s="419">
        <f t="shared" si="68"/>
        <v>0</v>
      </c>
      <c r="L141" s="419">
        <f t="shared" si="68"/>
        <v>0</v>
      </c>
      <c r="M141" s="419">
        <f t="shared" si="68"/>
        <v>0</v>
      </c>
      <c r="N141" s="419">
        <f t="shared" si="68"/>
        <v>0</v>
      </c>
      <c r="O141" s="173"/>
      <c r="P141" s="70"/>
    </row>
    <row r="142" spans="2:16" x14ac:dyDescent="0.2">
      <c r="B142" s="69"/>
      <c r="C142" s="149"/>
      <c r="D142" s="33"/>
      <c r="E142" s="33"/>
      <c r="F142" s="144"/>
      <c r="G142" s="33"/>
      <c r="H142" s="427">
        <f t="shared" ref="H142:M142" si="69">SUM(H137:H141)</f>
        <v>0</v>
      </c>
      <c r="I142" s="427">
        <f t="shared" si="69"/>
        <v>0</v>
      </c>
      <c r="J142" s="427">
        <f t="shared" si="69"/>
        <v>0</v>
      </c>
      <c r="K142" s="427">
        <f t="shared" si="69"/>
        <v>0</v>
      </c>
      <c r="L142" s="427">
        <f t="shared" si="69"/>
        <v>0</v>
      </c>
      <c r="M142" s="427">
        <f t="shared" si="69"/>
        <v>0</v>
      </c>
      <c r="N142" s="427">
        <f>SUM(N137:N141)</f>
        <v>0</v>
      </c>
      <c r="O142" s="149"/>
      <c r="P142" s="70"/>
    </row>
    <row r="143" spans="2:16" x14ac:dyDescent="0.2">
      <c r="B143" s="69"/>
      <c r="C143" s="149"/>
      <c r="D143" s="33"/>
      <c r="E143" s="33"/>
      <c r="F143" s="144"/>
      <c r="G143" s="33"/>
      <c r="H143" s="922"/>
      <c r="I143" s="922"/>
      <c r="J143" s="922"/>
      <c r="K143" s="922"/>
      <c r="L143" s="922"/>
      <c r="M143" s="922"/>
      <c r="N143" s="922"/>
      <c r="O143" s="149"/>
      <c r="P143" s="70"/>
    </row>
    <row r="144" spans="2:16" x14ac:dyDescent="0.2">
      <c r="B144" s="69"/>
      <c r="C144" s="149"/>
      <c r="D144" s="153" t="s">
        <v>339</v>
      </c>
      <c r="E144" s="33"/>
      <c r="F144" s="144"/>
      <c r="G144" s="33"/>
      <c r="H144" s="923">
        <f>H21</f>
        <v>2023</v>
      </c>
      <c r="I144" s="923">
        <f t="shared" ref="I144:N144" si="70">I21</f>
        <v>2024</v>
      </c>
      <c r="J144" s="923">
        <f t="shared" si="70"/>
        <v>2025</v>
      </c>
      <c r="K144" s="923">
        <f t="shared" si="70"/>
        <v>2026</v>
      </c>
      <c r="L144" s="923">
        <f t="shared" si="70"/>
        <v>2027</v>
      </c>
      <c r="M144" s="923">
        <f t="shared" si="70"/>
        <v>2028</v>
      </c>
      <c r="N144" s="923" t="str">
        <f t="shared" si="70"/>
        <v>2025/26</v>
      </c>
      <c r="O144" s="149"/>
      <c r="P144" s="70"/>
    </row>
    <row r="145" spans="2:16" x14ac:dyDescent="0.2">
      <c r="B145" s="69"/>
      <c r="C145" s="149"/>
      <c r="D145" s="458"/>
      <c r="E145" s="33"/>
      <c r="F145" s="41"/>
      <c r="G145" s="33"/>
      <c r="H145" s="946">
        <v>0</v>
      </c>
      <c r="I145" s="946">
        <f t="shared" ref="I145:N145" si="71">H145</f>
        <v>0</v>
      </c>
      <c r="J145" s="946">
        <f t="shared" si="71"/>
        <v>0</v>
      </c>
      <c r="K145" s="946">
        <f t="shared" si="71"/>
        <v>0</v>
      </c>
      <c r="L145" s="946">
        <f t="shared" si="71"/>
        <v>0</v>
      </c>
      <c r="M145" s="946">
        <f t="shared" si="71"/>
        <v>0</v>
      </c>
      <c r="N145" s="946">
        <f t="shared" si="71"/>
        <v>0</v>
      </c>
      <c r="O145" s="149"/>
      <c r="P145" s="70"/>
    </row>
    <row r="146" spans="2:16" x14ac:dyDescent="0.2">
      <c r="B146" s="69"/>
      <c r="C146" s="149"/>
      <c r="D146" s="451"/>
      <c r="E146" s="33"/>
      <c r="F146" s="41"/>
      <c r="G146" s="33"/>
      <c r="H146" s="946">
        <v>0</v>
      </c>
      <c r="I146" s="946">
        <f t="shared" ref="I146:M149" si="72">H146</f>
        <v>0</v>
      </c>
      <c r="J146" s="946">
        <f t="shared" si="72"/>
        <v>0</v>
      </c>
      <c r="K146" s="946">
        <f t="shared" si="72"/>
        <v>0</v>
      </c>
      <c r="L146" s="946">
        <f t="shared" si="72"/>
        <v>0</v>
      </c>
      <c r="M146" s="946">
        <f t="shared" si="72"/>
        <v>0</v>
      </c>
      <c r="N146" s="946">
        <f>M146</f>
        <v>0</v>
      </c>
      <c r="O146" s="149"/>
      <c r="P146" s="70"/>
    </row>
    <row r="147" spans="2:16" x14ac:dyDescent="0.2">
      <c r="B147" s="69"/>
      <c r="C147" s="149"/>
      <c r="D147" s="451"/>
      <c r="E147" s="33"/>
      <c r="F147" s="41"/>
      <c r="G147" s="33"/>
      <c r="H147" s="946">
        <v>0</v>
      </c>
      <c r="I147" s="946">
        <f t="shared" si="72"/>
        <v>0</v>
      </c>
      <c r="J147" s="946">
        <f t="shared" si="72"/>
        <v>0</v>
      </c>
      <c r="K147" s="946">
        <f t="shared" si="72"/>
        <v>0</v>
      </c>
      <c r="L147" s="946">
        <f t="shared" si="72"/>
        <v>0</v>
      </c>
      <c r="M147" s="946">
        <f t="shared" si="72"/>
        <v>0</v>
      </c>
      <c r="N147" s="946">
        <f>M147</f>
        <v>0</v>
      </c>
      <c r="O147" s="149"/>
      <c r="P147" s="70"/>
    </row>
    <row r="148" spans="2:16" x14ac:dyDescent="0.2">
      <c r="B148" s="69"/>
      <c r="C148" s="149"/>
      <c r="D148" s="451"/>
      <c r="E148" s="33"/>
      <c r="F148" s="41"/>
      <c r="G148" s="33"/>
      <c r="H148" s="946">
        <v>0</v>
      </c>
      <c r="I148" s="946">
        <f t="shared" si="72"/>
        <v>0</v>
      </c>
      <c r="J148" s="946">
        <f t="shared" si="72"/>
        <v>0</v>
      </c>
      <c r="K148" s="946">
        <f t="shared" si="72"/>
        <v>0</v>
      </c>
      <c r="L148" s="946">
        <f t="shared" si="72"/>
        <v>0</v>
      </c>
      <c r="M148" s="946">
        <f t="shared" si="72"/>
        <v>0</v>
      </c>
      <c r="N148" s="946">
        <f>M148</f>
        <v>0</v>
      </c>
      <c r="O148" s="149"/>
      <c r="P148" s="70"/>
    </row>
    <row r="149" spans="2:16" x14ac:dyDescent="0.2">
      <c r="B149" s="69"/>
      <c r="C149" s="149"/>
      <c r="D149" s="451"/>
      <c r="E149" s="33"/>
      <c r="F149" s="41"/>
      <c r="G149" s="33"/>
      <c r="H149" s="946">
        <v>0</v>
      </c>
      <c r="I149" s="946">
        <f t="shared" si="72"/>
        <v>0</v>
      </c>
      <c r="J149" s="946">
        <f t="shared" si="72"/>
        <v>0</v>
      </c>
      <c r="K149" s="946">
        <f t="shared" si="72"/>
        <v>0</v>
      </c>
      <c r="L149" s="946">
        <f t="shared" si="72"/>
        <v>0</v>
      </c>
      <c r="M149" s="946">
        <f t="shared" si="72"/>
        <v>0</v>
      </c>
      <c r="N149" s="946">
        <f>M149</f>
        <v>0</v>
      </c>
      <c r="O149" s="149"/>
      <c r="P149" s="70"/>
    </row>
    <row r="150" spans="2:16" x14ac:dyDescent="0.2">
      <c r="B150" s="69"/>
      <c r="C150" s="149"/>
      <c r="D150" s="33"/>
      <c r="E150" s="33"/>
      <c r="F150" s="144"/>
      <c r="G150" s="33"/>
      <c r="H150" s="427">
        <f t="shared" ref="H150:N150" si="73">SUM(H145:H149)</f>
        <v>0</v>
      </c>
      <c r="I150" s="427">
        <f t="shared" si="73"/>
        <v>0</v>
      </c>
      <c r="J150" s="427">
        <f t="shared" si="73"/>
        <v>0</v>
      </c>
      <c r="K150" s="427">
        <f t="shared" si="73"/>
        <v>0</v>
      </c>
      <c r="L150" s="427">
        <f t="shared" si="73"/>
        <v>0</v>
      </c>
      <c r="M150" s="427">
        <f t="shared" si="73"/>
        <v>0</v>
      </c>
      <c r="N150" s="427">
        <f t="shared" si="73"/>
        <v>0</v>
      </c>
      <c r="O150" s="149"/>
      <c r="P150" s="70"/>
    </row>
    <row r="151" spans="2:16" x14ac:dyDescent="0.2">
      <c r="B151" s="69"/>
      <c r="C151" s="74"/>
      <c r="D151" s="38"/>
      <c r="E151" s="38"/>
      <c r="F151" s="39"/>
      <c r="G151" s="38"/>
      <c r="H151" s="924"/>
      <c r="I151" s="924"/>
      <c r="J151" s="924"/>
      <c r="K151" s="924"/>
      <c r="L151" s="924"/>
      <c r="M151" s="924"/>
      <c r="N151" s="924"/>
      <c r="O151" s="74"/>
      <c r="P151" s="70"/>
    </row>
    <row r="152" spans="2:16" x14ac:dyDescent="0.2">
      <c r="B152" s="69"/>
      <c r="C152" s="928"/>
      <c r="D152" s="925"/>
      <c r="E152" s="925"/>
      <c r="F152" s="926"/>
      <c r="G152" s="925"/>
      <c r="H152" s="927"/>
      <c r="I152" s="927"/>
      <c r="J152" s="927"/>
      <c r="K152" s="927"/>
      <c r="L152" s="927"/>
      <c r="M152" s="927"/>
      <c r="N152" s="927"/>
      <c r="O152" s="929"/>
      <c r="P152" s="70"/>
    </row>
    <row r="153" spans="2:16" x14ac:dyDescent="0.2">
      <c r="B153" s="69"/>
      <c r="C153" s="149"/>
      <c r="D153" s="153"/>
      <c r="E153" s="149"/>
      <c r="F153" s="64"/>
      <c r="G153" s="149"/>
      <c r="H153" s="64"/>
      <c r="I153" s="64"/>
      <c r="J153" s="64"/>
      <c r="K153" s="64"/>
      <c r="L153" s="64"/>
      <c r="M153" s="64"/>
      <c r="N153" s="64"/>
      <c r="O153" s="149"/>
      <c r="P153" s="70"/>
    </row>
    <row r="154" spans="2:16" x14ac:dyDescent="0.2">
      <c r="B154" s="69"/>
      <c r="C154" s="149"/>
      <c r="D154" s="921" t="str">
        <f>bekost!D160</f>
        <v>programma 8</v>
      </c>
      <c r="E154" s="149"/>
      <c r="F154" s="64"/>
      <c r="G154" s="149"/>
      <c r="H154" s="64"/>
      <c r="I154" s="64"/>
      <c r="J154" s="64"/>
      <c r="K154" s="64"/>
      <c r="L154" s="64"/>
      <c r="M154" s="64"/>
      <c r="N154" s="64"/>
      <c r="O154" s="149"/>
      <c r="P154" s="70"/>
    </row>
    <row r="155" spans="2:16" x14ac:dyDescent="0.2">
      <c r="B155" s="69"/>
      <c r="C155" s="149"/>
      <c r="D155" s="147"/>
      <c r="E155" s="149"/>
      <c r="F155" s="64"/>
      <c r="G155" s="149"/>
      <c r="H155" s="64"/>
      <c r="I155" s="64"/>
      <c r="J155" s="64"/>
      <c r="K155" s="64"/>
      <c r="L155" s="64"/>
      <c r="M155" s="64"/>
      <c r="N155" s="64"/>
      <c r="O155" s="149"/>
      <c r="P155" s="70"/>
    </row>
    <row r="156" spans="2:16" x14ac:dyDescent="0.2">
      <c r="B156" s="69"/>
      <c r="C156" s="149"/>
      <c r="D156" s="153" t="s">
        <v>338</v>
      </c>
      <c r="E156" s="149"/>
      <c r="F156" s="64"/>
      <c r="G156" s="149"/>
      <c r="H156" s="59">
        <f>H13</f>
        <v>2023</v>
      </c>
      <c r="I156" s="59">
        <f t="shared" ref="I156:N156" si="74">I13</f>
        <v>2024</v>
      </c>
      <c r="J156" s="59">
        <f t="shared" si="74"/>
        <v>2025</v>
      </c>
      <c r="K156" s="59">
        <f t="shared" si="74"/>
        <v>2026</v>
      </c>
      <c r="L156" s="59">
        <f t="shared" si="74"/>
        <v>2027</v>
      </c>
      <c r="M156" s="59">
        <f t="shared" si="74"/>
        <v>2028</v>
      </c>
      <c r="N156" s="59" t="str">
        <f t="shared" si="74"/>
        <v>2025/26</v>
      </c>
      <c r="O156" s="149"/>
      <c r="P156" s="70"/>
    </row>
    <row r="157" spans="2:16" x14ac:dyDescent="0.2">
      <c r="B157" s="69"/>
      <c r="C157" s="149"/>
      <c r="D157" s="458"/>
      <c r="E157" s="33"/>
      <c r="F157" s="41"/>
      <c r="G157" s="33"/>
      <c r="H157" s="419">
        <v>0</v>
      </c>
      <c r="I157" s="419">
        <f t="shared" ref="I157:N157" si="75">H157</f>
        <v>0</v>
      </c>
      <c r="J157" s="419">
        <f t="shared" si="75"/>
        <v>0</v>
      </c>
      <c r="K157" s="419">
        <f t="shared" si="75"/>
        <v>0</v>
      </c>
      <c r="L157" s="419">
        <f t="shared" si="75"/>
        <v>0</v>
      </c>
      <c r="M157" s="419">
        <f t="shared" si="75"/>
        <v>0</v>
      </c>
      <c r="N157" s="419">
        <f t="shared" si="75"/>
        <v>0</v>
      </c>
      <c r="O157" s="149"/>
      <c r="P157" s="70"/>
    </row>
    <row r="158" spans="2:16" x14ac:dyDescent="0.2">
      <c r="B158" s="69"/>
      <c r="C158" s="149"/>
      <c r="D158" s="458"/>
      <c r="E158" s="33"/>
      <c r="F158" s="41"/>
      <c r="G158" s="33"/>
      <c r="H158" s="419">
        <v>0</v>
      </c>
      <c r="I158" s="419">
        <f t="shared" ref="I158:N158" si="76">H158</f>
        <v>0</v>
      </c>
      <c r="J158" s="419">
        <f t="shared" si="76"/>
        <v>0</v>
      </c>
      <c r="K158" s="419">
        <f t="shared" si="76"/>
        <v>0</v>
      </c>
      <c r="L158" s="419">
        <f t="shared" si="76"/>
        <v>0</v>
      </c>
      <c r="M158" s="419">
        <f t="shared" si="76"/>
        <v>0</v>
      </c>
      <c r="N158" s="419">
        <f t="shared" si="76"/>
        <v>0</v>
      </c>
      <c r="O158" s="149"/>
      <c r="P158" s="70"/>
    </row>
    <row r="159" spans="2:16" x14ac:dyDescent="0.2">
      <c r="B159" s="69"/>
      <c r="C159" s="149"/>
      <c r="D159" s="458"/>
      <c r="E159" s="33"/>
      <c r="F159" s="41"/>
      <c r="G159" s="33"/>
      <c r="H159" s="419">
        <v>0</v>
      </c>
      <c r="I159" s="419">
        <f t="shared" ref="I159:N159" si="77">H159</f>
        <v>0</v>
      </c>
      <c r="J159" s="419">
        <f t="shared" si="77"/>
        <v>0</v>
      </c>
      <c r="K159" s="419">
        <f t="shared" si="77"/>
        <v>0</v>
      </c>
      <c r="L159" s="419">
        <f t="shared" si="77"/>
        <v>0</v>
      </c>
      <c r="M159" s="419">
        <f t="shared" si="77"/>
        <v>0</v>
      </c>
      <c r="N159" s="419">
        <f t="shared" si="77"/>
        <v>0</v>
      </c>
      <c r="O159" s="149"/>
      <c r="P159" s="70"/>
    </row>
    <row r="160" spans="2:16" x14ac:dyDescent="0.2">
      <c r="B160" s="69"/>
      <c r="C160" s="149"/>
      <c r="D160" s="451"/>
      <c r="E160" s="33"/>
      <c r="F160" s="41"/>
      <c r="G160" s="33"/>
      <c r="H160" s="419">
        <v>0</v>
      </c>
      <c r="I160" s="419">
        <f t="shared" ref="I160:N160" si="78">H160</f>
        <v>0</v>
      </c>
      <c r="J160" s="419">
        <f t="shared" si="78"/>
        <v>0</v>
      </c>
      <c r="K160" s="419">
        <f t="shared" si="78"/>
        <v>0</v>
      </c>
      <c r="L160" s="419">
        <f t="shared" si="78"/>
        <v>0</v>
      </c>
      <c r="M160" s="419">
        <f t="shared" si="78"/>
        <v>0</v>
      </c>
      <c r="N160" s="419">
        <f t="shared" si="78"/>
        <v>0</v>
      </c>
      <c r="O160" s="173"/>
      <c r="P160" s="70"/>
    </row>
    <row r="161" spans="2:16" x14ac:dyDescent="0.2">
      <c r="B161" s="69"/>
      <c r="C161" s="149"/>
      <c r="D161" s="451"/>
      <c r="E161" s="33"/>
      <c r="F161" s="41"/>
      <c r="G161" s="33"/>
      <c r="H161" s="419">
        <v>0</v>
      </c>
      <c r="I161" s="419">
        <f t="shared" ref="I161:N161" si="79">H161</f>
        <v>0</v>
      </c>
      <c r="J161" s="419">
        <f t="shared" si="79"/>
        <v>0</v>
      </c>
      <c r="K161" s="419">
        <f t="shared" si="79"/>
        <v>0</v>
      </c>
      <c r="L161" s="419">
        <f t="shared" si="79"/>
        <v>0</v>
      </c>
      <c r="M161" s="419">
        <f t="shared" si="79"/>
        <v>0</v>
      </c>
      <c r="N161" s="419">
        <f t="shared" si="79"/>
        <v>0</v>
      </c>
      <c r="O161" s="173"/>
      <c r="P161" s="70"/>
    </row>
    <row r="162" spans="2:16" x14ac:dyDescent="0.2">
      <c r="B162" s="69"/>
      <c r="C162" s="149"/>
      <c r="D162" s="33"/>
      <c r="E162" s="33"/>
      <c r="F162" s="144"/>
      <c r="G162" s="33"/>
      <c r="H162" s="427">
        <f t="shared" ref="H162:M162" si="80">SUM(H157:H161)</f>
        <v>0</v>
      </c>
      <c r="I162" s="427">
        <f t="shared" si="80"/>
        <v>0</v>
      </c>
      <c r="J162" s="427">
        <f t="shared" si="80"/>
        <v>0</v>
      </c>
      <c r="K162" s="427">
        <f t="shared" si="80"/>
        <v>0</v>
      </c>
      <c r="L162" s="427">
        <f t="shared" si="80"/>
        <v>0</v>
      </c>
      <c r="M162" s="427">
        <f t="shared" si="80"/>
        <v>0</v>
      </c>
      <c r="N162" s="427">
        <f>SUM(N157:N161)</f>
        <v>0</v>
      </c>
      <c r="O162" s="149"/>
      <c r="P162" s="70"/>
    </row>
    <row r="163" spans="2:16" x14ac:dyDescent="0.2">
      <c r="B163" s="69"/>
      <c r="C163" s="149"/>
      <c r="D163" s="33"/>
      <c r="E163" s="33"/>
      <c r="F163" s="144"/>
      <c r="G163" s="33"/>
      <c r="H163" s="922"/>
      <c r="I163" s="922"/>
      <c r="J163" s="922"/>
      <c r="K163" s="922"/>
      <c r="L163" s="922"/>
      <c r="M163" s="922"/>
      <c r="N163" s="922"/>
      <c r="O163" s="149"/>
      <c r="P163" s="70"/>
    </row>
    <row r="164" spans="2:16" x14ac:dyDescent="0.2">
      <c r="B164" s="69"/>
      <c r="C164" s="149"/>
      <c r="D164" s="153" t="s">
        <v>339</v>
      </c>
      <c r="E164" s="33"/>
      <c r="F164" s="144"/>
      <c r="G164" s="33"/>
      <c r="H164" s="923">
        <f>H21</f>
        <v>2023</v>
      </c>
      <c r="I164" s="923">
        <f t="shared" ref="I164:N164" si="81">I21</f>
        <v>2024</v>
      </c>
      <c r="J164" s="923">
        <f t="shared" si="81"/>
        <v>2025</v>
      </c>
      <c r="K164" s="923">
        <f t="shared" si="81"/>
        <v>2026</v>
      </c>
      <c r="L164" s="923">
        <f t="shared" si="81"/>
        <v>2027</v>
      </c>
      <c r="M164" s="923">
        <f t="shared" si="81"/>
        <v>2028</v>
      </c>
      <c r="N164" s="923" t="str">
        <f t="shared" si="81"/>
        <v>2025/26</v>
      </c>
      <c r="O164" s="149"/>
      <c r="P164" s="70"/>
    </row>
    <row r="165" spans="2:16" x14ac:dyDescent="0.2">
      <c r="B165" s="69"/>
      <c r="C165" s="149"/>
      <c r="D165" s="458"/>
      <c r="E165" s="33"/>
      <c r="F165" s="41"/>
      <c r="G165" s="33"/>
      <c r="H165" s="946">
        <v>0</v>
      </c>
      <c r="I165" s="946">
        <f t="shared" ref="I165:N165" si="82">H165</f>
        <v>0</v>
      </c>
      <c r="J165" s="946">
        <f t="shared" si="82"/>
        <v>0</v>
      </c>
      <c r="K165" s="946">
        <f t="shared" si="82"/>
        <v>0</v>
      </c>
      <c r="L165" s="946">
        <f t="shared" si="82"/>
        <v>0</v>
      </c>
      <c r="M165" s="946">
        <f t="shared" si="82"/>
        <v>0</v>
      </c>
      <c r="N165" s="946">
        <f t="shared" si="82"/>
        <v>0</v>
      </c>
      <c r="O165" s="149"/>
      <c r="P165" s="70"/>
    </row>
    <row r="166" spans="2:16" x14ac:dyDescent="0.2">
      <c r="B166" s="69"/>
      <c r="C166" s="149"/>
      <c r="D166" s="451"/>
      <c r="E166" s="33"/>
      <c r="F166" s="41"/>
      <c r="G166" s="33"/>
      <c r="H166" s="946">
        <v>0</v>
      </c>
      <c r="I166" s="946">
        <f t="shared" ref="I166:M169" si="83">H166</f>
        <v>0</v>
      </c>
      <c r="J166" s="946">
        <f t="shared" si="83"/>
        <v>0</v>
      </c>
      <c r="K166" s="946">
        <f t="shared" si="83"/>
        <v>0</v>
      </c>
      <c r="L166" s="946">
        <f t="shared" si="83"/>
        <v>0</v>
      </c>
      <c r="M166" s="946">
        <f t="shared" si="83"/>
        <v>0</v>
      </c>
      <c r="N166" s="946">
        <f>M166</f>
        <v>0</v>
      </c>
      <c r="O166" s="149"/>
      <c r="P166" s="70"/>
    </row>
    <row r="167" spans="2:16" x14ac:dyDescent="0.2">
      <c r="B167" s="69"/>
      <c r="C167" s="149"/>
      <c r="D167" s="451"/>
      <c r="E167" s="33"/>
      <c r="F167" s="41"/>
      <c r="G167" s="33"/>
      <c r="H167" s="946">
        <v>0</v>
      </c>
      <c r="I167" s="946">
        <f t="shared" si="83"/>
        <v>0</v>
      </c>
      <c r="J167" s="946">
        <f t="shared" si="83"/>
        <v>0</v>
      </c>
      <c r="K167" s="946">
        <f t="shared" si="83"/>
        <v>0</v>
      </c>
      <c r="L167" s="946">
        <f t="shared" si="83"/>
        <v>0</v>
      </c>
      <c r="M167" s="946">
        <f t="shared" si="83"/>
        <v>0</v>
      </c>
      <c r="N167" s="946">
        <f>M167</f>
        <v>0</v>
      </c>
      <c r="O167" s="149"/>
      <c r="P167" s="70"/>
    </row>
    <row r="168" spans="2:16" x14ac:dyDescent="0.2">
      <c r="B168" s="69"/>
      <c r="C168" s="149"/>
      <c r="D168" s="451"/>
      <c r="E168" s="33"/>
      <c r="F168" s="41"/>
      <c r="G168" s="33"/>
      <c r="H168" s="946">
        <v>0</v>
      </c>
      <c r="I168" s="946">
        <f t="shared" si="83"/>
        <v>0</v>
      </c>
      <c r="J168" s="946">
        <f t="shared" si="83"/>
        <v>0</v>
      </c>
      <c r="K168" s="946">
        <f t="shared" si="83"/>
        <v>0</v>
      </c>
      <c r="L168" s="946">
        <f t="shared" si="83"/>
        <v>0</v>
      </c>
      <c r="M168" s="946">
        <f t="shared" si="83"/>
        <v>0</v>
      </c>
      <c r="N168" s="946">
        <f>M168</f>
        <v>0</v>
      </c>
      <c r="O168" s="149"/>
      <c r="P168" s="70"/>
    </row>
    <row r="169" spans="2:16" x14ac:dyDescent="0.2">
      <c r="B169" s="69"/>
      <c r="C169" s="149"/>
      <c r="D169" s="451"/>
      <c r="E169" s="33"/>
      <c r="F169" s="41"/>
      <c r="G169" s="33"/>
      <c r="H169" s="946">
        <v>0</v>
      </c>
      <c r="I169" s="946">
        <f t="shared" si="83"/>
        <v>0</v>
      </c>
      <c r="J169" s="946">
        <f t="shared" si="83"/>
        <v>0</v>
      </c>
      <c r="K169" s="946">
        <f t="shared" si="83"/>
        <v>0</v>
      </c>
      <c r="L169" s="946">
        <f t="shared" si="83"/>
        <v>0</v>
      </c>
      <c r="M169" s="946">
        <f t="shared" si="83"/>
        <v>0</v>
      </c>
      <c r="N169" s="946">
        <f>M169</f>
        <v>0</v>
      </c>
      <c r="O169" s="149"/>
      <c r="P169" s="70"/>
    </row>
    <row r="170" spans="2:16" x14ac:dyDescent="0.2">
      <c r="B170" s="69"/>
      <c r="C170" s="149"/>
      <c r="D170" s="33"/>
      <c r="E170" s="33"/>
      <c r="F170" s="144"/>
      <c r="G170" s="33"/>
      <c r="H170" s="427">
        <f t="shared" ref="H170:N170" si="84">SUM(H165:H169)</f>
        <v>0</v>
      </c>
      <c r="I170" s="427">
        <f t="shared" si="84"/>
        <v>0</v>
      </c>
      <c r="J170" s="427">
        <f t="shared" si="84"/>
        <v>0</v>
      </c>
      <c r="K170" s="427">
        <f t="shared" si="84"/>
        <v>0</v>
      </c>
      <c r="L170" s="427">
        <f t="shared" si="84"/>
        <v>0</v>
      </c>
      <c r="M170" s="427">
        <f t="shared" si="84"/>
        <v>0</v>
      </c>
      <c r="N170" s="427">
        <f t="shared" si="84"/>
        <v>0</v>
      </c>
      <c r="O170" s="149"/>
      <c r="P170" s="70"/>
    </row>
    <row r="171" spans="2:16" x14ac:dyDescent="0.2">
      <c r="B171" s="69"/>
      <c r="C171" s="74"/>
      <c r="D171" s="38"/>
      <c r="E171" s="38"/>
      <c r="F171" s="39"/>
      <c r="G171" s="38"/>
      <c r="H171" s="924"/>
      <c r="I171" s="924"/>
      <c r="J171" s="924"/>
      <c r="K171" s="924"/>
      <c r="L171" s="924"/>
      <c r="M171" s="924"/>
      <c r="N171" s="924"/>
      <c r="O171" s="74"/>
      <c r="P171" s="70"/>
    </row>
    <row r="172" spans="2:16" x14ac:dyDescent="0.2">
      <c r="B172" s="69"/>
      <c r="C172" s="928"/>
      <c r="D172" s="925"/>
      <c r="E172" s="925"/>
      <c r="F172" s="926"/>
      <c r="G172" s="925"/>
      <c r="H172" s="927"/>
      <c r="I172" s="927"/>
      <c r="J172" s="927"/>
      <c r="K172" s="927"/>
      <c r="L172" s="927"/>
      <c r="M172" s="927"/>
      <c r="N172" s="927"/>
      <c r="O172" s="929"/>
      <c r="P172" s="70"/>
    </row>
    <row r="173" spans="2:16" x14ac:dyDescent="0.2">
      <c r="B173" s="69"/>
      <c r="C173" s="149"/>
      <c r="D173" s="153"/>
      <c r="E173" s="149"/>
      <c r="F173" s="64"/>
      <c r="G173" s="149"/>
      <c r="H173" s="64"/>
      <c r="I173" s="64"/>
      <c r="J173" s="64"/>
      <c r="K173" s="64"/>
      <c r="L173" s="64"/>
      <c r="M173" s="64"/>
      <c r="N173" s="64"/>
      <c r="O173" s="149"/>
      <c r="P173" s="70"/>
    </row>
    <row r="174" spans="2:16" x14ac:dyDescent="0.2">
      <c r="B174" s="69"/>
      <c r="C174" s="149"/>
      <c r="D174" s="921" t="str">
        <f>bekost!D161</f>
        <v>programma 9</v>
      </c>
      <c r="E174" s="149"/>
      <c r="F174" s="64"/>
      <c r="G174" s="149"/>
      <c r="H174" s="64"/>
      <c r="I174" s="64"/>
      <c r="J174" s="64"/>
      <c r="K174" s="64"/>
      <c r="L174" s="64"/>
      <c r="M174" s="64"/>
      <c r="N174" s="64"/>
      <c r="O174" s="149"/>
      <c r="P174" s="70"/>
    </row>
    <row r="175" spans="2:16" x14ac:dyDescent="0.2">
      <c r="B175" s="69"/>
      <c r="C175" s="149"/>
      <c r="D175" s="147"/>
      <c r="E175" s="149"/>
      <c r="F175" s="64"/>
      <c r="G175" s="149"/>
      <c r="H175" s="64"/>
      <c r="I175" s="64"/>
      <c r="J175" s="64"/>
      <c r="K175" s="64"/>
      <c r="L175" s="64"/>
      <c r="M175" s="64"/>
      <c r="N175" s="64"/>
      <c r="O175" s="149"/>
      <c r="P175" s="70"/>
    </row>
    <row r="176" spans="2:16" x14ac:dyDescent="0.2">
      <c r="B176" s="69"/>
      <c r="C176" s="149"/>
      <c r="D176" s="153" t="s">
        <v>338</v>
      </c>
      <c r="E176" s="149"/>
      <c r="F176" s="64"/>
      <c r="G176" s="149"/>
      <c r="H176" s="59">
        <f>H13</f>
        <v>2023</v>
      </c>
      <c r="I176" s="59">
        <f t="shared" ref="I176:N176" si="85">I13</f>
        <v>2024</v>
      </c>
      <c r="J176" s="59">
        <f t="shared" si="85"/>
        <v>2025</v>
      </c>
      <c r="K176" s="59">
        <f t="shared" si="85"/>
        <v>2026</v>
      </c>
      <c r="L176" s="59">
        <f t="shared" si="85"/>
        <v>2027</v>
      </c>
      <c r="M176" s="59">
        <f t="shared" si="85"/>
        <v>2028</v>
      </c>
      <c r="N176" s="59" t="str">
        <f t="shared" si="85"/>
        <v>2025/26</v>
      </c>
      <c r="O176" s="149"/>
      <c r="P176" s="70"/>
    </row>
    <row r="177" spans="2:16" x14ac:dyDescent="0.2">
      <c r="B177" s="69"/>
      <c r="C177" s="149"/>
      <c r="D177" s="458"/>
      <c r="E177" s="33"/>
      <c r="F177" s="41"/>
      <c r="G177" s="33"/>
      <c r="H177" s="419">
        <v>0</v>
      </c>
      <c r="I177" s="419">
        <f t="shared" ref="I177:N177" si="86">H177</f>
        <v>0</v>
      </c>
      <c r="J177" s="419">
        <f t="shared" si="86"/>
        <v>0</v>
      </c>
      <c r="K177" s="419">
        <f t="shared" si="86"/>
        <v>0</v>
      </c>
      <c r="L177" s="419">
        <f t="shared" si="86"/>
        <v>0</v>
      </c>
      <c r="M177" s="419">
        <f t="shared" si="86"/>
        <v>0</v>
      </c>
      <c r="N177" s="419">
        <f t="shared" si="86"/>
        <v>0</v>
      </c>
      <c r="O177" s="149"/>
      <c r="P177" s="70"/>
    </row>
    <row r="178" spans="2:16" x14ac:dyDescent="0.2">
      <c r="B178" s="69"/>
      <c r="C178" s="149"/>
      <c r="D178" s="458"/>
      <c r="E178" s="33"/>
      <c r="F178" s="41"/>
      <c r="G178" s="33"/>
      <c r="H178" s="419">
        <v>0</v>
      </c>
      <c r="I178" s="419">
        <f t="shared" ref="I178:N178" si="87">H178</f>
        <v>0</v>
      </c>
      <c r="J178" s="419">
        <f t="shared" si="87"/>
        <v>0</v>
      </c>
      <c r="K178" s="419">
        <f t="shared" si="87"/>
        <v>0</v>
      </c>
      <c r="L178" s="419">
        <f t="shared" si="87"/>
        <v>0</v>
      </c>
      <c r="M178" s="419">
        <f t="shared" si="87"/>
        <v>0</v>
      </c>
      <c r="N178" s="419">
        <f t="shared" si="87"/>
        <v>0</v>
      </c>
      <c r="O178" s="149"/>
      <c r="P178" s="70"/>
    </row>
    <row r="179" spans="2:16" x14ac:dyDescent="0.2">
      <c r="B179" s="69"/>
      <c r="C179" s="149"/>
      <c r="D179" s="458"/>
      <c r="E179" s="33"/>
      <c r="F179" s="41"/>
      <c r="G179" s="33"/>
      <c r="H179" s="419">
        <v>0</v>
      </c>
      <c r="I179" s="419">
        <f t="shared" ref="I179:N179" si="88">H179</f>
        <v>0</v>
      </c>
      <c r="J179" s="419">
        <f t="shared" si="88"/>
        <v>0</v>
      </c>
      <c r="K179" s="419">
        <f t="shared" si="88"/>
        <v>0</v>
      </c>
      <c r="L179" s="419">
        <f t="shared" si="88"/>
        <v>0</v>
      </c>
      <c r="M179" s="419">
        <f t="shared" si="88"/>
        <v>0</v>
      </c>
      <c r="N179" s="419">
        <f t="shared" si="88"/>
        <v>0</v>
      </c>
      <c r="O179" s="149"/>
      <c r="P179" s="70"/>
    </row>
    <row r="180" spans="2:16" x14ac:dyDescent="0.2">
      <c r="B180" s="69"/>
      <c r="C180" s="149"/>
      <c r="D180" s="458"/>
      <c r="E180" s="33"/>
      <c r="F180" s="41"/>
      <c r="G180" s="33"/>
      <c r="H180" s="419">
        <v>0</v>
      </c>
      <c r="I180" s="419">
        <f t="shared" ref="I180:N180" si="89">H180</f>
        <v>0</v>
      </c>
      <c r="J180" s="419">
        <f t="shared" si="89"/>
        <v>0</v>
      </c>
      <c r="K180" s="419">
        <f t="shared" si="89"/>
        <v>0</v>
      </c>
      <c r="L180" s="419">
        <f t="shared" si="89"/>
        <v>0</v>
      </c>
      <c r="M180" s="419">
        <f t="shared" si="89"/>
        <v>0</v>
      </c>
      <c r="N180" s="419">
        <f t="shared" si="89"/>
        <v>0</v>
      </c>
      <c r="O180" s="173"/>
      <c r="P180" s="70"/>
    </row>
    <row r="181" spans="2:16" x14ac:dyDescent="0.2">
      <c r="B181" s="69"/>
      <c r="C181" s="149"/>
      <c r="D181" s="451"/>
      <c r="E181" s="33"/>
      <c r="F181" s="41"/>
      <c r="G181" s="33"/>
      <c r="H181" s="419">
        <v>0</v>
      </c>
      <c r="I181" s="419">
        <f t="shared" ref="I181:N181" si="90">H181</f>
        <v>0</v>
      </c>
      <c r="J181" s="419">
        <f t="shared" si="90"/>
        <v>0</v>
      </c>
      <c r="K181" s="419">
        <f t="shared" si="90"/>
        <v>0</v>
      </c>
      <c r="L181" s="419">
        <f t="shared" si="90"/>
        <v>0</v>
      </c>
      <c r="M181" s="419">
        <f t="shared" si="90"/>
        <v>0</v>
      </c>
      <c r="N181" s="419">
        <f t="shared" si="90"/>
        <v>0</v>
      </c>
      <c r="O181" s="173"/>
      <c r="P181" s="70"/>
    </row>
    <row r="182" spans="2:16" x14ac:dyDescent="0.2">
      <c r="B182" s="69"/>
      <c r="C182" s="149"/>
      <c r="D182" s="33"/>
      <c r="E182" s="33"/>
      <c r="F182" s="144"/>
      <c r="G182" s="33"/>
      <c r="H182" s="427">
        <f t="shared" ref="H182:M182" si="91">SUM(H177:H181)</f>
        <v>0</v>
      </c>
      <c r="I182" s="427">
        <f t="shared" si="91"/>
        <v>0</v>
      </c>
      <c r="J182" s="427">
        <f t="shared" si="91"/>
        <v>0</v>
      </c>
      <c r="K182" s="427">
        <f t="shared" si="91"/>
        <v>0</v>
      </c>
      <c r="L182" s="427">
        <f t="shared" si="91"/>
        <v>0</v>
      </c>
      <c r="M182" s="427">
        <f t="shared" si="91"/>
        <v>0</v>
      </c>
      <c r="N182" s="427">
        <f>SUM(N177:N181)</f>
        <v>0</v>
      </c>
      <c r="O182" s="149"/>
      <c r="P182" s="70"/>
    </row>
    <row r="183" spans="2:16" x14ac:dyDescent="0.2">
      <c r="B183" s="69"/>
      <c r="C183" s="149"/>
      <c r="D183" s="33"/>
      <c r="E183" s="33"/>
      <c r="F183" s="144"/>
      <c r="G183" s="33"/>
      <c r="H183" s="922"/>
      <c r="I183" s="922"/>
      <c r="J183" s="922"/>
      <c r="K183" s="922"/>
      <c r="L183" s="922"/>
      <c r="M183" s="922"/>
      <c r="N183" s="922"/>
      <c r="O183" s="149"/>
      <c r="P183" s="70"/>
    </row>
    <row r="184" spans="2:16" x14ac:dyDescent="0.2">
      <c r="B184" s="69"/>
      <c r="C184" s="149"/>
      <c r="D184" s="153" t="s">
        <v>339</v>
      </c>
      <c r="E184" s="33"/>
      <c r="F184" s="144"/>
      <c r="G184" s="33"/>
      <c r="H184" s="923">
        <f>H21</f>
        <v>2023</v>
      </c>
      <c r="I184" s="923">
        <f t="shared" ref="I184:N184" si="92">I21</f>
        <v>2024</v>
      </c>
      <c r="J184" s="923">
        <f t="shared" si="92"/>
        <v>2025</v>
      </c>
      <c r="K184" s="923">
        <f t="shared" si="92"/>
        <v>2026</v>
      </c>
      <c r="L184" s="923">
        <f t="shared" si="92"/>
        <v>2027</v>
      </c>
      <c r="M184" s="923">
        <f t="shared" si="92"/>
        <v>2028</v>
      </c>
      <c r="N184" s="923" t="str">
        <f t="shared" si="92"/>
        <v>2025/26</v>
      </c>
      <c r="O184" s="149"/>
      <c r="P184" s="70"/>
    </row>
    <row r="185" spans="2:16" x14ac:dyDescent="0.2">
      <c r="B185" s="69"/>
      <c r="C185" s="149"/>
      <c r="D185" s="458"/>
      <c r="E185" s="33"/>
      <c r="F185" s="41"/>
      <c r="G185" s="33"/>
      <c r="H185" s="946">
        <v>0</v>
      </c>
      <c r="I185" s="946">
        <f t="shared" ref="I185:N185" si="93">H185</f>
        <v>0</v>
      </c>
      <c r="J185" s="946">
        <f t="shared" si="93"/>
        <v>0</v>
      </c>
      <c r="K185" s="946">
        <f t="shared" si="93"/>
        <v>0</v>
      </c>
      <c r="L185" s="946">
        <f t="shared" si="93"/>
        <v>0</v>
      </c>
      <c r="M185" s="946">
        <f t="shared" si="93"/>
        <v>0</v>
      </c>
      <c r="N185" s="946">
        <f t="shared" si="93"/>
        <v>0</v>
      </c>
      <c r="O185" s="149"/>
      <c r="P185" s="70"/>
    </row>
    <row r="186" spans="2:16" x14ac:dyDescent="0.2">
      <c r="B186" s="69"/>
      <c r="C186" s="149"/>
      <c r="D186" s="451"/>
      <c r="E186" s="33"/>
      <c r="F186" s="41"/>
      <c r="G186" s="33"/>
      <c r="H186" s="946">
        <v>0</v>
      </c>
      <c r="I186" s="946">
        <f t="shared" ref="I186:M189" si="94">H186</f>
        <v>0</v>
      </c>
      <c r="J186" s="946">
        <f t="shared" si="94"/>
        <v>0</v>
      </c>
      <c r="K186" s="946">
        <f t="shared" si="94"/>
        <v>0</v>
      </c>
      <c r="L186" s="946">
        <f t="shared" si="94"/>
        <v>0</v>
      </c>
      <c r="M186" s="946">
        <f t="shared" si="94"/>
        <v>0</v>
      </c>
      <c r="N186" s="946">
        <f>M186</f>
        <v>0</v>
      </c>
      <c r="O186" s="149"/>
      <c r="P186" s="70"/>
    </row>
    <row r="187" spans="2:16" x14ac:dyDescent="0.2">
      <c r="B187" s="69"/>
      <c r="C187" s="149"/>
      <c r="D187" s="451"/>
      <c r="E187" s="33"/>
      <c r="F187" s="41"/>
      <c r="G187" s="33"/>
      <c r="H187" s="946">
        <v>0</v>
      </c>
      <c r="I187" s="946">
        <f t="shared" si="94"/>
        <v>0</v>
      </c>
      <c r="J187" s="946">
        <f t="shared" si="94"/>
        <v>0</v>
      </c>
      <c r="K187" s="946">
        <f t="shared" si="94"/>
        <v>0</v>
      </c>
      <c r="L187" s="946">
        <f t="shared" si="94"/>
        <v>0</v>
      </c>
      <c r="M187" s="946">
        <f t="shared" si="94"/>
        <v>0</v>
      </c>
      <c r="N187" s="946">
        <f>M187</f>
        <v>0</v>
      </c>
      <c r="O187" s="149"/>
      <c r="P187" s="70"/>
    </row>
    <row r="188" spans="2:16" x14ac:dyDescent="0.2">
      <c r="B188" s="69"/>
      <c r="C188" s="149"/>
      <c r="D188" s="451"/>
      <c r="E188" s="33"/>
      <c r="F188" s="41"/>
      <c r="G188" s="33"/>
      <c r="H188" s="946">
        <v>0</v>
      </c>
      <c r="I188" s="946">
        <f t="shared" si="94"/>
        <v>0</v>
      </c>
      <c r="J188" s="946">
        <f t="shared" si="94"/>
        <v>0</v>
      </c>
      <c r="K188" s="946">
        <f t="shared" si="94"/>
        <v>0</v>
      </c>
      <c r="L188" s="946">
        <f t="shared" si="94"/>
        <v>0</v>
      </c>
      <c r="M188" s="946">
        <f t="shared" si="94"/>
        <v>0</v>
      </c>
      <c r="N188" s="946">
        <f>M188</f>
        <v>0</v>
      </c>
      <c r="O188" s="149"/>
      <c r="P188" s="70"/>
    </row>
    <row r="189" spans="2:16" x14ac:dyDescent="0.2">
      <c r="B189" s="69"/>
      <c r="C189" s="149"/>
      <c r="D189" s="451"/>
      <c r="E189" s="33"/>
      <c r="F189" s="41"/>
      <c r="G189" s="33"/>
      <c r="H189" s="946">
        <v>0</v>
      </c>
      <c r="I189" s="946">
        <f t="shared" si="94"/>
        <v>0</v>
      </c>
      <c r="J189" s="946">
        <f t="shared" si="94"/>
        <v>0</v>
      </c>
      <c r="K189" s="946">
        <f t="shared" si="94"/>
        <v>0</v>
      </c>
      <c r="L189" s="946">
        <f t="shared" si="94"/>
        <v>0</v>
      </c>
      <c r="M189" s="946">
        <f t="shared" si="94"/>
        <v>0</v>
      </c>
      <c r="N189" s="946">
        <f>M189</f>
        <v>0</v>
      </c>
      <c r="O189" s="149"/>
      <c r="P189" s="70"/>
    </row>
    <row r="190" spans="2:16" x14ac:dyDescent="0.2">
      <c r="B190" s="508"/>
      <c r="C190" s="149"/>
      <c r="D190" s="33"/>
      <c r="E190" s="33"/>
      <c r="F190" s="144"/>
      <c r="G190" s="33"/>
      <c r="H190" s="427">
        <f t="shared" ref="H190:N190" si="95">SUM(H185:H189)</f>
        <v>0</v>
      </c>
      <c r="I190" s="427">
        <f t="shared" si="95"/>
        <v>0</v>
      </c>
      <c r="J190" s="427">
        <f t="shared" si="95"/>
        <v>0</v>
      </c>
      <c r="K190" s="427">
        <f t="shared" si="95"/>
        <v>0</v>
      </c>
      <c r="L190" s="427">
        <f t="shared" si="95"/>
        <v>0</v>
      </c>
      <c r="M190" s="427">
        <f t="shared" si="95"/>
        <v>0</v>
      </c>
      <c r="N190" s="427">
        <f t="shared" si="95"/>
        <v>0</v>
      </c>
      <c r="O190" s="149"/>
      <c r="P190" s="529"/>
    </row>
    <row r="191" spans="2:16" s="649" customFormat="1" x14ac:dyDescent="0.2">
      <c r="B191" s="508"/>
      <c r="C191" s="74"/>
      <c r="D191" s="38"/>
      <c r="E191" s="38"/>
      <c r="F191" s="39"/>
      <c r="G191" s="38"/>
      <c r="H191" s="924"/>
      <c r="I191" s="924"/>
      <c r="J191" s="924"/>
      <c r="K191" s="924"/>
      <c r="L191" s="924"/>
      <c r="M191" s="924"/>
      <c r="N191" s="924"/>
      <c r="O191" s="74"/>
      <c r="P191" s="905"/>
    </row>
    <row r="192" spans="2:16" s="649" customFormat="1" x14ac:dyDescent="0.2">
      <c r="B192" s="508"/>
      <c r="C192" s="928"/>
      <c r="D192" s="925"/>
      <c r="E192" s="925"/>
      <c r="F192" s="926"/>
      <c r="G192" s="925"/>
      <c r="H192" s="927"/>
      <c r="I192" s="927"/>
      <c r="J192" s="927"/>
      <c r="K192" s="927"/>
      <c r="L192" s="927"/>
      <c r="M192" s="927"/>
      <c r="N192" s="927"/>
      <c r="O192" s="929"/>
      <c r="P192" s="905"/>
    </row>
    <row r="193" spans="2:16" s="649" customFormat="1" x14ac:dyDescent="0.2">
      <c r="B193" s="508"/>
      <c r="C193" s="149"/>
      <c r="D193" s="153"/>
      <c r="E193" s="149"/>
      <c r="F193" s="64"/>
      <c r="G193" s="149"/>
      <c r="H193" s="64"/>
      <c r="I193" s="64"/>
      <c r="J193" s="64"/>
      <c r="K193" s="64"/>
      <c r="L193" s="64"/>
      <c r="M193" s="64"/>
      <c r="N193" s="64"/>
      <c r="O193" s="149"/>
      <c r="P193" s="905"/>
    </row>
    <row r="194" spans="2:16" s="649" customFormat="1" x14ac:dyDescent="0.2">
      <c r="B194" s="508"/>
      <c r="C194" s="149"/>
      <c r="D194" s="921" t="str">
        <f>bekost!D162</f>
        <v>programma 10</v>
      </c>
      <c r="E194" s="149"/>
      <c r="F194" s="64"/>
      <c r="G194" s="149"/>
      <c r="H194" s="64"/>
      <c r="I194" s="64"/>
      <c r="J194" s="64"/>
      <c r="K194" s="64"/>
      <c r="L194" s="64"/>
      <c r="M194" s="64"/>
      <c r="N194" s="64"/>
      <c r="O194" s="149"/>
      <c r="P194" s="905"/>
    </row>
    <row r="195" spans="2:16" s="649" customFormat="1" x14ac:dyDescent="0.2">
      <c r="B195" s="508"/>
      <c r="C195" s="149"/>
      <c r="D195" s="147"/>
      <c r="E195" s="149"/>
      <c r="F195" s="64"/>
      <c r="G195" s="149"/>
      <c r="H195" s="64"/>
      <c r="I195" s="64"/>
      <c r="J195" s="64"/>
      <c r="K195" s="64"/>
      <c r="L195" s="64"/>
      <c r="M195" s="64"/>
      <c r="N195" s="64"/>
      <c r="O195" s="149"/>
      <c r="P195" s="905"/>
    </row>
    <row r="196" spans="2:16" s="649" customFormat="1" x14ac:dyDescent="0.2">
      <c r="B196" s="508"/>
      <c r="C196" s="149"/>
      <c r="D196" s="153" t="s">
        <v>338</v>
      </c>
      <c r="E196" s="149"/>
      <c r="F196" s="64"/>
      <c r="G196" s="149"/>
      <c r="H196" s="59">
        <f>H13</f>
        <v>2023</v>
      </c>
      <c r="I196" s="59">
        <f t="shared" ref="I196:N196" si="96">I13</f>
        <v>2024</v>
      </c>
      <c r="J196" s="59">
        <f t="shared" si="96"/>
        <v>2025</v>
      </c>
      <c r="K196" s="59">
        <f t="shared" si="96"/>
        <v>2026</v>
      </c>
      <c r="L196" s="59">
        <f t="shared" si="96"/>
        <v>2027</v>
      </c>
      <c r="M196" s="59">
        <f t="shared" si="96"/>
        <v>2028</v>
      </c>
      <c r="N196" s="59" t="str">
        <f t="shared" si="96"/>
        <v>2025/26</v>
      </c>
      <c r="O196" s="149"/>
      <c r="P196" s="905"/>
    </row>
    <row r="197" spans="2:16" s="649" customFormat="1" x14ac:dyDescent="0.2">
      <c r="B197" s="508"/>
      <c r="C197" s="149"/>
      <c r="D197" s="458"/>
      <c r="E197" s="33"/>
      <c r="F197" s="41"/>
      <c r="G197" s="33"/>
      <c r="H197" s="419">
        <v>0</v>
      </c>
      <c r="I197" s="419">
        <f t="shared" ref="I197:N197" si="97">H197</f>
        <v>0</v>
      </c>
      <c r="J197" s="419">
        <f t="shared" si="97"/>
        <v>0</v>
      </c>
      <c r="K197" s="419">
        <f t="shared" si="97"/>
        <v>0</v>
      </c>
      <c r="L197" s="419">
        <f t="shared" si="97"/>
        <v>0</v>
      </c>
      <c r="M197" s="419">
        <f t="shared" si="97"/>
        <v>0</v>
      </c>
      <c r="N197" s="419">
        <f t="shared" si="97"/>
        <v>0</v>
      </c>
      <c r="O197" s="149"/>
      <c r="P197" s="905"/>
    </row>
    <row r="198" spans="2:16" s="649" customFormat="1" x14ac:dyDescent="0.2">
      <c r="B198" s="508"/>
      <c r="C198" s="149"/>
      <c r="D198" s="458"/>
      <c r="E198" s="33"/>
      <c r="F198" s="41"/>
      <c r="G198" s="33"/>
      <c r="H198" s="419">
        <v>0</v>
      </c>
      <c r="I198" s="419">
        <f t="shared" ref="I198:N198" si="98">H198</f>
        <v>0</v>
      </c>
      <c r="J198" s="419">
        <f t="shared" si="98"/>
        <v>0</v>
      </c>
      <c r="K198" s="419">
        <f t="shared" si="98"/>
        <v>0</v>
      </c>
      <c r="L198" s="419">
        <f t="shared" si="98"/>
        <v>0</v>
      </c>
      <c r="M198" s="419">
        <f t="shared" si="98"/>
        <v>0</v>
      </c>
      <c r="N198" s="419">
        <f t="shared" si="98"/>
        <v>0</v>
      </c>
      <c r="O198" s="149"/>
      <c r="P198" s="905"/>
    </row>
    <row r="199" spans="2:16" s="649" customFormat="1" x14ac:dyDescent="0.2">
      <c r="B199" s="508"/>
      <c r="C199" s="149"/>
      <c r="D199" s="458"/>
      <c r="E199" s="33"/>
      <c r="F199" s="41"/>
      <c r="G199" s="33"/>
      <c r="H199" s="419">
        <v>0</v>
      </c>
      <c r="I199" s="419">
        <f t="shared" ref="I199:N199" si="99">H199</f>
        <v>0</v>
      </c>
      <c r="J199" s="419">
        <f t="shared" si="99"/>
        <v>0</v>
      </c>
      <c r="K199" s="419">
        <f t="shared" si="99"/>
        <v>0</v>
      </c>
      <c r="L199" s="419">
        <f t="shared" si="99"/>
        <v>0</v>
      </c>
      <c r="M199" s="419">
        <f t="shared" si="99"/>
        <v>0</v>
      </c>
      <c r="N199" s="419">
        <f t="shared" si="99"/>
        <v>0</v>
      </c>
      <c r="O199" s="149"/>
      <c r="P199" s="905"/>
    </row>
    <row r="200" spans="2:16" s="649" customFormat="1" x14ac:dyDescent="0.2">
      <c r="B200" s="508"/>
      <c r="C200" s="149"/>
      <c r="D200" s="458"/>
      <c r="E200" s="33"/>
      <c r="F200" s="41"/>
      <c r="G200" s="33"/>
      <c r="H200" s="419">
        <v>0</v>
      </c>
      <c r="I200" s="419">
        <f t="shared" ref="I200:N200" si="100">H200</f>
        <v>0</v>
      </c>
      <c r="J200" s="419">
        <f t="shared" si="100"/>
        <v>0</v>
      </c>
      <c r="K200" s="419">
        <f t="shared" si="100"/>
        <v>0</v>
      </c>
      <c r="L200" s="419">
        <f t="shared" si="100"/>
        <v>0</v>
      </c>
      <c r="M200" s="419">
        <f t="shared" si="100"/>
        <v>0</v>
      </c>
      <c r="N200" s="419">
        <f t="shared" si="100"/>
        <v>0</v>
      </c>
      <c r="O200" s="173"/>
      <c r="P200" s="905"/>
    </row>
    <row r="201" spans="2:16" s="649" customFormat="1" x14ac:dyDescent="0.2">
      <c r="B201" s="508"/>
      <c r="C201" s="149"/>
      <c r="D201" s="451"/>
      <c r="E201" s="33"/>
      <c r="F201" s="41"/>
      <c r="G201" s="33"/>
      <c r="H201" s="419">
        <v>0</v>
      </c>
      <c r="I201" s="419">
        <f t="shared" ref="I201:N201" si="101">H201</f>
        <v>0</v>
      </c>
      <c r="J201" s="419">
        <f t="shared" si="101"/>
        <v>0</v>
      </c>
      <c r="K201" s="419">
        <f t="shared" si="101"/>
        <v>0</v>
      </c>
      <c r="L201" s="419">
        <f t="shared" si="101"/>
        <v>0</v>
      </c>
      <c r="M201" s="419">
        <f t="shared" si="101"/>
        <v>0</v>
      </c>
      <c r="N201" s="419">
        <f t="shared" si="101"/>
        <v>0</v>
      </c>
      <c r="O201" s="173"/>
      <c r="P201" s="905"/>
    </row>
    <row r="202" spans="2:16" s="649" customFormat="1" x14ac:dyDescent="0.2">
      <c r="B202" s="508"/>
      <c r="C202" s="149"/>
      <c r="D202" s="33"/>
      <c r="E202" s="33"/>
      <c r="F202" s="144"/>
      <c r="G202" s="33"/>
      <c r="H202" s="427">
        <f t="shared" ref="H202:M202" si="102">SUM(H197:H201)</f>
        <v>0</v>
      </c>
      <c r="I202" s="427">
        <f t="shared" si="102"/>
        <v>0</v>
      </c>
      <c r="J202" s="427">
        <f t="shared" si="102"/>
        <v>0</v>
      </c>
      <c r="K202" s="427">
        <f t="shared" si="102"/>
        <v>0</v>
      </c>
      <c r="L202" s="427">
        <f t="shared" si="102"/>
        <v>0</v>
      </c>
      <c r="M202" s="427">
        <f t="shared" si="102"/>
        <v>0</v>
      </c>
      <c r="N202" s="427">
        <f>SUM(N197:N201)</f>
        <v>0</v>
      </c>
      <c r="O202" s="149"/>
      <c r="P202" s="905"/>
    </row>
    <row r="203" spans="2:16" s="649" customFormat="1" x14ac:dyDescent="0.2">
      <c r="B203" s="508"/>
      <c r="C203" s="149"/>
      <c r="D203" s="33"/>
      <c r="E203" s="33"/>
      <c r="F203" s="144"/>
      <c r="G203" s="33"/>
      <c r="H203" s="922"/>
      <c r="I203" s="922"/>
      <c r="J203" s="922"/>
      <c r="K203" s="922"/>
      <c r="L203" s="922"/>
      <c r="M203" s="922"/>
      <c r="N203" s="922"/>
      <c r="O203" s="149"/>
      <c r="P203" s="905"/>
    </row>
    <row r="204" spans="2:16" s="649" customFormat="1" x14ac:dyDescent="0.2">
      <c r="B204" s="508"/>
      <c r="C204" s="149"/>
      <c r="D204" s="153" t="s">
        <v>339</v>
      </c>
      <c r="E204" s="33"/>
      <c r="F204" s="144"/>
      <c r="G204" s="33"/>
      <c r="H204" s="923">
        <f>H21</f>
        <v>2023</v>
      </c>
      <c r="I204" s="923">
        <f t="shared" ref="I204:N204" si="103">I21</f>
        <v>2024</v>
      </c>
      <c r="J204" s="923">
        <f t="shared" si="103"/>
        <v>2025</v>
      </c>
      <c r="K204" s="923">
        <f t="shared" si="103"/>
        <v>2026</v>
      </c>
      <c r="L204" s="923">
        <f t="shared" si="103"/>
        <v>2027</v>
      </c>
      <c r="M204" s="923">
        <f t="shared" si="103"/>
        <v>2028</v>
      </c>
      <c r="N204" s="923" t="str">
        <f t="shared" si="103"/>
        <v>2025/26</v>
      </c>
      <c r="O204" s="149"/>
      <c r="P204" s="905"/>
    </row>
    <row r="205" spans="2:16" s="649" customFormat="1" x14ac:dyDescent="0.2">
      <c r="B205" s="508"/>
      <c r="C205" s="149"/>
      <c r="D205" s="458"/>
      <c r="E205" s="33"/>
      <c r="F205" s="41"/>
      <c r="G205" s="33"/>
      <c r="H205" s="946">
        <v>0</v>
      </c>
      <c r="I205" s="946">
        <f t="shared" ref="I205:N205" si="104">H205</f>
        <v>0</v>
      </c>
      <c r="J205" s="946">
        <f t="shared" si="104"/>
        <v>0</v>
      </c>
      <c r="K205" s="946">
        <f t="shared" si="104"/>
        <v>0</v>
      </c>
      <c r="L205" s="946">
        <f t="shared" si="104"/>
        <v>0</v>
      </c>
      <c r="M205" s="946">
        <f t="shared" si="104"/>
        <v>0</v>
      </c>
      <c r="N205" s="946">
        <f t="shared" si="104"/>
        <v>0</v>
      </c>
      <c r="O205" s="149"/>
      <c r="P205" s="905"/>
    </row>
    <row r="206" spans="2:16" s="649" customFormat="1" x14ac:dyDescent="0.2">
      <c r="B206" s="508"/>
      <c r="C206" s="149"/>
      <c r="D206" s="451"/>
      <c r="E206" s="33"/>
      <c r="F206" s="41"/>
      <c r="G206" s="33"/>
      <c r="H206" s="946">
        <v>0</v>
      </c>
      <c r="I206" s="946">
        <f t="shared" ref="I206:M209" si="105">H206</f>
        <v>0</v>
      </c>
      <c r="J206" s="946">
        <f t="shared" si="105"/>
        <v>0</v>
      </c>
      <c r="K206" s="946">
        <f t="shared" si="105"/>
        <v>0</v>
      </c>
      <c r="L206" s="946">
        <f t="shared" si="105"/>
        <v>0</v>
      </c>
      <c r="M206" s="946">
        <f t="shared" si="105"/>
        <v>0</v>
      </c>
      <c r="N206" s="946">
        <f>M206</f>
        <v>0</v>
      </c>
      <c r="O206" s="149"/>
      <c r="P206" s="905"/>
    </row>
    <row r="207" spans="2:16" s="649" customFormat="1" x14ac:dyDescent="0.2">
      <c r="B207" s="508"/>
      <c r="C207" s="149"/>
      <c r="D207" s="451"/>
      <c r="E207" s="33"/>
      <c r="F207" s="41"/>
      <c r="G207" s="33"/>
      <c r="H207" s="946">
        <v>0</v>
      </c>
      <c r="I207" s="946">
        <f t="shared" si="105"/>
        <v>0</v>
      </c>
      <c r="J207" s="946">
        <f t="shared" si="105"/>
        <v>0</v>
      </c>
      <c r="K207" s="946">
        <f t="shared" si="105"/>
        <v>0</v>
      </c>
      <c r="L207" s="946">
        <f t="shared" si="105"/>
        <v>0</v>
      </c>
      <c r="M207" s="946">
        <f t="shared" si="105"/>
        <v>0</v>
      </c>
      <c r="N207" s="946">
        <f>M207</f>
        <v>0</v>
      </c>
      <c r="O207" s="149"/>
      <c r="P207" s="905"/>
    </row>
    <row r="208" spans="2:16" s="649" customFormat="1" x14ac:dyDescent="0.2">
      <c r="B208" s="508"/>
      <c r="C208" s="149"/>
      <c r="D208" s="451"/>
      <c r="E208" s="33"/>
      <c r="F208" s="41"/>
      <c r="G208" s="33"/>
      <c r="H208" s="946">
        <v>0</v>
      </c>
      <c r="I208" s="946">
        <f t="shared" si="105"/>
        <v>0</v>
      </c>
      <c r="J208" s="946">
        <f t="shared" si="105"/>
        <v>0</v>
      </c>
      <c r="K208" s="946">
        <f t="shared" si="105"/>
        <v>0</v>
      </c>
      <c r="L208" s="946">
        <f t="shared" si="105"/>
        <v>0</v>
      </c>
      <c r="M208" s="946">
        <f t="shared" si="105"/>
        <v>0</v>
      </c>
      <c r="N208" s="946">
        <f>M208</f>
        <v>0</v>
      </c>
      <c r="O208" s="149"/>
      <c r="P208" s="905"/>
    </row>
    <row r="209" spans="2:16" s="649" customFormat="1" x14ac:dyDescent="0.2">
      <c r="B209" s="508"/>
      <c r="C209" s="149"/>
      <c r="D209" s="451"/>
      <c r="E209" s="33"/>
      <c r="F209" s="41"/>
      <c r="G209" s="33"/>
      <c r="H209" s="946">
        <v>0</v>
      </c>
      <c r="I209" s="946">
        <f t="shared" si="105"/>
        <v>0</v>
      </c>
      <c r="J209" s="946">
        <f t="shared" si="105"/>
        <v>0</v>
      </c>
      <c r="K209" s="946">
        <f t="shared" si="105"/>
        <v>0</v>
      </c>
      <c r="L209" s="946">
        <f t="shared" si="105"/>
        <v>0</v>
      </c>
      <c r="M209" s="946">
        <f t="shared" si="105"/>
        <v>0</v>
      </c>
      <c r="N209" s="946">
        <f>M209</f>
        <v>0</v>
      </c>
      <c r="O209" s="149"/>
      <c r="P209" s="905"/>
    </row>
    <row r="210" spans="2:16" s="649" customFormat="1" x14ac:dyDescent="0.2">
      <c r="B210" s="508"/>
      <c r="C210" s="149"/>
      <c r="D210" s="33"/>
      <c r="E210" s="33"/>
      <c r="F210" s="144"/>
      <c r="G210" s="33"/>
      <c r="H210" s="953">
        <f t="shared" ref="H210:N210" si="106">SUM(H205:H209)</f>
        <v>0</v>
      </c>
      <c r="I210" s="427">
        <f t="shared" si="106"/>
        <v>0</v>
      </c>
      <c r="J210" s="427">
        <f t="shared" si="106"/>
        <v>0</v>
      </c>
      <c r="K210" s="427">
        <f t="shared" si="106"/>
        <v>0</v>
      </c>
      <c r="L210" s="427">
        <f t="shared" si="106"/>
        <v>0</v>
      </c>
      <c r="M210" s="427">
        <f t="shared" si="106"/>
        <v>0</v>
      </c>
      <c r="N210" s="427">
        <f t="shared" si="106"/>
        <v>0</v>
      </c>
      <c r="O210" s="149"/>
      <c r="P210" s="905"/>
    </row>
    <row r="211" spans="2:16" s="649" customFormat="1" x14ac:dyDescent="0.2">
      <c r="B211" s="508"/>
      <c r="C211" s="74"/>
      <c r="D211" s="38"/>
      <c r="E211" s="38"/>
      <c r="F211" s="39"/>
      <c r="G211" s="38"/>
      <c r="H211" s="924"/>
      <c r="I211" s="924"/>
      <c r="J211" s="924"/>
      <c r="K211" s="924"/>
      <c r="L211" s="924"/>
      <c r="M211" s="924"/>
      <c r="N211" s="924"/>
      <c r="O211" s="74"/>
      <c r="P211" s="905"/>
    </row>
    <row r="212" spans="2:16" s="649" customFormat="1" x14ac:dyDescent="0.2">
      <c r="B212" s="508"/>
      <c r="C212" s="100"/>
      <c r="D212" s="6"/>
      <c r="E212" s="6"/>
      <c r="F212" s="130"/>
      <c r="G212" s="6"/>
      <c r="H212" s="950"/>
      <c r="I212" s="950"/>
      <c r="J212" s="950"/>
      <c r="K212" s="950"/>
      <c r="L212" s="950"/>
      <c r="M212" s="950"/>
      <c r="N212" s="950"/>
      <c r="O212" s="100"/>
      <c r="P212" s="905"/>
    </row>
    <row r="213" spans="2:16" s="649" customFormat="1" x14ac:dyDescent="0.2">
      <c r="B213" s="508"/>
      <c r="C213" s="100"/>
      <c r="D213" s="103"/>
      <c r="E213" s="6"/>
      <c r="F213" s="130"/>
      <c r="G213" s="6"/>
      <c r="H213" s="951">
        <f>H13</f>
        <v>2023</v>
      </c>
      <c r="I213" s="951">
        <f t="shared" ref="I213:N213" si="107">I13</f>
        <v>2024</v>
      </c>
      <c r="J213" s="951">
        <f t="shared" si="107"/>
        <v>2025</v>
      </c>
      <c r="K213" s="951">
        <f t="shared" si="107"/>
        <v>2026</v>
      </c>
      <c r="L213" s="951">
        <f t="shared" si="107"/>
        <v>2027</v>
      </c>
      <c r="M213" s="950">
        <f t="shared" si="107"/>
        <v>2028</v>
      </c>
      <c r="N213" s="950" t="str">
        <f t="shared" si="107"/>
        <v>2025/26</v>
      </c>
      <c r="O213" s="100"/>
      <c r="P213" s="905"/>
    </row>
    <row r="214" spans="2:16" s="649" customFormat="1" x14ac:dyDescent="0.2">
      <c r="B214" s="508"/>
      <c r="C214" s="100"/>
      <c r="D214" s="103" t="s">
        <v>512</v>
      </c>
      <c r="E214" s="6"/>
      <c r="F214" s="130"/>
      <c r="G214" s="6"/>
      <c r="H214" s="954">
        <f t="shared" ref="H214:N214" si="108">H19+H39+H59+H79+H99+H122+H142+H162+H182+H202</f>
        <v>12345</v>
      </c>
      <c r="I214" s="954">
        <f t="shared" si="108"/>
        <v>12345</v>
      </c>
      <c r="J214" s="954">
        <f t="shared" si="108"/>
        <v>12345</v>
      </c>
      <c r="K214" s="954">
        <f t="shared" si="108"/>
        <v>12345</v>
      </c>
      <c r="L214" s="954">
        <f t="shared" si="108"/>
        <v>12345</v>
      </c>
      <c r="M214" s="954">
        <f t="shared" si="108"/>
        <v>12345</v>
      </c>
      <c r="N214" s="954">
        <f t="shared" si="108"/>
        <v>12345</v>
      </c>
      <c r="O214" s="100"/>
      <c r="P214" s="905"/>
    </row>
    <row r="215" spans="2:16" s="649" customFormat="1" x14ac:dyDescent="0.2">
      <c r="B215" s="508"/>
      <c r="C215" s="100"/>
      <c r="D215" s="103"/>
      <c r="E215" s="6"/>
      <c r="F215" s="130"/>
      <c r="G215" s="6"/>
      <c r="H215" s="950"/>
      <c r="I215" s="950"/>
      <c r="J215" s="950"/>
      <c r="K215" s="950"/>
      <c r="L215" s="950"/>
      <c r="M215" s="950"/>
      <c r="N215" s="950"/>
      <c r="O215" s="100"/>
      <c r="P215" s="905"/>
    </row>
    <row r="216" spans="2:16" s="649" customFormat="1" x14ac:dyDescent="0.2">
      <c r="B216" s="508"/>
      <c r="C216" s="100"/>
      <c r="D216" s="103"/>
      <c r="E216" s="6"/>
      <c r="F216" s="130"/>
      <c r="G216" s="6"/>
      <c r="H216" s="951">
        <f>H21</f>
        <v>2023</v>
      </c>
      <c r="I216" s="951">
        <f t="shared" ref="I216:N216" si="109">I21</f>
        <v>2024</v>
      </c>
      <c r="J216" s="951">
        <f t="shared" si="109"/>
        <v>2025</v>
      </c>
      <c r="K216" s="951">
        <f t="shared" si="109"/>
        <v>2026</v>
      </c>
      <c r="L216" s="951">
        <f t="shared" si="109"/>
        <v>2027</v>
      </c>
      <c r="M216" s="951">
        <f t="shared" si="109"/>
        <v>2028</v>
      </c>
      <c r="N216" s="951" t="str">
        <f t="shared" si="109"/>
        <v>2025/26</v>
      </c>
      <c r="O216" s="100"/>
      <c r="P216" s="905"/>
    </row>
    <row r="217" spans="2:16" s="649" customFormat="1" x14ac:dyDescent="0.2">
      <c r="B217" s="508"/>
      <c r="C217" s="100"/>
      <c r="D217" s="103" t="s">
        <v>513</v>
      </c>
      <c r="E217" s="6"/>
      <c r="F217" s="130"/>
      <c r="G217" s="6"/>
      <c r="H217" s="954">
        <f>H27+H47+H67+H87+H107+H130+H150+H170+H190+H210</f>
        <v>1234</v>
      </c>
      <c r="I217" s="954">
        <f t="shared" ref="I217:M217" si="110">I27+I47+I67+I87+I107+I130+I170+I190+I210</f>
        <v>1234</v>
      </c>
      <c r="J217" s="954">
        <f t="shared" si="110"/>
        <v>1234</v>
      </c>
      <c r="K217" s="954">
        <f t="shared" si="110"/>
        <v>1234</v>
      </c>
      <c r="L217" s="954">
        <f t="shared" si="110"/>
        <v>1234</v>
      </c>
      <c r="M217" s="954">
        <f t="shared" si="110"/>
        <v>1234</v>
      </c>
      <c r="N217" s="954">
        <f>N27+N47+N67+N87+N107+N130+N170+N190+N210</f>
        <v>1234</v>
      </c>
      <c r="O217" s="100"/>
      <c r="P217" s="905"/>
    </row>
    <row r="218" spans="2:16" s="649" customFormat="1" x14ac:dyDescent="0.2">
      <c r="B218" s="508"/>
      <c r="C218" s="100"/>
      <c r="D218" s="6"/>
      <c r="E218" s="6"/>
      <c r="F218" s="130"/>
      <c r="G218" s="6"/>
      <c r="H218" s="950"/>
      <c r="I218" s="950"/>
      <c r="J218" s="950"/>
      <c r="K218" s="950"/>
      <c r="L218" s="950"/>
      <c r="M218" s="950"/>
      <c r="N218" s="950"/>
      <c r="O218" s="100"/>
      <c r="P218" s="905"/>
    </row>
    <row r="219" spans="2:16" s="649" customFormat="1" x14ac:dyDescent="0.2">
      <c r="B219" s="508"/>
      <c r="C219" s="100"/>
      <c r="D219" s="6"/>
      <c r="E219" s="6"/>
      <c r="F219" s="130"/>
      <c r="G219" s="6"/>
      <c r="H219" s="950"/>
      <c r="I219" s="950"/>
      <c r="J219" s="950"/>
      <c r="K219" s="950"/>
      <c r="L219" s="950"/>
      <c r="M219" s="950"/>
      <c r="N219" s="950"/>
      <c r="O219" s="100"/>
      <c r="P219" s="905"/>
    </row>
    <row r="220" spans="2:16" s="649" customFormat="1" x14ac:dyDescent="0.2">
      <c r="B220" s="508"/>
      <c r="C220" s="100"/>
      <c r="D220" s="6"/>
      <c r="E220" s="6"/>
      <c r="F220" s="130"/>
      <c r="G220" s="6"/>
      <c r="H220" s="950"/>
      <c r="I220" s="950"/>
      <c r="J220" s="950"/>
      <c r="K220" s="950"/>
      <c r="L220" s="950"/>
      <c r="M220" s="950"/>
      <c r="N220" s="950"/>
      <c r="O220" s="100"/>
      <c r="P220" s="905"/>
    </row>
    <row r="221" spans="2:16" s="649" customFormat="1" x14ac:dyDescent="0.2">
      <c r="B221" s="932"/>
      <c r="C221" s="933"/>
      <c r="D221" s="934"/>
      <c r="E221" s="934"/>
      <c r="F221" s="935"/>
      <c r="G221" s="934"/>
      <c r="H221" s="936"/>
      <c r="I221" s="936"/>
      <c r="J221" s="936"/>
      <c r="K221" s="936"/>
      <c r="L221" s="936"/>
      <c r="M221" s="936"/>
      <c r="N221" s="936"/>
      <c r="O221" s="937"/>
      <c r="P221" s="905"/>
    </row>
    <row r="222" spans="2:16" s="649" customFormat="1" x14ac:dyDescent="0.2">
      <c r="B222" s="945"/>
      <c r="C222" s="930"/>
      <c r="D222" s="930"/>
      <c r="E222" s="930"/>
      <c r="F222" s="930"/>
      <c r="G222" s="930"/>
      <c r="H222" s="930"/>
      <c r="I222" s="930"/>
      <c r="J222" s="930"/>
      <c r="K222" s="930"/>
      <c r="L222" s="930"/>
      <c r="M222" s="930"/>
      <c r="N222" s="930"/>
      <c r="O222" s="930"/>
      <c r="P222" s="931"/>
    </row>
    <row r="223" spans="2:16" s="649" customFormat="1" x14ac:dyDescent="0.2"/>
    <row r="224" spans="2:16" s="649" customFormat="1" x14ac:dyDescent="0.2"/>
    <row r="225" s="649" customFormat="1" x14ac:dyDescent="0.2"/>
    <row r="226" s="649" customFormat="1" x14ac:dyDescent="0.2"/>
    <row r="227" s="649" customFormat="1" x14ac:dyDescent="0.2"/>
    <row r="228" s="649" customFormat="1" x14ac:dyDescent="0.2"/>
    <row r="229" s="649" customFormat="1" x14ac:dyDescent="0.2"/>
    <row r="230" s="649" customFormat="1" x14ac:dyDescent="0.2"/>
    <row r="231" s="649" customFormat="1" x14ac:dyDescent="0.2"/>
    <row r="232" s="649" customFormat="1" x14ac:dyDescent="0.2"/>
    <row r="233" s="649" customFormat="1" x14ac:dyDescent="0.2"/>
    <row r="234" s="649" customFormat="1" x14ac:dyDescent="0.2"/>
    <row r="235" s="649" customFormat="1" x14ac:dyDescent="0.2"/>
    <row r="236" s="649" customFormat="1" x14ac:dyDescent="0.2"/>
    <row r="237" s="649" customFormat="1" x14ac:dyDescent="0.2"/>
    <row r="238" s="649" customFormat="1" x14ac:dyDescent="0.2"/>
    <row r="239" s="649" customFormat="1" x14ac:dyDescent="0.2"/>
    <row r="240" s="649" customFormat="1" x14ac:dyDescent="0.2"/>
    <row r="241" s="649" customFormat="1" x14ac:dyDescent="0.2"/>
    <row r="242" s="649" customFormat="1" x14ac:dyDescent="0.2"/>
    <row r="243" s="649" customFormat="1" x14ac:dyDescent="0.2"/>
    <row r="244" s="649" customFormat="1" x14ac:dyDescent="0.2"/>
    <row r="245" s="649" customFormat="1" x14ac:dyDescent="0.2"/>
    <row r="246" s="649" customFormat="1" x14ac:dyDescent="0.2"/>
    <row r="247" s="649" customFormat="1" x14ac:dyDescent="0.2"/>
    <row r="248" s="649" customFormat="1" x14ac:dyDescent="0.2"/>
    <row r="249" s="649" customFormat="1" x14ac:dyDescent="0.2"/>
    <row r="250" s="649" customFormat="1" x14ac:dyDescent="0.2"/>
    <row r="251" s="649" customFormat="1" x14ac:dyDescent="0.2"/>
    <row r="252" s="649" customFormat="1" x14ac:dyDescent="0.2"/>
    <row r="253" s="649" customFormat="1" x14ac:dyDescent="0.2"/>
    <row r="254" s="649" customFormat="1" x14ac:dyDescent="0.2"/>
    <row r="255" s="649" customFormat="1" x14ac:dyDescent="0.2"/>
    <row r="256" s="649" customFormat="1" x14ac:dyDescent="0.2"/>
    <row r="257" s="649" customFormat="1" x14ac:dyDescent="0.2"/>
    <row r="258" s="649" customFormat="1" x14ac:dyDescent="0.2"/>
    <row r="259" s="649" customFormat="1" x14ac:dyDescent="0.2"/>
    <row r="260" s="649" customFormat="1" x14ac:dyDescent="0.2"/>
    <row r="261" s="649" customFormat="1" x14ac:dyDescent="0.2"/>
    <row r="262" s="649" customFormat="1" x14ac:dyDescent="0.2"/>
    <row r="263" s="649" customFormat="1" x14ac:dyDescent="0.2"/>
    <row r="264" s="649" customFormat="1" x14ac:dyDescent="0.2"/>
    <row r="265" s="649" customFormat="1" x14ac:dyDescent="0.2"/>
    <row r="266" s="649" customFormat="1" x14ac:dyDescent="0.2"/>
    <row r="267" s="649" customFormat="1" x14ac:dyDescent="0.2"/>
    <row r="268" s="649" customFormat="1" x14ac:dyDescent="0.2"/>
    <row r="269" s="649" customFormat="1" x14ac:dyDescent="0.2"/>
    <row r="270" s="649" customFormat="1" x14ac:dyDescent="0.2"/>
    <row r="271" s="649" customFormat="1" x14ac:dyDescent="0.2"/>
    <row r="272" s="649" customFormat="1" x14ac:dyDescent="0.2"/>
    <row r="273" s="649" customFormat="1" x14ac:dyDescent="0.2"/>
    <row r="274" s="649" customFormat="1" x14ac:dyDescent="0.2"/>
    <row r="275" s="649" customFormat="1" x14ac:dyDescent="0.2"/>
    <row r="276" s="649" customFormat="1" x14ac:dyDescent="0.2"/>
    <row r="277" s="649" customFormat="1" x14ac:dyDescent="0.2"/>
    <row r="278" s="649" customFormat="1" x14ac:dyDescent="0.2"/>
    <row r="279" s="649" customFormat="1" x14ac:dyDescent="0.2"/>
    <row r="280" s="649" customFormat="1" x14ac:dyDescent="0.2"/>
    <row r="281" s="649" customFormat="1" x14ac:dyDescent="0.2"/>
    <row r="282" s="649" customFormat="1" x14ac:dyDescent="0.2"/>
    <row r="283" s="649" customFormat="1" x14ac:dyDescent="0.2"/>
    <row r="284" s="649" customFormat="1" x14ac:dyDescent="0.2"/>
    <row r="285" s="649" customFormat="1" x14ac:dyDescent="0.2"/>
    <row r="286" s="649" customFormat="1" x14ac:dyDescent="0.2"/>
    <row r="287" s="649" customFormat="1" x14ac:dyDescent="0.2"/>
    <row r="288" s="649" customFormat="1" x14ac:dyDescent="0.2"/>
    <row r="289" s="649" customFormat="1" x14ac:dyDescent="0.2"/>
    <row r="290" s="649" customFormat="1" x14ac:dyDescent="0.2"/>
    <row r="291" s="649" customFormat="1" x14ac:dyDescent="0.2"/>
    <row r="292" s="649" customFormat="1" x14ac:dyDescent="0.2"/>
    <row r="293" s="649" customFormat="1" x14ac:dyDescent="0.2"/>
    <row r="294" s="649" customFormat="1" x14ac:dyDescent="0.2"/>
    <row r="295" s="649" customFormat="1" x14ac:dyDescent="0.2"/>
    <row r="296" s="649" customFormat="1" x14ac:dyDescent="0.2"/>
    <row r="297" s="649" customFormat="1" x14ac:dyDescent="0.2"/>
    <row r="298" s="649" customFormat="1" x14ac:dyDescent="0.2"/>
    <row r="299" s="649" customFormat="1" x14ac:dyDescent="0.2"/>
    <row r="300" s="649" customFormat="1" x14ac:dyDescent="0.2"/>
    <row r="301" s="649" customFormat="1" x14ac:dyDescent="0.2"/>
    <row r="302" s="649" customFormat="1" x14ac:dyDescent="0.2"/>
    <row r="303" s="649" customFormat="1" x14ac:dyDescent="0.2"/>
    <row r="304" s="649" customFormat="1" x14ac:dyDescent="0.2"/>
    <row r="305" s="649" customFormat="1" x14ac:dyDescent="0.2"/>
    <row r="306" s="649" customFormat="1" x14ac:dyDescent="0.2"/>
    <row r="307" s="649" customFormat="1" x14ac:dyDescent="0.2"/>
    <row r="308" s="649" customFormat="1" x14ac:dyDescent="0.2"/>
    <row r="309" s="649" customFormat="1" x14ac:dyDescent="0.2"/>
    <row r="310" s="649" customFormat="1" ht="12.75" customHeight="1" x14ac:dyDescent="0.2"/>
    <row r="311" s="649" customFormat="1" ht="12.75" customHeight="1" x14ac:dyDescent="0.2"/>
    <row r="312" s="649" customFormat="1" ht="12.75" customHeight="1" x14ac:dyDescent="0.2"/>
    <row r="313" s="649" customFormat="1" ht="12.75" customHeight="1" x14ac:dyDescent="0.2"/>
    <row r="314" s="649" customFormat="1" ht="12.75" customHeight="1" x14ac:dyDescent="0.2"/>
    <row r="315" s="649" customFormat="1" x14ac:dyDescent="0.2"/>
    <row r="316" s="649" customFormat="1" x14ac:dyDescent="0.2"/>
    <row r="317" s="649" customFormat="1" x14ac:dyDescent="0.2"/>
    <row r="318" s="649" customFormat="1" x14ac:dyDescent="0.2"/>
    <row r="319" s="649" customFormat="1" x14ac:dyDescent="0.2"/>
    <row r="320" s="649" customFormat="1" x14ac:dyDescent="0.2"/>
    <row r="321" s="649" customFormat="1" x14ac:dyDescent="0.2"/>
    <row r="322" s="649" customFormat="1" x14ac:dyDescent="0.2"/>
    <row r="323" s="649" customFormat="1" x14ac:dyDescent="0.2"/>
    <row r="324" s="649" customFormat="1" x14ac:dyDescent="0.2"/>
    <row r="325" s="649" customFormat="1" x14ac:dyDescent="0.2"/>
    <row r="326" s="649" customFormat="1" x14ac:dyDescent="0.2"/>
    <row r="327" s="649" customFormat="1" x14ac:dyDescent="0.2"/>
    <row r="328" s="649" customFormat="1" x14ac:dyDescent="0.2"/>
    <row r="329" s="649" customFormat="1" x14ac:dyDescent="0.2"/>
    <row r="330" s="649" customFormat="1" x14ac:dyDescent="0.2"/>
    <row r="331" s="649" customFormat="1" x14ac:dyDescent="0.2"/>
    <row r="332" s="649" customFormat="1" x14ac:dyDescent="0.2"/>
    <row r="333" s="649" customFormat="1" x14ac:dyDescent="0.2"/>
    <row r="334" s="649" customFormat="1" x14ac:dyDescent="0.2"/>
  </sheetData>
  <sheetProtection algorithmName="SHA-512" hashValue="Kux+Jdd1FwkUVe52g2h41jt8PKB2Pl9bZ8ZbWNu++geVmzhYVbCrS/mxYE0zqV35lei+oRD1tl9U3k7eo0xtQA==" saltValue="DYfJSx1y8Xv+GQ3VX8+1Ww==" spinCount="100000" sheet="1" objects="1" scenarios="1"/>
  <phoneticPr fontId="0" type="noConversion"/>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110" min="1" max="15" man="1"/>
    <brk id="231" min="1" max="13" man="1"/>
    <brk id="309" min="1" max="1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K72"/>
  <sheetViews>
    <sheetView showGridLines="0" zoomScale="85" zoomScaleNormal="85" workbookViewId="0">
      <selection activeCell="B2" sqref="B2"/>
    </sheetView>
  </sheetViews>
  <sheetFormatPr defaultRowHeight="12.75" x14ac:dyDescent="0.2"/>
  <cols>
    <col min="1" max="1" width="2.5703125" style="100" customWidth="1"/>
    <col min="2" max="3" width="2.7109375" style="100" customWidth="1"/>
    <col min="4" max="4" width="23.85546875" style="101" customWidth="1"/>
    <col min="5" max="5" width="22.7109375" style="101" customWidth="1"/>
    <col min="6" max="9" width="10.7109375" style="102" customWidth="1"/>
    <col min="10" max="10" width="1.42578125" style="100" customWidth="1"/>
    <col min="11" max="11" width="0.42578125" style="100" customWidth="1"/>
    <col min="12" max="13" width="12.7109375" style="100" customWidth="1"/>
    <col min="14" max="14" width="12.85546875" style="100" customWidth="1"/>
    <col min="15" max="15" width="13.85546875" style="100" customWidth="1"/>
    <col min="16" max="16" width="0.85546875" style="100" customWidth="1"/>
    <col min="17" max="25" width="10.7109375" style="100" customWidth="1"/>
    <col min="26" max="26" width="0.85546875" style="100" customWidth="1"/>
    <col min="27" max="27" width="10.7109375" style="11" customWidth="1"/>
    <col min="28" max="35" width="10.7109375" style="100" customWidth="1"/>
    <col min="36" max="37" width="2.7109375" style="100" customWidth="1"/>
    <col min="38" max="16384" width="9.140625" style="100"/>
  </cols>
  <sheetData>
    <row r="2" spans="2:37" x14ac:dyDescent="0.2">
      <c r="B2" s="65"/>
      <c r="C2" s="66"/>
      <c r="D2" s="110"/>
      <c r="E2" s="110"/>
      <c r="F2" s="67"/>
      <c r="G2" s="67"/>
      <c r="H2" s="67"/>
      <c r="I2" s="67"/>
      <c r="J2" s="66"/>
      <c r="K2" s="66"/>
      <c r="L2" s="66"/>
      <c r="M2" s="66"/>
      <c r="N2" s="66"/>
      <c r="O2" s="66"/>
      <c r="P2" s="66"/>
      <c r="Q2" s="66"/>
      <c r="R2" s="66"/>
      <c r="S2" s="66"/>
      <c r="T2" s="66"/>
      <c r="U2" s="66"/>
      <c r="V2" s="66"/>
      <c r="W2" s="66"/>
      <c r="X2" s="66"/>
      <c r="Y2" s="66"/>
      <c r="Z2" s="68"/>
      <c r="AA2" s="865"/>
      <c r="AB2" s="66"/>
      <c r="AC2" s="66"/>
      <c r="AD2" s="66"/>
      <c r="AE2" s="66"/>
      <c r="AF2" s="66"/>
      <c r="AG2" s="66"/>
      <c r="AH2" s="66"/>
      <c r="AI2" s="66"/>
      <c r="AJ2" s="66"/>
      <c r="AK2" s="68"/>
    </row>
    <row r="3" spans="2:37" x14ac:dyDescent="0.2">
      <c r="B3" s="69"/>
      <c r="C3" s="5"/>
      <c r="D3" s="107"/>
      <c r="E3" s="107"/>
      <c r="F3" s="63"/>
      <c r="G3" s="63"/>
      <c r="H3" s="63"/>
      <c r="I3" s="63"/>
      <c r="J3" s="5"/>
      <c r="K3" s="5"/>
      <c r="L3" s="5"/>
      <c r="M3" s="5"/>
      <c r="N3" s="5"/>
      <c r="O3" s="5"/>
      <c r="P3" s="5"/>
      <c r="Q3" s="5"/>
      <c r="R3" s="5"/>
      <c r="S3" s="5"/>
      <c r="T3" s="5"/>
      <c r="U3" s="5"/>
      <c r="V3" s="5"/>
      <c r="W3" s="5"/>
      <c r="X3" s="5"/>
      <c r="Y3" s="5"/>
      <c r="Z3" s="70"/>
      <c r="AA3" s="50"/>
      <c r="AB3" s="5"/>
      <c r="AC3" s="5"/>
      <c r="AD3" s="5"/>
      <c r="AE3" s="5"/>
      <c r="AF3" s="5"/>
      <c r="AG3" s="5"/>
      <c r="AH3" s="5"/>
      <c r="AI3" s="5"/>
      <c r="AJ3" s="5"/>
      <c r="AK3" s="70"/>
    </row>
    <row r="4" spans="2:37" s="131" customFormat="1" ht="18" customHeight="1" x14ac:dyDescent="0.3">
      <c r="B4" s="321"/>
      <c r="C4" s="472" t="s">
        <v>23</v>
      </c>
      <c r="D4" s="237"/>
      <c r="E4" s="237"/>
      <c r="F4" s="322"/>
      <c r="G4" s="322"/>
      <c r="H4" s="322"/>
      <c r="I4" s="322"/>
      <c r="J4" s="135"/>
      <c r="K4" s="135"/>
      <c r="L4" s="135"/>
      <c r="M4" s="135"/>
      <c r="N4" s="135"/>
      <c r="O4" s="135"/>
      <c r="P4" s="135"/>
      <c r="Q4" s="135"/>
      <c r="R4" s="135"/>
      <c r="S4" s="135"/>
      <c r="T4" s="135"/>
      <c r="U4" s="135"/>
      <c r="V4" s="135"/>
      <c r="W4" s="135"/>
      <c r="X4" s="135"/>
      <c r="Y4" s="135"/>
      <c r="Z4" s="324"/>
      <c r="AA4" s="323"/>
      <c r="AB4" s="135"/>
      <c r="AC4" s="135"/>
      <c r="AD4" s="135"/>
      <c r="AE4" s="135"/>
      <c r="AF4" s="135"/>
      <c r="AG4" s="135"/>
      <c r="AH4" s="135"/>
      <c r="AI4" s="135"/>
      <c r="AJ4" s="135"/>
      <c r="AK4" s="324"/>
    </row>
    <row r="5" spans="2:37" x14ac:dyDescent="0.2">
      <c r="B5" s="69"/>
      <c r="C5" s="50"/>
      <c r="D5" s="107"/>
      <c r="E5" s="107"/>
      <c r="F5" s="63"/>
      <c r="G5" s="63"/>
      <c r="H5" s="63"/>
      <c r="I5" s="63"/>
      <c r="J5" s="325"/>
      <c r="K5" s="5"/>
      <c r="L5" s="108"/>
      <c r="M5" s="326"/>
      <c r="N5" s="108"/>
      <c r="O5" s="5"/>
      <c r="P5" s="5"/>
      <c r="Q5" s="272"/>
      <c r="R5" s="272"/>
      <c r="S5" s="272"/>
      <c r="T5" s="272"/>
      <c r="U5" s="272"/>
      <c r="V5" s="272"/>
      <c r="W5" s="272"/>
      <c r="X5" s="272"/>
      <c r="Y5" s="272"/>
      <c r="Z5" s="70"/>
      <c r="AA5" s="272"/>
      <c r="AB5" s="272"/>
      <c r="AC5" s="272"/>
      <c r="AD5" s="272"/>
      <c r="AE5" s="5"/>
      <c r="AF5" s="5"/>
      <c r="AG5" s="5"/>
      <c r="AH5" s="5"/>
      <c r="AI5" s="5"/>
      <c r="AJ5" s="5"/>
      <c r="AK5" s="70"/>
    </row>
    <row r="6" spans="2:37" s="10" customFormat="1" ht="18" customHeight="1" x14ac:dyDescent="0.3">
      <c r="B6" s="111"/>
      <c r="C6" s="972" t="str">
        <f>'geg ll'!C5</f>
        <v>Voorbeeld SWV VO Alkmaar</v>
      </c>
      <c r="D6" s="80"/>
      <c r="E6" s="80"/>
      <c r="F6" s="79"/>
      <c r="G6" s="79"/>
      <c r="H6" s="79"/>
      <c r="I6" s="79"/>
      <c r="J6" s="52"/>
      <c r="K6" s="52"/>
      <c r="L6" s="52"/>
      <c r="M6" s="52"/>
      <c r="N6" s="52"/>
      <c r="O6" s="52"/>
      <c r="P6" s="52"/>
      <c r="Q6" s="52"/>
      <c r="R6" s="52"/>
      <c r="S6" s="52"/>
      <c r="T6" s="52"/>
      <c r="U6" s="52"/>
      <c r="V6" s="52"/>
      <c r="W6" s="52"/>
      <c r="X6" s="52"/>
      <c r="Y6" s="52"/>
      <c r="Z6" s="81"/>
      <c r="AA6" s="327"/>
      <c r="AB6" s="52"/>
      <c r="AC6" s="52"/>
      <c r="AD6" s="52"/>
      <c r="AE6" s="52"/>
      <c r="AF6" s="52"/>
      <c r="AG6" s="52"/>
      <c r="AH6" s="52"/>
      <c r="AI6" s="52"/>
      <c r="AJ6" s="52"/>
      <c r="AK6" s="81"/>
    </row>
    <row r="7" spans="2:37" x14ac:dyDescent="0.2">
      <c r="B7" s="69"/>
      <c r="C7" s="5"/>
      <c r="D7" s="107"/>
      <c r="E7" s="107"/>
      <c r="F7" s="63"/>
      <c r="G7" s="63"/>
      <c r="H7" s="63"/>
      <c r="I7" s="63"/>
      <c r="J7" s="5"/>
      <c r="K7" s="5"/>
      <c r="L7" s="5"/>
      <c r="M7" s="326"/>
      <c r="N7" s="108"/>
      <c r="O7" s="5"/>
      <c r="P7" s="5"/>
      <c r="Q7" s="328"/>
      <c r="R7" s="328"/>
      <c r="S7" s="307"/>
      <c r="T7" s="329"/>
      <c r="U7" s="329"/>
      <c r="V7" s="329"/>
      <c r="W7" s="329"/>
      <c r="X7" s="329"/>
      <c r="Y7" s="329"/>
      <c r="Z7" s="871"/>
      <c r="AA7" s="127"/>
      <c r="AB7" s="127"/>
      <c r="AC7" s="307"/>
      <c r="AD7" s="5"/>
      <c r="AE7" s="5"/>
      <c r="AF7" s="5"/>
      <c r="AG7" s="5"/>
      <c r="AH7" s="5"/>
      <c r="AI7" s="5"/>
      <c r="AJ7" s="5"/>
      <c r="AK7" s="70"/>
    </row>
    <row r="8" spans="2:37" s="203" customFormat="1" x14ac:dyDescent="0.2">
      <c r="B8" s="330"/>
      <c r="C8" s="86"/>
      <c r="D8" s="480" t="s">
        <v>106</v>
      </c>
      <c r="E8" s="480" t="s">
        <v>107</v>
      </c>
      <c r="F8" s="471" t="s">
        <v>108</v>
      </c>
      <c r="G8" s="471" t="s">
        <v>109</v>
      </c>
      <c r="H8" s="471" t="s">
        <v>110</v>
      </c>
      <c r="I8" s="471" t="s">
        <v>111</v>
      </c>
      <c r="J8" s="1016"/>
      <c r="K8" s="1017" t="s">
        <v>112</v>
      </c>
      <c r="L8" s="471" t="s">
        <v>113</v>
      </c>
      <c r="M8" s="471" t="s">
        <v>114</v>
      </c>
      <c r="N8" s="471" t="s">
        <v>115</v>
      </c>
      <c r="O8" s="86" t="s">
        <v>495</v>
      </c>
      <c r="P8" s="471"/>
      <c r="Q8" s="471">
        <f>O9</f>
        <v>2023</v>
      </c>
      <c r="R8" s="481">
        <f>Q8+1</f>
        <v>2024</v>
      </c>
      <c r="S8" s="481">
        <f>Q8+2</f>
        <v>2025</v>
      </c>
      <c r="T8" s="482">
        <f t="shared" ref="T8:Y8" si="0">Q8+3</f>
        <v>2026</v>
      </c>
      <c r="U8" s="482">
        <f t="shared" si="0"/>
        <v>2027</v>
      </c>
      <c r="V8" s="482">
        <f t="shared" si="0"/>
        <v>2028</v>
      </c>
      <c r="W8" s="482">
        <f t="shared" si="0"/>
        <v>2029</v>
      </c>
      <c r="X8" s="482">
        <f t="shared" si="0"/>
        <v>2030</v>
      </c>
      <c r="Y8" s="482">
        <f t="shared" si="0"/>
        <v>2031</v>
      </c>
      <c r="Z8" s="872"/>
      <c r="AA8" s="471">
        <f t="shared" ref="AA8:AG8" si="1">Q8</f>
        <v>2023</v>
      </c>
      <c r="AB8" s="471">
        <f t="shared" si="1"/>
        <v>2024</v>
      </c>
      <c r="AC8" s="471">
        <f t="shared" si="1"/>
        <v>2025</v>
      </c>
      <c r="AD8" s="471">
        <f t="shared" si="1"/>
        <v>2026</v>
      </c>
      <c r="AE8" s="471">
        <f t="shared" si="1"/>
        <v>2027</v>
      </c>
      <c r="AF8" s="471">
        <f t="shared" si="1"/>
        <v>2028</v>
      </c>
      <c r="AG8" s="471">
        <f t="shared" si="1"/>
        <v>2029</v>
      </c>
      <c r="AH8" s="471">
        <f>X8</f>
        <v>2030</v>
      </c>
      <c r="AI8" s="471">
        <f>Y8</f>
        <v>2031</v>
      </c>
      <c r="AJ8" s="86"/>
      <c r="AK8" s="331"/>
    </row>
    <row r="9" spans="2:37" s="203" customFormat="1" x14ac:dyDescent="0.2">
      <c r="B9" s="330"/>
      <c r="C9" s="86"/>
      <c r="D9" s="480"/>
      <c r="E9" s="480"/>
      <c r="F9" s="471" t="s">
        <v>116</v>
      </c>
      <c r="G9" s="471" t="s">
        <v>117</v>
      </c>
      <c r="H9" s="471" t="s">
        <v>118</v>
      </c>
      <c r="I9" s="471" t="s">
        <v>119</v>
      </c>
      <c r="J9" s="471"/>
      <c r="K9" s="471"/>
      <c r="L9" s="471" t="s">
        <v>120</v>
      </c>
      <c r="M9" s="471" t="s">
        <v>121</v>
      </c>
      <c r="N9" s="471" t="s">
        <v>114</v>
      </c>
      <c r="O9" s="482">
        <f>tab!C4</f>
        <v>2023</v>
      </c>
      <c r="P9" s="471"/>
      <c r="Q9" s="471" t="s">
        <v>114</v>
      </c>
      <c r="R9" s="471" t="s">
        <v>114</v>
      </c>
      <c r="S9" s="471" t="s">
        <v>114</v>
      </c>
      <c r="T9" s="471" t="s">
        <v>114</v>
      </c>
      <c r="U9" s="471" t="s">
        <v>114</v>
      </c>
      <c r="V9" s="471" t="s">
        <v>114</v>
      </c>
      <c r="W9" s="471" t="s">
        <v>114</v>
      </c>
      <c r="X9" s="471" t="s">
        <v>114</v>
      </c>
      <c r="Y9" s="471" t="s">
        <v>114</v>
      </c>
      <c r="Z9" s="872"/>
      <c r="AA9" s="471" t="s">
        <v>122</v>
      </c>
      <c r="AB9" s="471" t="s">
        <v>122</v>
      </c>
      <c r="AC9" s="471" t="s">
        <v>122</v>
      </c>
      <c r="AD9" s="471" t="s">
        <v>122</v>
      </c>
      <c r="AE9" s="471" t="s">
        <v>122</v>
      </c>
      <c r="AF9" s="471" t="s">
        <v>122</v>
      </c>
      <c r="AG9" s="471" t="s">
        <v>122</v>
      </c>
      <c r="AH9" s="471" t="s">
        <v>122</v>
      </c>
      <c r="AI9" s="471" t="s">
        <v>122</v>
      </c>
      <c r="AJ9" s="86"/>
      <c r="AK9" s="331"/>
    </row>
    <row r="10" spans="2:37" s="319" customFormat="1" x14ac:dyDescent="0.2">
      <c r="B10" s="332"/>
      <c r="C10" s="272"/>
      <c r="D10" s="57"/>
      <c r="E10" s="57"/>
      <c r="F10" s="272"/>
      <c r="G10" s="272"/>
      <c r="H10" s="272"/>
      <c r="I10" s="272"/>
      <c r="J10" s="272"/>
      <c r="K10" s="272"/>
      <c r="L10" s="272"/>
      <c r="M10" s="272"/>
      <c r="N10" s="272"/>
      <c r="O10" s="272"/>
      <c r="P10" s="272"/>
      <c r="Q10" s="272"/>
      <c r="R10" s="272"/>
      <c r="S10" s="272"/>
      <c r="T10" s="272"/>
      <c r="U10" s="272"/>
      <c r="V10" s="272"/>
      <c r="W10" s="272"/>
      <c r="X10" s="272"/>
      <c r="Y10" s="272"/>
      <c r="Z10" s="333"/>
      <c r="AA10" s="272"/>
      <c r="AB10" s="272"/>
      <c r="AC10" s="272"/>
      <c r="AD10" s="272"/>
      <c r="AE10" s="272"/>
      <c r="AF10" s="272"/>
      <c r="AG10" s="272"/>
      <c r="AH10" s="272"/>
      <c r="AI10" s="272"/>
      <c r="AJ10" s="272"/>
      <c r="AK10" s="333"/>
    </row>
    <row r="11" spans="2:37" s="319" customFormat="1" x14ac:dyDescent="0.2">
      <c r="B11" s="332"/>
      <c r="C11" s="164"/>
      <c r="D11" s="334"/>
      <c r="E11" s="334"/>
      <c r="F11" s="164"/>
      <c r="G11" s="164"/>
      <c r="H11" s="164"/>
      <c r="I11" s="164"/>
      <c r="J11" s="164"/>
      <c r="K11" s="164"/>
      <c r="L11" s="164"/>
      <c r="M11" s="164"/>
      <c r="N11" s="164"/>
      <c r="O11" s="64"/>
      <c r="P11" s="64"/>
      <c r="Q11" s="64"/>
      <c r="R11" s="64"/>
      <c r="S11" s="64"/>
      <c r="T11" s="64"/>
      <c r="U11" s="64"/>
      <c r="V11" s="64"/>
      <c r="W11" s="64"/>
      <c r="X11" s="64"/>
      <c r="Y11" s="64"/>
      <c r="Z11" s="873"/>
      <c r="AA11" s="123"/>
      <c r="AB11" s="64"/>
      <c r="AC11" s="64"/>
      <c r="AD11" s="64"/>
      <c r="AE11" s="64"/>
      <c r="AF11" s="64"/>
      <c r="AG11" s="64"/>
      <c r="AH11" s="64"/>
      <c r="AI11" s="64"/>
      <c r="AJ11" s="164"/>
      <c r="AK11" s="333"/>
    </row>
    <row r="12" spans="2:37" s="319" customFormat="1" x14ac:dyDescent="0.2">
      <c r="B12" s="332"/>
      <c r="C12" s="164"/>
      <c r="D12" s="334"/>
      <c r="E12" s="334"/>
      <c r="F12" s="164"/>
      <c r="G12" s="164"/>
      <c r="H12" s="164"/>
      <c r="I12" s="164"/>
      <c r="J12" s="164"/>
      <c r="K12" s="164"/>
      <c r="L12" s="164"/>
      <c r="M12" s="164"/>
      <c r="N12" s="164"/>
      <c r="O12" s="437">
        <f>SUM(O14:O70)</f>
        <v>41625</v>
      </c>
      <c r="P12" s="64"/>
      <c r="Q12" s="437">
        <f t="shared" ref="Q12:Y12" si="2">SUM(Q14:Q70)</f>
        <v>13875</v>
      </c>
      <c r="R12" s="437">
        <f t="shared" si="2"/>
        <v>13875</v>
      </c>
      <c r="S12" s="437">
        <f t="shared" si="2"/>
        <v>13875</v>
      </c>
      <c r="T12" s="437">
        <f t="shared" si="2"/>
        <v>13875</v>
      </c>
      <c r="U12" s="437">
        <f t="shared" si="2"/>
        <v>13875</v>
      </c>
      <c r="V12" s="437">
        <f t="shared" si="2"/>
        <v>13875</v>
      </c>
      <c r="W12" s="437">
        <f t="shared" si="2"/>
        <v>13875</v>
      </c>
      <c r="X12" s="437">
        <f t="shared" si="2"/>
        <v>0</v>
      </c>
      <c r="Y12" s="437">
        <f t="shared" si="2"/>
        <v>0</v>
      </c>
      <c r="Z12" s="873"/>
      <c r="AA12" s="866">
        <f t="shared" ref="AA12:AI12" si="3">SUM(AA14:AA70)</f>
        <v>0</v>
      </c>
      <c r="AB12" s="437">
        <f t="shared" si="3"/>
        <v>0</v>
      </c>
      <c r="AC12" s="437">
        <f t="shared" si="3"/>
        <v>0</v>
      </c>
      <c r="AD12" s="437">
        <f t="shared" si="3"/>
        <v>55500</v>
      </c>
      <c r="AE12" s="437">
        <f t="shared" si="3"/>
        <v>0</v>
      </c>
      <c r="AF12" s="437">
        <f t="shared" si="3"/>
        <v>0</v>
      </c>
      <c r="AG12" s="437">
        <f t="shared" si="3"/>
        <v>0</v>
      </c>
      <c r="AH12" s="437">
        <f t="shared" si="3"/>
        <v>0</v>
      </c>
      <c r="AI12" s="437">
        <f t="shared" si="3"/>
        <v>0</v>
      </c>
      <c r="AJ12" s="164"/>
      <c r="AK12" s="333"/>
    </row>
    <row r="13" spans="2:37" s="319" customFormat="1" x14ac:dyDescent="0.2">
      <c r="B13" s="332"/>
      <c r="C13" s="164"/>
      <c r="D13" s="334"/>
      <c r="E13" s="334"/>
      <c r="F13" s="164"/>
      <c r="G13" s="164"/>
      <c r="H13" s="164"/>
      <c r="I13" s="164"/>
      <c r="J13" s="164"/>
      <c r="K13" s="164"/>
      <c r="L13" s="164"/>
      <c r="M13" s="164"/>
      <c r="N13" s="164"/>
      <c r="O13" s="64"/>
      <c r="P13" s="64"/>
      <c r="Q13" s="64"/>
      <c r="R13" s="64"/>
      <c r="S13" s="64"/>
      <c r="T13" s="64"/>
      <c r="U13" s="64"/>
      <c r="V13" s="64"/>
      <c r="W13" s="64"/>
      <c r="X13" s="64"/>
      <c r="Y13" s="64"/>
      <c r="Z13" s="873"/>
      <c r="AA13" s="123"/>
      <c r="AB13" s="64"/>
      <c r="AC13" s="64"/>
      <c r="AD13" s="64"/>
      <c r="AE13" s="64"/>
      <c r="AF13" s="64"/>
      <c r="AG13" s="64"/>
      <c r="AH13" s="64"/>
      <c r="AI13" s="64"/>
      <c r="AJ13" s="164"/>
      <c r="AK13" s="333"/>
    </row>
    <row r="14" spans="2:37" x14ac:dyDescent="0.2">
      <c r="B14" s="69"/>
      <c r="C14" s="149"/>
      <c r="D14" s="124" t="s">
        <v>616</v>
      </c>
      <c r="E14" s="124" t="s">
        <v>617</v>
      </c>
      <c r="F14" s="125">
        <v>100</v>
      </c>
      <c r="G14" s="60">
        <v>555</v>
      </c>
      <c r="H14" s="125">
        <v>2022</v>
      </c>
      <c r="I14" s="125">
        <v>4</v>
      </c>
      <c r="J14" s="149"/>
      <c r="K14" s="64">
        <f t="shared" ref="K14:K45" si="4">IF(I14="geen",9999999999,I14)</f>
        <v>4</v>
      </c>
      <c r="L14" s="61">
        <f t="shared" ref="L14:L45" si="5">F14*G14</f>
        <v>55500</v>
      </c>
      <c r="M14" s="61">
        <f t="shared" ref="M14:M45" si="6">IF(F14=0,0,(F14*G14)/K14)</f>
        <v>13875</v>
      </c>
      <c r="N14" s="418">
        <f t="shared" ref="N14:N45" si="7">IF(K14=0,"-",(IF(K14&gt;3000,"-",H14+K14-1)))</f>
        <v>2025</v>
      </c>
      <c r="O14" s="61">
        <f t="shared" ref="O14:O45" si="8">IF(I14="geen",IF(H14&lt;$Q$8,F14*G14,0),IF(H14&gt;=$Q$8,0,IF((G14*F14-(Q$8-H14)*M14)&lt;0,0,G14*F14-(Q$8-H14)*M14)))</f>
        <v>41625</v>
      </c>
      <c r="P14" s="149"/>
      <c r="Q14" s="61">
        <f t="shared" ref="Q14:R33" si="9">(IF(Q$8&lt;$H14,0,IF($N14&lt;=Q$8-1,0,$M14)))</f>
        <v>13875</v>
      </c>
      <c r="R14" s="61">
        <f t="shared" si="9"/>
        <v>13875</v>
      </c>
      <c r="S14" s="61">
        <f t="shared" ref="S14:S45" si="10">IF(S$8&lt;$H14,0,IF($N14&lt;=S$8-1,0,$M14))</f>
        <v>13875</v>
      </c>
      <c r="T14" s="61">
        <f t="shared" ref="T14:Y33" si="11">(IF(T$8&lt;$H14,0,IF($N14&lt;=T$8-1,0,$M14)))</f>
        <v>0</v>
      </c>
      <c r="U14" s="61">
        <f t="shared" si="11"/>
        <v>0</v>
      </c>
      <c r="V14" s="61">
        <f t="shared" si="11"/>
        <v>0</v>
      </c>
      <c r="W14" s="61">
        <f t="shared" si="11"/>
        <v>0</v>
      </c>
      <c r="X14" s="61">
        <f t="shared" si="11"/>
        <v>0</v>
      </c>
      <c r="Y14" s="61">
        <f t="shared" si="11"/>
        <v>0</v>
      </c>
      <c r="Z14" s="874"/>
      <c r="AA14" s="867">
        <f t="shared" ref="AA14:AI23" si="12">IF(AA$8=$H14,($F14*$G14),0)</f>
        <v>0</v>
      </c>
      <c r="AB14" s="61">
        <f t="shared" si="12"/>
        <v>0</v>
      </c>
      <c r="AC14" s="61">
        <f t="shared" si="12"/>
        <v>0</v>
      </c>
      <c r="AD14" s="61">
        <f t="shared" si="12"/>
        <v>0</v>
      </c>
      <c r="AE14" s="61">
        <f t="shared" si="12"/>
        <v>0</v>
      </c>
      <c r="AF14" s="61">
        <f t="shared" si="12"/>
        <v>0</v>
      </c>
      <c r="AG14" s="61">
        <f t="shared" si="12"/>
        <v>0</v>
      </c>
      <c r="AH14" s="61">
        <f t="shared" si="12"/>
        <v>0</v>
      </c>
      <c r="AI14" s="61">
        <f t="shared" si="12"/>
        <v>0</v>
      </c>
      <c r="AJ14" s="149"/>
      <c r="AK14" s="70"/>
    </row>
    <row r="15" spans="2:37" x14ac:dyDescent="0.2">
      <c r="B15" s="69"/>
      <c r="C15" s="149"/>
      <c r="D15" s="124" t="s">
        <v>616</v>
      </c>
      <c r="E15" s="124" t="s">
        <v>617</v>
      </c>
      <c r="F15" s="125">
        <v>100</v>
      </c>
      <c r="G15" s="60">
        <v>555</v>
      </c>
      <c r="H15" s="125">
        <v>2026</v>
      </c>
      <c r="I15" s="125">
        <v>4</v>
      </c>
      <c r="J15" s="149"/>
      <c r="K15" s="64">
        <f t="shared" si="4"/>
        <v>4</v>
      </c>
      <c r="L15" s="61">
        <f t="shared" si="5"/>
        <v>55500</v>
      </c>
      <c r="M15" s="61">
        <f t="shared" si="6"/>
        <v>13875</v>
      </c>
      <c r="N15" s="418">
        <f t="shared" si="7"/>
        <v>2029</v>
      </c>
      <c r="O15" s="61">
        <f t="shared" si="8"/>
        <v>0</v>
      </c>
      <c r="P15" s="149"/>
      <c r="Q15" s="61">
        <f t="shared" si="9"/>
        <v>0</v>
      </c>
      <c r="R15" s="61">
        <f t="shared" si="9"/>
        <v>0</v>
      </c>
      <c r="S15" s="61">
        <f t="shared" si="10"/>
        <v>0</v>
      </c>
      <c r="T15" s="61">
        <f t="shared" si="11"/>
        <v>13875</v>
      </c>
      <c r="U15" s="61">
        <f t="shared" si="11"/>
        <v>13875</v>
      </c>
      <c r="V15" s="61">
        <f t="shared" si="11"/>
        <v>13875</v>
      </c>
      <c r="W15" s="61">
        <f t="shared" si="11"/>
        <v>13875</v>
      </c>
      <c r="X15" s="61">
        <f t="shared" si="11"/>
        <v>0</v>
      </c>
      <c r="Y15" s="61">
        <f t="shared" si="11"/>
        <v>0</v>
      </c>
      <c r="Z15" s="874"/>
      <c r="AA15" s="867">
        <f t="shared" si="12"/>
        <v>0</v>
      </c>
      <c r="AB15" s="61">
        <f t="shared" si="12"/>
        <v>0</v>
      </c>
      <c r="AC15" s="61">
        <f t="shared" si="12"/>
        <v>0</v>
      </c>
      <c r="AD15" s="61">
        <f t="shared" si="12"/>
        <v>55500</v>
      </c>
      <c r="AE15" s="61">
        <f t="shared" si="12"/>
        <v>0</v>
      </c>
      <c r="AF15" s="61">
        <f t="shared" si="12"/>
        <v>0</v>
      </c>
      <c r="AG15" s="61">
        <f t="shared" si="12"/>
        <v>0</v>
      </c>
      <c r="AH15" s="61">
        <f t="shared" si="12"/>
        <v>0</v>
      </c>
      <c r="AI15" s="61">
        <f t="shared" si="12"/>
        <v>0</v>
      </c>
      <c r="AJ15" s="149"/>
      <c r="AK15" s="70"/>
    </row>
    <row r="16" spans="2:37" x14ac:dyDescent="0.2">
      <c r="B16" s="69"/>
      <c r="C16" s="149"/>
      <c r="D16" s="124"/>
      <c r="E16" s="124"/>
      <c r="F16" s="125"/>
      <c r="G16" s="60"/>
      <c r="H16" s="125"/>
      <c r="I16" s="125"/>
      <c r="J16" s="149"/>
      <c r="K16" s="64">
        <f t="shared" si="4"/>
        <v>0</v>
      </c>
      <c r="L16" s="61">
        <f t="shared" si="5"/>
        <v>0</v>
      </c>
      <c r="M16" s="61">
        <f t="shared" si="6"/>
        <v>0</v>
      </c>
      <c r="N16" s="418" t="str">
        <f t="shared" si="7"/>
        <v>-</v>
      </c>
      <c r="O16" s="61">
        <f t="shared" si="8"/>
        <v>0</v>
      </c>
      <c r="P16" s="149"/>
      <c r="Q16" s="61">
        <f t="shared" si="9"/>
        <v>0</v>
      </c>
      <c r="R16" s="61">
        <f t="shared" si="9"/>
        <v>0</v>
      </c>
      <c r="S16" s="61">
        <f t="shared" si="10"/>
        <v>0</v>
      </c>
      <c r="T16" s="61">
        <f t="shared" si="11"/>
        <v>0</v>
      </c>
      <c r="U16" s="61">
        <f t="shared" si="11"/>
        <v>0</v>
      </c>
      <c r="V16" s="61">
        <f t="shared" si="11"/>
        <v>0</v>
      </c>
      <c r="W16" s="61">
        <f t="shared" si="11"/>
        <v>0</v>
      </c>
      <c r="X16" s="61">
        <f t="shared" si="11"/>
        <v>0</v>
      </c>
      <c r="Y16" s="61">
        <f t="shared" si="11"/>
        <v>0</v>
      </c>
      <c r="Z16" s="874"/>
      <c r="AA16" s="867">
        <f t="shared" si="12"/>
        <v>0</v>
      </c>
      <c r="AB16" s="61">
        <f t="shared" si="12"/>
        <v>0</v>
      </c>
      <c r="AC16" s="61">
        <f t="shared" si="12"/>
        <v>0</v>
      </c>
      <c r="AD16" s="61">
        <f t="shared" si="12"/>
        <v>0</v>
      </c>
      <c r="AE16" s="61">
        <f t="shared" si="12"/>
        <v>0</v>
      </c>
      <c r="AF16" s="61">
        <f t="shared" si="12"/>
        <v>0</v>
      </c>
      <c r="AG16" s="61">
        <f t="shared" si="12"/>
        <v>0</v>
      </c>
      <c r="AH16" s="61">
        <f t="shared" si="12"/>
        <v>0</v>
      </c>
      <c r="AI16" s="61">
        <f t="shared" si="12"/>
        <v>0</v>
      </c>
      <c r="AJ16" s="149"/>
      <c r="AK16" s="70"/>
    </row>
    <row r="17" spans="2:37" x14ac:dyDescent="0.2">
      <c r="B17" s="69"/>
      <c r="C17" s="149"/>
      <c r="D17" s="124"/>
      <c r="E17" s="124"/>
      <c r="F17" s="125"/>
      <c r="G17" s="60"/>
      <c r="H17" s="125"/>
      <c r="I17" s="125"/>
      <c r="J17" s="149"/>
      <c r="K17" s="64">
        <f t="shared" si="4"/>
        <v>0</v>
      </c>
      <c r="L17" s="61">
        <f t="shared" si="5"/>
        <v>0</v>
      </c>
      <c r="M17" s="61">
        <f t="shared" si="6"/>
        <v>0</v>
      </c>
      <c r="N17" s="418" t="str">
        <f t="shared" si="7"/>
        <v>-</v>
      </c>
      <c r="O17" s="61">
        <f t="shared" si="8"/>
        <v>0</v>
      </c>
      <c r="P17" s="149"/>
      <c r="Q17" s="61">
        <f t="shared" si="9"/>
        <v>0</v>
      </c>
      <c r="R17" s="61">
        <f t="shared" si="9"/>
        <v>0</v>
      </c>
      <c r="S17" s="61">
        <f t="shared" si="10"/>
        <v>0</v>
      </c>
      <c r="T17" s="61">
        <f t="shared" si="11"/>
        <v>0</v>
      </c>
      <c r="U17" s="61">
        <f t="shared" si="11"/>
        <v>0</v>
      </c>
      <c r="V17" s="61">
        <f t="shared" si="11"/>
        <v>0</v>
      </c>
      <c r="W17" s="61">
        <f t="shared" si="11"/>
        <v>0</v>
      </c>
      <c r="X17" s="61">
        <f t="shared" si="11"/>
        <v>0</v>
      </c>
      <c r="Y17" s="61">
        <f t="shared" si="11"/>
        <v>0</v>
      </c>
      <c r="Z17" s="874"/>
      <c r="AA17" s="867">
        <f t="shared" si="12"/>
        <v>0</v>
      </c>
      <c r="AB17" s="61">
        <f t="shared" si="12"/>
        <v>0</v>
      </c>
      <c r="AC17" s="61">
        <f t="shared" si="12"/>
        <v>0</v>
      </c>
      <c r="AD17" s="61">
        <f t="shared" si="12"/>
        <v>0</v>
      </c>
      <c r="AE17" s="61">
        <f t="shared" si="12"/>
        <v>0</v>
      </c>
      <c r="AF17" s="61">
        <f t="shared" si="12"/>
        <v>0</v>
      </c>
      <c r="AG17" s="61">
        <f t="shared" si="12"/>
        <v>0</v>
      </c>
      <c r="AH17" s="61">
        <f t="shared" si="12"/>
        <v>0</v>
      </c>
      <c r="AI17" s="61">
        <f t="shared" si="12"/>
        <v>0</v>
      </c>
      <c r="AJ17" s="149"/>
      <c r="AK17" s="70"/>
    </row>
    <row r="18" spans="2:37" x14ac:dyDescent="0.2">
      <c r="B18" s="69"/>
      <c r="C18" s="149"/>
      <c r="D18" s="124"/>
      <c r="E18" s="124"/>
      <c r="F18" s="125"/>
      <c r="G18" s="60"/>
      <c r="H18" s="125"/>
      <c r="I18" s="125"/>
      <c r="J18" s="149"/>
      <c r="K18" s="64">
        <f t="shared" si="4"/>
        <v>0</v>
      </c>
      <c r="L18" s="61">
        <f t="shared" si="5"/>
        <v>0</v>
      </c>
      <c r="M18" s="61">
        <f t="shared" si="6"/>
        <v>0</v>
      </c>
      <c r="N18" s="418" t="str">
        <f t="shared" si="7"/>
        <v>-</v>
      </c>
      <c r="O18" s="61">
        <f t="shared" si="8"/>
        <v>0</v>
      </c>
      <c r="P18" s="149"/>
      <c r="Q18" s="61">
        <f t="shared" si="9"/>
        <v>0</v>
      </c>
      <c r="R18" s="61">
        <f t="shared" si="9"/>
        <v>0</v>
      </c>
      <c r="S18" s="61">
        <f t="shared" si="10"/>
        <v>0</v>
      </c>
      <c r="T18" s="61">
        <f t="shared" si="11"/>
        <v>0</v>
      </c>
      <c r="U18" s="61">
        <f t="shared" si="11"/>
        <v>0</v>
      </c>
      <c r="V18" s="61">
        <f t="shared" si="11"/>
        <v>0</v>
      </c>
      <c r="W18" s="61">
        <f t="shared" si="11"/>
        <v>0</v>
      </c>
      <c r="X18" s="61">
        <f t="shared" si="11"/>
        <v>0</v>
      </c>
      <c r="Y18" s="61">
        <f t="shared" si="11"/>
        <v>0</v>
      </c>
      <c r="Z18" s="874"/>
      <c r="AA18" s="867">
        <f t="shared" si="12"/>
        <v>0</v>
      </c>
      <c r="AB18" s="61">
        <f t="shared" si="12"/>
        <v>0</v>
      </c>
      <c r="AC18" s="61">
        <f t="shared" si="12"/>
        <v>0</v>
      </c>
      <c r="AD18" s="61">
        <f t="shared" si="12"/>
        <v>0</v>
      </c>
      <c r="AE18" s="61">
        <f t="shared" si="12"/>
        <v>0</v>
      </c>
      <c r="AF18" s="61">
        <f t="shared" si="12"/>
        <v>0</v>
      </c>
      <c r="AG18" s="61">
        <f t="shared" si="12"/>
        <v>0</v>
      </c>
      <c r="AH18" s="61">
        <f t="shared" si="12"/>
        <v>0</v>
      </c>
      <c r="AI18" s="61">
        <f t="shared" si="12"/>
        <v>0</v>
      </c>
      <c r="AJ18" s="149"/>
      <c r="AK18" s="70"/>
    </row>
    <row r="19" spans="2:37" x14ac:dyDescent="0.2">
      <c r="B19" s="69"/>
      <c r="C19" s="149"/>
      <c r="D19" s="124"/>
      <c r="E19" s="124"/>
      <c r="F19" s="125"/>
      <c r="G19" s="60"/>
      <c r="H19" s="125"/>
      <c r="I19" s="125"/>
      <c r="J19" s="149"/>
      <c r="K19" s="64">
        <f t="shared" si="4"/>
        <v>0</v>
      </c>
      <c r="L19" s="61">
        <f t="shared" si="5"/>
        <v>0</v>
      </c>
      <c r="M19" s="61">
        <f t="shared" si="6"/>
        <v>0</v>
      </c>
      <c r="N19" s="418" t="str">
        <f t="shared" si="7"/>
        <v>-</v>
      </c>
      <c r="O19" s="61">
        <f t="shared" si="8"/>
        <v>0</v>
      </c>
      <c r="P19" s="149"/>
      <c r="Q19" s="61">
        <f t="shared" si="9"/>
        <v>0</v>
      </c>
      <c r="R19" s="61">
        <f t="shared" si="9"/>
        <v>0</v>
      </c>
      <c r="S19" s="61">
        <f t="shared" si="10"/>
        <v>0</v>
      </c>
      <c r="T19" s="61">
        <f t="shared" si="11"/>
        <v>0</v>
      </c>
      <c r="U19" s="61">
        <f t="shared" si="11"/>
        <v>0</v>
      </c>
      <c r="V19" s="61">
        <f t="shared" si="11"/>
        <v>0</v>
      </c>
      <c r="W19" s="61">
        <f t="shared" si="11"/>
        <v>0</v>
      </c>
      <c r="X19" s="61">
        <f t="shared" si="11"/>
        <v>0</v>
      </c>
      <c r="Y19" s="61">
        <f t="shared" si="11"/>
        <v>0</v>
      </c>
      <c r="Z19" s="874"/>
      <c r="AA19" s="867">
        <f t="shared" si="12"/>
        <v>0</v>
      </c>
      <c r="AB19" s="61">
        <f t="shared" si="12"/>
        <v>0</v>
      </c>
      <c r="AC19" s="61">
        <f t="shared" si="12"/>
        <v>0</v>
      </c>
      <c r="AD19" s="61">
        <f t="shared" si="12"/>
        <v>0</v>
      </c>
      <c r="AE19" s="61">
        <f t="shared" si="12"/>
        <v>0</v>
      </c>
      <c r="AF19" s="61">
        <f t="shared" si="12"/>
        <v>0</v>
      </c>
      <c r="AG19" s="61">
        <f t="shared" si="12"/>
        <v>0</v>
      </c>
      <c r="AH19" s="61">
        <f t="shared" si="12"/>
        <v>0</v>
      </c>
      <c r="AI19" s="61">
        <f t="shared" si="12"/>
        <v>0</v>
      </c>
      <c r="AJ19" s="149"/>
      <c r="AK19" s="70"/>
    </row>
    <row r="20" spans="2:37" x14ac:dyDescent="0.2">
      <c r="B20" s="69"/>
      <c r="C20" s="149"/>
      <c r="D20" s="124"/>
      <c r="E20" s="124"/>
      <c r="F20" s="125"/>
      <c r="G20" s="60"/>
      <c r="H20" s="125"/>
      <c r="I20" s="125"/>
      <c r="J20" s="149"/>
      <c r="K20" s="64">
        <f t="shared" si="4"/>
        <v>0</v>
      </c>
      <c r="L20" s="61">
        <f t="shared" si="5"/>
        <v>0</v>
      </c>
      <c r="M20" s="61">
        <f t="shared" si="6"/>
        <v>0</v>
      </c>
      <c r="N20" s="418" t="str">
        <f t="shared" si="7"/>
        <v>-</v>
      </c>
      <c r="O20" s="61">
        <f t="shared" si="8"/>
        <v>0</v>
      </c>
      <c r="P20" s="149"/>
      <c r="Q20" s="61">
        <f t="shared" si="9"/>
        <v>0</v>
      </c>
      <c r="R20" s="61">
        <f t="shared" si="9"/>
        <v>0</v>
      </c>
      <c r="S20" s="61">
        <f t="shared" si="10"/>
        <v>0</v>
      </c>
      <c r="T20" s="61">
        <f t="shared" si="11"/>
        <v>0</v>
      </c>
      <c r="U20" s="61">
        <f t="shared" si="11"/>
        <v>0</v>
      </c>
      <c r="V20" s="61">
        <f t="shared" si="11"/>
        <v>0</v>
      </c>
      <c r="W20" s="61">
        <f t="shared" si="11"/>
        <v>0</v>
      </c>
      <c r="X20" s="61">
        <f t="shared" si="11"/>
        <v>0</v>
      </c>
      <c r="Y20" s="61">
        <f t="shared" si="11"/>
        <v>0</v>
      </c>
      <c r="Z20" s="874"/>
      <c r="AA20" s="867">
        <f t="shared" si="12"/>
        <v>0</v>
      </c>
      <c r="AB20" s="61">
        <f t="shared" si="12"/>
        <v>0</v>
      </c>
      <c r="AC20" s="61">
        <f t="shared" si="12"/>
        <v>0</v>
      </c>
      <c r="AD20" s="61">
        <f t="shared" si="12"/>
        <v>0</v>
      </c>
      <c r="AE20" s="61">
        <f t="shared" si="12"/>
        <v>0</v>
      </c>
      <c r="AF20" s="61">
        <f t="shared" si="12"/>
        <v>0</v>
      </c>
      <c r="AG20" s="61">
        <f t="shared" si="12"/>
        <v>0</v>
      </c>
      <c r="AH20" s="61">
        <f t="shared" si="12"/>
        <v>0</v>
      </c>
      <c r="AI20" s="61">
        <f t="shared" si="12"/>
        <v>0</v>
      </c>
      <c r="AJ20" s="149"/>
      <c r="AK20" s="70"/>
    </row>
    <row r="21" spans="2:37" x14ac:dyDescent="0.2">
      <c r="B21" s="69"/>
      <c r="C21" s="149"/>
      <c r="D21" s="124"/>
      <c r="E21" s="124"/>
      <c r="F21" s="125"/>
      <c r="G21" s="60"/>
      <c r="H21" s="125"/>
      <c r="I21" s="125"/>
      <c r="J21" s="149"/>
      <c r="K21" s="64">
        <f t="shared" si="4"/>
        <v>0</v>
      </c>
      <c r="L21" s="61">
        <f t="shared" si="5"/>
        <v>0</v>
      </c>
      <c r="M21" s="61">
        <f t="shared" si="6"/>
        <v>0</v>
      </c>
      <c r="N21" s="418" t="str">
        <f t="shared" si="7"/>
        <v>-</v>
      </c>
      <c r="O21" s="61">
        <f t="shared" si="8"/>
        <v>0</v>
      </c>
      <c r="P21" s="149"/>
      <c r="Q21" s="61">
        <f t="shared" si="9"/>
        <v>0</v>
      </c>
      <c r="R21" s="61">
        <f t="shared" si="9"/>
        <v>0</v>
      </c>
      <c r="S21" s="61">
        <f t="shared" si="10"/>
        <v>0</v>
      </c>
      <c r="T21" s="61">
        <f t="shared" si="11"/>
        <v>0</v>
      </c>
      <c r="U21" s="61">
        <f t="shared" si="11"/>
        <v>0</v>
      </c>
      <c r="V21" s="61">
        <f t="shared" si="11"/>
        <v>0</v>
      </c>
      <c r="W21" s="61">
        <f t="shared" si="11"/>
        <v>0</v>
      </c>
      <c r="X21" s="61">
        <f t="shared" si="11"/>
        <v>0</v>
      </c>
      <c r="Y21" s="61">
        <f t="shared" si="11"/>
        <v>0</v>
      </c>
      <c r="Z21" s="874"/>
      <c r="AA21" s="867">
        <f t="shared" si="12"/>
        <v>0</v>
      </c>
      <c r="AB21" s="61">
        <f t="shared" si="12"/>
        <v>0</v>
      </c>
      <c r="AC21" s="61">
        <f t="shared" si="12"/>
        <v>0</v>
      </c>
      <c r="AD21" s="61">
        <f t="shared" si="12"/>
        <v>0</v>
      </c>
      <c r="AE21" s="61">
        <f t="shared" si="12"/>
        <v>0</v>
      </c>
      <c r="AF21" s="61">
        <f t="shared" si="12"/>
        <v>0</v>
      </c>
      <c r="AG21" s="61">
        <f t="shared" si="12"/>
        <v>0</v>
      </c>
      <c r="AH21" s="61">
        <f t="shared" si="12"/>
        <v>0</v>
      </c>
      <c r="AI21" s="61">
        <f t="shared" si="12"/>
        <v>0</v>
      </c>
      <c r="AJ21" s="149"/>
      <c r="AK21" s="70"/>
    </row>
    <row r="22" spans="2:37" x14ac:dyDescent="0.2">
      <c r="B22" s="69"/>
      <c r="C22" s="149"/>
      <c r="D22" s="124"/>
      <c r="E22" s="124"/>
      <c r="F22" s="125"/>
      <c r="G22" s="60"/>
      <c r="H22" s="125"/>
      <c r="I22" s="125"/>
      <c r="J22" s="149"/>
      <c r="K22" s="64">
        <f t="shared" si="4"/>
        <v>0</v>
      </c>
      <c r="L22" s="61">
        <f t="shared" si="5"/>
        <v>0</v>
      </c>
      <c r="M22" s="61">
        <f t="shared" si="6"/>
        <v>0</v>
      </c>
      <c r="N22" s="418" t="str">
        <f t="shared" si="7"/>
        <v>-</v>
      </c>
      <c r="O22" s="61">
        <f t="shared" si="8"/>
        <v>0</v>
      </c>
      <c r="P22" s="149"/>
      <c r="Q22" s="61">
        <f t="shared" si="9"/>
        <v>0</v>
      </c>
      <c r="R22" s="61">
        <f t="shared" si="9"/>
        <v>0</v>
      </c>
      <c r="S22" s="61">
        <f t="shared" si="10"/>
        <v>0</v>
      </c>
      <c r="T22" s="61">
        <f t="shared" si="11"/>
        <v>0</v>
      </c>
      <c r="U22" s="61">
        <f t="shared" si="11"/>
        <v>0</v>
      </c>
      <c r="V22" s="61">
        <f t="shared" si="11"/>
        <v>0</v>
      </c>
      <c r="W22" s="61">
        <f t="shared" si="11"/>
        <v>0</v>
      </c>
      <c r="X22" s="61">
        <f t="shared" si="11"/>
        <v>0</v>
      </c>
      <c r="Y22" s="61">
        <f t="shared" si="11"/>
        <v>0</v>
      </c>
      <c r="Z22" s="874"/>
      <c r="AA22" s="867">
        <f t="shared" si="12"/>
        <v>0</v>
      </c>
      <c r="AB22" s="61">
        <f t="shared" si="12"/>
        <v>0</v>
      </c>
      <c r="AC22" s="61">
        <f t="shared" si="12"/>
        <v>0</v>
      </c>
      <c r="AD22" s="61">
        <f t="shared" si="12"/>
        <v>0</v>
      </c>
      <c r="AE22" s="61">
        <f t="shared" si="12"/>
        <v>0</v>
      </c>
      <c r="AF22" s="61">
        <f t="shared" si="12"/>
        <v>0</v>
      </c>
      <c r="AG22" s="61">
        <f t="shared" si="12"/>
        <v>0</v>
      </c>
      <c r="AH22" s="61">
        <f t="shared" si="12"/>
        <v>0</v>
      </c>
      <c r="AI22" s="61">
        <f t="shared" si="12"/>
        <v>0</v>
      </c>
      <c r="AJ22" s="149"/>
      <c r="AK22" s="70"/>
    </row>
    <row r="23" spans="2:37" x14ac:dyDescent="0.2">
      <c r="B23" s="69"/>
      <c r="C23" s="149"/>
      <c r="D23" s="124"/>
      <c r="E23" s="124"/>
      <c r="F23" s="125"/>
      <c r="G23" s="60"/>
      <c r="H23" s="125"/>
      <c r="I23" s="125"/>
      <c r="J23" s="149"/>
      <c r="K23" s="64">
        <f t="shared" si="4"/>
        <v>0</v>
      </c>
      <c r="L23" s="61">
        <f t="shared" si="5"/>
        <v>0</v>
      </c>
      <c r="M23" s="61">
        <f t="shared" si="6"/>
        <v>0</v>
      </c>
      <c r="N23" s="418" t="str">
        <f t="shared" si="7"/>
        <v>-</v>
      </c>
      <c r="O23" s="61">
        <f t="shared" si="8"/>
        <v>0</v>
      </c>
      <c r="P23" s="149"/>
      <c r="Q23" s="61">
        <f t="shared" si="9"/>
        <v>0</v>
      </c>
      <c r="R23" s="61">
        <f t="shared" si="9"/>
        <v>0</v>
      </c>
      <c r="S23" s="61">
        <f t="shared" si="10"/>
        <v>0</v>
      </c>
      <c r="T23" s="61">
        <f t="shared" si="11"/>
        <v>0</v>
      </c>
      <c r="U23" s="61">
        <f t="shared" si="11"/>
        <v>0</v>
      </c>
      <c r="V23" s="61">
        <f t="shared" si="11"/>
        <v>0</v>
      </c>
      <c r="W23" s="61">
        <f t="shared" si="11"/>
        <v>0</v>
      </c>
      <c r="X23" s="61">
        <f t="shared" si="11"/>
        <v>0</v>
      </c>
      <c r="Y23" s="61">
        <f t="shared" si="11"/>
        <v>0</v>
      </c>
      <c r="Z23" s="874"/>
      <c r="AA23" s="867">
        <f t="shared" si="12"/>
        <v>0</v>
      </c>
      <c r="AB23" s="61">
        <f t="shared" si="12"/>
        <v>0</v>
      </c>
      <c r="AC23" s="61">
        <f t="shared" si="12"/>
        <v>0</v>
      </c>
      <c r="AD23" s="61">
        <f t="shared" si="12"/>
        <v>0</v>
      </c>
      <c r="AE23" s="61">
        <f t="shared" si="12"/>
        <v>0</v>
      </c>
      <c r="AF23" s="61">
        <f t="shared" si="12"/>
        <v>0</v>
      </c>
      <c r="AG23" s="61">
        <f t="shared" si="12"/>
        <v>0</v>
      </c>
      <c r="AH23" s="61">
        <f t="shared" si="12"/>
        <v>0</v>
      </c>
      <c r="AI23" s="61">
        <f t="shared" si="12"/>
        <v>0</v>
      </c>
      <c r="AJ23" s="149"/>
      <c r="AK23" s="70"/>
    </row>
    <row r="24" spans="2:37" x14ac:dyDescent="0.2">
      <c r="B24" s="69"/>
      <c r="C24" s="149"/>
      <c r="D24" s="124"/>
      <c r="E24" s="124"/>
      <c r="F24" s="125"/>
      <c r="G24" s="60"/>
      <c r="H24" s="125"/>
      <c r="I24" s="125"/>
      <c r="J24" s="149"/>
      <c r="K24" s="64">
        <f t="shared" si="4"/>
        <v>0</v>
      </c>
      <c r="L24" s="61">
        <f t="shared" si="5"/>
        <v>0</v>
      </c>
      <c r="M24" s="61">
        <f t="shared" si="6"/>
        <v>0</v>
      </c>
      <c r="N24" s="418" t="str">
        <f t="shared" si="7"/>
        <v>-</v>
      </c>
      <c r="O24" s="61">
        <f t="shared" si="8"/>
        <v>0</v>
      </c>
      <c r="P24" s="149"/>
      <c r="Q24" s="61">
        <f t="shared" si="9"/>
        <v>0</v>
      </c>
      <c r="R24" s="61">
        <f t="shared" si="9"/>
        <v>0</v>
      </c>
      <c r="S24" s="61">
        <f t="shared" si="10"/>
        <v>0</v>
      </c>
      <c r="T24" s="61">
        <f t="shared" si="11"/>
        <v>0</v>
      </c>
      <c r="U24" s="61">
        <f t="shared" si="11"/>
        <v>0</v>
      </c>
      <c r="V24" s="61">
        <f t="shared" si="11"/>
        <v>0</v>
      </c>
      <c r="W24" s="61">
        <f t="shared" si="11"/>
        <v>0</v>
      </c>
      <c r="X24" s="61">
        <f t="shared" si="11"/>
        <v>0</v>
      </c>
      <c r="Y24" s="61">
        <f t="shared" si="11"/>
        <v>0</v>
      </c>
      <c r="Z24" s="874"/>
      <c r="AA24" s="867">
        <f t="shared" ref="AA24:AI33" si="13">IF(AA$8=$H24,($F24*$G24),0)</f>
        <v>0</v>
      </c>
      <c r="AB24" s="61">
        <f t="shared" si="13"/>
        <v>0</v>
      </c>
      <c r="AC24" s="61">
        <f t="shared" si="13"/>
        <v>0</v>
      </c>
      <c r="AD24" s="61">
        <f t="shared" si="13"/>
        <v>0</v>
      </c>
      <c r="AE24" s="61">
        <f t="shared" si="13"/>
        <v>0</v>
      </c>
      <c r="AF24" s="61">
        <f t="shared" si="13"/>
        <v>0</v>
      </c>
      <c r="AG24" s="61">
        <f t="shared" si="13"/>
        <v>0</v>
      </c>
      <c r="AH24" s="61">
        <f t="shared" si="13"/>
        <v>0</v>
      </c>
      <c r="AI24" s="61">
        <f t="shared" si="13"/>
        <v>0</v>
      </c>
      <c r="AJ24" s="149"/>
      <c r="AK24" s="70"/>
    </row>
    <row r="25" spans="2:37" x14ac:dyDescent="0.2">
      <c r="B25" s="69"/>
      <c r="C25" s="149"/>
      <c r="D25" s="124"/>
      <c r="E25" s="124"/>
      <c r="F25" s="125"/>
      <c r="G25" s="60"/>
      <c r="H25" s="125"/>
      <c r="I25" s="125"/>
      <c r="J25" s="149"/>
      <c r="K25" s="64">
        <f t="shared" si="4"/>
        <v>0</v>
      </c>
      <c r="L25" s="61">
        <f t="shared" si="5"/>
        <v>0</v>
      </c>
      <c r="M25" s="61">
        <f t="shared" si="6"/>
        <v>0</v>
      </c>
      <c r="N25" s="418" t="str">
        <f t="shared" si="7"/>
        <v>-</v>
      </c>
      <c r="O25" s="61">
        <f t="shared" si="8"/>
        <v>0</v>
      </c>
      <c r="P25" s="149"/>
      <c r="Q25" s="61">
        <f t="shared" si="9"/>
        <v>0</v>
      </c>
      <c r="R25" s="61">
        <f t="shared" si="9"/>
        <v>0</v>
      </c>
      <c r="S25" s="61">
        <f t="shared" si="10"/>
        <v>0</v>
      </c>
      <c r="T25" s="61">
        <f t="shared" si="11"/>
        <v>0</v>
      </c>
      <c r="U25" s="61">
        <f t="shared" si="11"/>
        <v>0</v>
      </c>
      <c r="V25" s="61">
        <f t="shared" si="11"/>
        <v>0</v>
      </c>
      <c r="W25" s="61">
        <f t="shared" si="11"/>
        <v>0</v>
      </c>
      <c r="X25" s="61">
        <f t="shared" si="11"/>
        <v>0</v>
      </c>
      <c r="Y25" s="61">
        <f t="shared" si="11"/>
        <v>0</v>
      </c>
      <c r="Z25" s="874"/>
      <c r="AA25" s="867">
        <f t="shared" si="13"/>
        <v>0</v>
      </c>
      <c r="AB25" s="61">
        <f t="shared" si="13"/>
        <v>0</v>
      </c>
      <c r="AC25" s="61">
        <f t="shared" si="13"/>
        <v>0</v>
      </c>
      <c r="AD25" s="61">
        <f t="shared" si="13"/>
        <v>0</v>
      </c>
      <c r="AE25" s="61">
        <f t="shared" si="13"/>
        <v>0</v>
      </c>
      <c r="AF25" s="61">
        <f t="shared" si="13"/>
        <v>0</v>
      </c>
      <c r="AG25" s="61">
        <f t="shared" si="13"/>
        <v>0</v>
      </c>
      <c r="AH25" s="61">
        <f t="shared" si="13"/>
        <v>0</v>
      </c>
      <c r="AI25" s="61">
        <f t="shared" si="13"/>
        <v>0</v>
      </c>
      <c r="AJ25" s="149"/>
      <c r="AK25" s="70"/>
    </row>
    <row r="26" spans="2:37" x14ac:dyDescent="0.2">
      <c r="B26" s="69"/>
      <c r="C26" s="149"/>
      <c r="D26" s="124"/>
      <c r="E26" s="124"/>
      <c r="F26" s="125"/>
      <c r="G26" s="60"/>
      <c r="H26" s="125"/>
      <c r="I26" s="125"/>
      <c r="J26" s="149"/>
      <c r="K26" s="64">
        <f t="shared" si="4"/>
        <v>0</v>
      </c>
      <c r="L26" s="61">
        <f t="shared" si="5"/>
        <v>0</v>
      </c>
      <c r="M26" s="61">
        <f t="shared" si="6"/>
        <v>0</v>
      </c>
      <c r="N26" s="418" t="str">
        <f t="shared" si="7"/>
        <v>-</v>
      </c>
      <c r="O26" s="61">
        <f t="shared" si="8"/>
        <v>0</v>
      </c>
      <c r="P26" s="149"/>
      <c r="Q26" s="61">
        <f t="shared" si="9"/>
        <v>0</v>
      </c>
      <c r="R26" s="61">
        <f t="shared" si="9"/>
        <v>0</v>
      </c>
      <c r="S26" s="61">
        <f t="shared" si="10"/>
        <v>0</v>
      </c>
      <c r="T26" s="61">
        <f t="shared" si="11"/>
        <v>0</v>
      </c>
      <c r="U26" s="61">
        <f t="shared" si="11"/>
        <v>0</v>
      </c>
      <c r="V26" s="61">
        <f t="shared" si="11"/>
        <v>0</v>
      </c>
      <c r="W26" s="61">
        <f t="shared" si="11"/>
        <v>0</v>
      </c>
      <c r="X26" s="61">
        <f t="shared" si="11"/>
        <v>0</v>
      </c>
      <c r="Y26" s="61">
        <f t="shared" si="11"/>
        <v>0</v>
      </c>
      <c r="Z26" s="874"/>
      <c r="AA26" s="867">
        <f t="shared" si="13"/>
        <v>0</v>
      </c>
      <c r="AB26" s="61">
        <f t="shared" si="13"/>
        <v>0</v>
      </c>
      <c r="AC26" s="61">
        <f t="shared" si="13"/>
        <v>0</v>
      </c>
      <c r="AD26" s="61">
        <f t="shared" si="13"/>
        <v>0</v>
      </c>
      <c r="AE26" s="61">
        <f t="shared" si="13"/>
        <v>0</v>
      </c>
      <c r="AF26" s="61">
        <f t="shared" si="13"/>
        <v>0</v>
      </c>
      <c r="AG26" s="61">
        <f t="shared" si="13"/>
        <v>0</v>
      </c>
      <c r="AH26" s="61">
        <f t="shared" si="13"/>
        <v>0</v>
      </c>
      <c r="AI26" s="61">
        <f t="shared" si="13"/>
        <v>0</v>
      </c>
      <c r="AJ26" s="149"/>
      <c r="AK26" s="70"/>
    </row>
    <row r="27" spans="2:37" x14ac:dyDescent="0.2">
      <c r="B27" s="69"/>
      <c r="C27" s="149"/>
      <c r="D27" s="124"/>
      <c r="E27" s="124"/>
      <c r="F27" s="125"/>
      <c r="G27" s="60"/>
      <c r="H27" s="125"/>
      <c r="I27" s="125"/>
      <c r="J27" s="149"/>
      <c r="K27" s="64">
        <f t="shared" si="4"/>
        <v>0</v>
      </c>
      <c r="L27" s="61">
        <f t="shared" si="5"/>
        <v>0</v>
      </c>
      <c r="M27" s="61">
        <f t="shared" si="6"/>
        <v>0</v>
      </c>
      <c r="N27" s="418" t="str">
        <f t="shared" si="7"/>
        <v>-</v>
      </c>
      <c r="O27" s="61">
        <f t="shared" si="8"/>
        <v>0</v>
      </c>
      <c r="P27" s="149"/>
      <c r="Q27" s="61">
        <f t="shared" si="9"/>
        <v>0</v>
      </c>
      <c r="R27" s="61">
        <f t="shared" si="9"/>
        <v>0</v>
      </c>
      <c r="S27" s="61">
        <f t="shared" si="10"/>
        <v>0</v>
      </c>
      <c r="T27" s="61">
        <f t="shared" si="11"/>
        <v>0</v>
      </c>
      <c r="U27" s="61">
        <f t="shared" si="11"/>
        <v>0</v>
      </c>
      <c r="V27" s="61">
        <f t="shared" si="11"/>
        <v>0</v>
      </c>
      <c r="W27" s="61">
        <f t="shared" si="11"/>
        <v>0</v>
      </c>
      <c r="X27" s="61">
        <f t="shared" si="11"/>
        <v>0</v>
      </c>
      <c r="Y27" s="61">
        <f t="shared" si="11"/>
        <v>0</v>
      </c>
      <c r="Z27" s="874"/>
      <c r="AA27" s="867">
        <f t="shared" si="13"/>
        <v>0</v>
      </c>
      <c r="AB27" s="61">
        <f t="shared" si="13"/>
        <v>0</v>
      </c>
      <c r="AC27" s="61">
        <f t="shared" si="13"/>
        <v>0</v>
      </c>
      <c r="AD27" s="61">
        <f t="shared" si="13"/>
        <v>0</v>
      </c>
      <c r="AE27" s="61">
        <f t="shared" si="13"/>
        <v>0</v>
      </c>
      <c r="AF27" s="61">
        <f t="shared" si="13"/>
        <v>0</v>
      </c>
      <c r="AG27" s="61">
        <f t="shared" si="13"/>
        <v>0</v>
      </c>
      <c r="AH27" s="61">
        <f t="shared" si="13"/>
        <v>0</v>
      </c>
      <c r="AI27" s="61">
        <f t="shared" si="13"/>
        <v>0</v>
      </c>
      <c r="AJ27" s="149"/>
      <c r="AK27" s="70"/>
    </row>
    <row r="28" spans="2:37" x14ac:dyDescent="0.2">
      <c r="B28" s="69"/>
      <c r="C28" s="149"/>
      <c r="D28" s="124"/>
      <c r="E28" s="124"/>
      <c r="F28" s="125"/>
      <c r="G28" s="60"/>
      <c r="H28" s="125"/>
      <c r="I28" s="125"/>
      <c r="J28" s="149"/>
      <c r="K28" s="64">
        <f t="shared" si="4"/>
        <v>0</v>
      </c>
      <c r="L28" s="61">
        <f t="shared" si="5"/>
        <v>0</v>
      </c>
      <c r="M28" s="61">
        <f t="shared" si="6"/>
        <v>0</v>
      </c>
      <c r="N28" s="418" t="str">
        <f t="shared" si="7"/>
        <v>-</v>
      </c>
      <c r="O28" s="61">
        <f t="shared" si="8"/>
        <v>0</v>
      </c>
      <c r="P28" s="149"/>
      <c r="Q28" s="61">
        <f t="shared" si="9"/>
        <v>0</v>
      </c>
      <c r="R28" s="61">
        <f t="shared" si="9"/>
        <v>0</v>
      </c>
      <c r="S28" s="61">
        <f t="shared" si="10"/>
        <v>0</v>
      </c>
      <c r="T28" s="61">
        <f t="shared" si="11"/>
        <v>0</v>
      </c>
      <c r="U28" s="61">
        <f t="shared" si="11"/>
        <v>0</v>
      </c>
      <c r="V28" s="61">
        <f t="shared" si="11"/>
        <v>0</v>
      </c>
      <c r="W28" s="61">
        <f t="shared" si="11"/>
        <v>0</v>
      </c>
      <c r="X28" s="61">
        <f t="shared" si="11"/>
        <v>0</v>
      </c>
      <c r="Y28" s="61">
        <f t="shared" si="11"/>
        <v>0</v>
      </c>
      <c r="Z28" s="874"/>
      <c r="AA28" s="867">
        <f t="shared" si="13"/>
        <v>0</v>
      </c>
      <c r="AB28" s="61">
        <f t="shared" si="13"/>
        <v>0</v>
      </c>
      <c r="AC28" s="61">
        <f t="shared" si="13"/>
        <v>0</v>
      </c>
      <c r="AD28" s="61">
        <f t="shared" si="13"/>
        <v>0</v>
      </c>
      <c r="AE28" s="61">
        <f t="shared" si="13"/>
        <v>0</v>
      </c>
      <c r="AF28" s="61">
        <f t="shared" si="13"/>
        <v>0</v>
      </c>
      <c r="AG28" s="61">
        <f t="shared" si="13"/>
        <v>0</v>
      </c>
      <c r="AH28" s="61">
        <f t="shared" si="13"/>
        <v>0</v>
      </c>
      <c r="AI28" s="61">
        <f t="shared" si="13"/>
        <v>0</v>
      </c>
      <c r="AJ28" s="149"/>
      <c r="AK28" s="70"/>
    </row>
    <row r="29" spans="2:37" x14ac:dyDescent="0.2">
      <c r="B29" s="69"/>
      <c r="C29" s="149"/>
      <c r="D29" s="124"/>
      <c r="E29" s="124"/>
      <c r="F29" s="125"/>
      <c r="G29" s="60"/>
      <c r="H29" s="125"/>
      <c r="I29" s="125"/>
      <c r="J29" s="149"/>
      <c r="K29" s="64">
        <f t="shared" si="4"/>
        <v>0</v>
      </c>
      <c r="L29" s="61">
        <f t="shared" si="5"/>
        <v>0</v>
      </c>
      <c r="M29" s="61">
        <f t="shared" si="6"/>
        <v>0</v>
      </c>
      <c r="N29" s="418" t="str">
        <f t="shared" si="7"/>
        <v>-</v>
      </c>
      <c r="O29" s="61">
        <f t="shared" si="8"/>
        <v>0</v>
      </c>
      <c r="P29" s="149"/>
      <c r="Q29" s="61">
        <f t="shared" si="9"/>
        <v>0</v>
      </c>
      <c r="R29" s="61">
        <f t="shared" si="9"/>
        <v>0</v>
      </c>
      <c r="S29" s="61">
        <f t="shared" si="10"/>
        <v>0</v>
      </c>
      <c r="T29" s="61">
        <f t="shared" si="11"/>
        <v>0</v>
      </c>
      <c r="U29" s="61">
        <f t="shared" si="11"/>
        <v>0</v>
      </c>
      <c r="V29" s="61">
        <f t="shared" si="11"/>
        <v>0</v>
      </c>
      <c r="W29" s="61">
        <f t="shared" si="11"/>
        <v>0</v>
      </c>
      <c r="X29" s="61">
        <f t="shared" si="11"/>
        <v>0</v>
      </c>
      <c r="Y29" s="61">
        <f t="shared" si="11"/>
        <v>0</v>
      </c>
      <c r="Z29" s="874"/>
      <c r="AA29" s="867">
        <f t="shared" si="13"/>
        <v>0</v>
      </c>
      <c r="AB29" s="61">
        <f t="shared" si="13"/>
        <v>0</v>
      </c>
      <c r="AC29" s="61">
        <f t="shared" si="13"/>
        <v>0</v>
      </c>
      <c r="AD29" s="61">
        <f t="shared" si="13"/>
        <v>0</v>
      </c>
      <c r="AE29" s="61">
        <f t="shared" si="13"/>
        <v>0</v>
      </c>
      <c r="AF29" s="61">
        <f t="shared" si="13"/>
        <v>0</v>
      </c>
      <c r="AG29" s="61">
        <f t="shared" si="13"/>
        <v>0</v>
      </c>
      <c r="AH29" s="61">
        <f t="shared" si="13"/>
        <v>0</v>
      </c>
      <c r="AI29" s="61">
        <f t="shared" si="13"/>
        <v>0</v>
      </c>
      <c r="AJ29" s="149"/>
      <c r="AK29" s="70"/>
    </row>
    <row r="30" spans="2:37" x14ac:dyDescent="0.2">
      <c r="B30" s="69"/>
      <c r="C30" s="149"/>
      <c r="D30" s="124"/>
      <c r="E30" s="124"/>
      <c r="F30" s="125"/>
      <c r="G30" s="60"/>
      <c r="H30" s="125"/>
      <c r="I30" s="125"/>
      <c r="J30" s="149"/>
      <c r="K30" s="64">
        <f t="shared" si="4"/>
        <v>0</v>
      </c>
      <c r="L30" s="61">
        <f t="shared" si="5"/>
        <v>0</v>
      </c>
      <c r="M30" s="61">
        <f t="shared" si="6"/>
        <v>0</v>
      </c>
      <c r="N30" s="418" t="str">
        <f t="shared" si="7"/>
        <v>-</v>
      </c>
      <c r="O30" s="61">
        <f t="shared" si="8"/>
        <v>0</v>
      </c>
      <c r="P30" s="149"/>
      <c r="Q30" s="61">
        <f t="shared" si="9"/>
        <v>0</v>
      </c>
      <c r="R30" s="61">
        <f t="shared" si="9"/>
        <v>0</v>
      </c>
      <c r="S30" s="61">
        <f t="shared" si="10"/>
        <v>0</v>
      </c>
      <c r="T30" s="61">
        <f t="shared" si="11"/>
        <v>0</v>
      </c>
      <c r="U30" s="61">
        <f t="shared" si="11"/>
        <v>0</v>
      </c>
      <c r="V30" s="61">
        <f t="shared" si="11"/>
        <v>0</v>
      </c>
      <c r="W30" s="61">
        <f t="shared" si="11"/>
        <v>0</v>
      </c>
      <c r="X30" s="61">
        <f t="shared" si="11"/>
        <v>0</v>
      </c>
      <c r="Y30" s="61">
        <f t="shared" si="11"/>
        <v>0</v>
      </c>
      <c r="Z30" s="874"/>
      <c r="AA30" s="867">
        <f t="shared" si="13"/>
        <v>0</v>
      </c>
      <c r="AB30" s="61">
        <f t="shared" si="13"/>
        <v>0</v>
      </c>
      <c r="AC30" s="61">
        <f t="shared" si="13"/>
        <v>0</v>
      </c>
      <c r="AD30" s="61">
        <f t="shared" si="13"/>
        <v>0</v>
      </c>
      <c r="AE30" s="61">
        <f t="shared" si="13"/>
        <v>0</v>
      </c>
      <c r="AF30" s="61">
        <f t="shared" si="13"/>
        <v>0</v>
      </c>
      <c r="AG30" s="61">
        <f t="shared" si="13"/>
        <v>0</v>
      </c>
      <c r="AH30" s="61">
        <f t="shared" si="13"/>
        <v>0</v>
      </c>
      <c r="AI30" s="61">
        <f t="shared" si="13"/>
        <v>0</v>
      </c>
      <c r="AJ30" s="149"/>
      <c r="AK30" s="70"/>
    </row>
    <row r="31" spans="2:37" x14ac:dyDescent="0.2">
      <c r="B31" s="69"/>
      <c r="C31" s="149"/>
      <c r="D31" s="124"/>
      <c r="E31" s="124"/>
      <c r="F31" s="125"/>
      <c r="G31" s="60"/>
      <c r="H31" s="125"/>
      <c r="I31" s="125"/>
      <c r="J31" s="149"/>
      <c r="K31" s="64">
        <f t="shared" si="4"/>
        <v>0</v>
      </c>
      <c r="L31" s="61">
        <f t="shared" si="5"/>
        <v>0</v>
      </c>
      <c r="M31" s="61">
        <f t="shared" si="6"/>
        <v>0</v>
      </c>
      <c r="N31" s="418" t="str">
        <f t="shared" si="7"/>
        <v>-</v>
      </c>
      <c r="O31" s="61">
        <f t="shared" si="8"/>
        <v>0</v>
      </c>
      <c r="P31" s="149"/>
      <c r="Q31" s="61">
        <f t="shared" si="9"/>
        <v>0</v>
      </c>
      <c r="R31" s="61">
        <f t="shared" si="9"/>
        <v>0</v>
      </c>
      <c r="S31" s="61">
        <f t="shared" si="10"/>
        <v>0</v>
      </c>
      <c r="T31" s="61">
        <f t="shared" si="11"/>
        <v>0</v>
      </c>
      <c r="U31" s="61">
        <f t="shared" si="11"/>
        <v>0</v>
      </c>
      <c r="V31" s="61">
        <f t="shared" si="11"/>
        <v>0</v>
      </c>
      <c r="W31" s="61">
        <f t="shared" si="11"/>
        <v>0</v>
      </c>
      <c r="X31" s="61">
        <f t="shared" si="11"/>
        <v>0</v>
      </c>
      <c r="Y31" s="61">
        <f t="shared" si="11"/>
        <v>0</v>
      </c>
      <c r="Z31" s="874"/>
      <c r="AA31" s="867">
        <f t="shared" si="13"/>
        <v>0</v>
      </c>
      <c r="AB31" s="61">
        <f t="shared" si="13"/>
        <v>0</v>
      </c>
      <c r="AC31" s="61">
        <f t="shared" si="13"/>
        <v>0</v>
      </c>
      <c r="AD31" s="61">
        <f t="shared" si="13"/>
        <v>0</v>
      </c>
      <c r="AE31" s="61">
        <f t="shared" si="13"/>
        <v>0</v>
      </c>
      <c r="AF31" s="61">
        <f t="shared" si="13"/>
        <v>0</v>
      </c>
      <c r="AG31" s="61">
        <f t="shared" si="13"/>
        <v>0</v>
      </c>
      <c r="AH31" s="61">
        <f t="shared" si="13"/>
        <v>0</v>
      </c>
      <c r="AI31" s="61">
        <f t="shared" si="13"/>
        <v>0</v>
      </c>
      <c r="AJ31" s="149"/>
      <c r="AK31" s="70"/>
    </row>
    <row r="32" spans="2:37" x14ac:dyDescent="0.2">
      <c r="B32" s="69"/>
      <c r="C32" s="149"/>
      <c r="D32" s="124"/>
      <c r="E32" s="124"/>
      <c r="F32" s="125"/>
      <c r="G32" s="60"/>
      <c r="H32" s="125"/>
      <c r="I32" s="125"/>
      <c r="J32" s="149"/>
      <c r="K32" s="64">
        <f t="shared" si="4"/>
        <v>0</v>
      </c>
      <c r="L32" s="61">
        <f t="shared" si="5"/>
        <v>0</v>
      </c>
      <c r="M32" s="61">
        <f t="shared" si="6"/>
        <v>0</v>
      </c>
      <c r="N32" s="418" t="str">
        <f t="shared" si="7"/>
        <v>-</v>
      </c>
      <c r="O32" s="61">
        <f t="shared" si="8"/>
        <v>0</v>
      </c>
      <c r="P32" s="149"/>
      <c r="Q32" s="61">
        <f t="shared" si="9"/>
        <v>0</v>
      </c>
      <c r="R32" s="61">
        <f t="shared" si="9"/>
        <v>0</v>
      </c>
      <c r="S32" s="61">
        <f t="shared" si="10"/>
        <v>0</v>
      </c>
      <c r="T32" s="61">
        <f t="shared" si="11"/>
        <v>0</v>
      </c>
      <c r="U32" s="61">
        <f t="shared" si="11"/>
        <v>0</v>
      </c>
      <c r="V32" s="61">
        <f t="shared" si="11"/>
        <v>0</v>
      </c>
      <c r="W32" s="61">
        <f t="shared" si="11"/>
        <v>0</v>
      </c>
      <c r="X32" s="61">
        <f t="shared" si="11"/>
        <v>0</v>
      </c>
      <c r="Y32" s="61">
        <f t="shared" si="11"/>
        <v>0</v>
      </c>
      <c r="Z32" s="874"/>
      <c r="AA32" s="867">
        <f t="shared" si="13"/>
        <v>0</v>
      </c>
      <c r="AB32" s="61">
        <f t="shared" si="13"/>
        <v>0</v>
      </c>
      <c r="AC32" s="61">
        <f t="shared" si="13"/>
        <v>0</v>
      </c>
      <c r="AD32" s="61">
        <f t="shared" si="13"/>
        <v>0</v>
      </c>
      <c r="AE32" s="61">
        <f t="shared" si="13"/>
        <v>0</v>
      </c>
      <c r="AF32" s="61">
        <f t="shared" si="13"/>
        <v>0</v>
      </c>
      <c r="AG32" s="61">
        <f t="shared" si="13"/>
        <v>0</v>
      </c>
      <c r="AH32" s="61">
        <f t="shared" si="13"/>
        <v>0</v>
      </c>
      <c r="AI32" s="61">
        <f t="shared" si="13"/>
        <v>0</v>
      </c>
      <c r="AJ32" s="149"/>
      <c r="AK32" s="70"/>
    </row>
    <row r="33" spans="2:37" x14ac:dyDescent="0.2">
      <c r="B33" s="69"/>
      <c r="C33" s="149"/>
      <c r="D33" s="124"/>
      <c r="E33" s="124"/>
      <c r="F33" s="125"/>
      <c r="G33" s="60"/>
      <c r="H33" s="125"/>
      <c r="I33" s="125"/>
      <c r="J33" s="149"/>
      <c r="K33" s="64">
        <f t="shared" si="4"/>
        <v>0</v>
      </c>
      <c r="L33" s="61">
        <f t="shared" si="5"/>
        <v>0</v>
      </c>
      <c r="M33" s="61">
        <f t="shared" si="6"/>
        <v>0</v>
      </c>
      <c r="N33" s="418" t="str">
        <f t="shared" si="7"/>
        <v>-</v>
      </c>
      <c r="O33" s="61">
        <f t="shared" si="8"/>
        <v>0</v>
      </c>
      <c r="P33" s="149"/>
      <c r="Q33" s="61">
        <f t="shared" si="9"/>
        <v>0</v>
      </c>
      <c r="R33" s="61">
        <f t="shared" si="9"/>
        <v>0</v>
      </c>
      <c r="S33" s="61">
        <f t="shared" si="10"/>
        <v>0</v>
      </c>
      <c r="T33" s="61">
        <f t="shared" si="11"/>
        <v>0</v>
      </c>
      <c r="U33" s="61">
        <f t="shared" si="11"/>
        <v>0</v>
      </c>
      <c r="V33" s="61">
        <f t="shared" si="11"/>
        <v>0</v>
      </c>
      <c r="W33" s="61">
        <f t="shared" si="11"/>
        <v>0</v>
      </c>
      <c r="X33" s="61">
        <f t="shared" si="11"/>
        <v>0</v>
      </c>
      <c r="Y33" s="61">
        <f t="shared" si="11"/>
        <v>0</v>
      </c>
      <c r="Z33" s="874"/>
      <c r="AA33" s="867">
        <f t="shared" si="13"/>
        <v>0</v>
      </c>
      <c r="AB33" s="61">
        <f t="shared" si="13"/>
        <v>0</v>
      </c>
      <c r="AC33" s="61">
        <f t="shared" si="13"/>
        <v>0</v>
      </c>
      <c r="AD33" s="61">
        <f t="shared" si="13"/>
        <v>0</v>
      </c>
      <c r="AE33" s="61">
        <f t="shared" si="13"/>
        <v>0</v>
      </c>
      <c r="AF33" s="61">
        <f t="shared" si="13"/>
        <v>0</v>
      </c>
      <c r="AG33" s="61">
        <f t="shared" si="13"/>
        <v>0</v>
      </c>
      <c r="AH33" s="61">
        <f t="shared" si="13"/>
        <v>0</v>
      </c>
      <c r="AI33" s="61">
        <f t="shared" si="13"/>
        <v>0</v>
      </c>
      <c r="AJ33" s="149"/>
      <c r="AK33" s="70"/>
    </row>
    <row r="34" spans="2:37" x14ac:dyDescent="0.2">
      <c r="B34" s="69"/>
      <c r="C34" s="149"/>
      <c r="D34" s="124"/>
      <c r="E34" s="124"/>
      <c r="F34" s="125"/>
      <c r="G34" s="60"/>
      <c r="H34" s="125"/>
      <c r="I34" s="125"/>
      <c r="J34" s="149"/>
      <c r="K34" s="64">
        <f t="shared" si="4"/>
        <v>0</v>
      </c>
      <c r="L34" s="61">
        <f t="shared" si="5"/>
        <v>0</v>
      </c>
      <c r="M34" s="61">
        <f t="shared" si="6"/>
        <v>0</v>
      </c>
      <c r="N34" s="418" t="str">
        <f t="shared" si="7"/>
        <v>-</v>
      </c>
      <c r="O34" s="61">
        <f t="shared" si="8"/>
        <v>0</v>
      </c>
      <c r="P34" s="149"/>
      <c r="Q34" s="61">
        <f t="shared" ref="Q34:R53" si="14">(IF(Q$8&lt;$H34,0,IF($N34&lt;=Q$8-1,0,$M34)))</f>
        <v>0</v>
      </c>
      <c r="R34" s="61">
        <f t="shared" si="14"/>
        <v>0</v>
      </c>
      <c r="S34" s="61">
        <f t="shared" si="10"/>
        <v>0</v>
      </c>
      <c r="T34" s="61">
        <f t="shared" ref="T34:Y53" si="15">(IF(T$8&lt;$H34,0,IF($N34&lt;=T$8-1,0,$M34)))</f>
        <v>0</v>
      </c>
      <c r="U34" s="61">
        <f t="shared" si="15"/>
        <v>0</v>
      </c>
      <c r="V34" s="61">
        <f t="shared" si="15"/>
        <v>0</v>
      </c>
      <c r="W34" s="61">
        <f t="shared" si="15"/>
        <v>0</v>
      </c>
      <c r="X34" s="61">
        <f t="shared" si="15"/>
        <v>0</v>
      </c>
      <c r="Y34" s="61">
        <f t="shared" si="15"/>
        <v>0</v>
      </c>
      <c r="Z34" s="874"/>
      <c r="AA34" s="867">
        <f t="shared" ref="AA34:AI43" si="16">IF(AA$8=$H34,($F34*$G34),0)</f>
        <v>0</v>
      </c>
      <c r="AB34" s="61">
        <f t="shared" si="16"/>
        <v>0</v>
      </c>
      <c r="AC34" s="61">
        <f t="shared" si="16"/>
        <v>0</v>
      </c>
      <c r="AD34" s="61">
        <f t="shared" si="16"/>
        <v>0</v>
      </c>
      <c r="AE34" s="61">
        <f t="shared" si="16"/>
        <v>0</v>
      </c>
      <c r="AF34" s="61">
        <f t="shared" si="16"/>
        <v>0</v>
      </c>
      <c r="AG34" s="61">
        <f t="shared" si="16"/>
        <v>0</v>
      </c>
      <c r="AH34" s="61">
        <f t="shared" si="16"/>
        <v>0</v>
      </c>
      <c r="AI34" s="61">
        <f t="shared" si="16"/>
        <v>0</v>
      </c>
      <c r="AJ34" s="149"/>
      <c r="AK34" s="70"/>
    </row>
    <row r="35" spans="2:37" x14ac:dyDescent="0.2">
      <c r="B35" s="69"/>
      <c r="C35" s="149"/>
      <c r="D35" s="124"/>
      <c r="E35" s="124"/>
      <c r="F35" s="125"/>
      <c r="G35" s="60"/>
      <c r="H35" s="125"/>
      <c r="I35" s="125"/>
      <c r="J35" s="149"/>
      <c r="K35" s="64">
        <f t="shared" si="4"/>
        <v>0</v>
      </c>
      <c r="L35" s="61">
        <f t="shared" si="5"/>
        <v>0</v>
      </c>
      <c r="M35" s="61">
        <f t="shared" si="6"/>
        <v>0</v>
      </c>
      <c r="N35" s="418" t="str">
        <f t="shared" si="7"/>
        <v>-</v>
      </c>
      <c r="O35" s="61">
        <f t="shared" si="8"/>
        <v>0</v>
      </c>
      <c r="P35" s="149"/>
      <c r="Q35" s="61">
        <f t="shared" si="14"/>
        <v>0</v>
      </c>
      <c r="R35" s="61">
        <f t="shared" si="14"/>
        <v>0</v>
      </c>
      <c r="S35" s="61">
        <f t="shared" si="10"/>
        <v>0</v>
      </c>
      <c r="T35" s="61">
        <f t="shared" si="15"/>
        <v>0</v>
      </c>
      <c r="U35" s="61">
        <f t="shared" si="15"/>
        <v>0</v>
      </c>
      <c r="V35" s="61">
        <f t="shared" si="15"/>
        <v>0</v>
      </c>
      <c r="W35" s="61">
        <f t="shared" si="15"/>
        <v>0</v>
      </c>
      <c r="X35" s="61">
        <f t="shared" si="15"/>
        <v>0</v>
      </c>
      <c r="Y35" s="61">
        <f t="shared" si="15"/>
        <v>0</v>
      </c>
      <c r="Z35" s="874"/>
      <c r="AA35" s="867">
        <f t="shared" si="16"/>
        <v>0</v>
      </c>
      <c r="AB35" s="61">
        <f t="shared" si="16"/>
        <v>0</v>
      </c>
      <c r="AC35" s="61">
        <f t="shared" si="16"/>
        <v>0</v>
      </c>
      <c r="AD35" s="61">
        <f t="shared" si="16"/>
        <v>0</v>
      </c>
      <c r="AE35" s="61">
        <f t="shared" si="16"/>
        <v>0</v>
      </c>
      <c r="AF35" s="61">
        <f t="shared" si="16"/>
        <v>0</v>
      </c>
      <c r="AG35" s="61">
        <f t="shared" si="16"/>
        <v>0</v>
      </c>
      <c r="AH35" s="61">
        <f t="shared" si="16"/>
        <v>0</v>
      </c>
      <c r="AI35" s="61">
        <f t="shared" si="16"/>
        <v>0</v>
      </c>
      <c r="AJ35" s="149"/>
      <c r="AK35" s="70"/>
    </row>
    <row r="36" spans="2:37" x14ac:dyDescent="0.2">
      <c r="B36" s="69"/>
      <c r="C36" s="149"/>
      <c r="D36" s="124"/>
      <c r="E36" s="124"/>
      <c r="F36" s="125"/>
      <c r="G36" s="60"/>
      <c r="H36" s="125"/>
      <c r="I36" s="125"/>
      <c r="J36" s="149"/>
      <c r="K36" s="64">
        <f t="shared" si="4"/>
        <v>0</v>
      </c>
      <c r="L36" s="61">
        <f t="shared" si="5"/>
        <v>0</v>
      </c>
      <c r="M36" s="61">
        <f t="shared" si="6"/>
        <v>0</v>
      </c>
      <c r="N36" s="418" t="str">
        <f t="shared" si="7"/>
        <v>-</v>
      </c>
      <c r="O36" s="61">
        <f t="shared" si="8"/>
        <v>0</v>
      </c>
      <c r="P36" s="149"/>
      <c r="Q36" s="61">
        <f t="shared" si="14"/>
        <v>0</v>
      </c>
      <c r="R36" s="61">
        <f t="shared" si="14"/>
        <v>0</v>
      </c>
      <c r="S36" s="61">
        <f t="shared" si="10"/>
        <v>0</v>
      </c>
      <c r="T36" s="61">
        <f t="shared" si="15"/>
        <v>0</v>
      </c>
      <c r="U36" s="61">
        <f t="shared" si="15"/>
        <v>0</v>
      </c>
      <c r="V36" s="61">
        <f t="shared" si="15"/>
        <v>0</v>
      </c>
      <c r="W36" s="61">
        <f t="shared" si="15"/>
        <v>0</v>
      </c>
      <c r="X36" s="61">
        <f t="shared" si="15"/>
        <v>0</v>
      </c>
      <c r="Y36" s="61">
        <f t="shared" si="15"/>
        <v>0</v>
      </c>
      <c r="Z36" s="874"/>
      <c r="AA36" s="867">
        <f t="shared" si="16"/>
        <v>0</v>
      </c>
      <c r="AB36" s="61">
        <f t="shared" si="16"/>
        <v>0</v>
      </c>
      <c r="AC36" s="61">
        <f t="shared" si="16"/>
        <v>0</v>
      </c>
      <c r="AD36" s="61">
        <f t="shared" si="16"/>
        <v>0</v>
      </c>
      <c r="AE36" s="61">
        <f t="shared" si="16"/>
        <v>0</v>
      </c>
      <c r="AF36" s="61">
        <f t="shared" si="16"/>
        <v>0</v>
      </c>
      <c r="AG36" s="61">
        <f t="shared" si="16"/>
        <v>0</v>
      </c>
      <c r="AH36" s="61">
        <f t="shared" si="16"/>
        <v>0</v>
      </c>
      <c r="AI36" s="61">
        <f t="shared" si="16"/>
        <v>0</v>
      </c>
      <c r="AJ36" s="149"/>
      <c r="AK36" s="70"/>
    </row>
    <row r="37" spans="2:37" x14ac:dyDescent="0.2">
      <c r="B37" s="69"/>
      <c r="C37" s="149"/>
      <c r="D37" s="124"/>
      <c r="E37" s="124"/>
      <c r="F37" s="125"/>
      <c r="G37" s="60"/>
      <c r="H37" s="125"/>
      <c r="I37" s="125"/>
      <c r="J37" s="149"/>
      <c r="K37" s="64">
        <f t="shared" si="4"/>
        <v>0</v>
      </c>
      <c r="L37" s="61">
        <f t="shared" si="5"/>
        <v>0</v>
      </c>
      <c r="M37" s="61">
        <f t="shared" si="6"/>
        <v>0</v>
      </c>
      <c r="N37" s="418" t="str">
        <f t="shared" si="7"/>
        <v>-</v>
      </c>
      <c r="O37" s="61">
        <f t="shared" si="8"/>
        <v>0</v>
      </c>
      <c r="P37" s="149"/>
      <c r="Q37" s="61">
        <f t="shared" si="14"/>
        <v>0</v>
      </c>
      <c r="R37" s="61">
        <f t="shared" si="14"/>
        <v>0</v>
      </c>
      <c r="S37" s="61">
        <f t="shared" si="10"/>
        <v>0</v>
      </c>
      <c r="T37" s="61">
        <f t="shared" si="15"/>
        <v>0</v>
      </c>
      <c r="U37" s="61">
        <f t="shared" si="15"/>
        <v>0</v>
      </c>
      <c r="V37" s="61">
        <f t="shared" si="15"/>
        <v>0</v>
      </c>
      <c r="W37" s="61">
        <f t="shared" si="15"/>
        <v>0</v>
      </c>
      <c r="X37" s="61">
        <f t="shared" si="15"/>
        <v>0</v>
      </c>
      <c r="Y37" s="61">
        <f t="shared" si="15"/>
        <v>0</v>
      </c>
      <c r="Z37" s="874"/>
      <c r="AA37" s="867">
        <f t="shared" si="16"/>
        <v>0</v>
      </c>
      <c r="AB37" s="61">
        <f t="shared" si="16"/>
        <v>0</v>
      </c>
      <c r="AC37" s="61">
        <f t="shared" si="16"/>
        <v>0</v>
      </c>
      <c r="AD37" s="61">
        <f t="shared" si="16"/>
        <v>0</v>
      </c>
      <c r="AE37" s="61">
        <f t="shared" si="16"/>
        <v>0</v>
      </c>
      <c r="AF37" s="61">
        <f t="shared" si="16"/>
        <v>0</v>
      </c>
      <c r="AG37" s="61">
        <f t="shared" si="16"/>
        <v>0</v>
      </c>
      <c r="AH37" s="61">
        <f t="shared" si="16"/>
        <v>0</v>
      </c>
      <c r="AI37" s="61">
        <f t="shared" si="16"/>
        <v>0</v>
      </c>
      <c r="AJ37" s="149"/>
      <c r="AK37" s="70"/>
    </row>
    <row r="38" spans="2:37" x14ac:dyDescent="0.2">
      <c r="B38" s="69"/>
      <c r="C38" s="149"/>
      <c r="D38" s="124"/>
      <c r="E38" s="124"/>
      <c r="F38" s="125"/>
      <c r="G38" s="60"/>
      <c r="H38" s="125"/>
      <c r="I38" s="125"/>
      <c r="J38" s="149"/>
      <c r="K38" s="64">
        <f t="shared" si="4"/>
        <v>0</v>
      </c>
      <c r="L38" s="61">
        <f t="shared" si="5"/>
        <v>0</v>
      </c>
      <c r="M38" s="61">
        <f t="shared" si="6"/>
        <v>0</v>
      </c>
      <c r="N38" s="418" t="str">
        <f t="shared" si="7"/>
        <v>-</v>
      </c>
      <c r="O38" s="61">
        <f t="shared" si="8"/>
        <v>0</v>
      </c>
      <c r="P38" s="149"/>
      <c r="Q38" s="61">
        <f t="shared" si="14"/>
        <v>0</v>
      </c>
      <c r="R38" s="61">
        <f t="shared" si="14"/>
        <v>0</v>
      </c>
      <c r="S38" s="61">
        <f t="shared" si="10"/>
        <v>0</v>
      </c>
      <c r="T38" s="61">
        <f t="shared" si="15"/>
        <v>0</v>
      </c>
      <c r="U38" s="61">
        <f t="shared" si="15"/>
        <v>0</v>
      </c>
      <c r="V38" s="61">
        <f t="shared" si="15"/>
        <v>0</v>
      </c>
      <c r="W38" s="61">
        <f t="shared" si="15"/>
        <v>0</v>
      </c>
      <c r="X38" s="61">
        <f t="shared" si="15"/>
        <v>0</v>
      </c>
      <c r="Y38" s="61">
        <f t="shared" si="15"/>
        <v>0</v>
      </c>
      <c r="Z38" s="874"/>
      <c r="AA38" s="867">
        <f t="shared" si="16"/>
        <v>0</v>
      </c>
      <c r="AB38" s="61">
        <f t="shared" si="16"/>
        <v>0</v>
      </c>
      <c r="AC38" s="61">
        <f t="shared" si="16"/>
        <v>0</v>
      </c>
      <c r="AD38" s="61">
        <f t="shared" si="16"/>
        <v>0</v>
      </c>
      <c r="AE38" s="61">
        <f t="shared" si="16"/>
        <v>0</v>
      </c>
      <c r="AF38" s="61">
        <f t="shared" si="16"/>
        <v>0</v>
      </c>
      <c r="AG38" s="61">
        <f t="shared" si="16"/>
        <v>0</v>
      </c>
      <c r="AH38" s="61">
        <f t="shared" si="16"/>
        <v>0</v>
      </c>
      <c r="AI38" s="61">
        <f t="shared" si="16"/>
        <v>0</v>
      </c>
      <c r="AJ38" s="149"/>
      <c r="AK38" s="70"/>
    </row>
    <row r="39" spans="2:37" x14ac:dyDescent="0.2">
      <c r="B39" s="69"/>
      <c r="C39" s="149"/>
      <c r="D39" s="124"/>
      <c r="E39" s="124"/>
      <c r="F39" s="125"/>
      <c r="G39" s="60"/>
      <c r="H39" s="125"/>
      <c r="I39" s="125"/>
      <c r="J39" s="149"/>
      <c r="K39" s="64">
        <f t="shared" si="4"/>
        <v>0</v>
      </c>
      <c r="L39" s="61">
        <f t="shared" si="5"/>
        <v>0</v>
      </c>
      <c r="M39" s="61">
        <f t="shared" si="6"/>
        <v>0</v>
      </c>
      <c r="N39" s="418" t="str">
        <f t="shared" si="7"/>
        <v>-</v>
      </c>
      <c r="O39" s="61">
        <f t="shared" si="8"/>
        <v>0</v>
      </c>
      <c r="P39" s="149"/>
      <c r="Q39" s="61">
        <f t="shared" si="14"/>
        <v>0</v>
      </c>
      <c r="R39" s="61">
        <f t="shared" si="14"/>
        <v>0</v>
      </c>
      <c r="S39" s="61">
        <f t="shared" si="10"/>
        <v>0</v>
      </c>
      <c r="T39" s="61">
        <f t="shared" si="15"/>
        <v>0</v>
      </c>
      <c r="U39" s="61">
        <f t="shared" si="15"/>
        <v>0</v>
      </c>
      <c r="V39" s="61">
        <f t="shared" si="15"/>
        <v>0</v>
      </c>
      <c r="W39" s="61">
        <f t="shared" si="15"/>
        <v>0</v>
      </c>
      <c r="X39" s="61">
        <f t="shared" si="15"/>
        <v>0</v>
      </c>
      <c r="Y39" s="61">
        <f t="shared" si="15"/>
        <v>0</v>
      </c>
      <c r="Z39" s="874"/>
      <c r="AA39" s="867">
        <f t="shared" si="16"/>
        <v>0</v>
      </c>
      <c r="AB39" s="61">
        <f t="shared" si="16"/>
        <v>0</v>
      </c>
      <c r="AC39" s="61">
        <f t="shared" si="16"/>
        <v>0</v>
      </c>
      <c r="AD39" s="61">
        <f t="shared" si="16"/>
        <v>0</v>
      </c>
      <c r="AE39" s="61">
        <f t="shared" si="16"/>
        <v>0</v>
      </c>
      <c r="AF39" s="61">
        <f t="shared" si="16"/>
        <v>0</v>
      </c>
      <c r="AG39" s="61">
        <f t="shared" si="16"/>
        <v>0</v>
      </c>
      <c r="AH39" s="61">
        <f t="shared" si="16"/>
        <v>0</v>
      </c>
      <c r="AI39" s="61">
        <f t="shared" si="16"/>
        <v>0</v>
      </c>
      <c r="AJ39" s="149"/>
      <c r="AK39" s="70"/>
    </row>
    <row r="40" spans="2:37" x14ac:dyDescent="0.2">
      <c r="B40" s="69"/>
      <c r="C40" s="149"/>
      <c r="D40" s="124"/>
      <c r="E40" s="124"/>
      <c r="F40" s="125"/>
      <c r="G40" s="60"/>
      <c r="H40" s="125"/>
      <c r="I40" s="125"/>
      <c r="J40" s="149"/>
      <c r="K40" s="64">
        <f t="shared" si="4"/>
        <v>0</v>
      </c>
      <c r="L40" s="61">
        <f t="shared" si="5"/>
        <v>0</v>
      </c>
      <c r="M40" s="61">
        <f t="shared" si="6"/>
        <v>0</v>
      </c>
      <c r="N40" s="418" t="str">
        <f t="shared" si="7"/>
        <v>-</v>
      </c>
      <c r="O40" s="61">
        <f t="shared" si="8"/>
        <v>0</v>
      </c>
      <c r="P40" s="149"/>
      <c r="Q40" s="61">
        <f t="shared" si="14"/>
        <v>0</v>
      </c>
      <c r="R40" s="61">
        <f t="shared" si="14"/>
        <v>0</v>
      </c>
      <c r="S40" s="61">
        <f t="shared" si="10"/>
        <v>0</v>
      </c>
      <c r="T40" s="61">
        <f t="shared" si="15"/>
        <v>0</v>
      </c>
      <c r="U40" s="61">
        <f t="shared" si="15"/>
        <v>0</v>
      </c>
      <c r="V40" s="61">
        <f t="shared" si="15"/>
        <v>0</v>
      </c>
      <c r="W40" s="61">
        <f t="shared" si="15"/>
        <v>0</v>
      </c>
      <c r="X40" s="61">
        <f t="shared" si="15"/>
        <v>0</v>
      </c>
      <c r="Y40" s="61">
        <f t="shared" si="15"/>
        <v>0</v>
      </c>
      <c r="Z40" s="874"/>
      <c r="AA40" s="867">
        <f t="shared" si="16"/>
        <v>0</v>
      </c>
      <c r="AB40" s="61">
        <f t="shared" si="16"/>
        <v>0</v>
      </c>
      <c r="AC40" s="61">
        <f t="shared" si="16"/>
        <v>0</v>
      </c>
      <c r="AD40" s="61">
        <f t="shared" si="16"/>
        <v>0</v>
      </c>
      <c r="AE40" s="61">
        <f t="shared" si="16"/>
        <v>0</v>
      </c>
      <c r="AF40" s="61">
        <f t="shared" si="16"/>
        <v>0</v>
      </c>
      <c r="AG40" s="61">
        <f t="shared" si="16"/>
        <v>0</v>
      </c>
      <c r="AH40" s="61">
        <f t="shared" si="16"/>
        <v>0</v>
      </c>
      <c r="AI40" s="61">
        <f t="shared" si="16"/>
        <v>0</v>
      </c>
      <c r="AJ40" s="149"/>
      <c r="AK40" s="70"/>
    </row>
    <row r="41" spans="2:37" x14ac:dyDescent="0.2">
      <c r="B41" s="69"/>
      <c r="C41" s="149"/>
      <c r="D41" s="124"/>
      <c r="E41" s="124"/>
      <c r="F41" s="125"/>
      <c r="G41" s="60"/>
      <c r="H41" s="125"/>
      <c r="I41" s="125"/>
      <c r="J41" s="149"/>
      <c r="K41" s="64">
        <f t="shared" si="4"/>
        <v>0</v>
      </c>
      <c r="L41" s="61">
        <f t="shared" si="5"/>
        <v>0</v>
      </c>
      <c r="M41" s="61">
        <f t="shared" si="6"/>
        <v>0</v>
      </c>
      <c r="N41" s="418" t="str">
        <f t="shared" si="7"/>
        <v>-</v>
      </c>
      <c r="O41" s="61">
        <f t="shared" si="8"/>
        <v>0</v>
      </c>
      <c r="P41" s="149"/>
      <c r="Q41" s="61">
        <f t="shared" si="14"/>
        <v>0</v>
      </c>
      <c r="R41" s="61">
        <f t="shared" si="14"/>
        <v>0</v>
      </c>
      <c r="S41" s="61">
        <f t="shared" si="10"/>
        <v>0</v>
      </c>
      <c r="T41" s="61">
        <f t="shared" si="15"/>
        <v>0</v>
      </c>
      <c r="U41" s="61">
        <f t="shared" si="15"/>
        <v>0</v>
      </c>
      <c r="V41" s="61">
        <f t="shared" si="15"/>
        <v>0</v>
      </c>
      <c r="W41" s="61">
        <f t="shared" si="15"/>
        <v>0</v>
      </c>
      <c r="X41" s="61">
        <f t="shared" si="15"/>
        <v>0</v>
      </c>
      <c r="Y41" s="61">
        <f t="shared" si="15"/>
        <v>0</v>
      </c>
      <c r="Z41" s="874"/>
      <c r="AA41" s="867">
        <f t="shared" si="16"/>
        <v>0</v>
      </c>
      <c r="AB41" s="61">
        <f t="shared" si="16"/>
        <v>0</v>
      </c>
      <c r="AC41" s="61">
        <f t="shared" si="16"/>
        <v>0</v>
      </c>
      <c r="AD41" s="61">
        <f t="shared" si="16"/>
        <v>0</v>
      </c>
      <c r="AE41" s="61">
        <f t="shared" si="16"/>
        <v>0</v>
      </c>
      <c r="AF41" s="61">
        <f t="shared" si="16"/>
        <v>0</v>
      </c>
      <c r="AG41" s="61">
        <f t="shared" si="16"/>
        <v>0</v>
      </c>
      <c r="AH41" s="61">
        <f t="shared" si="16"/>
        <v>0</v>
      </c>
      <c r="AI41" s="61">
        <f t="shared" si="16"/>
        <v>0</v>
      </c>
      <c r="AJ41" s="149"/>
      <c r="AK41" s="70"/>
    </row>
    <row r="42" spans="2:37" x14ac:dyDescent="0.2">
      <c r="B42" s="69"/>
      <c r="C42" s="149"/>
      <c r="D42" s="124"/>
      <c r="E42" s="124"/>
      <c r="F42" s="125"/>
      <c r="G42" s="60"/>
      <c r="H42" s="125"/>
      <c r="I42" s="125"/>
      <c r="J42" s="149"/>
      <c r="K42" s="64">
        <f t="shared" si="4"/>
        <v>0</v>
      </c>
      <c r="L42" s="61">
        <f t="shared" si="5"/>
        <v>0</v>
      </c>
      <c r="M42" s="61">
        <f t="shared" si="6"/>
        <v>0</v>
      </c>
      <c r="N42" s="418" t="str">
        <f t="shared" si="7"/>
        <v>-</v>
      </c>
      <c r="O42" s="61">
        <f t="shared" si="8"/>
        <v>0</v>
      </c>
      <c r="P42" s="149"/>
      <c r="Q42" s="61">
        <f t="shared" si="14"/>
        <v>0</v>
      </c>
      <c r="R42" s="61">
        <f t="shared" si="14"/>
        <v>0</v>
      </c>
      <c r="S42" s="61">
        <f t="shared" si="10"/>
        <v>0</v>
      </c>
      <c r="T42" s="61">
        <f t="shared" si="15"/>
        <v>0</v>
      </c>
      <c r="U42" s="61">
        <f t="shared" si="15"/>
        <v>0</v>
      </c>
      <c r="V42" s="61">
        <f t="shared" si="15"/>
        <v>0</v>
      </c>
      <c r="W42" s="61">
        <f t="shared" si="15"/>
        <v>0</v>
      </c>
      <c r="X42" s="61">
        <f t="shared" si="15"/>
        <v>0</v>
      </c>
      <c r="Y42" s="61">
        <f t="shared" si="15"/>
        <v>0</v>
      </c>
      <c r="Z42" s="874"/>
      <c r="AA42" s="867">
        <f t="shared" si="16"/>
        <v>0</v>
      </c>
      <c r="AB42" s="61">
        <f t="shared" si="16"/>
        <v>0</v>
      </c>
      <c r="AC42" s="61">
        <f t="shared" si="16"/>
        <v>0</v>
      </c>
      <c r="AD42" s="61">
        <f t="shared" si="16"/>
        <v>0</v>
      </c>
      <c r="AE42" s="61">
        <f t="shared" si="16"/>
        <v>0</v>
      </c>
      <c r="AF42" s="61">
        <f t="shared" si="16"/>
        <v>0</v>
      </c>
      <c r="AG42" s="61">
        <f t="shared" si="16"/>
        <v>0</v>
      </c>
      <c r="AH42" s="61">
        <f t="shared" si="16"/>
        <v>0</v>
      </c>
      <c r="AI42" s="61">
        <f t="shared" si="16"/>
        <v>0</v>
      </c>
      <c r="AJ42" s="149"/>
      <c r="AK42" s="70"/>
    </row>
    <row r="43" spans="2:37" x14ac:dyDescent="0.2">
      <c r="B43" s="69"/>
      <c r="C43" s="149"/>
      <c r="D43" s="124"/>
      <c r="E43" s="124"/>
      <c r="F43" s="125"/>
      <c r="G43" s="60"/>
      <c r="H43" s="125"/>
      <c r="I43" s="125"/>
      <c r="J43" s="149"/>
      <c r="K43" s="64">
        <f t="shared" si="4"/>
        <v>0</v>
      </c>
      <c r="L43" s="61">
        <f t="shared" si="5"/>
        <v>0</v>
      </c>
      <c r="M43" s="61">
        <f t="shared" si="6"/>
        <v>0</v>
      </c>
      <c r="N43" s="418" t="str">
        <f t="shared" si="7"/>
        <v>-</v>
      </c>
      <c r="O43" s="61">
        <f t="shared" si="8"/>
        <v>0</v>
      </c>
      <c r="P43" s="149"/>
      <c r="Q43" s="61">
        <f t="shared" si="14"/>
        <v>0</v>
      </c>
      <c r="R43" s="61">
        <f t="shared" si="14"/>
        <v>0</v>
      </c>
      <c r="S43" s="61">
        <f t="shared" si="10"/>
        <v>0</v>
      </c>
      <c r="T43" s="61">
        <f t="shared" si="15"/>
        <v>0</v>
      </c>
      <c r="U43" s="61">
        <f t="shared" si="15"/>
        <v>0</v>
      </c>
      <c r="V43" s="61">
        <f t="shared" si="15"/>
        <v>0</v>
      </c>
      <c r="W43" s="61">
        <f t="shared" si="15"/>
        <v>0</v>
      </c>
      <c r="X43" s="61">
        <f t="shared" si="15"/>
        <v>0</v>
      </c>
      <c r="Y43" s="61">
        <f t="shared" si="15"/>
        <v>0</v>
      </c>
      <c r="Z43" s="874"/>
      <c r="AA43" s="867">
        <f t="shared" si="16"/>
        <v>0</v>
      </c>
      <c r="AB43" s="61">
        <f t="shared" si="16"/>
        <v>0</v>
      </c>
      <c r="AC43" s="61">
        <f t="shared" si="16"/>
        <v>0</v>
      </c>
      <c r="AD43" s="61">
        <f t="shared" si="16"/>
        <v>0</v>
      </c>
      <c r="AE43" s="61">
        <f t="shared" si="16"/>
        <v>0</v>
      </c>
      <c r="AF43" s="61">
        <f t="shared" si="16"/>
        <v>0</v>
      </c>
      <c r="AG43" s="61">
        <f t="shared" si="16"/>
        <v>0</v>
      </c>
      <c r="AH43" s="61">
        <f t="shared" si="16"/>
        <v>0</v>
      </c>
      <c r="AI43" s="61">
        <f t="shared" si="16"/>
        <v>0</v>
      </c>
      <c r="AJ43" s="149"/>
      <c r="AK43" s="70"/>
    </row>
    <row r="44" spans="2:37" x14ac:dyDescent="0.2">
      <c r="B44" s="69"/>
      <c r="C44" s="149"/>
      <c r="D44" s="124"/>
      <c r="E44" s="124"/>
      <c r="F44" s="125"/>
      <c r="G44" s="60"/>
      <c r="H44" s="125"/>
      <c r="I44" s="125"/>
      <c r="J44" s="149"/>
      <c r="K44" s="64">
        <f t="shared" si="4"/>
        <v>0</v>
      </c>
      <c r="L44" s="61">
        <f t="shared" si="5"/>
        <v>0</v>
      </c>
      <c r="M44" s="61">
        <f t="shared" si="6"/>
        <v>0</v>
      </c>
      <c r="N44" s="418" t="str">
        <f t="shared" si="7"/>
        <v>-</v>
      </c>
      <c r="O44" s="61">
        <f t="shared" si="8"/>
        <v>0</v>
      </c>
      <c r="P44" s="149"/>
      <c r="Q44" s="61">
        <f t="shared" si="14"/>
        <v>0</v>
      </c>
      <c r="R44" s="61">
        <f t="shared" si="14"/>
        <v>0</v>
      </c>
      <c r="S44" s="61">
        <f t="shared" si="10"/>
        <v>0</v>
      </c>
      <c r="T44" s="61">
        <f t="shared" si="15"/>
        <v>0</v>
      </c>
      <c r="U44" s="61">
        <f t="shared" si="15"/>
        <v>0</v>
      </c>
      <c r="V44" s="61">
        <f t="shared" si="15"/>
        <v>0</v>
      </c>
      <c r="W44" s="61">
        <f t="shared" si="15"/>
        <v>0</v>
      </c>
      <c r="X44" s="61">
        <f t="shared" si="15"/>
        <v>0</v>
      </c>
      <c r="Y44" s="61">
        <f t="shared" si="15"/>
        <v>0</v>
      </c>
      <c r="Z44" s="874"/>
      <c r="AA44" s="867">
        <f t="shared" ref="AA44:AI53" si="17">IF(AA$8=$H44,($F44*$G44),0)</f>
        <v>0</v>
      </c>
      <c r="AB44" s="61">
        <f t="shared" si="17"/>
        <v>0</v>
      </c>
      <c r="AC44" s="61">
        <f t="shared" si="17"/>
        <v>0</v>
      </c>
      <c r="AD44" s="61">
        <f t="shared" si="17"/>
        <v>0</v>
      </c>
      <c r="AE44" s="61">
        <f t="shared" si="17"/>
        <v>0</v>
      </c>
      <c r="AF44" s="61">
        <f t="shared" si="17"/>
        <v>0</v>
      </c>
      <c r="AG44" s="61">
        <f t="shared" si="17"/>
        <v>0</v>
      </c>
      <c r="AH44" s="61">
        <f t="shared" si="17"/>
        <v>0</v>
      </c>
      <c r="AI44" s="61">
        <f t="shared" si="17"/>
        <v>0</v>
      </c>
      <c r="AJ44" s="149"/>
      <c r="AK44" s="70"/>
    </row>
    <row r="45" spans="2:37" x14ac:dyDescent="0.2">
      <c r="B45" s="69"/>
      <c r="C45" s="149"/>
      <c r="D45" s="124"/>
      <c r="E45" s="124"/>
      <c r="F45" s="125"/>
      <c r="G45" s="60"/>
      <c r="H45" s="125"/>
      <c r="I45" s="125"/>
      <c r="J45" s="149"/>
      <c r="K45" s="64">
        <f t="shared" si="4"/>
        <v>0</v>
      </c>
      <c r="L45" s="61">
        <f t="shared" si="5"/>
        <v>0</v>
      </c>
      <c r="M45" s="61">
        <f t="shared" si="6"/>
        <v>0</v>
      </c>
      <c r="N45" s="418" t="str">
        <f t="shared" si="7"/>
        <v>-</v>
      </c>
      <c r="O45" s="61">
        <f t="shared" si="8"/>
        <v>0</v>
      </c>
      <c r="P45" s="149"/>
      <c r="Q45" s="61">
        <f t="shared" si="14"/>
        <v>0</v>
      </c>
      <c r="R45" s="61">
        <f t="shared" si="14"/>
        <v>0</v>
      </c>
      <c r="S45" s="61">
        <f t="shared" si="10"/>
        <v>0</v>
      </c>
      <c r="T45" s="61">
        <f t="shared" si="15"/>
        <v>0</v>
      </c>
      <c r="U45" s="61">
        <f t="shared" si="15"/>
        <v>0</v>
      </c>
      <c r="V45" s="61">
        <f t="shared" si="15"/>
        <v>0</v>
      </c>
      <c r="W45" s="61">
        <f t="shared" si="15"/>
        <v>0</v>
      </c>
      <c r="X45" s="61">
        <f t="shared" si="15"/>
        <v>0</v>
      </c>
      <c r="Y45" s="61">
        <f t="shared" si="15"/>
        <v>0</v>
      </c>
      <c r="Z45" s="874"/>
      <c r="AA45" s="867">
        <f t="shared" si="17"/>
        <v>0</v>
      </c>
      <c r="AB45" s="61">
        <f t="shared" si="17"/>
        <v>0</v>
      </c>
      <c r="AC45" s="61">
        <f t="shared" si="17"/>
        <v>0</v>
      </c>
      <c r="AD45" s="61">
        <f t="shared" si="17"/>
        <v>0</v>
      </c>
      <c r="AE45" s="61">
        <f t="shared" si="17"/>
        <v>0</v>
      </c>
      <c r="AF45" s="61">
        <f t="shared" si="17"/>
        <v>0</v>
      </c>
      <c r="AG45" s="61">
        <f t="shared" si="17"/>
        <v>0</v>
      </c>
      <c r="AH45" s="61">
        <f t="shared" si="17"/>
        <v>0</v>
      </c>
      <c r="AI45" s="61">
        <f t="shared" si="17"/>
        <v>0</v>
      </c>
      <c r="AJ45" s="149"/>
      <c r="AK45" s="70"/>
    </row>
    <row r="46" spans="2:37" x14ac:dyDescent="0.2">
      <c r="B46" s="69"/>
      <c r="C46" s="149"/>
      <c r="D46" s="124"/>
      <c r="E46" s="124"/>
      <c r="F46" s="125"/>
      <c r="G46" s="60"/>
      <c r="H46" s="125"/>
      <c r="I46" s="125"/>
      <c r="J46" s="149"/>
      <c r="K46" s="64">
        <f t="shared" ref="K46:K70" si="18">IF(I46="geen",9999999999,I46)</f>
        <v>0</v>
      </c>
      <c r="L46" s="61">
        <f t="shared" ref="L46:L70" si="19">F46*G46</f>
        <v>0</v>
      </c>
      <c r="M46" s="61">
        <f t="shared" ref="M46:M70" si="20">IF(F46=0,0,(F46*G46)/K46)</f>
        <v>0</v>
      </c>
      <c r="N46" s="418" t="str">
        <f t="shared" ref="N46:N70" si="21">IF(K46=0,"-",(IF(K46&gt;3000,"-",H46+K46-1)))</f>
        <v>-</v>
      </c>
      <c r="O46" s="61">
        <f t="shared" ref="O46:O70" si="22">IF(I46="geen",IF(H46&lt;$Q$8,F46*G46,0),IF(H46&gt;=$Q$8,0,IF((G46*F46-(Q$8-H46)*M46)&lt;0,0,G46*F46-(Q$8-H46)*M46)))</f>
        <v>0</v>
      </c>
      <c r="P46" s="149"/>
      <c r="Q46" s="61">
        <f t="shared" si="14"/>
        <v>0</v>
      </c>
      <c r="R46" s="61">
        <f t="shared" si="14"/>
        <v>0</v>
      </c>
      <c r="S46" s="61">
        <f t="shared" ref="S46:S69" si="23">IF(S$8&lt;$H46,0,IF($N46&lt;=S$8-1,0,$M46))</f>
        <v>0</v>
      </c>
      <c r="T46" s="61">
        <f t="shared" si="15"/>
        <v>0</v>
      </c>
      <c r="U46" s="61">
        <f t="shared" si="15"/>
        <v>0</v>
      </c>
      <c r="V46" s="61">
        <f t="shared" si="15"/>
        <v>0</v>
      </c>
      <c r="W46" s="61">
        <f t="shared" si="15"/>
        <v>0</v>
      </c>
      <c r="X46" s="61">
        <f t="shared" si="15"/>
        <v>0</v>
      </c>
      <c r="Y46" s="61">
        <f t="shared" si="15"/>
        <v>0</v>
      </c>
      <c r="Z46" s="874"/>
      <c r="AA46" s="867">
        <f t="shared" si="17"/>
        <v>0</v>
      </c>
      <c r="AB46" s="61">
        <f t="shared" si="17"/>
        <v>0</v>
      </c>
      <c r="AC46" s="61">
        <f t="shared" si="17"/>
        <v>0</v>
      </c>
      <c r="AD46" s="61">
        <f t="shared" si="17"/>
        <v>0</v>
      </c>
      <c r="AE46" s="61">
        <f t="shared" si="17"/>
        <v>0</v>
      </c>
      <c r="AF46" s="61">
        <f t="shared" si="17"/>
        <v>0</v>
      </c>
      <c r="AG46" s="61">
        <f t="shared" si="17"/>
        <v>0</v>
      </c>
      <c r="AH46" s="61">
        <f t="shared" si="17"/>
        <v>0</v>
      </c>
      <c r="AI46" s="61">
        <f t="shared" si="17"/>
        <v>0</v>
      </c>
      <c r="AJ46" s="149"/>
      <c r="AK46" s="70"/>
    </row>
    <row r="47" spans="2:37" x14ac:dyDescent="0.2">
      <c r="B47" s="69"/>
      <c r="C47" s="149"/>
      <c r="D47" s="124"/>
      <c r="E47" s="124"/>
      <c r="F47" s="125"/>
      <c r="G47" s="60"/>
      <c r="H47" s="125"/>
      <c r="I47" s="125"/>
      <c r="J47" s="149"/>
      <c r="K47" s="64">
        <f t="shared" si="18"/>
        <v>0</v>
      </c>
      <c r="L47" s="61">
        <f t="shared" si="19"/>
        <v>0</v>
      </c>
      <c r="M47" s="61">
        <f t="shared" si="20"/>
        <v>0</v>
      </c>
      <c r="N47" s="418" t="str">
        <f t="shared" si="21"/>
        <v>-</v>
      </c>
      <c r="O47" s="61">
        <f t="shared" si="22"/>
        <v>0</v>
      </c>
      <c r="P47" s="149"/>
      <c r="Q47" s="61">
        <f t="shared" si="14"/>
        <v>0</v>
      </c>
      <c r="R47" s="61">
        <f t="shared" si="14"/>
        <v>0</v>
      </c>
      <c r="S47" s="61">
        <f t="shared" si="23"/>
        <v>0</v>
      </c>
      <c r="T47" s="61">
        <f t="shared" si="15"/>
        <v>0</v>
      </c>
      <c r="U47" s="61">
        <f t="shared" si="15"/>
        <v>0</v>
      </c>
      <c r="V47" s="61">
        <f t="shared" si="15"/>
        <v>0</v>
      </c>
      <c r="W47" s="61">
        <f t="shared" si="15"/>
        <v>0</v>
      </c>
      <c r="X47" s="61">
        <f t="shared" si="15"/>
        <v>0</v>
      </c>
      <c r="Y47" s="61">
        <f t="shared" si="15"/>
        <v>0</v>
      </c>
      <c r="Z47" s="874"/>
      <c r="AA47" s="867">
        <f t="shared" si="17"/>
        <v>0</v>
      </c>
      <c r="AB47" s="61">
        <f t="shared" si="17"/>
        <v>0</v>
      </c>
      <c r="AC47" s="61">
        <f t="shared" si="17"/>
        <v>0</v>
      </c>
      <c r="AD47" s="61">
        <f t="shared" si="17"/>
        <v>0</v>
      </c>
      <c r="AE47" s="61">
        <f t="shared" si="17"/>
        <v>0</v>
      </c>
      <c r="AF47" s="61">
        <f t="shared" si="17"/>
        <v>0</v>
      </c>
      <c r="AG47" s="61">
        <f t="shared" si="17"/>
        <v>0</v>
      </c>
      <c r="AH47" s="61">
        <f t="shared" si="17"/>
        <v>0</v>
      </c>
      <c r="AI47" s="61">
        <f t="shared" si="17"/>
        <v>0</v>
      </c>
      <c r="AJ47" s="149"/>
      <c r="AK47" s="70"/>
    </row>
    <row r="48" spans="2:37" x14ac:dyDescent="0.2">
      <c r="B48" s="69"/>
      <c r="C48" s="149"/>
      <c r="D48" s="124"/>
      <c r="E48" s="124"/>
      <c r="F48" s="125"/>
      <c r="G48" s="60"/>
      <c r="H48" s="125"/>
      <c r="I48" s="125"/>
      <c r="J48" s="149"/>
      <c r="K48" s="64">
        <f t="shared" si="18"/>
        <v>0</v>
      </c>
      <c r="L48" s="61">
        <f t="shared" si="19"/>
        <v>0</v>
      </c>
      <c r="M48" s="61">
        <f t="shared" si="20"/>
        <v>0</v>
      </c>
      <c r="N48" s="418" t="str">
        <f t="shared" si="21"/>
        <v>-</v>
      </c>
      <c r="O48" s="61">
        <f t="shared" si="22"/>
        <v>0</v>
      </c>
      <c r="P48" s="149"/>
      <c r="Q48" s="61">
        <f t="shared" si="14"/>
        <v>0</v>
      </c>
      <c r="R48" s="61">
        <f t="shared" si="14"/>
        <v>0</v>
      </c>
      <c r="S48" s="61">
        <f t="shared" si="23"/>
        <v>0</v>
      </c>
      <c r="T48" s="61">
        <f t="shared" si="15"/>
        <v>0</v>
      </c>
      <c r="U48" s="61">
        <f t="shared" si="15"/>
        <v>0</v>
      </c>
      <c r="V48" s="61">
        <f t="shared" si="15"/>
        <v>0</v>
      </c>
      <c r="W48" s="61">
        <f t="shared" si="15"/>
        <v>0</v>
      </c>
      <c r="X48" s="61">
        <f t="shared" si="15"/>
        <v>0</v>
      </c>
      <c r="Y48" s="61">
        <f t="shared" si="15"/>
        <v>0</v>
      </c>
      <c r="Z48" s="874"/>
      <c r="AA48" s="867">
        <f t="shared" si="17"/>
        <v>0</v>
      </c>
      <c r="AB48" s="61">
        <f t="shared" si="17"/>
        <v>0</v>
      </c>
      <c r="AC48" s="61">
        <f t="shared" si="17"/>
        <v>0</v>
      </c>
      <c r="AD48" s="61">
        <f t="shared" si="17"/>
        <v>0</v>
      </c>
      <c r="AE48" s="61">
        <f t="shared" si="17"/>
        <v>0</v>
      </c>
      <c r="AF48" s="61">
        <f t="shared" si="17"/>
        <v>0</v>
      </c>
      <c r="AG48" s="61">
        <f t="shared" si="17"/>
        <v>0</v>
      </c>
      <c r="AH48" s="61">
        <f t="shared" si="17"/>
        <v>0</v>
      </c>
      <c r="AI48" s="61">
        <f t="shared" si="17"/>
        <v>0</v>
      </c>
      <c r="AJ48" s="149"/>
      <c r="AK48" s="70"/>
    </row>
    <row r="49" spans="2:37" x14ac:dyDescent="0.2">
      <c r="B49" s="69"/>
      <c r="C49" s="149"/>
      <c r="D49" s="124"/>
      <c r="E49" s="124"/>
      <c r="F49" s="125"/>
      <c r="G49" s="60"/>
      <c r="H49" s="125"/>
      <c r="I49" s="125"/>
      <c r="J49" s="149"/>
      <c r="K49" s="64">
        <f t="shared" si="18"/>
        <v>0</v>
      </c>
      <c r="L49" s="61">
        <f t="shared" si="19"/>
        <v>0</v>
      </c>
      <c r="M49" s="61">
        <f t="shared" si="20"/>
        <v>0</v>
      </c>
      <c r="N49" s="418" t="str">
        <f t="shared" si="21"/>
        <v>-</v>
      </c>
      <c r="O49" s="61">
        <f t="shared" si="22"/>
        <v>0</v>
      </c>
      <c r="P49" s="149"/>
      <c r="Q49" s="61">
        <f t="shared" si="14"/>
        <v>0</v>
      </c>
      <c r="R49" s="61">
        <f t="shared" si="14"/>
        <v>0</v>
      </c>
      <c r="S49" s="61">
        <f t="shared" si="23"/>
        <v>0</v>
      </c>
      <c r="T49" s="61">
        <f t="shared" si="15"/>
        <v>0</v>
      </c>
      <c r="U49" s="61">
        <f t="shared" si="15"/>
        <v>0</v>
      </c>
      <c r="V49" s="61">
        <f t="shared" si="15"/>
        <v>0</v>
      </c>
      <c r="W49" s="61">
        <f t="shared" si="15"/>
        <v>0</v>
      </c>
      <c r="X49" s="61">
        <f t="shared" si="15"/>
        <v>0</v>
      </c>
      <c r="Y49" s="61">
        <f t="shared" si="15"/>
        <v>0</v>
      </c>
      <c r="Z49" s="874"/>
      <c r="AA49" s="867">
        <f t="shared" si="17"/>
        <v>0</v>
      </c>
      <c r="AB49" s="61">
        <f t="shared" si="17"/>
        <v>0</v>
      </c>
      <c r="AC49" s="61">
        <f t="shared" si="17"/>
        <v>0</v>
      </c>
      <c r="AD49" s="61">
        <f t="shared" si="17"/>
        <v>0</v>
      </c>
      <c r="AE49" s="61">
        <f t="shared" si="17"/>
        <v>0</v>
      </c>
      <c r="AF49" s="61">
        <f t="shared" si="17"/>
        <v>0</v>
      </c>
      <c r="AG49" s="61">
        <f t="shared" si="17"/>
        <v>0</v>
      </c>
      <c r="AH49" s="61">
        <f t="shared" si="17"/>
        <v>0</v>
      </c>
      <c r="AI49" s="61">
        <f t="shared" si="17"/>
        <v>0</v>
      </c>
      <c r="AJ49" s="149"/>
      <c r="AK49" s="70"/>
    </row>
    <row r="50" spans="2:37" x14ac:dyDescent="0.2">
      <c r="B50" s="69"/>
      <c r="C50" s="149"/>
      <c r="D50" s="124"/>
      <c r="E50" s="124"/>
      <c r="F50" s="125"/>
      <c r="G50" s="60"/>
      <c r="H50" s="125"/>
      <c r="I50" s="125"/>
      <c r="J50" s="149"/>
      <c r="K50" s="64">
        <f t="shared" si="18"/>
        <v>0</v>
      </c>
      <c r="L50" s="61">
        <f t="shared" si="19"/>
        <v>0</v>
      </c>
      <c r="M50" s="61">
        <f t="shared" si="20"/>
        <v>0</v>
      </c>
      <c r="N50" s="418" t="str">
        <f t="shared" si="21"/>
        <v>-</v>
      </c>
      <c r="O50" s="61">
        <f t="shared" si="22"/>
        <v>0</v>
      </c>
      <c r="P50" s="149"/>
      <c r="Q50" s="61">
        <f t="shared" si="14"/>
        <v>0</v>
      </c>
      <c r="R50" s="61">
        <f t="shared" si="14"/>
        <v>0</v>
      </c>
      <c r="S50" s="61">
        <f t="shared" si="23"/>
        <v>0</v>
      </c>
      <c r="T50" s="61">
        <f t="shared" si="15"/>
        <v>0</v>
      </c>
      <c r="U50" s="61">
        <f t="shared" si="15"/>
        <v>0</v>
      </c>
      <c r="V50" s="61">
        <f t="shared" si="15"/>
        <v>0</v>
      </c>
      <c r="W50" s="61">
        <f t="shared" si="15"/>
        <v>0</v>
      </c>
      <c r="X50" s="61">
        <f t="shared" si="15"/>
        <v>0</v>
      </c>
      <c r="Y50" s="61">
        <f t="shared" si="15"/>
        <v>0</v>
      </c>
      <c r="Z50" s="874"/>
      <c r="AA50" s="867">
        <f t="shared" si="17"/>
        <v>0</v>
      </c>
      <c r="AB50" s="61">
        <f t="shared" si="17"/>
        <v>0</v>
      </c>
      <c r="AC50" s="61">
        <f t="shared" si="17"/>
        <v>0</v>
      </c>
      <c r="AD50" s="61">
        <f t="shared" si="17"/>
        <v>0</v>
      </c>
      <c r="AE50" s="61">
        <f t="shared" si="17"/>
        <v>0</v>
      </c>
      <c r="AF50" s="61">
        <f t="shared" si="17"/>
        <v>0</v>
      </c>
      <c r="AG50" s="61">
        <f t="shared" si="17"/>
        <v>0</v>
      </c>
      <c r="AH50" s="61">
        <f t="shared" si="17"/>
        <v>0</v>
      </c>
      <c r="AI50" s="61">
        <f t="shared" si="17"/>
        <v>0</v>
      </c>
      <c r="AJ50" s="149"/>
      <c r="AK50" s="70"/>
    </row>
    <row r="51" spans="2:37" x14ac:dyDescent="0.2">
      <c r="B51" s="69"/>
      <c r="C51" s="149"/>
      <c r="D51" s="124"/>
      <c r="E51" s="124"/>
      <c r="F51" s="125"/>
      <c r="G51" s="60"/>
      <c r="H51" s="125"/>
      <c r="I51" s="125"/>
      <c r="J51" s="149"/>
      <c r="K51" s="64">
        <f t="shared" si="18"/>
        <v>0</v>
      </c>
      <c r="L51" s="61">
        <f t="shared" si="19"/>
        <v>0</v>
      </c>
      <c r="M51" s="61">
        <f t="shared" si="20"/>
        <v>0</v>
      </c>
      <c r="N51" s="418" t="str">
        <f t="shared" si="21"/>
        <v>-</v>
      </c>
      <c r="O51" s="61">
        <f t="shared" si="22"/>
        <v>0</v>
      </c>
      <c r="P51" s="149"/>
      <c r="Q51" s="61">
        <f t="shared" si="14"/>
        <v>0</v>
      </c>
      <c r="R51" s="61">
        <f t="shared" si="14"/>
        <v>0</v>
      </c>
      <c r="S51" s="61">
        <f t="shared" si="23"/>
        <v>0</v>
      </c>
      <c r="T51" s="61">
        <f t="shared" si="15"/>
        <v>0</v>
      </c>
      <c r="U51" s="61">
        <f t="shared" si="15"/>
        <v>0</v>
      </c>
      <c r="V51" s="61">
        <f t="shared" si="15"/>
        <v>0</v>
      </c>
      <c r="W51" s="61">
        <f t="shared" si="15"/>
        <v>0</v>
      </c>
      <c r="X51" s="61">
        <f t="shared" si="15"/>
        <v>0</v>
      </c>
      <c r="Y51" s="61">
        <f t="shared" si="15"/>
        <v>0</v>
      </c>
      <c r="Z51" s="874"/>
      <c r="AA51" s="867">
        <f t="shared" si="17"/>
        <v>0</v>
      </c>
      <c r="AB51" s="61">
        <f t="shared" si="17"/>
        <v>0</v>
      </c>
      <c r="AC51" s="61">
        <f t="shared" si="17"/>
        <v>0</v>
      </c>
      <c r="AD51" s="61">
        <f t="shared" si="17"/>
        <v>0</v>
      </c>
      <c r="AE51" s="61">
        <f t="shared" si="17"/>
        <v>0</v>
      </c>
      <c r="AF51" s="61">
        <f t="shared" si="17"/>
        <v>0</v>
      </c>
      <c r="AG51" s="61">
        <f t="shared" si="17"/>
        <v>0</v>
      </c>
      <c r="AH51" s="61">
        <f t="shared" si="17"/>
        <v>0</v>
      </c>
      <c r="AI51" s="61">
        <f t="shared" si="17"/>
        <v>0</v>
      </c>
      <c r="AJ51" s="149"/>
      <c r="AK51" s="70"/>
    </row>
    <row r="52" spans="2:37" x14ac:dyDescent="0.2">
      <c r="B52" s="69"/>
      <c r="C52" s="149"/>
      <c r="D52" s="124"/>
      <c r="E52" s="124"/>
      <c r="F52" s="125"/>
      <c r="G52" s="60"/>
      <c r="H52" s="125"/>
      <c r="I52" s="125"/>
      <c r="J52" s="149"/>
      <c r="K52" s="64">
        <f t="shared" si="18"/>
        <v>0</v>
      </c>
      <c r="L52" s="61">
        <f t="shared" si="19"/>
        <v>0</v>
      </c>
      <c r="M52" s="61">
        <f t="shared" si="20"/>
        <v>0</v>
      </c>
      <c r="N52" s="418" t="str">
        <f t="shared" si="21"/>
        <v>-</v>
      </c>
      <c r="O52" s="61">
        <f t="shared" si="22"/>
        <v>0</v>
      </c>
      <c r="P52" s="149"/>
      <c r="Q52" s="61">
        <f t="shared" si="14"/>
        <v>0</v>
      </c>
      <c r="R52" s="61">
        <f t="shared" si="14"/>
        <v>0</v>
      </c>
      <c r="S52" s="61">
        <f t="shared" si="23"/>
        <v>0</v>
      </c>
      <c r="T52" s="61">
        <f t="shared" si="15"/>
        <v>0</v>
      </c>
      <c r="U52" s="61">
        <f t="shared" si="15"/>
        <v>0</v>
      </c>
      <c r="V52" s="61">
        <f t="shared" si="15"/>
        <v>0</v>
      </c>
      <c r="W52" s="61">
        <f t="shared" si="15"/>
        <v>0</v>
      </c>
      <c r="X52" s="61">
        <f t="shared" si="15"/>
        <v>0</v>
      </c>
      <c r="Y52" s="61">
        <f t="shared" si="15"/>
        <v>0</v>
      </c>
      <c r="Z52" s="874"/>
      <c r="AA52" s="867">
        <f t="shared" si="17"/>
        <v>0</v>
      </c>
      <c r="AB52" s="61">
        <f t="shared" si="17"/>
        <v>0</v>
      </c>
      <c r="AC52" s="61">
        <f t="shared" si="17"/>
        <v>0</v>
      </c>
      <c r="AD52" s="61">
        <f t="shared" si="17"/>
        <v>0</v>
      </c>
      <c r="AE52" s="61">
        <f t="shared" si="17"/>
        <v>0</v>
      </c>
      <c r="AF52" s="61">
        <f t="shared" si="17"/>
        <v>0</v>
      </c>
      <c r="AG52" s="61">
        <f t="shared" si="17"/>
        <v>0</v>
      </c>
      <c r="AH52" s="61">
        <f t="shared" si="17"/>
        <v>0</v>
      </c>
      <c r="AI52" s="61">
        <f t="shared" si="17"/>
        <v>0</v>
      </c>
      <c r="AJ52" s="149"/>
      <c r="AK52" s="70"/>
    </row>
    <row r="53" spans="2:37" x14ac:dyDescent="0.2">
      <c r="B53" s="69"/>
      <c r="C53" s="149"/>
      <c r="D53" s="124"/>
      <c r="E53" s="124"/>
      <c r="F53" s="125"/>
      <c r="G53" s="60"/>
      <c r="H53" s="125"/>
      <c r="I53" s="125"/>
      <c r="J53" s="149"/>
      <c r="K53" s="64">
        <f t="shared" si="18"/>
        <v>0</v>
      </c>
      <c r="L53" s="61">
        <f t="shared" si="19"/>
        <v>0</v>
      </c>
      <c r="M53" s="61">
        <f t="shared" si="20"/>
        <v>0</v>
      </c>
      <c r="N53" s="418" t="str">
        <f t="shared" si="21"/>
        <v>-</v>
      </c>
      <c r="O53" s="61">
        <f t="shared" si="22"/>
        <v>0</v>
      </c>
      <c r="P53" s="149"/>
      <c r="Q53" s="61">
        <f t="shared" si="14"/>
        <v>0</v>
      </c>
      <c r="R53" s="61">
        <f t="shared" si="14"/>
        <v>0</v>
      </c>
      <c r="S53" s="61">
        <f t="shared" si="23"/>
        <v>0</v>
      </c>
      <c r="T53" s="61">
        <f t="shared" si="15"/>
        <v>0</v>
      </c>
      <c r="U53" s="61">
        <f t="shared" si="15"/>
        <v>0</v>
      </c>
      <c r="V53" s="61">
        <f t="shared" si="15"/>
        <v>0</v>
      </c>
      <c r="W53" s="61">
        <f t="shared" si="15"/>
        <v>0</v>
      </c>
      <c r="X53" s="61">
        <f t="shared" si="15"/>
        <v>0</v>
      </c>
      <c r="Y53" s="61">
        <f t="shared" si="15"/>
        <v>0</v>
      </c>
      <c r="Z53" s="874"/>
      <c r="AA53" s="867">
        <f t="shared" si="17"/>
        <v>0</v>
      </c>
      <c r="AB53" s="61">
        <f t="shared" si="17"/>
        <v>0</v>
      </c>
      <c r="AC53" s="61">
        <f t="shared" si="17"/>
        <v>0</v>
      </c>
      <c r="AD53" s="61">
        <f t="shared" si="17"/>
        <v>0</v>
      </c>
      <c r="AE53" s="61">
        <f t="shared" si="17"/>
        <v>0</v>
      </c>
      <c r="AF53" s="61">
        <f t="shared" si="17"/>
        <v>0</v>
      </c>
      <c r="AG53" s="61">
        <f t="shared" si="17"/>
        <v>0</v>
      </c>
      <c r="AH53" s="61">
        <f t="shared" si="17"/>
        <v>0</v>
      </c>
      <c r="AI53" s="61">
        <f t="shared" si="17"/>
        <v>0</v>
      </c>
      <c r="AJ53" s="149"/>
      <c r="AK53" s="70"/>
    </row>
    <row r="54" spans="2:37" x14ac:dyDescent="0.2">
      <c r="B54" s="69"/>
      <c r="C54" s="149"/>
      <c r="D54" s="124"/>
      <c r="E54" s="124"/>
      <c r="F54" s="125"/>
      <c r="G54" s="60"/>
      <c r="H54" s="125"/>
      <c r="I54" s="125"/>
      <c r="J54" s="149"/>
      <c r="K54" s="64">
        <f t="shared" si="18"/>
        <v>0</v>
      </c>
      <c r="L54" s="61">
        <f t="shared" si="19"/>
        <v>0</v>
      </c>
      <c r="M54" s="61">
        <f t="shared" si="20"/>
        <v>0</v>
      </c>
      <c r="N54" s="418" t="str">
        <f t="shared" si="21"/>
        <v>-</v>
      </c>
      <c r="O54" s="61">
        <f t="shared" si="22"/>
        <v>0</v>
      </c>
      <c r="P54" s="149"/>
      <c r="Q54" s="61">
        <f t="shared" ref="Q54:R70" si="24">(IF(Q$8&lt;$H54,0,IF($N54&lt;=Q$8-1,0,$M54)))</f>
        <v>0</v>
      </c>
      <c r="R54" s="61">
        <f t="shared" si="24"/>
        <v>0</v>
      </c>
      <c r="S54" s="61">
        <f t="shared" si="23"/>
        <v>0</v>
      </c>
      <c r="T54" s="61">
        <f t="shared" ref="T54:Y70" si="25">(IF(T$8&lt;$H54,0,IF($N54&lt;=T$8-1,0,$M54)))</f>
        <v>0</v>
      </c>
      <c r="U54" s="61">
        <f t="shared" si="25"/>
        <v>0</v>
      </c>
      <c r="V54" s="61">
        <f t="shared" si="25"/>
        <v>0</v>
      </c>
      <c r="W54" s="61">
        <f t="shared" si="25"/>
        <v>0</v>
      </c>
      <c r="X54" s="61">
        <f t="shared" si="25"/>
        <v>0</v>
      </c>
      <c r="Y54" s="61">
        <f t="shared" si="25"/>
        <v>0</v>
      </c>
      <c r="Z54" s="874"/>
      <c r="AA54" s="867">
        <f t="shared" ref="AA54:AI63" si="26">IF(AA$8=$H54,($F54*$G54),0)</f>
        <v>0</v>
      </c>
      <c r="AB54" s="61">
        <f t="shared" si="26"/>
        <v>0</v>
      </c>
      <c r="AC54" s="61">
        <f t="shared" si="26"/>
        <v>0</v>
      </c>
      <c r="AD54" s="61">
        <f t="shared" si="26"/>
        <v>0</v>
      </c>
      <c r="AE54" s="61">
        <f t="shared" si="26"/>
        <v>0</v>
      </c>
      <c r="AF54" s="61">
        <f t="shared" si="26"/>
        <v>0</v>
      </c>
      <c r="AG54" s="61">
        <f t="shared" si="26"/>
        <v>0</v>
      </c>
      <c r="AH54" s="61">
        <f t="shared" si="26"/>
        <v>0</v>
      </c>
      <c r="AI54" s="61">
        <f t="shared" si="26"/>
        <v>0</v>
      </c>
      <c r="AJ54" s="149"/>
      <c r="AK54" s="70"/>
    </row>
    <row r="55" spans="2:37" x14ac:dyDescent="0.2">
      <c r="B55" s="69"/>
      <c r="C55" s="149"/>
      <c r="D55" s="124"/>
      <c r="E55" s="124"/>
      <c r="F55" s="125"/>
      <c r="G55" s="60"/>
      <c r="H55" s="125"/>
      <c r="I55" s="125"/>
      <c r="J55" s="149"/>
      <c r="K55" s="64">
        <f t="shared" si="18"/>
        <v>0</v>
      </c>
      <c r="L55" s="61">
        <f t="shared" si="19"/>
        <v>0</v>
      </c>
      <c r="M55" s="61">
        <f t="shared" si="20"/>
        <v>0</v>
      </c>
      <c r="N55" s="418" t="str">
        <f t="shared" si="21"/>
        <v>-</v>
      </c>
      <c r="O55" s="61">
        <f t="shared" si="22"/>
        <v>0</v>
      </c>
      <c r="P55" s="149"/>
      <c r="Q55" s="61">
        <f t="shared" si="24"/>
        <v>0</v>
      </c>
      <c r="R55" s="61">
        <f t="shared" si="24"/>
        <v>0</v>
      </c>
      <c r="S55" s="61">
        <f t="shared" si="23"/>
        <v>0</v>
      </c>
      <c r="T55" s="61">
        <f t="shared" si="25"/>
        <v>0</v>
      </c>
      <c r="U55" s="61">
        <f t="shared" si="25"/>
        <v>0</v>
      </c>
      <c r="V55" s="61">
        <f t="shared" si="25"/>
        <v>0</v>
      </c>
      <c r="W55" s="61">
        <f t="shared" si="25"/>
        <v>0</v>
      </c>
      <c r="X55" s="61">
        <f t="shared" si="25"/>
        <v>0</v>
      </c>
      <c r="Y55" s="61">
        <f t="shared" si="25"/>
        <v>0</v>
      </c>
      <c r="Z55" s="874"/>
      <c r="AA55" s="867">
        <f t="shared" si="26"/>
        <v>0</v>
      </c>
      <c r="AB55" s="61">
        <f t="shared" si="26"/>
        <v>0</v>
      </c>
      <c r="AC55" s="61">
        <f t="shared" si="26"/>
        <v>0</v>
      </c>
      <c r="AD55" s="61">
        <f t="shared" si="26"/>
        <v>0</v>
      </c>
      <c r="AE55" s="61">
        <f t="shared" si="26"/>
        <v>0</v>
      </c>
      <c r="AF55" s="61">
        <f t="shared" si="26"/>
        <v>0</v>
      </c>
      <c r="AG55" s="61">
        <f t="shared" si="26"/>
        <v>0</v>
      </c>
      <c r="AH55" s="61">
        <f t="shared" si="26"/>
        <v>0</v>
      </c>
      <c r="AI55" s="61">
        <f t="shared" si="26"/>
        <v>0</v>
      </c>
      <c r="AJ55" s="149"/>
      <c r="AK55" s="70"/>
    </row>
    <row r="56" spans="2:37" x14ac:dyDescent="0.2">
      <c r="B56" s="69"/>
      <c r="C56" s="149"/>
      <c r="D56" s="124"/>
      <c r="E56" s="124"/>
      <c r="F56" s="125"/>
      <c r="G56" s="60"/>
      <c r="H56" s="125"/>
      <c r="I56" s="125"/>
      <c r="J56" s="149"/>
      <c r="K56" s="64">
        <f t="shared" si="18"/>
        <v>0</v>
      </c>
      <c r="L56" s="61">
        <f t="shared" si="19"/>
        <v>0</v>
      </c>
      <c r="M56" s="61">
        <f t="shared" si="20"/>
        <v>0</v>
      </c>
      <c r="N56" s="418" t="str">
        <f t="shared" si="21"/>
        <v>-</v>
      </c>
      <c r="O56" s="61">
        <f t="shared" si="22"/>
        <v>0</v>
      </c>
      <c r="P56" s="149"/>
      <c r="Q56" s="61">
        <f t="shared" si="24"/>
        <v>0</v>
      </c>
      <c r="R56" s="61">
        <f t="shared" si="24"/>
        <v>0</v>
      </c>
      <c r="S56" s="61">
        <f t="shared" si="23"/>
        <v>0</v>
      </c>
      <c r="T56" s="61">
        <f t="shared" si="25"/>
        <v>0</v>
      </c>
      <c r="U56" s="61">
        <f t="shared" si="25"/>
        <v>0</v>
      </c>
      <c r="V56" s="61">
        <f t="shared" si="25"/>
        <v>0</v>
      </c>
      <c r="W56" s="61">
        <f t="shared" si="25"/>
        <v>0</v>
      </c>
      <c r="X56" s="61">
        <f t="shared" si="25"/>
        <v>0</v>
      </c>
      <c r="Y56" s="61">
        <f t="shared" si="25"/>
        <v>0</v>
      </c>
      <c r="Z56" s="874"/>
      <c r="AA56" s="867">
        <f t="shared" si="26"/>
        <v>0</v>
      </c>
      <c r="AB56" s="61">
        <f t="shared" si="26"/>
        <v>0</v>
      </c>
      <c r="AC56" s="61">
        <f t="shared" si="26"/>
        <v>0</v>
      </c>
      <c r="AD56" s="61">
        <f t="shared" si="26"/>
        <v>0</v>
      </c>
      <c r="AE56" s="61">
        <f t="shared" si="26"/>
        <v>0</v>
      </c>
      <c r="AF56" s="61">
        <f t="shared" si="26"/>
        <v>0</v>
      </c>
      <c r="AG56" s="61">
        <f t="shared" si="26"/>
        <v>0</v>
      </c>
      <c r="AH56" s="61">
        <f t="shared" si="26"/>
        <v>0</v>
      </c>
      <c r="AI56" s="61">
        <f t="shared" si="26"/>
        <v>0</v>
      </c>
      <c r="AJ56" s="149"/>
      <c r="AK56" s="70"/>
    </row>
    <row r="57" spans="2:37" x14ac:dyDescent="0.2">
      <c r="B57" s="69"/>
      <c r="C57" s="149"/>
      <c r="D57" s="124"/>
      <c r="E57" s="124"/>
      <c r="F57" s="125"/>
      <c r="G57" s="60"/>
      <c r="H57" s="125"/>
      <c r="I57" s="125"/>
      <c r="J57" s="149"/>
      <c r="K57" s="64">
        <f t="shared" si="18"/>
        <v>0</v>
      </c>
      <c r="L57" s="61">
        <f t="shared" si="19"/>
        <v>0</v>
      </c>
      <c r="M57" s="61">
        <f t="shared" si="20"/>
        <v>0</v>
      </c>
      <c r="N57" s="418" t="str">
        <f t="shared" si="21"/>
        <v>-</v>
      </c>
      <c r="O57" s="61">
        <f t="shared" si="22"/>
        <v>0</v>
      </c>
      <c r="P57" s="149"/>
      <c r="Q57" s="61">
        <f t="shared" si="24"/>
        <v>0</v>
      </c>
      <c r="R57" s="61">
        <f t="shared" si="24"/>
        <v>0</v>
      </c>
      <c r="S57" s="61">
        <f t="shared" si="23"/>
        <v>0</v>
      </c>
      <c r="T57" s="61">
        <f t="shared" si="25"/>
        <v>0</v>
      </c>
      <c r="U57" s="61">
        <f t="shared" si="25"/>
        <v>0</v>
      </c>
      <c r="V57" s="61">
        <f t="shared" si="25"/>
        <v>0</v>
      </c>
      <c r="W57" s="61">
        <f t="shared" si="25"/>
        <v>0</v>
      </c>
      <c r="X57" s="61">
        <f t="shared" si="25"/>
        <v>0</v>
      </c>
      <c r="Y57" s="61">
        <f t="shared" si="25"/>
        <v>0</v>
      </c>
      <c r="Z57" s="874"/>
      <c r="AA57" s="867">
        <f t="shared" si="26"/>
        <v>0</v>
      </c>
      <c r="AB57" s="61">
        <f t="shared" si="26"/>
        <v>0</v>
      </c>
      <c r="AC57" s="61">
        <f t="shared" si="26"/>
        <v>0</v>
      </c>
      <c r="AD57" s="61">
        <f t="shared" si="26"/>
        <v>0</v>
      </c>
      <c r="AE57" s="61">
        <f t="shared" si="26"/>
        <v>0</v>
      </c>
      <c r="AF57" s="61">
        <f t="shared" si="26"/>
        <v>0</v>
      </c>
      <c r="AG57" s="61">
        <f t="shared" si="26"/>
        <v>0</v>
      </c>
      <c r="AH57" s="61">
        <f t="shared" si="26"/>
        <v>0</v>
      </c>
      <c r="AI57" s="61">
        <f t="shared" si="26"/>
        <v>0</v>
      </c>
      <c r="AJ57" s="149"/>
      <c r="AK57" s="70"/>
    </row>
    <row r="58" spans="2:37" x14ac:dyDescent="0.2">
      <c r="B58" s="69"/>
      <c r="C58" s="149"/>
      <c r="D58" s="124"/>
      <c r="E58" s="124"/>
      <c r="F58" s="125"/>
      <c r="G58" s="60"/>
      <c r="H58" s="125"/>
      <c r="I58" s="125"/>
      <c r="J58" s="149"/>
      <c r="K58" s="64">
        <f t="shared" si="18"/>
        <v>0</v>
      </c>
      <c r="L58" s="61">
        <f t="shared" si="19"/>
        <v>0</v>
      </c>
      <c r="M58" s="61">
        <f t="shared" si="20"/>
        <v>0</v>
      </c>
      <c r="N58" s="418" t="str">
        <f t="shared" si="21"/>
        <v>-</v>
      </c>
      <c r="O58" s="61">
        <f t="shared" si="22"/>
        <v>0</v>
      </c>
      <c r="P58" s="149"/>
      <c r="Q58" s="61">
        <f t="shared" si="24"/>
        <v>0</v>
      </c>
      <c r="R58" s="61">
        <f t="shared" si="24"/>
        <v>0</v>
      </c>
      <c r="S58" s="61">
        <f t="shared" si="23"/>
        <v>0</v>
      </c>
      <c r="T58" s="61">
        <f t="shared" si="25"/>
        <v>0</v>
      </c>
      <c r="U58" s="61">
        <f t="shared" si="25"/>
        <v>0</v>
      </c>
      <c r="V58" s="61">
        <f t="shared" si="25"/>
        <v>0</v>
      </c>
      <c r="W58" s="61">
        <f t="shared" si="25"/>
        <v>0</v>
      </c>
      <c r="X58" s="61">
        <f t="shared" si="25"/>
        <v>0</v>
      </c>
      <c r="Y58" s="61">
        <f t="shared" si="25"/>
        <v>0</v>
      </c>
      <c r="Z58" s="874"/>
      <c r="AA58" s="867">
        <f t="shared" si="26"/>
        <v>0</v>
      </c>
      <c r="AB58" s="61">
        <f t="shared" si="26"/>
        <v>0</v>
      </c>
      <c r="AC58" s="61">
        <f t="shared" si="26"/>
        <v>0</v>
      </c>
      <c r="AD58" s="61">
        <f t="shared" si="26"/>
        <v>0</v>
      </c>
      <c r="AE58" s="61">
        <f t="shared" si="26"/>
        <v>0</v>
      </c>
      <c r="AF58" s="61">
        <f t="shared" si="26"/>
        <v>0</v>
      </c>
      <c r="AG58" s="61">
        <f t="shared" si="26"/>
        <v>0</v>
      </c>
      <c r="AH58" s="61">
        <f t="shared" si="26"/>
        <v>0</v>
      </c>
      <c r="AI58" s="61">
        <f t="shared" si="26"/>
        <v>0</v>
      </c>
      <c r="AJ58" s="149"/>
      <c r="AK58" s="70"/>
    </row>
    <row r="59" spans="2:37" x14ac:dyDescent="0.2">
      <c r="B59" s="69"/>
      <c r="C59" s="149"/>
      <c r="D59" s="124"/>
      <c r="E59" s="124"/>
      <c r="F59" s="125"/>
      <c r="G59" s="60"/>
      <c r="H59" s="125"/>
      <c r="I59" s="125"/>
      <c r="J59" s="149"/>
      <c r="K59" s="64">
        <f t="shared" si="18"/>
        <v>0</v>
      </c>
      <c r="L59" s="61">
        <f t="shared" si="19"/>
        <v>0</v>
      </c>
      <c r="M59" s="61">
        <f t="shared" si="20"/>
        <v>0</v>
      </c>
      <c r="N59" s="418" t="str">
        <f t="shared" si="21"/>
        <v>-</v>
      </c>
      <c r="O59" s="61">
        <f t="shared" si="22"/>
        <v>0</v>
      </c>
      <c r="P59" s="149"/>
      <c r="Q59" s="61">
        <f t="shared" si="24"/>
        <v>0</v>
      </c>
      <c r="R59" s="61">
        <f t="shared" si="24"/>
        <v>0</v>
      </c>
      <c r="S59" s="61">
        <f t="shared" si="23"/>
        <v>0</v>
      </c>
      <c r="T59" s="61">
        <f t="shared" si="25"/>
        <v>0</v>
      </c>
      <c r="U59" s="61">
        <f t="shared" si="25"/>
        <v>0</v>
      </c>
      <c r="V59" s="61">
        <f t="shared" si="25"/>
        <v>0</v>
      </c>
      <c r="W59" s="61">
        <f t="shared" si="25"/>
        <v>0</v>
      </c>
      <c r="X59" s="61">
        <f t="shared" si="25"/>
        <v>0</v>
      </c>
      <c r="Y59" s="61">
        <f t="shared" si="25"/>
        <v>0</v>
      </c>
      <c r="Z59" s="874"/>
      <c r="AA59" s="867">
        <f t="shared" si="26"/>
        <v>0</v>
      </c>
      <c r="AB59" s="61">
        <f t="shared" si="26"/>
        <v>0</v>
      </c>
      <c r="AC59" s="61">
        <f t="shared" si="26"/>
        <v>0</v>
      </c>
      <c r="AD59" s="61">
        <f t="shared" si="26"/>
        <v>0</v>
      </c>
      <c r="AE59" s="61">
        <f t="shared" si="26"/>
        <v>0</v>
      </c>
      <c r="AF59" s="61">
        <f t="shared" si="26"/>
        <v>0</v>
      </c>
      <c r="AG59" s="61">
        <f t="shared" si="26"/>
        <v>0</v>
      </c>
      <c r="AH59" s="61">
        <f t="shared" si="26"/>
        <v>0</v>
      </c>
      <c r="AI59" s="61">
        <f t="shared" si="26"/>
        <v>0</v>
      </c>
      <c r="AJ59" s="149"/>
      <c r="AK59" s="70"/>
    </row>
    <row r="60" spans="2:37" x14ac:dyDescent="0.2">
      <c r="B60" s="69"/>
      <c r="C60" s="149"/>
      <c r="D60" s="124"/>
      <c r="E60" s="124"/>
      <c r="F60" s="125"/>
      <c r="G60" s="60"/>
      <c r="H60" s="125"/>
      <c r="I60" s="125"/>
      <c r="J60" s="149"/>
      <c r="K60" s="64">
        <f t="shared" si="18"/>
        <v>0</v>
      </c>
      <c r="L60" s="61">
        <f t="shared" si="19"/>
        <v>0</v>
      </c>
      <c r="M60" s="61">
        <f t="shared" si="20"/>
        <v>0</v>
      </c>
      <c r="N60" s="418" t="str">
        <f t="shared" si="21"/>
        <v>-</v>
      </c>
      <c r="O60" s="61">
        <f t="shared" si="22"/>
        <v>0</v>
      </c>
      <c r="P60" s="149"/>
      <c r="Q60" s="61">
        <f t="shared" si="24"/>
        <v>0</v>
      </c>
      <c r="R60" s="61">
        <f t="shared" si="24"/>
        <v>0</v>
      </c>
      <c r="S60" s="61">
        <f t="shared" si="23"/>
        <v>0</v>
      </c>
      <c r="T60" s="61">
        <f t="shared" si="25"/>
        <v>0</v>
      </c>
      <c r="U60" s="61">
        <f t="shared" si="25"/>
        <v>0</v>
      </c>
      <c r="V60" s="61">
        <f t="shared" si="25"/>
        <v>0</v>
      </c>
      <c r="W60" s="61">
        <f t="shared" si="25"/>
        <v>0</v>
      </c>
      <c r="X60" s="61">
        <f t="shared" si="25"/>
        <v>0</v>
      </c>
      <c r="Y60" s="61">
        <f t="shared" si="25"/>
        <v>0</v>
      </c>
      <c r="Z60" s="874"/>
      <c r="AA60" s="867">
        <f t="shared" si="26"/>
        <v>0</v>
      </c>
      <c r="AB60" s="61">
        <f t="shared" si="26"/>
        <v>0</v>
      </c>
      <c r="AC60" s="61">
        <f t="shared" si="26"/>
        <v>0</v>
      </c>
      <c r="AD60" s="61">
        <f t="shared" si="26"/>
        <v>0</v>
      </c>
      <c r="AE60" s="61">
        <f t="shared" si="26"/>
        <v>0</v>
      </c>
      <c r="AF60" s="61">
        <f t="shared" si="26"/>
        <v>0</v>
      </c>
      <c r="AG60" s="61">
        <f t="shared" si="26"/>
        <v>0</v>
      </c>
      <c r="AH60" s="61">
        <f t="shared" si="26"/>
        <v>0</v>
      </c>
      <c r="AI60" s="61">
        <f t="shared" si="26"/>
        <v>0</v>
      </c>
      <c r="AJ60" s="149"/>
      <c r="AK60" s="70"/>
    </row>
    <row r="61" spans="2:37" x14ac:dyDescent="0.2">
      <c r="B61" s="69"/>
      <c r="C61" s="149"/>
      <c r="D61" s="124"/>
      <c r="E61" s="124"/>
      <c r="F61" s="125"/>
      <c r="G61" s="60"/>
      <c r="H61" s="125"/>
      <c r="I61" s="125"/>
      <c r="J61" s="149"/>
      <c r="K61" s="64">
        <f t="shared" si="18"/>
        <v>0</v>
      </c>
      <c r="L61" s="61">
        <f t="shared" si="19"/>
        <v>0</v>
      </c>
      <c r="M61" s="61">
        <f t="shared" si="20"/>
        <v>0</v>
      </c>
      <c r="N61" s="418" t="str">
        <f t="shared" si="21"/>
        <v>-</v>
      </c>
      <c r="O61" s="61">
        <f t="shared" si="22"/>
        <v>0</v>
      </c>
      <c r="P61" s="149"/>
      <c r="Q61" s="61">
        <f t="shared" si="24"/>
        <v>0</v>
      </c>
      <c r="R61" s="61">
        <f t="shared" si="24"/>
        <v>0</v>
      </c>
      <c r="S61" s="61">
        <f t="shared" si="23"/>
        <v>0</v>
      </c>
      <c r="T61" s="61">
        <f t="shared" si="25"/>
        <v>0</v>
      </c>
      <c r="U61" s="61">
        <f t="shared" si="25"/>
        <v>0</v>
      </c>
      <c r="V61" s="61">
        <f t="shared" si="25"/>
        <v>0</v>
      </c>
      <c r="W61" s="61">
        <f t="shared" si="25"/>
        <v>0</v>
      </c>
      <c r="X61" s="61">
        <f t="shared" si="25"/>
        <v>0</v>
      </c>
      <c r="Y61" s="61">
        <f t="shared" si="25"/>
        <v>0</v>
      </c>
      <c r="Z61" s="874"/>
      <c r="AA61" s="867">
        <f t="shared" si="26"/>
        <v>0</v>
      </c>
      <c r="AB61" s="61">
        <f t="shared" si="26"/>
        <v>0</v>
      </c>
      <c r="AC61" s="61">
        <f t="shared" si="26"/>
        <v>0</v>
      </c>
      <c r="AD61" s="61">
        <f t="shared" si="26"/>
        <v>0</v>
      </c>
      <c r="AE61" s="61">
        <f t="shared" si="26"/>
        <v>0</v>
      </c>
      <c r="AF61" s="61">
        <f t="shared" si="26"/>
        <v>0</v>
      </c>
      <c r="AG61" s="61">
        <f t="shared" si="26"/>
        <v>0</v>
      </c>
      <c r="AH61" s="61">
        <f t="shared" si="26"/>
        <v>0</v>
      </c>
      <c r="AI61" s="61">
        <f t="shared" si="26"/>
        <v>0</v>
      </c>
      <c r="AJ61" s="149"/>
      <c r="AK61" s="70"/>
    </row>
    <row r="62" spans="2:37" x14ac:dyDescent="0.2">
      <c r="B62" s="69"/>
      <c r="C62" s="149"/>
      <c r="D62" s="124"/>
      <c r="E62" s="124"/>
      <c r="F62" s="125"/>
      <c r="G62" s="60"/>
      <c r="H62" s="125"/>
      <c r="I62" s="125"/>
      <c r="J62" s="149"/>
      <c r="K62" s="64">
        <f t="shared" si="18"/>
        <v>0</v>
      </c>
      <c r="L62" s="61">
        <f t="shared" si="19"/>
        <v>0</v>
      </c>
      <c r="M62" s="61">
        <f t="shared" si="20"/>
        <v>0</v>
      </c>
      <c r="N62" s="418" t="str">
        <f t="shared" si="21"/>
        <v>-</v>
      </c>
      <c r="O62" s="61">
        <f t="shared" si="22"/>
        <v>0</v>
      </c>
      <c r="P62" s="149"/>
      <c r="Q62" s="61">
        <f t="shared" si="24"/>
        <v>0</v>
      </c>
      <c r="R62" s="61">
        <f t="shared" si="24"/>
        <v>0</v>
      </c>
      <c r="S62" s="61">
        <f t="shared" si="23"/>
        <v>0</v>
      </c>
      <c r="T62" s="61">
        <f t="shared" si="25"/>
        <v>0</v>
      </c>
      <c r="U62" s="61">
        <f t="shared" si="25"/>
        <v>0</v>
      </c>
      <c r="V62" s="61">
        <f t="shared" si="25"/>
        <v>0</v>
      </c>
      <c r="W62" s="61">
        <f t="shared" si="25"/>
        <v>0</v>
      </c>
      <c r="X62" s="61">
        <f t="shared" si="25"/>
        <v>0</v>
      </c>
      <c r="Y62" s="61">
        <f t="shared" si="25"/>
        <v>0</v>
      </c>
      <c r="Z62" s="874"/>
      <c r="AA62" s="867">
        <f t="shared" si="26"/>
        <v>0</v>
      </c>
      <c r="AB62" s="61">
        <f t="shared" si="26"/>
        <v>0</v>
      </c>
      <c r="AC62" s="61">
        <f t="shared" si="26"/>
        <v>0</v>
      </c>
      <c r="AD62" s="61">
        <f t="shared" si="26"/>
        <v>0</v>
      </c>
      <c r="AE62" s="61">
        <f t="shared" si="26"/>
        <v>0</v>
      </c>
      <c r="AF62" s="61">
        <f t="shared" si="26"/>
        <v>0</v>
      </c>
      <c r="AG62" s="61">
        <f t="shared" si="26"/>
        <v>0</v>
      </c>
      <c r="AH62" s="61">
        <f t="shared" si="26"/>
        <v>0</v>
      </c>
      <c r="AI62" s="61">
        <f t="shared" si="26"/>
        <v>0</v>
      </c>
      <c r="AJ62" s="149"/>
      <c r="AK62" s="70"/>
    </row>
    <row r="63" spans="2:37" x14ac:dyDescent="0.2">
      <c r="B63" s="69"/>
      <c r="C63" s="149"/>
      <c r="D63" s="124"/>
      <c r="E63" s="124"/>
      <c r="F63" s="125"/>
      <c r="G63" s="60"/>
      <c r="H63" s="125"/>
      <c r="I63" s="125"/>
      <c r="J63" s="149"/>
      <c r="K63" s="64">
        <f t="shared" si="18"/>
        <v>0</v>
      </c>
      <c r="L63" s="61">
        <f t="shared" si="19"/>
        <v>0</v>
      </c>
      <c r="M63" s="61">
        <f t="shared" si="20"/>
        <v>0</v>
      </c>
      <c r="N63" s="418" t="str">
        <f t="shared" si="21"/>
        <v>-</v>
      </c>
      <c r="O63" s="61">
        <f t="shared" si="22"/>
        <v>0</v>
      </c>
      <c r="P63" s="149"/>
      <c r="Q63" s="61">
        <f t="shared" si="24"/>
        <v>0</v>
      </c>
      <c r="R63" s="61">
        <f t="shared" si="24"/>
        <v>0</v>
      </c>
      <c r="S63" s="61">
        <f t="shared" si="23"/>
        <v>0</v>
      </c>
      <c r="T63" s="61">
        <f t="shared" si="25"/>
        <v>0</v>
      </c>
      <c r="U63" s="61">
        <f t="shared" si="25"/>
        <v>0</v>
      </c>
      <c r="V63" s="61">
        <f t="shared" si="25"/>
        <v>0</v>
      </c>
      <c r="W63" s="61">
        <f t="shared" si="25"/>
        <v>0</v>
      </c>
      <c r="X63" s="61">
        <f t="shared" si="25"/>
        <v>0</v>
      </c>
      <c r="Y63" s="61">
        <f t="shared" si="25"/>
        <v>0</v>
      </c>
      <c r="Z63" s="874"/>
      <c r="AA63" s="867">
        <f t="shared" si="26"/>
        <v>0</v>
      </c>
      <c r="AB63" s="61">
        <f t="shared" si="26"/>
        <v>0</v>
      </c>
      <c r="AC63" s="61">
        <f t="shared" si="26"/>
        <v>0</v>
      </c>
      <c r="AD63" s="61">
        <f t="shared" si="26"/>
        <v>0</v>
      </c>
      <c r="AE63" s="61">
        <f t="shared" si="26"/>
        <v>0</v>
      </c>
      <c r="AF63" s="61">
        <f t="shared" si="26"/>
        <v>0</v>
      </c>
      <c r="AG63" s="61">
        <f t="shared" si="26"/>
        <v>0</v>
      </c>
      <c r="AH63" s="61">
        <f t="shared" si="26"/>
        <v>0</v>
      </c>
      <c r="AI63" s="61">
        <f t="shared" si="26"/>
        <v>0</v>
      </c>
      <c r="AJ63" s="149"/>
      <c r="AK63" s="70"/>
    </row>
    <row r="64" spans="2:37" x14ac:dyDescent="0.2">
      <c r="B64" s="69"/>
      <c r="C64" s="149"/>
      <c r="D64" s="124"/>
      <c r="E64" s="124"/>
      <c r="F64" s="125"/>
      <c r="G64" s="60"/>
      <c r="H64" s="125"/>
      <c r="I64" s="125"/>
      <c r="J64" s="149"/>
      <c r="K64" s="64">
        <f t="shared" si="18"/>
        <v>0</v>
      </c>
      <c r="L64" s="61">
        <f t="shared" si="19"/>
        <v>0</v>
      </c>
      <c r="M64" s="61">
        <f t="shared" si="20"/>
        <v>0</v>
      </c>
      <c r="N64" s="418" t="str">
        <f t="shared" si="21"/>
        <v>-</v>
      </c>
      <c r="O64" s="61">
        <f t="shared" si="22"/>
        <v>0</v>
      </c>
      <c r="P64" s="149"/>
      <c r="Q64" s="61">
        <f t="shared" si="24"/>
        <v>0</v>
      </c>
      <c r="R64" s="61">
        <f t="shared" si="24"/>
        <v>0</v>
      </c>
      <c r="S64" s="61">
        <f t="shared" si="23"/>
        <v>0</v>
      </c>
      <c r="T64" s="61">
        <f t="shared" si="25"/>
        <v>0</v>
      </c>
      <c r="U64" s="61">
        <f t="shared" si="25"/>
        <v>0</v>
      </c>
      <c r="V64" s="61">
        <f t="shared" si="25"/>
        <v>0</v>
      </c>
      <c r="W64" s="61">
        <f t="shared" si="25"/>
        <v>0</v>
      </c>
      <c r="X64" s="61">
        <f t="shared" si="25"/>
        <v>0</v>
      </c>
      <c r="Y64" s="61">
        <f t="shared" si="25"/>
        <v>0</v>
      </c>
      <c r="Z64" s="874"/>
      <c r="AA64" s="867">
        <f t="shared" ref="AA64:AI70" si="27">IF(AA$8=$H64,($F64*$G64),0)</f>
        <v>0</v>
      </c>
      <c r="AB64" s="61">
        <f t="shared" si="27"/>
        <v>0</v>
      </c>
      <c r="AC64" s="61">
        <f t="shared" si="27"/>
        <v>0</v>
      </c>
      <c r="AD64" s="61">
        <f t="shared" si="27"/>
        <v>0</v>
      </c>
      <c r="AE64" s="61">
        <f t="shared" si="27"/>
        <v>0</v>
      </c>
      <c r="AF64" s="61">
        <f t="shared" si="27"/>
        <v>0</v>
      </c>
      <c r="AG64" s="61">
        <f t="shared" si="27"/>
        <v>0</v>
      </c>
      <c r="AH64" s="61">
        <f t="shared" si="27"/>
        <v>0</v>
      </c>
      <c r="AI64" s="61">
        <f t="shared" si="27"/>
        <v>0</v>
      </c>
      <c r="AJ64" s="149"/>
      <c r="AK64" s="70"/>
    </row>
    <row r="65" spans="2:37" x14ac:dyDescent="0.2">
      <c r="B65" s="69"/>
      <c r="C65" s="149"/>
      <c r="D65" s="124"/>
      <c r="E65" s="124"/>
      <c r="F65" s="125"/>
      <c r="G65" s="60"/>
      <c r="H65" s="125"/>
      <c r="I65" s="125"/>
      <c r="J65" s="149"/>
      <c r="K65" s="64">
        <f t="shared" si="18"/>
        <v>0</v>
      </c>
      <c r="L65" s="61">
        <f t="shared" si="19"/>
        <v>0</v>
      </c>
      <c r="M65" s="61">
        <f t="shared" si="20"/>
        <v>0</v>
      </c>
      <c r="N65" s="418" t="str">
        <f t="shared" si="21"/>
        <v>-</v>
      </c>
      <c r="O65" s="61">
        <f t="shared" si="22"/>
        <v>0</v>
      </c>
      <c r="P65" s="149"/>
      <c r="Q65" s="61">
        <f t="shared" si="24"/>
        <v>0</v>
      </c>
      <c r="R65" s="61">
        <f t="shared" si="24"/>
        <v>0</v>
      </c>
      <c r="S65" s="61">
        <f t="shared" si="23"/>
        <v>0</v>
      </c>
      <c r="T65" s="61">
        <f t="shared" si="25"/>
        <v>0</v>
      </c>
      <c r="U65" s="61">
        <f t="shared" si="25"/>
        <v>0</v>
      </c>
      <c r="V65" s="61">
        <f t="shared" si="25"/>
        <v>0</v>
      </c>
      <c r="W65" s="61">
        <f t="shared" si="25"/>
        <v>0</v>
      </c>
      <c r="X65" s="61">
        <f t="shared" si="25"/>
        <v>0</v>
      </c>
      <c r="Y65" s="61">
        <f t="shared" si="25"/>
        <v>0</v>
      </c>
      <c r="Z65" s="874"/>
      <c r="AA65" s="867">
        <f t="shared" si="27"/>
        <v>0</v>
      </c>
      <c r="AB65" s="61">
        <f t="shared" si="27"/>
        <v>0</v>
      </c>
      <c r="AC65" s="61">
        <f t="shared" si="27"/>
        <v>0</v>
      </c>
      <c r="AD65" s="61">
        <f t="shared" si="27"/>
        <v>0</v>
      </c>
      <c r="AE65" s="61">
        <f t="shared" si="27"/>
        <v>0</v>
      </c>
      <c r="AF65" s="61">
        <f t="shared" si="27"/>
        <v>0</v>
      </c>
      <c r="AG65" s="61">
        <f t="shared" si="27"/>
        <v>0</v>
      </c>
      <c r="AH65" s="61">
        <f t="shared" si="27"/>
        <v>0</v>
      </c>
      <c r="AI65" s="61">
        <f t="shared" si="27"/>
        <v>0</v>
      </c>
      <c r="AJ65" s="149"/>
      <c r="AK65" s="70"/>
    </row>
    <row r="66" spans="2:37" x14ac:dyDescent="0.2">
      <c r="B66" s="69"/>
      <c r="C66" s="149"/>
      <c r="D66" s="124"/>
      <c r="E66" s="124"/>
      <c r="F66" s="125"/>
      <c r="G66" s="60"/>
      <c r="H66" s="125"/>
      <c r="I66" s="125"/>
      <c r="J66" s="149"/>
      <c r="K66" s="64">
        <f t="shared" si="18"/>
        <v>0</v>
      </c>
      <c r="L66" s="61">
        <f t="shared" si="19"/>
        <v>0</v>
      </c>
      <c r="M66" s="61">
        <f t="shared" si="20"/>
        <v>0</v>
      </c>
      <c r="N66" s="418" t="str">
        <f t="shared" si="21"/>
        <v>-</v>
      </c>
      <c r="O66" s="61">
        <f t="shared" si="22"/>
        <v>0</v>
      </c>
      <c r="P66" s="149"/>
      <c r="Q66" s="61">
        <f t="shared" si="24"/>
        <v>0</v>
      </c>
      <c r="R66" s="61">
        <f t="shared" si="24"/>
        <v>0</v>
      </c>
      <c r="S66" s="61">
        <f t="shared" si="23"/>
        <v>0</v>
      </c>
      <c r="T66" s="61">
        <f t="shared" si="25"/>
        <v>0</v>
      </c>
      <c r="U66" s="61">
        <f t="shared" si="25"/>
        <v>0</v>
      </c>
      <c r="V66" s="61">
        <f t="shared" si="25"/>
        <v>0</v>
      </c>
      <c r="W66" s="61">
        <f t="shared" si="25"/>
        <v>0</v>
      </c>
      <c r="X66" s="61">
        <f t="shared" si="25"/>
        <v>0</v>
      </c>
      <c r="Y66" s="61">
        <f t="shared" si="25"/>
        <v>0</v>
      </c>
      <c r="Z66" s="874"/>
      <c r="AA66" s="867">
        <f t="shared" si="27"/>
        <v>0</v>
      </c>
      <c r="AB66" s="61">
        <f t="shared" si="27"/>
        <v>0</v>
      </c>
      <c r="AC66" s="61">
        <f t="shared" si="27"/>
        <v>0</v>
      </c>
      <c r="AD66" s="61">
        <f t="shared" si="27"/>
        <v>0</v>
      </c>
      <c r="AE66" s="61">
        <f t="shared" si="27"/>
        <v>0</v>
      </c>
      <c r="AF66" s="61">
        <f t="shared" si="27"/>
        <v>0</v>
      </c>
      <c r="AG66" s="61">
        <f t="shared" si="27"/>
        <v>0</v>
      </c>
      <c r="AH66" s="61">
        <f t="shared" si="27"/>
        <v>0</v>
      </c>
      <c r="AI66" s="61">
        <f t="shared" si="27"/>
        <v>0</v>
      </c>
      <c r="AJ66" s="149"/>
      <c r="AK66" s="70"/>
    </row>
    <row r="67" spans="2:37" x14ac:dyDescent="0.2">
      <c r="B67" s="69"/>
      <c r="C67" s="149"/>
      <c r="D67" s="124"/>
      <c r="E67" s="124"/>
      <c r="F67" s="125"/>
      <c r="G67" s="60"/>
      <c r="H67" s="125"/>
      <c r="I67" s="125"/>
      <c r="J67" s="149"/>
      <c r="K67" s="64">
        <f t="shared" si="18"/>
        <v>0</v>
      </c>
      <c r="L67" s="61">
        <f t="shared" si="19"/>
        <v>0</v>
      </c>
      <c r="M67" s="61">
        <f t="shared" si="20"/>
        <v>0</v>
      </c>
      <c r="N67" s="418" t="str">
        <f t="shared" si="21"/>
        <v>-</v>
      </c>
      <c r="O67" s="61">
        <f t="shared" si="22"/>
        <v>0</v>
      </c>
      <c r="P67" s="149"/>
      <c r="Q67" s="61">
        <f t="shared" si="24"/>
        <v>0</v>
      </c>
      <c r="R67" s="61">
        <f t="shared" si="24"/>
        <v>0</v>
      </c>
      <c r="S67" s="61">
        <f t="shared" si="23"/>
        <v>0</v>
      </c>
      <c r="T67" s="61">
        <f t="shared" si="25"/>
        <v>0</v>
      </c>
      <c r="U67" s="61">
        <f t="shared" si="25"/>
        <v>0</v>
      </c>
      <c r="V67" s="61">
        <f t="shared" si="25"/>
        <v>0</v>
      </c>
      <c r="W67" s="61">
        <f t="shared" si="25"/>
        <v>0</v>
      </c>
      <c r="X67" s="61">
        <f t="shared" si="25"/>
        <v>0</v>
      </c>
      <c r="Y67" s="61">
        <f t="shared" si="25"/>
        <v>0</v>
      </c>
      <c r="Z67" s="874"/>
      <c r="AA67" s="867">
        <f t="shared" si="27"/>
        <v>0</v>
      </c>
      <c r="AB67" s="61">
        <f t="shared" si="27"/>
        <v>0</v>
      </c>
      <c r="AC67" s="61">
        <f t="shared" si="27"/>
        <v>0</v>
      </c>
      <c r="AD67" s="61">
        <f t="shared" si="27"/>
        <v>0</v>
      </c>
      <c r="AE67" s="61">
        <f t="shared" si="27"/>
        <v>0</v>
      </c>
      <c r="AF67" s="61">
        <f t="shared" si="27"/>
        <v>0</v>
      </c>
      <c r="AG67" s="61">
        <f t="shared" si="27"/>
        <v>0</v>
      </c>
      <c r="AH67" s="61">
        <f t="shared" si="27"/>
        <v>0</v>
      </c>
      <c r="AI67" s="61">
        <f t="shared" si="27"/>
        <v>0</v>
      </c>
      <c r="AJ67" s="149"/>
      <c r="AK67" s="70"/>
    </row>
    <row r="68" spans="2:37" x14ac:dyDescent="0.2">
      <c r="B68" s="69"/>
      <c r="C68" s="149"/>
      <c r="D68" s="124"/>
      <c r="E68" s="124"/>
      <c r="F68" s="125"/>
      <c r="G68" s="60"/>
      <c r="H68" s="125"/>
      <c r="I68" s="125"/>
      <c r="J68" s="149"/>
      <c r="K68" s="64">
        <f t="shared" si="18"/>
        <v>0</v>
      </c>
      <c r="L68" s="61">
        <f t="shared" si="19"/>
        <v>0</v>
      </c>
      <c r="M68" s="61">
        <f t="shared" si="20"/>
        <v>0</v>
      </c>
      <c r="N68" s="418" t="str">
        <f t="shared" si="21"/>
        <v>-</v>
      </c>
      <c r="O68" s="61">
        <f t="shared" si="22"/>
        <v>0</v>
      </c>
      <c r="P68" s="149"/>
      <c r="Q68" s="61">
        <f t="shared" si="24"/>
        <v>0</v>
      </c>
      <c r="R68" s="61">
        <f t="shared" si="24"/>
        <v>0</v>
      </c>
      <c r="S68" s="61">
        <f t="shared" si="23"/>
        <v>0</v>
      </c>
      <c r="T68" s="61">
        <f t="shared" si="25"/>
        <v>0</v>
      </c>
      <c r="U68" s="61">
        <f t="shared" si="25"/>
        <v>0</v>
      </c>
      <c r="V68" s="61">
        <f t="shared" si="25"/>
        <v>0</v>
      </c>
      <c r="W68" s="61">
        <f t="shared" si="25"/>
        <v>0</v>
      </c>
      <c r="X68" s="61">
        <f t="shared" si="25"/>
        <v>0</v>
      </c>
      <c r="Y68" s="61">
        <f t="shared" si="25"/>
        <v>0</v>
      </c>
      <c r="Z68" s="874"/>
      <c r="AA68" s="867">
        <f t="shared" si="27"/>
        <v>0</v>
      </c>
      <c r="AB68" s="61">
        <f t="shared" si="27"/>
        <v>0</v>
      </c>
      <c r="AC68" s="61">
        <f t="shared" si="27"/>
        <v>0</v>
      </c>
      <c r="AD68" s="61">
        <f t="shared" si="27"/>
        <v>0</v>
      </c>
      <c r="AE68" s="61">
        <f t="shared" si="27"/>
        <v>0</v>
      </c>
      <c r="AF68" s="61">
        <f t="shared" si="27"/>
        <v>0</v>
      </c>
      <c r="AG68" s="61">
        <f t="shared" si="27"/>
        <v>0</v>
      </c>
      <c r="AH68" s="61">
        <f t="shared" si="27"/>
        <v>0</v>
      </c>
      <c r="AI68" s="61">
        <f t="shared" si="27"/>
        <v>0</v>
      </c>
      <c r="AJ68" s="149"/>
      <c r="AK68" s="70"/>
    </row>
    <row r="69" spans="2:37" x14ac:dyDescent="0.2">
      <c r="B69" s="69"/>
      <c r="C69" s="149"/>
      <c r="D69" s="124"/>
      <c r="E69" s="124"/>
      <c r="F69" s="125"/>
      <c r="G69" s="60"/>
      <c r="H69" s="125"/>
      <c r="I69" s="125"/>
      <c r="J69" s="149"/>
      <c r="K69" s="64">
        <f t="shared" si="18"/>
        <v>0</v>
      </c>
      <c r="L69" s="61">
        <f t="shared" si="19"/>
        <v>0</v>
      </c>
      <c r="M69" s="61">
        <f t="shared" si="20"/>
        <v>0</v>
      </c>
      <c r="N69" s="418" t="str">
        <f t="shared" si="21"/>
        <v>-</v>
      </c>
      <c r="O69" s="61">
        <f t="shared" si="22"/>
        <v>0</v>
      </c>
      <c r="P69" s="149"/>
      <c r="Q69" s="61">
        <f t="shared" si="24"/>
        <v>0</v>
      </c>
      <c r="R69" s="61">
        <f t="shared" si="24"/>
        <v>0</v>
      </c>
      <c r="S69" s="61">
        <f t="shared" si="23"/>
        <v>0</v>
      </c>
      <c r="T69" s="61">
        <f t="shared" si="25"/>
        <v>0</v>
      </c>
      <c r="U69" s="61">
        <f t="shared" si="25"/>
        <v>0</v>
      </c>
      <c r="V69" s="61">
        <f t="shared" si="25"/>
        <v>0</v>
      </c>
      <c r="W69" s="61">
        <f t="shared" si="25"/>
        <v>0</v>
      </c>
      <c r="X69" s="61">
        <f t="shared" si="25"/>
        <v>0</v>
      </c>
      <c r="Y69" s="61">
        <f t="shared" si="25"/>
        <v>0</v>
      </c>
      <c r="Z69" s="874"/>
      <c r="AA69" s="867">
        <f t="shared" si="27"/>
        <v>0</v>
      </c>
      <c r="AB69" s="61">
        <f t="shared" si="27"/>
        <v>0</v>
      </c>
      <c r="AC69" s="61">
        <f t="shared" si="27"/>
        <v>0</v>
      </c>
      <c r="AD69" s="61">
        <f t="shared" si="27"/>
        <v>0</v>
      </c>
      <c r="AE69" s="61">
        <f t="shared" si="27"/>
        <v>0</v>
      </c>
      <c r="AF69" s="61">
        <f t="shared" si="27"/>
        <v>0</v>
      </c>
      <c r="AG69" s="61">
        <f t="shared" si="27"/>
        <v>0</v>
      </c>
      <c r="AH69" s="61">
        <f t="shared" si="27"/>
        <v>0</v>
      </c>
      <c r="AI69" s="61">
        <f t="shared" si="27"/>
        <v>0</v>
      </c>
      <c r="AJ69" s="149"/>
      <c r="AK69" s="70"/>
    </row>
    <row r="70" spans="2:37" x14ac:dyDescent="0.2">
      <c r="B70" s="69"/>
      <c r="C70" s="149"/>
      <c r="D70" s="64"/>
      <c r="E70" s="64"/>
      <c r="F70" s="64"/>
      <c r="G70" s="64"/>
      <c r="H70" s="64"/>
      <c r="I70" s="64"/>
      <c r="J70" s="149"/>
      <c r="K70" s="64">
        <f t="shared" si="18"/>
        <v>0</v>
      </c>
      <c r="L70" s="435">
        <f t="shared" si="19"/>
        <v>0</v>
      </c>
      <c r="M70" s="435">
        <f t="shared" si="20"/>
        <v>0</v>
      </c>
      <c r="N70" s="436" t="str">
        <f t="shared" si="21"/>
        <v>-</v>
      </c>
      <c r="O70" s="435">
        <f t="shared" si="22"/>
        <v>0</v>
      </c>
      <c r="P70" s="149"/>
      <c r="Q70" s="435">
        <f t="shared" si="24"/>
        <v>0</v>
      </c>
      <c r="R70" s="435">
        <f t="shared" si="24"/>
        <v>0</v>
      </c>
      <c r="S70" s="435">
        <f>(IF(S$8&lt;$H70,0,IF($N70&lt;=S$8-1,0,$M70)))</f>
        <v>0</v>
      </c>
      <c r="T70" s="435">
        <f t="shared" si="25"/>
        <v>0</v>
      </c>
      <c r="U70" s="435">
        <f t="shared" si="25"/>
        <v>0</v>
      </c>
      <c r="V70" s="435">
        <f t="shared" si="25"/>
        <v>0</v>
      </c>
      <c r="W70" s="435">
        <f t="shared" si="25"/>
        <v>0</v>
      </c>
      <c r="X70" s="435">
        <f t="shared" si="25"/>
        <v>0</v>
      </c>
      <c r="Y70" s="435">
        <f t="shared" si="25"/>
        <v>0</v>
      </c>
      <c r="Z70" s="874"/>
      <c r="AA70" s="868">
        <f t="shared" si="27"/>
        <v>0</v>
      </c>
      <c r="AB70" s="435">
        <f t="shared" si="27"/>
        <v>0</v>
      </c>
      <c r="AC70" s="435">
        <f t="shared" si="27"/>
        <v>0</v>
      </c>
      <c r="AD70" s="435">
        <f t="shared" si="27"/>
        <v>0</v>
      </c>
      <c r="AE70" s="435">
        <f t="shared" si="27"/>
        <v>0</v>
      </c>
      <c r="AF70" s="435">
        <f t="shared" si="27"/>
        <v>0</v>
      </c>
      <c r="AG70" s="435">
        <f t="shared" si="27"/>
        <v>0</v>
      </c>
      <c r="AH70" s="435">
        <f t="shared" si="27"/>
        <v>0</v>
      </c>
      <c r="AI70" s="435">
        <f t="shared" si="27"/>
        <v>0</v>
      </c>
      <c r="AJ70" s="149"/>
      <c r="AK70" s="70"/>
    </row>
    <row r="71" spans="2:37" x14ac:dyDescent="0.2">
      <c r="B71" s="69"/>
      <c r="C71" s="149"/>
      <c r="D71" s="45"/>
      <c r="E71" s="45"/>
      <c r="F71" s="64"/>
      <c r="G71" s="173"/>
      <c r="H71" s="64"/>
      <c r="I71" s="64"/>
      <c r="J71" s="149"/>
      <c r="K71" s="64"/>
      <c r="L71" s="173"/>
      <c r="M71" s="173"/>
      <c r="N71" s="64"/>
      <c r="O71" s="173"/>
      <c r="P71" s="149"/>
      <c r="Q71" s="173"/>
      <c r="R71" s="173"/>
      <c r="S71" s="173"/>
      <c r="T71" s="173"/>
      <c r="U71" s="173"/>
      <c r="V71" s="173"/>
      <c r="W71" s="173"/>
      <c r="X71" s="173"/>
      <c r="Y71" s="173"/>
      <c r="Z71" s="874"/>
      <c r="AA71" s="869"/>
      <c r="AB71" s="173"/>
      <c r="AC71" s="173"/>
      <c r="AD71" s="173"/>
      <c r="AE71" s="173"/>
      <c r="AF71" s="173"/>
      <c r="AG71" s="173"/>
      <c r="AH71" s="173"/>
      <c r="AI71" s="173"/>
      <c r="AJ71" s="149"/>
      <c r="AK71" s="70"/>
    </row>
    <row r="72" spans="2:37" x14ac:dyDescent="0.2">
      <c r="B72" s="78"/>
      <c r="C72" s="75"/>
      <c r="D72" s="113"/>
      <c r="E72" s="113"/>
      <c r="F72" s="76"/>
      <c r="G72" s="76"/>
      <c r="H72" s="76"/>
      <c r="I72" s="76"/>
      <c r="J72" s="75"/>
      <c r="K72" s="75"/>
      <c r="L72" s="75"/>
      <c r="M72" s="75"/>
      <c r="N72" s="75"/>
      <c r="O72" s="75"/>
      <c r="P72" s="75"/>
      <c r="Q72" s="75"/>
      <c r="R72" s="75"/>
      <c r="S72" s="75"/>
      <c r="T72" s="75"/>
      <c r="U72" s="75"/>
      <c r="V72" s="75"/>
      <c r="W72" s="75"/>
      <c r="X72" s="75"/>
      <c r="Y72" s="75"/>
      <c r="Z72" s="875"/>
      <c r="AA72" s="870"/>
      <c r="AB72" s="75"/>
      <c r="AC72" s="75"/>
      <c r="AD72" s="75"/>
      <c r="AE72" s="75"/>
      <c r="AF72" s="75"/>
      <c r="AG72" s="75"/>
      <c r="AH72" s="75"/>
      <c r="AI72" s="75"/>
      <c r="AJ72" s="75"/>
      <c r="AK72" s="77"/>
    </row>
  </sheetData>
  <sheetProtection algorithmName="SHA-512" hashValue="GSOTozEvGegqKLAtYhWPfj281AnQAdSPHcpk5HifsQ5fET9hdU/fM5L1zoYfzd4nmEZdU4OvRZ7Skf5ZXKPVTg==" saltValue="lhes90o8ueYjVtFOBInEzQ==" spinCount="100000" sheet="1" objects="1" scenarios="1"/>
  <phoneticPr fontId="0" type="noConversion"/>
  <dataValidations count="3">
    <dataValidation type="list" allowBlank="1" showInputMessage="1" showErrorMessage="1" sqref="D70:H70 I14:I71" xr:uid="{00000000-0002-0000-0900-000000000000}">
      <formula1>"geen,1,2,3,4,5,6,7,8,9,10,11,12,13,14,15,16,17,18,19,20,21,22,23,24,25,26,27,28,29,30,31,32,33,34,35,36,37,38,39,40,41,42,43,44,45,46,47,48,49,50"</formula1>
    </dataValidation>
    <dataValidation type="list" allowBlank="1" showInputMessage="1" showErrorMessage="1" sqref="D71" xr:uid="{00000000-0002-0000-0900-000001000000}">
      <formula1>"gebouwen en terreinen, inventaris en apparatuur, leermiddelen PO, overige materiële vaste activa"</formula1>
    </dataValidation>
    <dataValidation type="list" allowBlank="1" showInputMessage="1" showErrorMessage="1" sqref="D14:D69" xr:uid="{00000000-0002-0000-0900-000002000000}">
      <formula1>"gebouwen en terreinen, inventaris en apparatuur, leermiddelen, overige materiële vaste activa"</formula1>
    </dataValidation>
  </dataValidations>
  <pageMargins left="0.75" right="0.75" top="1" bottom="1" header="0.5" footer="0.5"/>
  <pageSetup paperSize="9" scale="50" orientation="landscape" r:id="rId1"/>
  <headerFooter alignWithMargins="0">
    <oddHeader>&amp;L&amp;"Arial,Vet"&amp;9&amp;F&amp;R&amp;"Arial,Vet"&amp;9&amp;A</oddHeader>
    <oddFooter>&amp;L&amp;"Arial,Vet"&amp;9be.keizer@wxs.nl&amp;C&amp;"Arial,Vet"&amp;9pagina &amp;P&amp;R&amp;"Arial,Vet"&amp;9&amp;D</oddFooter>
  </headerFooter>
  <colBreaks count="1" manualBreakCount="1">
    <brk id="26" min="1" max="71"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22</vt:i4>
      </vt:variant>
    </vt:vector>
  </HeadingPairs>
  <TitlesOfParts>
    <vt:vector size="40" baseType="lpstr">
      <vt:lpstr>toel</vt:lpstr>
      <vt:lpstr>geg ll</vt:lpstr>
      <vt:lpstr>LWOO-PRO</vt:lpstr>
      <vt:lpstr>overdr VSO</vt:lpstr>
      <vt:lpstr>bekost</vt:lpstr>
      <vt:lpstr>sal SWV</vt:lpstr>
      <vt:lpstr>mat</vt:lpstr>
      <vt:lpstr>programma's</vt:lpstr>
      <vt:lpstr>mip</vt:lpstr>
      <vt:lpstr>act</vt:lpstr>
      <vt:lpstr>begr</vt:lpstr>
      <vt:lpstr>bal</vt:lpstr>
      <vt:lpstr>liq</vt:lpstr>
      <vt:lpstr>ken</vt:lpstr>
      <vt:lpstr>graf</vt:lpstr>
      <vt:lpstr>tab</vt:lpstr>
      <vt:lpstr>saltab</vt:lpstr>
      <vt:lpstr>hlpbl</vt:lpstr>
      <vt:lpstr>act!Afdrukbereik</vt:lpstr>
      <vt:lpstr>bal!Afdrukbereik</vt:lpstr>
      <vt:lpstr>begr!Afdrukbereik</vt:lpstr>
      <vt:lpstr>bekost!Afdrukbereik</vt:lpstr>
      <vt:lpstr>'geg ll'!Afdrukbereik</vt:lpstr>
      <vt:lpstr>graf!Afdrukbereik</vt:lpstr>
      <vt:lpstr>hlpbl!Afdrukbereik</vt:lpstr>
      <vt:lpstr>ken!Afdrukbereik</vt:lpstr>
      <vt:lpstr>liq!Afdrukbereik</vt:lpstr>
      <vt:lpstr>'LWOO-PRO'!Afdrukbereik</vt:lpstr>
      <vt:lpstr>mat!Afdrukbereik</vt:lpstr>
      <vt:lpstr>mip!Afdrukbereik</vt:lpstr>
      <vt:lpstr>'overdr VSO'!Afdrukbereik</vt:lpstr>
      <vt:lpstr>'programma''s'!Afdrukbereik</vt:lpstr>
      <vt:lpstr>'sal SWV'!Afdrukbereik</vt:lpstr>
      <vt:lpstr>saltab!Afdrukbereik</vt:lpstr>
      <vt:lpstr>tab!Afdrukbereik</vt:lpstr>
      <vt:lpstr>toel!Afdrukbereik</vt:lpstr>
      <vt:lpstr>Afdrukbereik</vt:lpstr>
      <vt:lpstr>'sal SWV'!Criteria</vt:lpstr>
      <vt:lpstr>saltab2022</vt:lpstr>
      <vt:lpstr>Verhoudingstabel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SWV VO Passend Onderwijs</dc:title>
  <dc:creator/>
  <cp:lastModifiedBy/>
  <dcterms:created xsi:type="dcterms:W3CDTF">2012-11-10T17:08:44Z</dcterms:created>
  <dcterms:modified xsi:type="dcterms:W3CDTF">2023-01-05T16:22:49Z</dcterms:modified>
</cp:coreProperties>
</file>