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B. Keizer\Documents\Instrumenten\toolbox 2016\vo\"/>
    </mc:Choice>
  </mc:AlternateContent>
  <bookViews>
    <workbookView xWindow="480" yWindow="135" windowWidth="18195" windowHeight="11535" tabRatio="746" activeTab="1"/>
  </bookViews>
  <sheets>
    <sheet name="Toelichting" sheetId="1" r:id="rId1"/>
    <sheet name="Werkgeverslasten" sheetId="3" r:id="rId2"/>
    <sheet name="Ouderschapsverlof" sheetId="4" r:id="rId3"/>
    <sheet name="Functiedifferentiatie" sheetId="5" r:id="rId4"/>
    <sheet name="Extra periodieken" sheetId="6" r:id="rId5"/>
    <sheet name="tabellen" sheetId="7" r:id="rId6"/>
  </sheets>
  <definedNames>
    <definedName name="_xlnm.Print_Area" localSheetId="4">'Extra periodieken'!$B$2:$K$54</definedName>
    <definedName name="_xlnm.Print_Area" localSheetId="3">Functiedifferentiatie!$B$2:$K$50</definedName>
    <definedName name="_xlnm.Print_Area" localSheetId="2">Ouderschapsverlof!$B$2:$L$58</definedName>
    <definedName name="_xlnm.Print_Area" localSheetId="5">tabellen!$A$34:$J$83</definedName>
    <definedName name="_xlnm.Print_Area" localSheetId="0">Toelichting!$B$2:$S$160</definedName>
    <definedName name="_xlnm.Print_Area" localSheetId="1">Werkgeverslasten!$B$2:$O$78</definedName>
    <definedName name="bindingstoelage">tabellen!$B$52:$D$55</definedName>
    <definedName name="eindejaarsuitkering_OOP">tabellen!$C$67:$D$69</definedName>
    <definedName name="salaristabellen">tabellen!$A$7:$R$31</definedName>
    <definedName name="uitlooptoeslag">tabellen!$B$48:$C$50</definedName>
  </definedNames>
  <calcPr calcId="152511"/>
</workbook>
</file>

<file path=xl/calcChain.xml><?xml version="1.0" encoding="utf-8"?>
<calcChain xmlns="http://schemas.openxmlformats.org/spreadsheetml/2006/main">
  <c r="I55" i="3" l="1"/>
  <c r="J55" i="3"/>
  <c r="D36" i="7" l="1"/>
  <c r="C36" i="7" l="1"/>
  <c r="C28" i="7"/>
  <c r="G23" i="3" l="1"/>
  <c r="I30" i="5"/>
  <c r="R8" i="7"/>
  <c r="J14" i="4" s="1"/>
  <c r="R9" i="7"/>
  <c r="R10" i="7"/>
  <c r="R11" i="7"/>
  <c r="R12" i="7"/>
  <c r="R13" i="7"/>
  <c r="R14" i="7"/>
  <c r="R15" i="7"/>
  <c r="R16" i="7"/>
  <c r="R17" i="7"/>
  <c r="R18" i="7"/>
  <c r="R19" i="7"/>
  <c r="R20" i="7"/>
  <c r="R21" i="7"/>
  <c r="R22" i="7"/>
  <c r="R23" i="7"/>
  <c r="R24" i="7"/>
  <c r="R25" i="7"/>
  <c r="I16" i="5" s="1"/>
  <c r="R26" i="7"/>
  <c r="R27" i="7"/>
  <c r="R28" i="7"/>
  <c r="R29" i="7"/>
  <c r="R30" i="7"/>
  <c r="R31" i="7"/>
  <c r="R7" i="7"/>
  <c r="I17" i="6" s="1"/>
  <c r="M15" i="3" l="1"/>
  <c r="I25" i="3" l="1"/>
  <c r="C43" i="7" l="1"/>
  <c r="H38" i="4" l="1"/>
  <c r="F42" i="5"/>
  <c r="F29" i="6"/>
  <c r="F18" i="6" l="1"/>
  <c r="F31" i="5"/>
  <c r="F17" i="5"/>
  <c r="H15" i="4"/>
  <c r="I31" i="3"/>
  <c r="I21" i="3"/>
  <c r="I16" i="3"/>
  <c r="G74" i="3" l="1"/>
  <c r="G73" i="3"/>
  <c r="G72" i="3"/>
  <c r="G71" i="3"/>
  <c r="I24" i="3"/>
  <c r="G4" i="3"/>
  <c r="F4" i="3"/>
  <c r="F45" i="6"/>
  <c r="F48" i="6" s="1"/>
  <c r="F51" i="6" s="1"/>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R19" i="6"/>
  <c r="Q19" i="6"/>
  <c r="P19" i="6"/>
  <c r="R18" i="6"/>
  <c r="Q18" i="6"/>
  <c r="P18" i="6"/>
  <c r="F20" i="6"/>
  <c r="R17" i="6"/>
  <c r="Q17" i="6"/>
  <c r="P17" i="6"/>
  <c r="T60" i="5"/>
  <c r="S60" i="5"/>
  <c r="Q60" i="5"/>
  <c r="P60" i="5"/>
  <c r="T59" i="5"/>
  <c r="S59" i="5"/>
  <c r="Q59" i="5"/>
  <c r="P59" i="5"/>
  <c r="T58" i="5"/>
  <c r="S58" i="5"/>
  <c r="Q58" i="5"/>
  <c r="P58" i="5"/>
  <c r="T57" i="5"/>
  <c r="S57" i="5"/>
  <c r="Q57" i="5"/>
  <c r="P57" i="5"/>
  <c r="T56" i="5"/>
  <c r="S56" i="5"/>
  <c r="Q56" i="5"/>
  <c r="P56" i="5"/>
  <c r="T55" i="5"/>
  <c r="S55" i="5"/>
  <c r="Q55" i="5"/>
  <c r="P55" i="5"/>
  <c r="T54" i="5"/>
  <c r="S54" i="5"/>
  <c r="Q54" i="5"/>
  <c r="P54" i="5"/>
  <c r="T53" i="5"/>
  <c r="S53" i="5"/>
  <c r="Q53" i="5"/>
  <c r="P53" i="5"/>
  <c r="T52" i="5"/>
  <c r="S52" i="5"/>
  <c r="Q52" i="5"/>
  <c r="P52" i="5"/>
  <c r="T51" i="5"/>
  <c r="S51" i="5"/>
  <c r="Q51" i="5"/>
  <c r="P51" i="5"/>
  <c r="T50" i="5"/>
  <c r="S50" i="5"/>
  <c r="Q50" i="5"/>
  <c r="P50" i="5"/>
  <c r="T49" i="5"/>
  <c r="S49" i="5"/>
  <c r="Q49" i="5"/>
  <c r="P49" i="5"/>
  <c r="T48" i="5"/>
  <c r="S48" i="5"/>
  <c r="Q48" i="5"/>
  <c r="P48" i="5"/>
  <c r="T47" i="5"/>
  <c r="S47" i="5"/>
  <c r="Q47" i="5"/>
  <c r="P47" i="5"/>
  <c r="T46" i="5"/>
  <c r="S46" i="5"/>
  <c r="Q46" i="5"/>
  <c r="P46" i="5"/>
  <c r="T45" i="5"/>
  <c r="S45" i="5"/>
  <c r="Q45" i="5"/>
  <c r="P45" i="5"/>
  <c r="T44" i="5"/>
  <c r="S44" i="5"/>
  <c r="Q44" i="5"/>
  <c r="P44" i="5"/>
  <c r="F44" i="5"/>
  <c r="T43" i="5"/>
  <c r="S43" i="5"/>
  <c r="Q43" i="5"/>
  <c r="P43" i="5"/>
  <c r="T42" i="5"/>
  <c r="S42" i="5"/>
  <c r="Q42" i="5"/>
  <c r="P42" i="5"/>
  <c r="T41" i="5"/>
  <c r="S41" i="5"/>
  <c r="Q41" i="5"/>
  <c r="P41" i="5"/>
  <c r="T40" i="5"/>
  <c r="S40" i="5"/>
  <c r="Q40" i="5"/>
  <c r="P40" i="5"/>
  <c r="T39" i="5"/>
  <c r="S39" i="5"/>
  <c r="Q39" i="5"/>
  <c r="P39" i="5"/>
  <c r="T38" i="5"/>
  <c r="S38" i="5"/>
  <c r="Q38" i="5"/>
  <c r="P38" i="5"/>
  <c r="T37" i="5"/>
  <c r="S37" i="5"/>
  <c r="Q37" i="5"/>
  <c r="P37" i="5"/>
  <c r="T36" i="5"/>
  <c r="S36" i="5"/>
  <c r="Q36" i="5"/>
  <c r="P36" i="5"/>
  <c r="T35" i="5"/>
  <c r="S35" i="5"/>
  <c r="Q35" i="5"/>
  <c r="P35" i="5"/>
  <c r="T34" i="5"/>
  <c r="S34" i="5"/>
  <c r="Q34" i="5"/>
  <c r="P34" i="5"/>
  <c r="T33" i="5"/>
  <c r="S33" i="5"/>
  <c r="Q33" i="5"/>
  <c r="P33" i="5"/>
  <c r="T32" i="5"/>
  <c r="S32" i="5"/>
  <c r="Q32" i="5"/>
  <c r="P32" i="5"/>
  <c r="T31" i="5"/>
  <c r="S31" i="5"/>
  <c r="Q31" i="5"/>
  <c r="P31" i="5"/>
  <c r="F35" i="5"/>
  <c r="T30" i="5"/>
  <c r="S30" i="5"/>
  <c r="Q30" i="5"/>
  <c r="P30" i="5"/>
  <c r="T29" i="5"/>
  <c r="S29" i="5"/>
  <c r="Q29" i="5"/>
  <c r="P29" i="5"/>
  <c r="T28" i="5"/>
  <c r="S28" i="5"/>
  <c r="Q28" i="5"/>
  <c r="P28" i="5"/>
  <c r="T27" i="5"/>
  <c r="S27" i="5"/>
  <c r="Q27" i="5"/>
  <c r="P27" i="5"/>
  <c r="T26" i="5"/>
  <c r="S26" i="5"/>
  <c r="Q26" i="5"/>
  <c r="P26" i="5"/>
  <c r="T25" i="5"/>
  <c r="S25" i="5"/>
  <c r="Q25" i="5"/>
  <c r="P25" i="5"/>
  <c r="T24" i="5"/>
  <c r="S24" i="5"/>
  <c r="Q24" i="5"/>
  <c r="P24" i="5"/>
  <c r="T23" i="5"/>
  <c r="S23" i="5"/>
  <c r="Q23" i="5"/>
  <c r="P23" i="5"/>
  <c r="T22" i="5"/>
  <c r="S22" i="5"/>
  <c r="Q22" i="5"/>
  <c r="P22" i="5"/>
  <c r="T21" i="5"/>
  <c r="S21" i="5"/>
  <c r="Q21" i="5"/>
  <c r="P21" i="5"/>
  <c r="T20" i="5"/>
  <c r="S20" i="5"/>
  <c r="Q20" i="5"/>
  <c r="P20" i="5"/>
  <c r="T19" i="5"/>
  <c r="S19" i="5"/>
  <c r="Q19" i="5"/>
  <c r="P19" i="5"/>
  <c r="T18" i="5"/>
  <c r="S18" i="5"/>
  <c r="Q18" i="5"/>
  <c r="P18" i="5"/>
  <c r="T17" i="5"/>
  <c r="S17" i="5"/>
  <c r="Q17" i="5"/>
  <c r="P17" i="5"/>
  <c r="T16" i="5"/>
  <c r="S16" i="5"/>
  <c r="Q16" i="5"/>
  <c r="P16" i="5"/>
  <c r="T15" i="5"/>
  <c r="S15" i="5"/>
  <c r="Q15" i="5"/>
  <c r="P15" i="5"/>
  <c r="H51" i="4"/>
  <c r="H53" i="4" s="1"/>
  <c r="H55" i="4" s="1"/>
  <c r="H31" i="4"/>
  <c r="I28" i="4"/>
  <c r="I25" i="4"/>
  <c r="H25" i="4"/>
  <c r="H27" i="4" s="1"/>
  <c r="H17" i="4"/>
  <c r="I18" i="3"/>
  <c r="J14" i="3"/>
  <c r="G27" i="3" s="1"/>
  <c r="I27" i="3" s="1"/>
  <c r="J12" i="3"/>
  <c r="D55" i="7"/>
  <c r="D54" i="7"/>
  <c r="D53" i="7"/>
  <c r="D52" i="7"/>
  <c r="G43" i="7"/>
  <c r="H43" i="7" s="1"/>
  <c r="C46" i="7"/>
  <c r="G42" i="7"/>
  <c r="H42" i="7" s="1"/>
  <c r="G40" i="7"/>
  <c r="H40" i="7" s="1"/>
  <c r="H39" i="7"/>
  <c r="D46" i="7"/>
  <c r="F37" i="7"/>
  <c r="F36" i="7"/>
  <c r="H30" i="4" l="1"/>
  <c r="I22" i="3"/>
  <c r="M45" i="3"/>
  <c r="W17" i="5"/>
  <c r="V17" i="5"/>
  <c r="W35" i="5"/>
  <c r="W43" i="5"/>
  <c r="W47" i="5"/>
  <c r="W51" i="5"/>
  <c r="W55" i="5"/>
  <c r="W59" i="5"/>
  <c r="V38" i="5"/>
  <c r="V42" i="5"/>
  <c r="V54" i="5"/>
  <c r="W32" i="5"/>
  <c r="W36" i="5"/>
  <c r="W40" i="5"/>
  <c r="W44" i="5"/>
  <c r="W48" i="5"/>
  <c r="W52" i="5"/>
  <c r="W56" i="5"/>
  <c r="W60" i="5"/>
  <c r="V35" i="5"/>
  <c r="V39" i="5"/>
  <c r="V43" i="5"/>
  <c r="V47" i="5"/>
  <c r="V51" i="5"/>
  <c r="V55" i="5"/>
  <c r="V59" i="5"/>
  <c r="W33" i="5"/>
  <c r="W37" i="5"/>
  <c r="W41" i="5"/>
  <c r="W45" i="5"/>
  <c r="W49" i="5"/>
  <c r="W53" i="5"/>
  <c r="W57" i="5"/>
  <c r="V32" i="5"/>
  <c r="V36" i="5"/>
  <c r="V40" i="5"/>
  <c r="V44" i="5"/>
  <c r="V48" i="5"/>
  <c r="V52" i="5"/>
  <c r="V56" i="5"/>
  <c r="V60" i="5"/>
  <c r="W39" i="5"/>
  <c r="V34" i="5"/>
  <c r="V46" i="5"/>
  <c r="V50" i="5"/>
  <c r="V58" i="5"/>
  <c r="W34" i="5"/>
  <c r="W38" i="5"/>
  <c r="W42" i="5"/>
  <c r="W46" i="5"/>
  <c r="W50" i="5"/>
  <c r="W54" i="5"/>
  <c r="W58" i="5"/>
  <c r="V33" i="5"/>
  <c r="V37" i="5"/>
  <c r="V41" i="5"/>
  <c r="V45" i="5"/>
  <c r="V49" i="5"/>
  <c r="V53" i="5"/>
  <c r="V57" i="5"/>
  <c r="W21" i="5"/>
  <c r="W25" i="5"/>
  <c r="W29" i="5"/>
  <c r="W15" i="5"/>
  <c r="V21" i="5"/>
  <c r="V25" i="5"/>
  <c r="Y25" i="5" s="1"/>
  <c r="V29" i="5"/>
  <c r="Y29" i="5" s="1"/>
  <c r="V15" i="5"/>
  <c r="Y15" i="5" s="1"/>
  <c r="W18" i="5"/>
  <c r="W22" i="5"/>
  <c r="W26" i="5"/>
  <c r="W30" i="5"/>
  <c r="V18" i="5"/>
  <c r="V22" i="5"/>
  <c r="Y22" i="5" s="1"/>
  <c r="V26" i="5"/>
  <c r="Y26" i="5" s="1"/>
  <c r="V30" i="5"/>
  <c r="Y30" i="5" s="1"/>
  <c r="W19" i="5"/>
  <c r="W23" i="5"/>
  <c r="W27" i="5"/>
  <c r="W31" i="5"/>
  <c r="V19" i="5"/>
  <c r="V23" i="5"/>
  <c r="Y23" i="5" s="1"/>
  <c r="V27" i="5"/>
  <c r="Y27" i="5" s="1"/>
  <c r="V31" i="5"/>
  <c r="W16" i="5"/>
  <c r="W20" i="5"/>
  <c r="W24" i="5"/>
  <c r="W28" i="5"/>
  <c r="V16" i="5"/>
  <c r="V20" i="5"/>
  <c r="V24" i="5"/>
  <c r="V28" i="5"/>
  <c r="F18" i="5"/>
  <c r="F20" i="5" s="1"/>
  <c r="F41" i="5" s="1"/>
  <c r="F43" i="5" s="1"/>
  <c r="M11" i="3"/>
  <c r="E46" i="7"/>
  <c r="K33" i="4"/>
  <c r="K31" i="4"/>
  <c r="J31" i="4"/>
  <c r="H34" i="4"/>
  <c r="J34" i="4" s="1"/>
  <c r="I27" i="4"/>
  <c r="H33" i="4" s="1"/>
  <c r="M35" i="3"/>
  <c r="I23" i="3"/>
  <c r="L11" i="3"/>
  <c r="J11" i="3"/>
  <c r="Y17" i="5" l="1"/>
  <c r="Y20" i="5"/>
  <c r="Y16" i="5"/>
  <c r="Y28" i="5"/>
  <c r="Y31" i="5"/>
  <c r="Y21" i="5"/>
  <c r="Y52" i="5"/>
  <c r="Y53" i="5"/>
  <c r="Y44" i="5"/>
  <c r="Y47" i="5"/>
  <c r="Y18" i="5"/>
  <c r="Y24" i="5"/>
  <c r="Y19" i="5"/>
  <c r="Y57" i="5"/>
  <c r="Y48" i="5"/>
  <c r="Y50" i="5"/>
  <c r="I28" i="3"/>
  <c r="I30" i="3" s="1"/>
  <c r="I32" i="3" s="1"/>
  <c r="Y60" i="5"/>
  <c r="Y54" i="5"/>
  <c r="Y55" i="5"/>
  <c r="Y49" i="5"/>
  <c r="Y33" i="5"/>
  <c r="Y46" i="5"/>
  <c r="Y58" i="5"/>
  <c r="Y32" i="5"/>
  <c r="Y45" i="5"/>
  <c r="Y59" i="5"/>
  <c r="Y43" i="5"/>
  <c r="Y56" i="5"/>
  <c r="Y51" i="5"/>
  <c r="Y37" i="5"/>
  <c r="Y39" i="5"/>
  <c r="Y38" i="5"/>
  <c r="Y40" i="5"/>
  <c r="Y35" i="5"/>
  <c r="Y42" i="5"/>
  <c r="Y41" i="5"/>
  <c r="Y34" i="5"/>
  <c r="Y36" i="5"/>
  <c r="H35" i="4"/>
  <c r="J33" i="4"/>
  <c r="I58" i="3" l="1"/>
  <c r="J59" i="3"/>
  <c r="J37" i="3"/>
  <c r="I57" i="3"/>
  <c r="J58" i="3"/>
  <c r="I37" i="3"/>
  <c r="J38" i="3"/>
  <c r="I39" i="3"/>
  <c r="J57" i="3"/>
  <c r="I59" i="3"/>
  <c r="I38" i="3"/>
  <c r="J39" i="3"/>
  <c r="J36" i="3"/>
  <c r="I36" i="3"/>
  <c r="L45" i="3"/>
  <c r="L35" i="3"/>
  <c r="Y62" i="5"/>
  <c r="Y63" i="5" s="1"/>
  <c r="F45" i="5" s="1"/>
  <c r="J35" i="4"/>
  <c r="J36" i="4"/>
  <c r="J38" i="4" s="1"/>
  <c r="J39" i="4" s="1"/>
  <c r="F47" i="5" l="1"/>
  <c r="M38" i="3" l="1"/>
  <c r="M37" i="3"/>
  <c r="L39" i="3"/>
  <c r="J60" i="3" l="1"/>
  <c r="J62" i="3" s="1"/>
  <c r="F74" i="3" s="1"/>
  <c r="L37" i="3"/>
  <c r="I60" i="3"/>
  <c r="I62" i="3" s="1"/>
  <c r="I40" i="3" s="1"/>
  <c r="L38" i="3"/>
  <c r="M39" i="3"/>
  <c r="J41" i="3" l="1"/>
  <c r="M41" i="3" s="1"/>
  <c r="J69" i="3"/>
  <c r="J43" i="3"/>
  <c r="M43" i="3" s="1"/>
  <c r="F71" i="3"/>
  <c r="J71" i="3" s="1"/>
  <c r="F73" i="3"/>
  <c r="I73" i="3" s="1"/>
  <c r="J42" i="3"/>
  <c r="L42" i="3" s="1"/>
  <c r="F72" i="3"/>
  <c r="J44" i="3"/>
  <c r="M44" i="3" s="1"/>
  <c r="I42" i="3"/>
  <c r="I44" i="3"/>
  <c r="I43" i="3"/>
  <c r="I41" i="3"/>
  <c r="I69" i="3"/>
  <c r="I74" i="3"/>
  <c r="J74" i="3"/>
  <c r="L43" i="3" l="1"/>
  <c r="I71" i="3"/>
  <c r="M42" i="3"/>
  <c r="L44" i="3"/>
  <c r="J73" i="3"/>
  <c r="L41" i="3"/>
  <c r="F75" i="3"/>
  <c r="J72" i="3"/>
  <c r="I72" i="3"/>
  <c r="I47" i="3"/>
  <c r="I75" i="3" l="1"/>
  <c r="I64" i="3" s="1"/>
  <c r="I66" i="3" s="1"/>
  <c r="J75" i="3"/>
  <c r="J64" i="3" s="1"/>
  <c r="J66" i="3" s="1"/>
  <c r="J40" i="3"/>
  <c r="I49" i="3"/>
  <c r="L40" i="3" l="1"/>
  <c r="M40" i="3"/>
  <c r="J47" i="3"/>
  <c r="M47" i="3" l="1"/>
  <c r="L47" i="3"/>
  <c r="J15" i="3"/>
  <c r="T19" i="6"/>
  <c r="S35" i="6" l="1"/>
  <c r="F31" i="6"/>
  <c r="S25" i="6"/>
  <c r="S18" i="6"/>
  <c r="S29" i="6"/>
  <c r="T33" i="6"/>
  <c r="T20" i="6"/>
  <c r="T21" i="6"/>
  <c r="T17" i="6"/>
  <c r="T18" i="6"/>
  <c r="T24" i="6"/>
  <c r="T30" i="6"/>
  <c r="S34" i="6"/>
  <c r="F28" i="6"/>
  <c r="F30" i="6" s="1"/>
  <c r="S31" i="6"/>
  <c r="S30" i="6"/>
  <c r="U30" i="6" s="1"/>
  <c r="S22" i="6"/>
  <c r="S28" i="6"/>
  <c r="S19" i="6"/>
  <c r="U19" i="6" s="1"/>
  <c r="S36" i="6"/>
  <c r="S26" i="6"/>
  <c r="T34" i="6"/>
  <c r="T25" i="6"/>
  <c r="T29" i="6"/>
  <c r="T28" i="6"/>
  <c r="T31" i="6"/>
  <c r="S20" i="6"/>
  <c r="U20" i="6" s="1"/>
  <c r="S33" i="6"/>
  <c r="S23" i="6"/>
  <c r="S32" i="6"/>
  <c r="S24" i="6"/>
  <c r="U24" i="6" s="1"/>
  <c r="S21" i="6"/>
  <c r="U21" i="6" s="1"/>
  <c r="S27" i="6"/>
  <c r="T32" i="6"/>
  <c r="T23" i="6"/>
  <c r="T36" i="6"/>
  <c r="S17" i="6"/>
  <c r="U17" i="6" s="1"/>
  <c r="T27" i="6"/>
  <c r="T22" i="6"/>
  <c r="T35" i="6"/>
  <c r="T26" i="6"/>
  <c r="U28" i="6" l="1"/>
  <c r="U33" i="6"/>
  <c r="U36" i="6"/>
  <c r="U18" i="6"/>
  <c r="U31" i="6"/>
  <c r="U25" i="6"/>
  <c r="U32" i="6"/>
  <c r="U27" i="6"/>
  <c r="U23" i="6"/>
  <c r="U26" i="6"/>
  <c r="U22" i="6"/>
  <c r="U34" i="6"/>
  <c r="U29" i="6"/>
  <c r="U35" i="6"/>
  <c r="U38" i="6" l="1"/>
  <c r="F34" i="6" s="1"/>
  <c r="U39" i="6" l="1"/>
  <c r="F32" i="6" s="1"/>
</calcChain>
</file>

<file path=xl/comments1.xml><?xml version="1.0" encoding="utf-8"?>
<comments xmlns="http://schemas.openxmlformats.org/spreadsheetml/2006/main">
  <authors>
    <author>Bé Keizer</author>
    <author>B. Keizer</author>
    <author>Keizer</author>
    <author>Arno Osinga</author>
  </authors>
  <commentList>
    <comment ref="G14" authorId="0" shapeId="0">
      <text>
        <r>
          <rPr>
            <b/>
            <sz val="10"/>
            <color indexed="81"/>
            <rFont val="Arial"/>
            <family val="2"/>
          </rPr>
          <t>Voor alleen de ID1 schaal gelden twee aanloopregels, die in de tabellen als 1 en 2 zijn opgenomen. Daardoor moet regel 1 van een ID1 schaal dus als regel 3 worden opgenomen en 2 als 4 etc.</t>
        </r>
      </text>
    </comment>
    <comment ref="F25" authorId="1" shapeId="0">
      <text>
        <r>
          <rPr>
            <sz val="9"/>
            <color indexed="81"/>
            <rFont val="Tahoma"/>
            <family val="2"/>
          </rPr>
          <t xml:space="preserve">
Deze toekenning loopt iets vooruit op de aanpassing van de cao. Aanpassing van de salaristabel  zal plaatsvinden zodra de nieuwe cao VO bekend is.</t>
        </r>
      </text>
    </comment>
    <comment ref="F26" authorId="1" shapeId="0">
      <text>
        <r>
          <rPr>
            <sz val="9"/>
            <color indexed="81"/>
            <rFont val="Tahoma"/>
            <family val="2"/>
          </rPr>
          <t xml:space="preserve">
Deze toekenning loopt iets vooruit op de aanpassing van de cao. Aanpassing van de salaristabel  zal plaatsvinden zodra de nieuwe cao VO bekend is.</t>
        </r>
      </text>
    </comment>
    <comment ref="F27" authorId="2" shapeId="0">
      <text>
        <r>
          <rPr>
            <sz val="10"/>
            <color indexed="81"/>
            <rFont val="Arial"/>
            <family val="2"/>
          </rPr>
          <t>Deze eindejaarsuitkering wordt toegekend aan de schalen 1 t/m 8. Zie tabellen.</t>
        </r>
      </text>
    </comment>
    <comment ref="E32" authorId="2" shapeId="0">
      <text>
        <r>
          <rPr>
            <b/>
            <sz val="9"/>
            <color indexed="81"/>
            <rFont val="Tahoma"/>
            <family val="2"/>
          </rPr>
          <t>Het jaarinkomen ABP wordt bepaald op basis van de maand januari van dat jaar.</t>
        </r>
      </text>
    </comment>
    <comment ref="E40" authorId="2" shapeId="0">
      <text>
        <r>
          <rPr>
            <sz val="9"/>
            <color indexed="81"/>
            <rFont val="Tahoma"/>
            <family val="2"/>
          </rPr>
          <t xml:space="preserve">
Voor de WAO/WIA geldt een basispremie (5,75%) plus de Whk-gedifferentieerd premie. Daarin is opgenomen de premie kinderopvang van 0,5%. De Whk-gedifferentieerd premie is gesteld op 0,91% voor kleine werkgevers. Daarnaast geldt voor de grote werkgever een individueel vastgestelde premie die door de Belastingdienst wordt vastgesteld. Voor middelgrote werkgevers wordt het een gewogen gemiddelde van de sectorale en de individuele premie. Die opslag dient u in het werkblad tabellen in te voeren (cel C61).
</t>
        </r>
      </text>
    </comment>
    <comment ref="E43" authorId="3" shapeId="0">
      <text>
        <r>
          <rPr>
            <b/>
            <sz val="10"/>
            <color indexed="81"/>
            <rFont val="Arial"/>
            <family val="2"/>
          </rPr>
          <t>In het VO is de werkgever eigen risicodrager.  In de tabellen kan een raming in percentage worden opgenomen.</t>
        </r>
      </text>
    </comment>
    <comment ref="E44" authorId="3" shapeId="0">
      <text>
        <r>
          <rPr>
            <b/>
            <sz val="10"/>
            <color indexed="81"/>
            <rFont val="Arial"/>
            <family val="2"/>
          </rPr>
          <t>In het VO is de werkgever voor een belangrijk deel eigen risicodrager.  In de tabellen kan een raming in percentage worden opgenomen.</t>
        </r>
      </text>
    </comment>
    <comment ref="E45" authorId="1" shapeId="0">
      <text>
        <r>
          <rPr>
            <sz val="9"/>
            <color indexed="81"/>
            <rFont val="Tahoma"/>
            <family val="2"/>
          </rPr>
          <t xml:space="preserve">
Betreft Overige kosten voor bijv. reis- en verblijfkosten, parkeerkosten e.d. Hier kunt u uw raming van deze kosten opgeven.</t>
        </r>
      </text>
    </comment>
  </commentList>
</comments>
</file>

<file path=xl/comments2.xml><?xml version="1.0" encoding="utf-8"?>
<comments xmlns="http://schemas.openxmlformats.org/spreadsheetml/2006/main">
  <authors>
    <author>Bé Keizer</author>
    <author>Gebruiker</author>
  </authors>
  <commentList>
    <comment ref="D13" authorId="0" shapeId="0">
      <text>
        <r>
          <rPr>
            <b/>
            <sz val="8"/>
            <color indexed="81"/>
            <rFont val="Arial"/>
            <family val="2"/>
          </rPr>
          <t>Voor alleen de ID1 schaal gelden twee aanloopregels, die in de tabellen als 1 en 2 zijn opgenomen. Daardoor moet regel 1 van een ID1 schaal dus als regel 3 worden opgenomen en 2 als 4 etc.</t>
        </r>
      </text>
    </comment>
    <comment ref="E28" authorId="1" shapeId="0">
      <text>
        <r>
          <rPr>
            <b/>
            <sz val="8"/>
            <color indexed="81"/>
            <rFont val="Arial"/>
            <family val="2"/>
          </rPr>
          <t>Delen van een maand als hele maand rekenen</t>
        </r>
      </text>
    </comment>
  </commentList>
</comments>
</file>

<file path=xl/comments3.xml><?xml version="1.0" encoding="utf-8"?>
<comments xmlns="http://schemas.openxmlformats.org/spreadsheetml/2006/main">
  <authors>
    <author>Keizer</author>
  </authors>
  <commentList>
    <comment ref="D9" authorId="0" shape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3" authorId="0" shapeId="0">
      <text>
        <r>
          <rPr>
            <b/>
            <sz val="8"/>
            <color indexed="81"/>
            <rFont val="Arial"/>
            <family val="2"/>
          </rPr>
          <t>Omvang personeelsbestand bestuur in aantal fte.</t>
        </r>
      </text>
    </comment>
    <comment ref="F44" authorId="0" shapeId="0">
      <text>
        <r>
          <rPr>
            <b/>
            <sz val="8"/>
            <color indexed="81"/>
            <rFont val="Arial"/>
            <family val="2"/>
          </rPr>
          <t>Vaststellen op basis van totaal aantal fte gedeeld door het totaal aantal personeelsleden bij het betreffende bestuur. 
De 75% is een globale landelijke raming.</t>
        </r>
      </text>
    </comment>
    <comment ref="F47" authorId="0" shapeId="0">
      <text>
        <r>
          <rPr>
            <b/>
            <sz val="8"/>
            <color indexed="81"/>
            <rFont val="Arial"/>
            <family val="2"/>
          </rPr>
          <t>Aantal herintreders in fte gedeeld door aantal fte.
Landelijke raming was ongeveer 8%, maar kan per bestuur sterk variëren. Daarom vaststellen op basis van eigen gegevens.</t>
        </r>
      </text>
    </comment>
    <comment ref="F49" authorId="0" shapeId="0">
      <text>
        <r>
          <rPr>
            <b/>
            <sz val="8"/>
            <color indexed="81"/>
            <rFont val="Arial"/>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Keizer</author>
    <author>Bé Keizer</author>
    <author>Arno Osinga</author>
    <author>B. Keizer</author>
  </authors>
  <commentList>
    <comment ref="B5" authorId="0" shapeId="0">
      <text>
        <r>
          <rPr>
            <b/>
            <sz val="8"/>
            <color indexed="81"/>
            <rFont val="Arial"/>
            <family val="2"/>
          </rPr>
          <t xml:space="preserve">
Conform adviestabel van VO-Raad van 1-9-2015.</t>
        </r>
      </text>
    </comment>
    <comment ref="B28" authorId="0" shapeId="0">
      <text>
        <r>
          <rPr>
            <sz val="9"/>
            <color indexed="81"/>
            <rFont val="Tahoma"/>
            <family val="2"/>
          </rPr>
          <t xml:space="preserve">
Min. loon per 1-1-2016. 
At-2 wordt (At-1 + 1-0)/2 =
(B28+B11)/2</t>
        </r>
      </text>
    </comment>
    <comment ref="A34" authorId="1" shapeId="0">
      <text>
        <r>
          <rPr>
            <b/>
            <sz val="8"/>
            <color indexed="81"/>
            <rFont val="Arial"/>
            <family val="2"/>
          </rPr>
          <t xml:space="preserve">
Conform normen per jan. 2016. </t>
        </r>
      </text>
    </comment>
    <comment ref="A36" authorId="1" shapeId="0">
      <text>
        <r>
          <rPr>
            <b/>
            <sz val="8"/>
            <color indexed="81"/>
            <rFont val="Arial"/>
            <family val="2"/>
          </rPr>
          <t>Is incl. Anw-compensatie van 0,21% - WG en 0,09% - WN</t>
        </r>
      </text>
    </comment>
    <comment ref="A40" authorId="0" shapeId="0">
      <text>
        <r>
          <rPr>
            <sz val="9"/>
            <color indexed="81"/>
            <rFont val="Tahoma"/>
            <family val="2"/>
          </rPr>
          <t xml:space="preserve">
De gedifferentieerde premie WGA gaat op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Whk-gedifferentieerd betreft die voor kleine werkgevers die sectorbreed gelden. Voor grote werkgevers wordt de premie individueel bepaald en voor middelgrote werkgevers wordt de premie bepaald op een gewogen gemiddelde van de sectorale en de individuele premie.</t>
        </r>
      </text>
    </comment>
    <comment ref="C40" authorId="0" shape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41" authorId="1" shapeId="0">
      <text>
        <r>
          <rPr>
            <sz val="8"/>
            <color indexed="81"/>
            <rFont val="Arial"/>
            <family val="2"/>
          </rPr>
          <t xml:space="preserve">
De pseudo-WW premie is per 1 januari 2009 afgeschaft. De compensatie ervoor is geregeld en komt overeen met een opslag van 1,97% op het norm maandloon.
Nu de compensatie verwerkt is (juni 2009) is het percentage op 0,0% gesteld.</t>
        </r>
        <r>
          <rPr>
            <sz val="9"/>
            <color indexed="81"/>
            <rFont val="Tahoma"/>
            <family val="2"/>
          </rPr>
          <t xml:space="preserve">
</t>
        </r>
      </text>
    </comment>
    <comment ref="A43" authorId="1" shapeId="0">
      <text>
        <r>
          <rPr>
            <sz val="9"/>
            <color indexed="81"/>
            <rFont val="Tahoma"/>
            <family val="2"/>
          </rPr>
          <t xml:space="preserve">
Betreft: Uitvoering Fonds Overheid. Is exclusief premie kinderopvang van 0,50% die nu bij de basispremie WAO is opgenomen (Regeling vaststelling premiepercentages werknemersverzekeringen).</t>
        </r>
      </text>
    </comment>
    <comment ref="A44" authorId="0" shapeId="0">
      <text>
        <r>
          <rPr>
            <sz val="8"/>
            <color indexed="81"/>
            <rFont val="Arial"/>
            <family val="2"/>
          </rPr>
          <t>Dit kan bijv. de premie van het Risicofonds zijn.</t>
        </r>
      </text>
    </comment>
    <comment ref="A45" authorId="2" shapeId="0">
      <text>
        <r>
          <rPr>
            <sz val="8"/>
            <color indexed="81"/>
            <rFont val="Arial"/>
            <family val="2"/>
          </rPr>
          <t xml:space="preserve">
In het VO is de werkgever voor een belangrijk deel eigen risicodrager.  Op basis van de gegevens van 2011 kan hier een percentage geraamd worden voor de kosten collectief en prive. Voor de kosten collectief geldt een vermindering van 1,3206% op de lumpsum van 2016.</t>
        </r>
      </text>
    </comment>
    <comment ref="C52" authorId="2" shapeId="0">
      <text>
        <r>
          <rPr>
            <b/>
            <sz val="8"/>
            <color indexed="81"/>
            <rFont val="Arial"/>
            <family val="2"/>
          </rPr>
          <t xml:space="preserve">
De bindingstoelage is voor de leraar verhoogd met de 1.000 euro uit het Convenant (schaal-uitlooptoeslag)</t>
        </r>
        <r>
          <rPr>
            <sz val="9"/>
            <color indexed="81"/>
            <rFont val="Tahoma"/>
            <family val="2"/>
          </rPr>
          <t xml:space="preserve">
</t>
        </r>
      </text>
    </comment>
    <comment ref="A58" authorId="3" shapeId="0">
      <text>
        <r>
          <rPr>
            <sz val="9"/>
            <color indexed="81"/>
            <rFont val="Tahoma"/>
            <family val="2"/>
          </rPr>
          <t xml:space="preserve">
Deze toekenning loopt vooruit op de aanpassing van de cao.</t>
        </r>
      </text>
    </comment>
    <comment ref="A62" authorId="0" shapeId="0">
      <text>
        <r>
          <rPr>
            <sz val="9"/>
            <color indexed="81"/>
            <rFont val="Tahoma"/>
            <family val="2"/>
          </rPr>
          <t xml:space="preserve">
Het is van groot belang zelf na te gaan welk percentage voor de WG-lasten in de eigen situatie van toepassing is. Voor een deugdelijke begroting is dit van wezenlijk belang!</t>
        </r>
      </text>
    </comment>
  </commentList>
</comments>
</file>

<file path=xl/sharedStrings.xml><?xml version="1.0" encoding="utf-8"?>
<sst xmlns="http://schemas.openxmlformats.org/spreadsheetml/2006/main" count="438" uniqueCount="316">
  <si>
    <t>kalenderjaar</t>
  </si>
  <si>
    <t>schooljaar</t>
  </si>
  <si>
    <t>salaristabellen</t>
  </si>
  <si>
    <t>schaal / regel</t>
  </si>
  <si>
    <t>regels</t>
  </si>
  <si>
    <t>LB</t>
  </si>
  <si>
    <t>LC</t>
  </si>
  <si>
    <t>LD</t>
  </si>
  <si>
    <t>LE</t>
  </si>
  <si>
    <t>ID1</t>
  </si>
  <si>
    <t>ID2</t>
  </si>
  <si>
    <t>ID3</t>
  </si>
  <si>
    <t>LIO</t>
  </si>
  <si>
    <t>Tabel premiepercentages</t>
  </si>
  <si>
    <t>werkgever</t>
  </si>
  <si>
    <t>werknemer</t>
  </si>
  <si>
    <t>franchise jr</t>
  </si>
  <si>
    <t>franchise mnd</t>
  </si>
  <si>
    <t>max. bedrag</t>
  </si>
  <si>
    <t>maand</t>
  </si>
  <si>
    <t>OP/NP</t>
  </si>
  <si>
    <t>AOP</t>
  </si>
  <si>
    <t>Overgangspremie VPL</t>
  </si>
  <si>
    <t>pseudo-WW</t>
  </si>
  <si>
    <t>ZVW</t>
  </si>
  <si>
    <t>UFO-premie</t>
  </si>
  <si>
    <t>Premie ziektevervanging</t>
  </si>
  <si>
    <t>Werkloosheidslasten</t>
  </si>
  <si>
    <t>totaal</t>
  </si>
  <si>
    <t>Uitlooptoeslag</t>
  </si>
  <si>
    <t>Bindingstoelage</t>
  </si>
  <si>
    <t>leraar</t>
  </si>
  <si>
    <t>directie</t>
  </si>
  <si>
    <t>OOP S9</t>
  </si>
  <si>
    <t>OOP &lt;S9</t>
  </si>
  <si>
    <t>Compensatie inkomensgevolgen</t>
  </si>
  <si>
    <t>Minimum vakantietoelage, fulltimer</t>
  </si>
  <si>
    <t>bij een normbetrekking, per maand</t>
  </si>
  <si>
    <t>Structurele eindejaarsuitkering</t>
  </si>
  <si>
    <t>Extra eindejaarsuitkering</t>
  </si>
  <si>
    <t>Tabel 1 Schijventarief inkomstenbelasting/premie volksverzekeringen</t>
  </si>
  <si>
    <t>Schijf</t>
  </si>
  <si>
    <t>Inkomsten</t>
  </si>
  <si>
    <t>Belasting</t>
  </si>
  <si>
    <t>WERKGEVERSLASTEN VO</t>
  </si>
  <si>
    <t>Basisgegevens</t>
  </si>
  <si>
    <t>Werknemer</t>
  </si>
  <si>
    <t>P. Werknemer</t>
  </si>
  <si>
    <t>Geboortedatum</t>
  </si>
  <si>
    <t>Salarisgegevens</t>
  </si>
  <si>
    <t>schaal</t>
  </si>
  <si>
    <t>regel</t>
  </si>
  <si>
    <t>max. regel:</t>
  </si>
  <si>
    <t>onjuist!</t>
  </si>
  <si>
    <t>norm maandsalaris</t>
  </si>
  <si>
    <t>Werktijdfactor</t>
  </si>
  <si>
    <t>wtf x maandsalaris</t>
  </si>
  <si>
    <t>Toekenning extra uitkeringen</t>
  </si>
  <si>
    <t>uitlooptoeslag</t>
  </si>
  <si>
    <t>ja</t>
  </si>
  <si>
    <t>vakantieuitkering</t>
  </si>
  <si>
    <t>eindejaarsuitkering</t>
  </si>
  <si>
    <t>compensatie inkomensgevolgen</t>
  </si>
  <si>
    <t>Jaarbasis</t>
  </si>
  <si>
    <t>Leraar</t>
  </si>
  <si>
    <t>Jaarinkomen ABP</t>
  </si>
  <si>
    <t>Berekening Werkgeverslasten</t>
  </si>
  <si>
    <t>per maand</t>
  </si>
  <si>
    <t>per jaar</t>
  </si>
  <si>
    <t>% jaarinkomen</t>
  </si>
  <si>
    <t>% normsalaris</t>
  </si>
  <si>
    <t>a</t>
  </si>
  <si>
    <t>Jaarinkomen</t>
  </si>
  <si>
    <t>b</t>
  </si>
  <si>
    <t>c</t>
  </si>
  <si>
    <t>AAOP</t>
  </si>
  <si>
    <t>d</t>
  </si>
  <si>
    <t>FPU</t>
  </si>
  <si>
    <t>VUT/FPU basis</t>
  </si>
  <si>
    <t>e</t>
  </si>
  <si>
    <t>WAO/WIA</t>
  </si>
  <si>
    <t>f</t>
  </si>
  <si>
    <t>ZVW vergoeding werkgever</t>
  </si>
  <si>
    <t>g</t>
  </si>
  <si>
    <t>UFO</t>
  </si>
  <si>
    <t>h</t>
  </si>
  <si>
    <t>premie ziektevervanging</t>
  </si>
  <si>
    <t>i</t>
  </si>
  <si>
    <t>werkloosheidslasten</t>
  </si>
  <si>
    <t>Totaal werkgeverslasten</t>
  </si>
  <si>
    <t>Opslagpercentage t.o.v. bruto salaris</t>
  </si>
  <si>
    <t>Bruto-netto traject 2012 Werknemer (indicatief)</t>
  </si>
  <si>
    <t>(VUT/FPU basis)</t>
  </si>
  <si>
    <t>Totaal pensioenpremie</t>
  </si>
  <si>
    <t>Loon voor de loonbelasting</t>
  </si>
  <si>
    <t>Loonheffing zonder loonheffingskortingen</t>
  </si>
  <si>
    <t>Nettosalaris</t>
  </si>
  <si>
    <t>Loonheffing</t>
  </si>
  <si>
    <t xml:space="preserve"> belastbaar loon</t>
  </si>
  <si>
    <t>schijf 1</t>
  </si>
  <si>
    <t>schijf 2</t>
  </si>
  <si>
    <t>schijf 3</t>
  </si>
  <si>
    <t>schijf 4</t>
  </si>
  <si>
    <t>www.vosabb.nl</t>
  </si>
  <si>
    <t>Toelichting</t>
  </si>
  <si>
    <t>De werkbladen zijn beveiligd met het wachtwoord:</t>
  </si>
  <si>
    <t>vosabb</t>
  </si>
  <si>
    <t>versie</t>
  </si>
  <si>
    <t>Alleen de witte velden kunnen daardoor worden gewijzigd, en bevatten de op te geven variabelen voor de berekeningen.</t>
  </si>
  <si>
    <t xml:space="preserve">De gegevens omtrent de grondslag van uitkeringen e.d. zijn ontleend aan de Internetpublicaties van de </t>
  </si>
  <si>
    <t>Belastingdienst, ABP, UWV en OCW.</t>
  </si>
  <si>
    <t>1.</t>
  </si>
  <si>
    <t>Werkbladen</t>
  </si>
  <si>
    <t>Werkblad Werkgeverslasten</t>
  </si>
  <si>
    <t xml:space="preserve">Dit programmaonderdeel heeft niet de pretentie een juiste salarisberekening te maken! Zo wordt de vakantieuitkering en de </t>
  </si>
  <si>
    <t xml:space="preserve">eindejaarsuitkering ook per maand berekend. Het beoogt een indicatie te geven van de omvang van de werkgeverslasten en enig inzicht </t>
  </si>
  <si>
    <t>te geven in de opbouw daarvan. Als zodanig is het een hulpmiddel voor het managent bij het ramen van de personele kosten.</t>
  </si>
  <si>
    <t xml:space="preserve">Het wordt met klem aangeraden om zelf een berekening van het percentage van de werkgeverslasten te maken op basis van de verhouding </t>
  </si>
  <si>
    <t xml:space="preserve">tussen alle loonlasten enerzijds en de bruto salarissen anderzijds van het laatste school- resp. kalenderjaar. </t>
  </si>
  <si>
    <t>Aangevuld met de laatste ramingen omtrent het effect van de ontwikkelingen van de diverse werkgeverslasten zoals premies e.d.</t>
  </si>
  <si>
    <t xml:space="preserve">Ook de berekening van het bruto-netto traject voor de werknemer beoogt slechts een indicatie op hoofdlijnen </t>
  </si>
  <si>
    <t xml:space="preserve">te geven. De 'echte' berekening plus de berekening loonbelasting is een complexe materie die hier vereenvoudigd </t>
  </si>
  <si>
    <t>wordt weergegeven, met gebruikmaking van alleen de meest voorkomende loonbelastingtabel en zonder alle mogelijke heffingskortingen.</t>
  </si>
  <si>
    <t xml:space="preserve">In dit werkblad worden de werkgeverslasten berekend van een werknemer in het VO. </t>
  </si>
  <si>
    <t>Invoering van de gegevens per werknemer geeft de berekening van de werkgeverslasten.</t>
  </si>
  <si>
    <t>Door dit te relateren aan het normloon van die werknemer wordt het opslagpercentage verkregen.</t>
  </si>
  <si>
    <t xml:space="preserve">Door te varieren per schaal en in een schaal wat betreft de inschaling naar regel van laag naar hoog verkrijgt men inzicht </t>
  </si>
  <si>
    <t>in het percentage wat voor die betreffende schaal van toepassing is. Dat is van belang voor het financieel management.</t>
  </si>
  <si>
    <t>Op die wijze is het immers mogelijk om redelijk nauwkeurig de totale werkgeverslasten te ramen van een werknemer.</t>
  </si>
  <si>
    <t>Voor het maken van meerjarenformatiebeleid in relatie tot een meerjarenbegroting is deze info van belang.</t>
  </si>
  <si>
    <t>Op grond van het normsalaris per maand wordt het jaarinkomen berekend.</t>
  </si>
  <si>
    <t xml:space="preserve">Het bruto-netto traject geeft de informatie over de omvang van het bijdrage-inkomen (voorheen coördinatieloon) waarover </t>
  </si>
  <si>
    <t>de sociale premies berekend moeten worden.</t>
  </si>
  <si>
    <t>Vervolgens worden de werkgeverslasten berekend.</t>
  </si>
  <si>
    <t xml:space="preserve">Ten opzichte van het jaarinkomen wordt dat in een percentage omgerekend, maar belangrijker: ook in een opslagpercentage </t>
  </si>
  <si>
    <t xml:space="preserve">ten opzichte van het bruto salaris. Op die wijze kan het als kengetal worden gehanteerd bij de vaststelling van de totale loonkosten </t>
  </si>
  <si>
    <t xml:space="preserve">voor een werkgever bij de aanstelling van een werknemer. </t>
  </si>
  <si>
    <t xml:space="preserve">NB.: De vervangingskosten bij ziekte e.d. zijn niet verrekend in de werkgeverslasten. De werkgever is immers eigen </t>
  </si>
  <si>
    <t>Uitlooptoeslag OP</t>
  </si>
  <si>
    <t>Overige toelagen</t>
  </si>
  <si>
    <t>Deze zijn nader aangegeven en voor zover nodig nader toegelicht.</t>
  </si>
  <si>
    <t>Overige loonkosten</t>
  </si>
  <si>
    <t>2.</t>
  </si>
  <si>
    <t>Werkblad Ouderschapsverlof</t>
  </si>
  <si>
    <t xml:space="preserve">In dit werkblad worden de kosten en baten berekend van het betaalde ouderschapsverlof. De opgave van de gegevens van de </t>
  </si>
  <si>
    <t>Voor de werkgeverslasten is al een percentage opgegeven. Dat kan men desgewenst zelf aanpassen. Zie NB. hierboven.</t>
  </si>
  <si>
    <t>Bestuur</t>
  </si>
  <si>
    <t xml:space="preserve">Ook biedt het werkblad de mogelijkheid de kosten van ouderschapsverlof te ramen voor het bestuur </t>
  </si>
  <si>
    <t xml:space="preserve">Op basis van de eigen gegevens van een bestuur zijn de kosten redelijk nauwkeurig te ramen. </t>
  </si>
  <si>
    <t xml:space="preserve">De opgegeven waarden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</si>
  <si>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</si>
  <si>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</si>
  <si>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</si>
  <si>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</si>
  <si>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</si>
  <si>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 xml:space="preserve">Indien het gaat om overgang naar eenzelfde of hogere functieschaal wordt rekening gehouden met het recht op toe(s)lagen </t>
  </si>
  <si>
    <t>De kosten van de functiemix kunnen hier ook per persoon geraamd worden voor meerdere jaren.</t>
  </si>
  <si>
    <t>De functiewijziging kan betrekking hebben op functies voor OP, OOP en Directie en kan ook betrekking hebben op de wijziging</t>
  </si>
  <si>
    <t>van de ene functiecategorie naar de andere.</t>
  </si>
  <si>
    <t xml:space="preserve">De berekening vindt plaats op basis van de bestaande functie met opgave van schaal plus regel en eventuele toe(s)lagen, en de </t>
  </si>
  <si>
    <t>opgave van de nieuwe functie, eveneens met schaal en regel. In de CAO-tabellen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</si>
  <si>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</si>
  <si>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</si>
  <si>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</si>
  <si>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</si>
  <si>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</si>
  <si>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</si>
  <si>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</si>
  <si>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</si>
  <si>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</si>
  <si>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</si>
  <si>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of als vorm van beloningsdifferentiatie.  </t>
  </si>
  <si>
    <t>De opgave van de aard van de toekenning heeft als zodanig geen effect op de berekening.</t>
  </si>
  <si>
    <t>De berekening van de kosten van een of meer extra periodieken kan plaats vinden voor de categorieen OP, OOP en Directie.</t>
  </si>
  <si>
    <t>Het onderdeel bestuur biedt de mogelijkheid de kosten van extra periodieken te ramen voor de herintreedsters.</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</si>
  <si>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</si>
  <si>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</si>
  <si>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</si>
  <si>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</si>
  <si>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</si>
  <si>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</si>
  <si>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</si>
  <si>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Werkblad Tabellen</t>
  </si>
  <si>
    <t>Voor nadere info dient men zich te wenden tot de VO-Raad of de eigen bestuurs- en/of managementorganisatie.</t>
  </si>
  <si>
    <t>Leden van VOS/ABB kunnen zich wenden tot:</t>
  </si>
  <si>
    <t>Bé Keizer</t>
  </si>
  <si>
    <t>tel.: 06-22939674 of, bij voorkeur, per e-mail: be.keizer@wxs.nl</t>
  </si>
  <si>
    <t xml:space="preserve">Helpdesk, </t>
  </si>
  <si>
    <t>tel.: 0348-405250 of, bij voorkeur, per e-mail: helpdesk@vosabb.nl</t>
  </si>
  <si>
    <t xml:space="preserve">KOSTEN EN BATEN BETAALD OUDERSCHAPSVERLOF </t>
  </si>
  <si>
    <t>Naam werknemer</t>
  </si>
  <si>
    <t>Werknemer met kind</t>
  </si>
  <si>
    <t>Omvang betaald ouderschapsverlof</t>
  </si>
  <si>
    <t>klokuren</t>
  </si>
  <si>
    <t>lesuren</t>
  </si>
  <si>
    <t>Opgave omvang betaald ouderschapsverlof in lesuren:</t>
  </si>
  <si>
    <t>Beschikbaar</t>
  </si>
  <si>
    <t>Opname</t>
  </si>
  <si>
    <t>Percentage</t>
  </si>
  <si>
    <t>Opname in aantal maanden</t>
  </si>
  <si>
    <t>Verlofwerktijdfactor</t>
  </si>
  <si>
    <t>Salariskorting</t>
  </si>
  <si>
    <t>Doorbetaling 55% salaris werkgever</t>
  </si>
  <si>
    <t>Regulier salaris</t>
  </si>
  <si>
    <t>Uitbetaald salaris</t>
  </si>
  <si>
    <t>Totaal betaald verlof in verlofperiode</t>
  </si>
  <si>
    <t>Netto kosten werkgever Inclusief (incl. werkgeverslasten)</t>
  </si>
  <si>
    <t>Kosten ouderschapsverlof BESTUUR</t>
  </si>
  <si>
    <t>Structureel</t>
  </si>
  <si>
    <t>Aantal personeelsleden</t>
  </si>
  <si>
    <t>zelf in te vullen</t>
  </si>
  <si>
    <t>Gemiddelde betrekkingsomvang</t>
  </si>
  <si>
    <t>van</t>
  </si>
  <si>
    <t>tot</t>
  </si>
  <si>
    <t>Personeelsleden</t>
  </si>
  <si>
    <t>landelijk gemiddelde</t>
  </si>
  <si>
    <t>Gemiddeld aantal kinderen</t>
  </si>
  <si>
    <t>opgave OCW 2001 (CBS: 1,6)</t>
  </si>
  <si>
    <t>Maximaal aantal ouderschapsverloven</t>
  </si>
  <si>
    <t>Effectuering ouderschapverlof</t>
  </si>
  <si>
    <t>raming</t>
  </si>
  <si>
    <t>Gemiddeld aantal per jaar</t>
  </si>
  <si>
    <t>Gemiddelde kosten per jaar per verlof</t>
  </si>
  <si>
    <t>Kosten totale verlof per jaar</t>
  </si>
  <si>
    <t>incl. afdracht loonbel. en premie</t>
  </si>
  <si>
    <t xml:space="preserve">KOSTEN WIJZIGING BESTAANDE FUNCTIE </t>
  </si>
  <si>
    <t>Functie</t>
  </si>
  <si>
    <t xml:space="preserve">Ter nadere info: </t>
  </si>
  <si>
    <t xml:space="preserve">Salarisgegevens per 1 augustus, na toekenning reguliere periodieke verhoging </t>
  </si>
  <si>
    <t>nieuwe schaal</t>
  </si>
  <si>
    <t>voormalige schaal</t>
  </si>
  <si>
    <t>toename</t>
  </si>
  <si>
    <t>maximumregel:</t>
  </si>
  <si>
    <t>toe(s)lagen op maandbasis</t>
  </si>
  <si>
    <t>Met pensioen/uittreden op leeftijd</t>
  </si>
  <si>
    <t>Inschaling in nieuwe functie</t>
  </si>
  <si>
    <r>
      <t xml:space="preserve">Werktijdfactor: </t>
    </r>
    <r>
      <rPr>
        <sz val="10"/>
        <rFont val="Arial"/>
        <family val="2"/>
      </rPr>
      <t>gewijzigd in nieuwe functie</t>
    </r>
  </si>
  <si>
    <t>nee</t>
  </si>
  <si>
    <t>Nieuwe omvang wtf</t>
  </si>
  <si>
    <t xml:space="preserve">Kosten wijziging bestaande functie in andere </t>
  </si>
  <si>
    <t>Verhoging eerste jaar per maand</t>
  </si>
  <si>
    <t>Opslagpercentage werkgeverslasten</t>
  </si>
  <si>
    <t>Werkgeverslasten eerste jaar</t>
  </si>
  <si>
    <t>Aantal jaren meer/minder kosten</t>
  </si>
  <si>
    <t>Gemiddelde kosten</t>
  </si>
  <si>
    <t>Kosten totaal (tot pensioen/uittreden)</t>
  </si>
  <si>
    <t>gemiddeld:</t>
  </si>
  <si>
    <t>EXTRA PERIODIEKEN</t>
  </si>
  <si>
    <t>Alle categorien Personeel</t>
  </si>
  <si>
    <t>nieuw</t>
  </si>
  <si>
    <t>oud</t>
  </si>
  <si>
    <t>Toekenning extra periodiek(en)</t>
  </si>
  <si>
    <t>herintreder</t>
  </si>
  <si>
    <t>eerste aanstelling</t>
  </si>
  <si>
    <t>beloningsbeleid</t>
  </si>
  <si>
    <t>aantal periodieken</t>
  </si>
  <si>
    <t>Kosten gedurende eerste jaar per maand</t>
  </si>
  <si>
    <t>Aantal jaren meerkosten</t>
  </si>
  <si>
    <t>Kosten totaal</t>
  </si>
  <si>
    <t>Kosten herintreders</t>
  </si>
  <si>
    <t>naam bestuur</t>
  </si>
  <si>
    <t>OPO Ergens</t>
  </si>
  <si>
    <t>Aantal fte</t>
  </si>
  <si>
    <t>Aantal herintreders met extra periodieken</t>
  </si>
  <si>
    <t>Gemiddelde kosten per jaar per herintreder</t>
  </si>
  <si>
    <t>Totale kosten per jaar</t>
  </si>
  <si>
    <t>percentages aanpassen voor de nadere vaststelling van het percentage WG-lasten in het werkblad 'tab'.</t>
  </si>
  <si>
    <t>Gemiddelde Werkgeverslasten</t>
  </si>
  <si>
    <t xml:space="preserve">risicodrager. Voor de toepassing in de andere werkbladen wordt uitgegaan van een kostenpercentage van zo'n 4 à 5 % voor </t>
  </si>
  <si>
    <t xml:space="preserve">de ziektevervanging. Voor de wachtgelduitkeringen wordt 1 à 2 % aangehouden. Op basis van eigen gegevens kan men die </t>
  </si>
  <si>
    <t>WAO/WIA-basispremie (AOF, incl. KO)</t>
  </si>
  <si>
    <t>NB: Uitsluitend gebruik gemaakt van onderstaande tabellen</t>
  </si>
  <si>
    <t>Heffingskortingen</t>
  </si>
  <si>
    <t>algemene heffingskorting</t>
  </si>
  <si>
    <t>Premies</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</si>
  <si>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</si>
  <si>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</si>
  <si>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</si>
  <si>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</si>
  <si>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</si>
  <si>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</si>
  <si>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</si>
  <si>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</si>
  <si>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raming werkgeverslasten</t>
  </si>
  <si>
    <t>Het jaarinkomen ABP wordt bepaald op basis van de situatie in januari van het betreffende jaar.</t>
  </si>
  <si>
    <t>Whk-gedifferentieerd</t>
  </si>
  <si>
    <t>De verschuiving van de WG- en WN-premies ABP brengen de werkgeverslasten al gauw één procentpunt omlaag.</t>
  </si>
  <si>
    <t>aangeduid wordt als het premiedeel Whk-gedifferentieerd (Whk-gedifferentieerd). Daarnaast zijn er premies voor de flexibele dienstbetrekkingen.</t>
  </si>
  <si>
    <t>Premie Whk-gedifferentieerd</t>
  </si>
  <si>
    <t>Het door de Belastingdienst opgegeven percentage Whk-gedifferentieerd dient u op te geven in het werkblad tabellen.</t>
  </si>
  <si>
    <t>Deze toeslag wordt toegekend op basis van CAO artikel 3.4.</t>
  </si>
  <si>
    <t>Deze toeslag wordt toegekend op basis van CAO artikel 25.2.</t>
  </si>
  <si>
    <t>cf. art. 13.3 van de CAO.</t>
  </si>
  <si>
    <t>Functiedifferentiatie of pro- of demotie</t>
  </si>
  <si>
    <t>Leeftijd per 1 januari</t>
  </si>
  <si>
    <t>2015/2016</t>
  </si>
  <si>
    <t>j</t>
  </si>
  <si>
    <t>eigen beleid</t>
  </si>
  <si>
    <t xml:space="preserve">parkeervergoeding e.d.. Ga daarom na welke kosten bij uw bestuur ook nog gemaakt worden. Een schatting van deze kosten kan opgevoerd worden </t>
  </si>
  <si>
    <t xml:space="preserve">bij "j. eigen beleid". </t>
  </si>
  <si>
    <t>Dag van de leraar (OP, OOP, Dir)</t>
  </si>
  <si>
    <t>Eenmalige uitkering oktober 2015</t>
  </si>
  <si>
    <r>
      <t xml:space="preserve">Ook moet rekening gehouden worden met </t>
    </r>
    <r>
      <rPr>
        <b/>
        <sz val="10"/>
        <rFont val="Arial"/>
        <family val="2"/>
      </rPr>
      <t>Overige kosten</t>
    </r>
    <r>
      <rPr>
        <sz val="10"/>
        <rFont val="Arial"/>
        <family val="2"/>
      </rPr>
      <t xml:space="preserve"> die hier niet zijn opgenomen omdat ze per individu sterk  kunnen verschillen, zoals reis- en verblijfkosten, </t>
    </r>
  </si>
  <si>
    <t xml:space="preserve">In individuele gevallen zal er nog sprake zijn van loonkosten die hier niet zijn opgenomen. Bijvoorbeeld een jubileumuitkering, reis- en verblijfkosten, </t>
  </si>
  <si>
    <r>
      <t xml:space="preserve">parkeerkosten of spaarloon. Dergelijke componenten zijn in dit model verwerkt door de opgave bij </t>
    </r>
    <r>
      <rPr>
        <b/>
        <sz val="10"/>
        <rFont val="Arial"/>
        <family val="2"/>
      </rPr>
      <t>Eigen beleid</t>
    </r>
    <r>
      <rPr>
        <sz val="10"/>
        <rFont val="Arial"/>
        <family val="2"/>
      </rPr>
      <t>.</t>
    </r>
  </si>
  <si>
    <t>betreffende werknemer laat de salariskosten zien die de werkgever moet betalen uit eigen middelen.</t>
  </si>
  <si>
    <t>De salaristabellen zijn conform het advies van de VO-Raad aangepast naar het niveau 1 september 2015.</t>
  </si>
  <si>
    <t>Belastingen 2016</t>
  </si>
  <si>
    <t>Tarieven, bedragen en percentages vanaf 1 januari 2016</t>
  </si>
  <si>
    <t>De laatste gegevens zijn ontleend aan de CAO VO 2014-2015. Minimumloon per 1 januari 2016 is aangepast.</t>
  </si>
  <si>
    <r>
      <t xml:space="preserve">De algemene premies zijn van toepassing vanaf </t>
    </r>
    <r>
      <rPr>
        <b/>
        <i/>
        <sz val="10"/>
        <rFont val="Arial"/>
        <family val="2"/>
      </rPr>
      <t>1 januari 2016</t>
    </r>
    <r>
      <rPr>
        <sz val="10"/>
        <rFont val="Arial"/>
        <family val="2"/>
      </rPr>
      <t xml:space="preserve">. </t>
    </r>
  </si>
  <si>
    <r>
      <t xml:space="preserve">De premies van het ABP zijn bijgesteld m.i.v. </t>
    </r>
    <r>
      <rPr>
        <b/>
        <i/>
        <sz val="10"/>
        <rFont val="Arial"/>
        <family val="2"/>
      </rPr>
      <t>1 jan. 2016</t>
    </r>
    <r>
      <rPr>
        <sz val="10"/>
        <rFont val="Arial"/>
        <family val="2"/>
      </rPr>
      <t>, maar de verwachting is een stijging per 1 april 2016</t>
    </r>
    <r>
      <rPr>
        <b/>
        <i/>
        <sz val="10"/>
        <rFont val="Arial"/>
        <family val="2"/>
      </rPr>
      <t>.</t>
    </r>
  </si>
  <si>
    <t xml:space="preserve">Vanaf 2014 is sprake van enkele wijzigingen in de premievaststelling. Het deel voor de kinderopvang dat bij de UFO was ondergebracht,  </t>
  </si>
  <si>
    <t xml:space="preserve">in de werkorganisatie.Vvanaf 1 januari 2014 moet ook een gedifferentieerde premie betaald worden voor flexwerkers. Omdat verwerking </t>
  </si>
  <si>
    <t>Dit werkblad bevat relevante tabellen, conform de gegevens zoals die per 1 januari 2016 gelden.</t>
  </si>
  <si>
    <t>vanaf 1 januari</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</si>
</sst>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 #,##0_ ;_ &quot;€&quot;\ * \-#,##0_ ;_ &quot;€&quot;\ * &quot;-&quot;_ ;_ @_ "/>
    <numFmt numFmtId="44" formatCode="_ &quot;€&quot;\ * #,##0.00_ ;_ &quot;€&quot;\ * \-#,##0.00_ ;_ &quot;€&quot;\ * &quot;-&quot;??_ ;_ @_ "/>
    <numFmt numFmtId="164" formatCode="d/mm/yy"/>
    <numFmt numFmtId="165" formatCode="0.000%"/>
    <numFmt numFmtId="166" formatCode="#,##0.00_ ;[Red]\-#,##0.00\ "/>
    <numFmt numFmtId="167" formatCode="_-&quot;€&quot;\ * #,##0.00_-;_-&quot;€&quot;\ * #,##0.00\-;_-&quot;€&quot;\ * &quot;-&quot;??_-;_-@_-"/>
    <numFmt numFmtId="168" formatCode="0.0000"/>
    <numFmt numFmtId="169" formatCode="_-[$€-2]\ * #,##0.00_-;_-[$€-2]\ * #,##0.00\-;_-[$€-2]\ * &quot;-&quot;??_-;_-@_-"/>
    <numFmt numFmtId="170" formatCode="_-[$€-413]\ * #,##0.00_-;_-[$€-413]\ * #,##0.00\-;_-[$€-413]\ * &quot;-&quot;??_-;_-@_-"/>
    <numFmt numFmtId="171" formatCode="_-&quot;€&quot;\ * #,##0_-;_-&quot;€&quot;\ * #,##0\-;_-&quot;€&quot;\ * &quot;-&quot;_-;_-@_-"/>
    <numFmt numFmtId="172" formatCode="[$-413]mmm/yy;@"/>
    <numFmt numFmtId="173" formatCode="#,##0_-"/>
    <numFmt numFmtId="174" formatCode="0.0%"/>
    <numFmt numFmtId="175" formatCode="#,##0.0000_ ;\-#,##0.0000\ "/>
    <numFmt numFmtId="176" formatCode="_(&quot;€&quot;\ * #,##0_);_(&quot;€&quot;\ * \(#,##0\);_(&quot;€&quot;\ * &quot;-&quot;_);_(@_)"/>
    <numFmt numFmtId="177" formatCode="[$-413]d\ mmmm\ yyyy;@"/>
  </numFmts>
  <fonts count="43" x14ac:knownFonts="1">
    <font>
      <sz val="10"/>
      <color theme="1"/>
      <name val="Arial"/>
      <family val="2"/>
    </font>
    <font>
      <sz val="10"/>
      <color theme="1"/>
      <name val="Arial"/>
      <family val="2"/>
    </font>
    <font>
      <sz val="10"/>
      <name val="Arial"/>
      <family val="2"/>
    </font>
    <font>
      <b/>
      <sz val="10"/>
      <name val="Arial"/>
      <family val="2"/>
    </font>
    <font>
      <b/>
      <sz val="10"/>
      <color indexed="10"/>
      <name val="Arial"/>
      <family val="2"/>
    </font>
    <font>
      <b/>
      <sz val="8"/>
      <color indexed="81"/>
      <name val="Arial"/>
      <family val="2"/>
    </font>
    <font>
      <sz val="9"/>
      <color indexed="81"/>
      <name val="Tahoma"/>
      <family val="2"/>
    </font>
    <font>
      <b/>
      <sz val="14"/>
      <name val="Arial"/>
      <family val="2"/>
    </font>
    <font>
      <b/>
      <sz val="12"/>
      <name val="Arial"/>
      <family val="2"/>
    </font>
    <font>
      <i/>
      <sz val="10"/>
      <color indexed="9"/>
      <name val="Arial"/>
      <family val="2"/>
    </font>
    <font>
      <sz val="10"/>
      <color indexed="9"/>
      <name val="Arial"/>
      <family val="2"/>
    </font>
    <font>
      <sz val="10"/>
      <color indexed="47"/>
      <name val="Arial"/>
      <family val="2"/>
    </font>
    <font>
      <b/>
      <sz val="10"/>
      <color indexed="8"/>
      <name val="Arial"/>
      <family val="2"/>
    </font>
    <font>
      <i/>
      <sz val="10"/>
      <color indexed="10"/>
      <name val="Arial"/>
      <family val="2"/>
    </font>
    <font>
      <b/>
      <sz val="10"/>
      <color indexed="47"/>
      <name val="Arial"/>
      <family val="2"/>
    </font>
    <font>
      <sz val="10"/>
      <color indexed="55"/>
      <name val="Arial"/>
      <family val="2"/>
    </font>
    <font>
      <b/>
      <sz val="10"/>
      <color indexed="22"/>
      <name val="Arial"/>
      <family val="2"/>
    </font>
    <font>
      <i/>
      <sz val="10"/>
      <name val="Arial"/>
      <family val="2"/>
    </font>
    <font>
      <sz val="10"/>
      <color indexed="10"/>
      <name val="Arial"/>
      <family val="2"/>
    </font>
    <font>
      <b/>
      <i/>
      <sz val="10"/>
      <name val="Arial"/>
      <family val="2"/>
    </font>
    <font>
      <b/>
      <sz val="10"/>
      <color indexed="9"/>
      <name val="Arial"/>
      <family val="2"/>
    </font>
    <font>
      <i/>
      <sz val="10"/>
      <color indexed="23"/>
      <name val="Arial"/>
      <family val="2"/>
    </font>
    <font>
      <i/>
      <sz val="10"/>
      <color indexed="47"/>
      <name val="Arial"/>
      <family val="2"/>
    </font>
    <font>
      <b/>
      <i/>
      <sz val="10"/>
      <color indexed="8"/>
      <name val="Arial"/>
      <family val="2"/>
    </font>
    <font>
      <b/>
      <i/>
      <sz val="10"/>
      <color indexed="47"/>
      <name val="Arial"/>
      <family val="2"/>
    </font>
    <font>
      <b/>
      <sz val="10"/>
      <color indexed="81"/>
      <name val="Arial"/>
      <family val="2"/>
    </font>
    <font>
      <b/>
      <sz val="9"/>
      <color indexed="81"/>
      <name val="Tahoma"/>
      <family val="2"/>
    </font>
    <font>
      <b/>
      <sz val="12"/>
      <color indexed="9"/>
      <name val="Arial"/>
      <family val="2"/>
    </font>
    <font>
      <sz val="11"/>
      <name val="Calibri"/>
      <family val="2"/>
    </font>
    <font>
      <b/>
      <i/>
      <sz val="10"/>
      <color indexed="63"/>
      <name val="Arial"/>
      <family val="2"/>
    </font>
    <font>
      <sz val="10"/>
      <color indexed="63"/>
      <name val="Arial"/>
      <family val="2"/>
    </font>
    <font>
      <i/>
      <sz val="10"/>
      <color indexed="63"/>
      <name val="Arial"/>
      <family val="2"/>
    </font>
    <font>
      <sz val="10"/>
      <color indexed="63"/>
      <name val="Calibri"/>
      <family val="2"/>
    </font>
    <font>
      <b/>
      <sz val="10"/>
      <color indexed="63"/>
      <name val="Arial"/>
      <family val="2"/>
    </font>
    <font>
      <sz val="10"/>
      <name val="Calibri"/>
      <family val="2"/>
    </font>
    <font>
      <b/>
      <i/>
      <sz val="10"/>
      <color rgb="FFFF0000"/>
      <name val="Arial"/>
      <family val="2"/>
    </font>
    <font>
      <sz val="8"/>
      <color indexed="81"/>
      <name val="Arial"/>
      <family val="2"/>
    </font>
    <font>
      <i/>
      <sz val="10"/>
      <color rgb="FF7F7F7F"/>
      <name val="Calibri"/>
      <family val="2"/>
    </font>
    <font>
      <b/>
      <sz val="10"/>
      <name val="Calibri"/>
      <family val="2"/>
    </font>
    <font>
      <sz val="10"/>
      <color indexed="81"/>
      <name val="Arial"/>
      <family val="2"/>
    </font>
    <font>
      <sz val="10"/>
      <color theme="0"/>
      <name val="Arial"/>
      <family val="2"/>
    </font>
    <font>
      <sz val="10"/>
      <color rgb="FFCCECFF"/>
      <name val="Arial"/>
      <family val="2"/>
    </font>
    <font>
      <b/>
      <i/>
      <sz val="10"/>
      <color theme="5"/>
      <name val="Arial"/>
      <family val="2"/>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23"/>
        <bgColor indexed="64"/>
      </patternFill>
    </fill>
    <fill>
      <patternFill patternType="solid">
        <fgColor indexed="55"/>
        <bgColor indexed="64"/>
      </patternFill>
    </fill>
    <fill>
      <patternFill patternType="solid">
        <fgColor rgb="FFFFFF99"/>
        <bgColor indexed="64"/>
      </patternFill>
    </fill>
    <fill>
      <patternFill patternType="solid">
        <fgColor theme="0" tint="-0.249977111117893"/>
        <bgColor indexed="64"/>
      </patternFill>
    </fill>
    <fill>
      <patternFill patternType="solid">
        <fgColor rgb="FFCCECFF"/>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47"/>
      </top>
      <bottom style="thin">
        <color indexed="47"/>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7"/>
      </left>
      <right/>
      <top style="thin">
        <color indexed="47"/>
      </top>
      <bottom style="thin">
        <color indexed="47"/>
      </bottom>
      <diagonal/>
    </border>
    <border>
      <left/>
      <right style="thin">
        <color indexed="47"/>
      </right>
      <top style="thin">
        <color indexed="47"/>
      </top>
      <bottom style="thin">
        <color indexed="47"/>
      </bottom>
      <diagonal/>
    </border>
    <border>
      <left style="thin">
        <color rgb="FFCCECFF"/>
      </left>
      <right style="thin">
        <color rgb="FFCCECFF"/>
      </right>
      <top style="thin">
        <color rgb="FFCCECFF"/>
      </top>
      <bottom style="thin">
        <color rgb="FFCCECFF"/>
      </bottom>
      <diagonal/>
    </border>
    <border>
      <left/>
      <right/>
      <top style="thin">
        <color indexed="47"/>
      </top>
      <bottom/>
      <diagonal/>
    </border>
    <border>
      <left style="thin">
        <color indexed="47"/>
      </left>
      <right/>
      <top style="thin">
        <color indexed="47"/>
      </top>
      <bottom/>
      <diagonal/>
    </border>
    <border>
      <left/>
      <right style="thin">
        <color indexed="47"/>
      </right>
      <top/>
      <bottom/>
      <diagonal/>
    </border>
    <border>
      <left style="thin">
        <color indexed="47"/>
      </left>
      <right/>
      <top/>
      <bottom/>
      <diagonal/>
    </border>
    <border>
      <left/>
      <right/>
      <top/>
      <bottom style="thin">
        <color indexed="47"/>
      </bottom>
      <diagonal/>
    </border>
    <border>
      <left style="thin">
        <color indexed="47"/>
      </left>
      <right/>
      <top/>
      <bottom style="thin">
        <color indexed="47"/>
      </bottom>
      <diagonal/>
    </border>
    <border>
      <left style="thin">
        <color indexed="47"/>
      </left>
      <right style="thin">
        <color indexed="47"/>
      </right>
      <top/>
      <bottom/>
      <diagonal/>
    </border>
    <border>
      <left/>
      <right style="thin">
        <color indexed="47"/>
      </right>
      <top/>
      <bottom style="thin">
        <color indexed="47"/>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1">
    <xf numFmtId="0" fontId="0" fillId="0" borderId="0" xfId="0"/>
    <xf numFmtId="0" fontId="2" fillId="0" borderId="0" xfId="0" applyFont="1" applyBorder="1" applyAlignment="1" applyProtection="1">
      <alignment horizontal="left"/>
    </xf>
    <xf numFmtId="0" fontId="2"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3" fillId="0" borderId="0" xfId="0" applyFont="1" applyBorder="1" applyAlignment="1" applyProtection="1">
      <alignment horizontal="left"/>
    </xf>
    <xf numFmtId="164" fontId="2" fillId="2"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xf>
    <xf numFmtId="0" fontId="2" fillId="0" borderId="0" xfId="0" applyNumberFormat="1" applyFont="1" applyBorder="1" applyAlignment="1" applyProtection="1">
      <alignment horizontal="left"/>
    </xf>
    <xf numFmtId="1" fontId="2" fillId="0" borderId="0" xfId="0" applyNumberFormat="1" applyFont="1" applyBorder="1" applyAlignment="1" applyProtection="1">
      <alignment horizontal="left"/>
    </xf>
    <xf numFmtId="49" fontId="2" fillId="0" borderId="0" xfId="0" applyNumberFormat="1" applyFont="1" applyBorder="1" applyAlignment="1" applyProtection="1">
      <alignment horizontal="left"/>
    </xf>
    <xf numFmtId="1" fontId="0" fillId="0" borderId="0" xfId="0" applyNumberFormat="1" applyFill="1" applyAlignment="1" applyProtection="1">
      <alignment horizontal="left"/>
    </xf>
    <xf numFmtId="165" fontId="2" fillId="2" borderId="0" xfId="0" applyNumberFormat="1" applyFont="1" applyFill="1" applyBorder="1" applyAlignment="1" applyProtection="1">
      <alignment horizontal="left"/>
      <protection locked="0"/>
    </xf>
    <xf numFmtId="3" fontId="2" fillId="2" borderId="0" xfId="0" applyNumberFormat="1" applyFont="1" applyFill="1" applyBorder="1" applyAlignment="1" applyProtection="1">
      <alignment horizontal="left"/>
      <protection locked="0"/>
    </xf>
    <xf numFmtId="4" fontId="2" fillId="2" borderId="0" xfId="0" applyNumberFormat="1" applyFont="1" applyFill="1" applyBorder="1" applyAlignment="1" applyProtection="1">
      <alignment horizontal="left"/>
      <protection locked="0"/>
    </xf>
    <xf numFmtId="10" fontId="2" fillId="2" borderId="0" xfId="0" applyNumberFormat="1" applyFont="1" applyFill="1" applyBorder="1" applyAlignment="1" applyProtection="1">
      <alignment horizontal="left"/>
      <protection locked="0"/>
    </xf>
    <xf numFmtId="3" fontId="2" fillId="0" borderId="0" xfId="0" applyNumberFormat="1" applyFont="1" applyFill="1" applyBorder="1" applyAlignment="1" applyProtection="1">
      <alignment horizontal="left"/>
    </xf>
    <xf numFmtId="9" fontId="2" fillId="0" borderId="0" xfId="0" applyNumberFormat="1" applyFont="1" applyBorder="1" applyAlignment="1" applyProtection="1">
      <alignment horizontal="left"/>
    </xf>
    <xf numFmtId="10" fontId="2" fillId="0" borderId="0" xfId="0" applyNumberFormat="1" applyFont="1" applyBorder="1" applyAlignment="1" applyProtection="1">
      <alignment horizontal="left"/>
    </xf>
    <xf numFmtId="2" fontId="2" fillId="2"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xf>
    <xf numFmtId="166" fontId="2" fillId="2" borderId="0" xfId="0" applyNumberFormat="1" applyFont="1" applyFill="1" applyBorder="1" applyAlignment="1" applyProtection="1">
      <alignment horizontal="left"/>
      <protection locked="0"/>
    </xf>
    <xf numFmtId="2" fontId="2" fillId="0" borderId="0" xfId="0" applyNumberFormat="1" applyFont="1" applyBorder="1" applyAlignment="1" applyProtection="1">
      <alignment horizontal="left"/>
    </xf>
    <xf numFmtId="0" fontId="4" fillId="0" borderId="0" xfId="0" applyFont="1" applyBorder="1" applyAlignment="1" applyProtection="1">
      <alignment horizontal="left"/>
    </xf>
    <xf numFmtId="4" fontId="2" fillId="0" borderId="0" xfId="0" applyNumberFormat="1" applyFont="1" applyBorder="1" applyAlignment="1" applyProtection="1">
      <alignment horizontal="left"/>
    </xf>
    <xf numFmtId="165" fontId="2" fillId="0" borderId="0" xfId="0" applyNumberFormat="1" applyFont="1" applyBorder="1" applyAlignment="1" applyProtection="1">
      <alignment horizontal="left"/>
    </xf>
    <xf numFmtId="0" fontId="2" fillId="3" borderId="0" xfId="0" applyFont="1" applyFill="1" applyBorder="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4" borderId="1" xfId="0" applyFont="1" applyFill="1" applyBorder="1" applyProtection="1"/>
    <xf numFmtId="0" fontId="2" fillId="4" borderId="2" xfId="0" applyFont="1" applyFill="1" applyBorder="1" applyProtection="1"/>
    <xf numFmtId="0" fontId="2" fillId="4" borderId="2" xfId="0" applyFont="1" applyFill="1" applyBorder="1" applyAlignment="1" applyProtection="1">
      <alignment horizontal="left"/>
    </xf>
    <xf numFmtId="0" fontId="2" fillId="4" borderId="2" xfId="0" applyFont="1" applyFill="1" applyBorder="1" applyAlignment="1" applyProtection="1">
      <alignment horizontal="center"/>
    </xf>
    <xf numFmtId="0" fontId="2" fillId="4" borderId="3" xfId="0" applyFont="1" applyFill="1" applyBorder="1" applyProtection="1"/>
    <xf numFmtId="0" fontId="2" fillId="4" borderId="4" xfId="0"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0" fontId="2" fillId="4" borderId="0" xfId="0" applyFont="1" applyFill="1" applyBorder="1" applyAlignment="1" applyProtection="1">
      <alignment horizontal="center"/>
    </xf>
    <xf numFmtId="0" fontId="2" fillId="4" borderId="5" xfId="0" applyFont="1" applyFill="1" applyBorder="1" applyProtection="1"/>
    <xf numFmtId="0" fontId="4" fillId="4" borderId="4" xfId="0" applyFont="1" applyFill="1" applyBorder="1" applyProtection="1"/>
    <xf numFmtId="0" fontId="7" fillId="4" borderId="0" xfId="0" applyFont="1" applyFill="1" applyBorder="1" applyProtection="1"/>
    <xf numFmtId="0" fontId="4" fillId="4" borderId="0" xfId="0" applyFont="1" applyFill="1" applyBorder="1" applyProtection="1"/>
    <xf numFmtId="0" fontId="8" fillId="4" borderId="0" xfId="0" applyFont="1" applyFill="1" applyBorder="1" applyAlignment="1" applyProtection="1">
      <alignment horizontal="center"/>
    </xf>
    <xf numFmtId="0" fontId="8" fillId="4" borderId="0" xfId="0" applyFont="1" applyFill="1" applyBorder="1" applyAlignment="1" applyProtection="1">
      <alignment horizontal="left"/>
    </xf>
    <xf numFmtId="0" fontId="4" fillId="4" borderId="0" xfId="0" applyFont="1" applyFill="1" applyBorder="1" applyAlignment="1" applyProtection="1">
      <alignment horizontal="center"/>
    </xf>
    <xf numFmtId="0" fontId="4" fillId="4" borderId="0" xfId="0" applyFont="1" applyFill="1" applyBorder="1" applyAlignment="1" applyProtection="1">
      <alignment horizontal="right"/>
    </xf>
    <xf numFmtId="0" fontId="4" fillId="4" borderId="5" xfId="0" applyFont="1" applyFill="1" applyBorder="1" applyProtection="1"/>
    <xf numFmtId="0" fontId="4" fillId="3" borderId="0" xfId="0" applyFont="1" applyFill="1" applyBorder="1" applyProtection="1"/>
    <xf numFmtId="0" fontId="9" fillId="4" borderId="0" xfId="0" applyFont="1" applyFill="1" applyBorder="1" applyProtection="1"/>
    <xf numFmtId="14" fontId="2" fillId="4" borderId="0" xfId="0" applyNumberFormat="1" applyFont="1" applyFill="1" applyBorder="1" applyProtection="1"/>
    <xf numFmtId="0" fontId="3" fillId="4" borderId="4" xfId="0" applyFont="1" applyFill="1" applyBorder="1" applyProtection="1"/>
    <xf numFmtId="0" fontId="16" fillId="3" borderId="0" xfId="0" applyFont="1" applyFill="1" applyBorder="1" applyProtection="1"/>
    <xf numFmtId="0" fontId="3" fillId="4" borderId="5" xfId="0" applyFont="1" applyFill="1" applyBorder="1" applyProtection="1"/>
    <xf numFmtId="0" fontId="3" fillId="3" borderId="0" xfId="0" applyFont="1" applyFill="1" applyBorder="1" applyProtection="1"/>
    <xf numFmtId="0" fontId="18" fillId="4" borderId="4" xfId="0" applyFont="1" applyFill="1" applyBorder="1" applyProtection="1"/>
    <xf numFmtId="0" fontId="18" fillId="4" borderId="5" xfId="0" applyFont="1" applyFill="1" applyBorder="1" applyProtection="1"/>
    <xf numFmtId="0" fontId="18" fillId="3" borderId="0" xfId="0" applyFont="1" applyFill="1" applyBorder="1" applyProtection="1"/>
    <xf numFmtId="0" fontId="10" fillId="4" borderId="5" xfId="0" applyFont="1" applyFill="1" applyBorder="1" applyProtection="1"/>
    <xf numFmtId="0" fontId="20" fillId="4" borderId="5" xfId="0" applyFont="1" applyFill="1" applyBorder="1" applyProtection="1"/>
    <xf numFmtId="4" fontId="10" fillId="4" borderId="5" xfId="0" applyNumberFormat="1" applyFont="1" applyFill="1" applyBorder="1" applyProtection="1"/>
    <xf numFmtId="167" fontId="2" fillId="4" borderId="0" xfId="0" applyNumberFormat="1" applyFont="1" applyFill="1" applyBorder="1" applyProtection="1"/>
    <xf numFmtId="0" fontId="2" fillId="6" borderId="7" xfId="0" applyFont="1" applyFill="1" applyBorder="1" applyProtection="1"/>
    <xf numFmtId="0" fontId="2" fillId="6" borderId="8" xfId="0" applyFont="1" applyFill="1" applyBorder="1" applyProtection="1"/>
    <xf numFmtId="0" fontId="20" fillId="6" borderId="8" xfId="0" applyFont="1" applyFill="1" applyBorder="1" applyProtection="1"/>
    <xf numFmtId="9" fontId="17" fillId="6" borderId="8" xfId="2" applyFont="1" applyFill="1" applyBorder="1" applyAlignment="1" applyProtection="1">
      <alignment horizontal="center"/>
    </xf>
    <xf numFmtId="0" fontId="20" fillId="6" borderId="8" xfId="0" applyFont="1" applyFill="1" applyBorder="1" applyAlignment="1" applyProtection="1">
      <alignment horizontal="right"/>
    </xf>
    <xf numFmtId="0" fontId="2" fillId="6" borderId="9" xfId="0" applyFont="1" applyFill="1" applyBorder="1" applyProtection="1"/>
    <xf numFmtId="49" fontId="15" fillId="3" borderId="0" xfId="0" applyNumberFormat="1" applyFont="1" applyFill="1" applyBorder="1" applyAlignment="1" applyProtection="1">
      <alignment horizontal="left"/>
    </xf>
    <xf numFmtId="0" fontId="15" fillId="3" borderId="0" xfId="0" applyFont="1" applyFill="1" applyBorder="1" applyAlignment="1" applyProtection="1">
      <alignment horizontal="left"/>
    </xf>
    <xf numFmtId="0" fontId="2" fillId="3" borderId="0" xfId="0" applyFont="1" applyFill="1" applyProtection="1"/>
    <xf numFmtId="0" fontId="8" fillId="4" borderId="0" xfId="0" applyFont="1" applyFill="1" applyBorder="1" applyProtection="1"/>
    <xf numFmtId="0" fontId="4" fillId="3" borderId="0" xfId="0" applyFont="1" applyFill="1" applyProtection="1"/>
    <xf numFmtId="0" fontId="27" fillId="3" borderId="0" xfId="0" applyFont="1" applyFill="1" applyBorder="1" applyAlignment="1" applyProtection="1">
      <alignment horizontal="right"/>
    </xf>
    <xf numFmtId="0" fontId="3"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Alignment="1" applyProtection="1">
      <alignment horizontal="left"/>
    </xf>
    <xf numFmtId="0" fontId="3" fillId="4" borderId="4" xfId="0" applyFont="1" applyFill="1" applyBorder="1" applyAlignment="1" applyProtection="1">
      <alignment horizontal="right"/>
    </xf>
    <xf numFmtId="0" fontId="2" fillId="4" borderId="4" xfId="0" applyFont="1" applyFill="1" applyBorder="1" applyAlignment="1" applyProtection="1">
      <alignment horizontal="right"/>
    </xf>
    <xf numFmtId="167" fontId="2" fillId="6" borderId="8" xfId="0" applyNumberFormat="1" applyFont="1" applyFill="1" applyBorder="1" applyProtection="1"/>
    <xf numFmtId="167" fontId="2" fillId="3" borderId="0" xfId="0" applyNumberFormat="1" applyFont="1" applyFill="1" applyBorder="1" applyProtection="1"/>
    <xf numFmtId="49" fontId="2" fillId="3" borderId="0" xfId="0" applyNumberFormat="1" applyFont="1" applyFill="1" applyBorder="1" applyAlignment="1" applyProtection="1">
      <alignment horizontal="left"/>
    </xf>
    <xf numFmtId="167" fontId="17" fillId="3" borderId="0" xfId="1" applyNumberFormat="1" applyFont="1" applyFill="1" applyBorder="1" applyProtection="1"/>
    <xf numFmtId="167" fontId="17" fillId="3" borderId="0" xfId="0" applyNumberFormat="1" applyFont="1" applyFill="1" applyBorder="1" applyProtection="1"/>
    <xf numFmtId="167" fontId="2" fillId="3" borderId="0" xfId="1" applyNumberFormat="1" applyFont="1" applyFill="1" applyBorder="1" applyProtection="1"/>
    <xf numFmtId="171" fontId="2" fillId="3" borderId="0" xfId="1" applyNumberFormat="1" applyFont="1" applyFill="1" applyBorder="1" applyProtection="1"/>
    <xf numFmtId="0" fontId="2" fillId="7" borderId="0" xfId="0" applyFont="1" applyFill="1" applyBorder="1" applyProtection="1"/>
    <xf numFmtId="0" fontId="2" fillId="7" borderId="0" xfId="0" applyFont="1" applyFill="1" applyBorder="1" applyAlignment="1" applyProtection="1">
      <alignment horizontal="center"/>
    </xf>
    <xf numFmtId="0" fontId="17" fillId="4" borderId="4" xfId="0" applyFont="1" applyFill="1" applyBorder="1" applyProtection="1"/>
    <xf numFmtId="0" fontId="17" fillId="4" borderId="0" xfId="0" applyFont="1" applyFill="1" applyBorder="1" applyProtection="1"/>
    <xf numFmtId="0" fontId="17" fillId="4" borderId="0" xfId="0" applyFont="1" applyFill="1" applyBorder="1" applyAlignment="1" applyProtection="1">
      <alignment horizontal="center"/>
    </xf>
    <xf numFmtId="0" fontId="17" fillId="4" borderId="5" xfId="0" applyFont="1" applyFill="1" applyBorder="1" applyProtection="1"/>
    <xf numFmtId="0" fontId="17" fillId="7" borderId="0" xfId="0" applyFont="1" applyFill="1" applyBorder="1" applyProtection="1"/>
    <xf numFmtId="0" fontId="28" fillId="4" borderId="0" xfId="0" applyFont="1" applyFill="1" applyBorder="1" applyAlignment="1" applyProtection="1">
      <alignment horizontal="left"/>
      <protection locked="0"/>
    </xf>
    <xf numFmtId="0" fontId="2" fillId="4" borderId="0" xfId="0" applyFont="1" applyFill="1" applyBorder="1" applyAlignment="1" applyProtection="1"/>
    <xf numFmtId="0" fontId="29" fillId="7" borderId="0" xfId="0" applyFont="1" applyFill="1" applyBorder="1" applyProtection="1"/>
    <xf numFmtId="0" fontId="30" fillId="7" borderId="0" xfId="0" applyFont="1" applyFill="1" applyBorder="1" applyProtection="1"/>
    <xf numFmtId="0" fontId="30" fillId="7" borderId="0" xfId="0" applyFont="1" applyFill="1" applyBorder="1" applyAlignment="1" applyProtection="1">
      <alignment horizontal="left"/>
    </xf>
    <xf numFmtId="171" fontId="30" fillId="7" borderId="0" xfId="0" applyNumberFormat="1" applyFont="1" applyFill="1" applyBorder="1" applyProtection="1"/>
    <xf numFmtId="0" fontId="31" fillId="7" borderId="0" xfId="0" applyFont="1" applyFill="1" applyBorder="1" applyProtection="1"/>
    <xf numFmtId="0" fontId="17" fillId="4" borderId="0" xfId="0" applyFont="1" applyFill="1" applyBorder="1" applyAlignment="1" applyProtection="1">
      <alignment horizontal="right"/>
    </xf>
    <xf numFmtId="0" fontId="32" fillId="7" borderId="0" xfId="0" applyFont="1" applyFill="1" applyBorder="1" applyAlignment="1" applyProtection="1">
      <alignment horizontal="left"/>
    </xf>
    <xf numFmtId="167" fontId="2" fillId="7" borderId="0" xfId="0" applyNumberFormat="1" applyFont="1" applyFill="1" applyBorder="1" applyProtection="1"/>
    <xf numFmtId="0" fontId="32" fillId="7" borderId="0" xfId="0" applyFont="1" applyFill="1" applyProtection="1"/>
    <xf numFmtId="167" fontId="3" fillId="7" borderId="0" xfId="0" applyNumberFormat="1" applyFont="1" applyFill="1" applyBorder="1" applyProtection="1"/>
    <xf numFmtId="0" fontId="3" fillId="7" borderId="0" xfId="0" applyFont="1" applyFill="1" applyBorder="1" applyProtection="1"/>
    <xf numFmtId="167" fontId="2" fillId="4" borderId="5" xfId="0" applyNumberFormat="1" applyFont="1" applyFill="1" applyBorder="1" applyProtection="1"/>
    <xf numFmtId="167" fontId="3" fillId="4" borderId="5" xfId="0" applyNumberFormat="1" applyFont="1" applyFill="1" applyBorder="1" applyProtection="1"/>
    <xf numFmtId="0" fontId="2" fillId="6" borderId="8" xfId="0" applyFont="1" applyFill="1" applyBorder="1" applyAlignment="1" applyProtection="1">
      <alignment horizontal="center"/>
    </xf>
    <xf numFmtId="167" fontId="2" fillId="6" borderId="9" xfId="0" applyNumberFormat="1" applyFont="1" applyFill="1" applyBorder="1" applyProtection="1"/>
    <xf numFmtId="167" fontId="3" fillId="7" borderId="0" xfId="0" applyNumberFormat="1" applyFont="1" applyFill="1" applyBorder="1" applyAlignment="1" applyProtection="1">
      <alignment horizontal="right"/>
    </xf>
    <xf numFmtId="167" fontId="30" fillId="7" borderId="0" xfId="0" applyNumberFormat="1" applyFont="1" applyFill="1" applyBorder="1" applyProtection="1"/>
    <xf numFmtId="0" fontId="33" fillId="7" borderId="0" xfId="0" applyFont="1" applyFill="1" applyBorder="1" applyProtection="1"/>
    <xf numFmtId="0" fontId="34" fillId="7" borderId="0" xfId="0" applyFont="1" applyFill="1" applyBorder="1" applyAlignment="1" applyProtection="1">
      <alignment horizontal="left"/>
    </xf>
    <xf numFmtId="0" fontId="34" fillId="7" borderId="0" xfId="0" applyFont="1" applyFill="1" applyProtection="1"/>
    <xf numFmtId="0" fontId="2" fillId="7" borderId="0" xfId="0" applyFont="1" applyFill="1" applyBorder="1" applyAlignment="1" applyProtection="1">
      <alignment horizontal="left"/>
    </xf>
    <xf numFmtId="167" fontId="17" fillId="7" borderId="0" xfId="1" applyNumberFormat="1" applyFont="1" applyFill="1" applyBorder="1" applyAlignment="1" applyProtection="1">
      <alignment horizontal="center"/>
    </xf>
    <xf numFmtId="167" fontId="17" fillId="7" borderId="0" xfId="0" applyNumberFormat="1" applyFont="1" applyFill="1" applyBorder="1" applyProtection="1"/>
    <xf numFmtId="167" fontId="2" fillId="7" borderId="0" xfId="1" applyNumberFormat="1" applyFont="1" applyFill="1" applyBorder="1" applyAlignment="1" applyProtection="1">
      <alignment horizontal="center"/>
    </xf>
    <xf numFmtId="171" fontId="2" fillId="7" borderId="0" xfId="1" applyNumberFormat="1" applyFont="1" applyFill="1" applyBorder="1" applyAlignment="1" applyProtection="1">
      <alignment horizontal="center"/>
    </xf>
    <xf numFmtId="0" fontId="7" fillId="4" borderId="0" xfId="0" applyFont="1" applyFill="1" applyBorder="1" applyAlignment="1" applyProtection="1">
      <alignment horizontal="center"/>
    </xf>
    <xf numFmtId="0" fontId="2" fillId="7" borderId="0" xfId="0" applyFont="1" applyFill="1" applyBorder="1" applyAlignment="1" applyProtection="1">
      <alignment horizontal="right"/>
    </xf>
    <xf numFmtId="0" fontId="0" fillId="7" borderId="0" xfId="0" applyFill="1" applyAlignment="1" applyProtection="1">
      <alignment horizontal="left"/>
    </xf>
    <xf numFmtId="0" fontId="0" fillId="7" borderId="0" xfId="0" applyFill="1" applyAlignment="1" applyProtection="1">
      <alignment horizontal="right"/>
    </xf>
    <xf numFmtId="0" fontId="30" fillId="7" borderId="0" xfId="0" applyFont="1" applyFill="1" applyAlignment="1" applyProtection="1">
      <alignment horizontal="left"/>
    </xf>
    <xf numFmtId="0" fontId="30" fillId="7" borderId="0" xfId="0" applyFont="1" applyFill="1" applyAlignment="1" applyProtection="1">
      <alignment horizontal="right"/>
    </xf>
    <xf numFmtId="42" fontId="30" fillId="7" borderId="0" xfId="0" applyNumberFormat="1" applyFont="1" applyFill="1" applyBorder="1" applyProtection="1"/>
    <xf numFmtId="0" fontId="30" fillId="7" borderId="0" xfId="0" applyFont="1" applyFill="1" applyProtection="1"/>
    <xf numFmtId="167" fontId="20" fillId="6" borderId="8" xfId="0" applyNumberFormat="1" applyFont="1" applyFill="1" applyBorder="1" applyAlignment="1" applyProtection="1">
      <alignment horizontal="right"/>
    </xf>
    <xf numFmtId="171" fontId="2" fillId="7" borderId="0" xfId="0" applyNumberFormat="1" applyFont="1" applyFill="1" applyBorder="1" applyProtection="1"/>
    <xf numFmtId="167" fontId="17" fillId="7" borderId="0" xfId="1" applyNumberFormat="1" applyFont="1" applyFill="1" applyBorder="1" applyProtection="1"/>
    <xf numFmtId="167" fontId="2" fillId="7" borderId="0" xfId="1" applyNumberFormat="1" applyFont="1" applyFill="1" applyBorder="1" applyProtection="1"/>
    <xf numFmtId="171" fontId="2" fillId="7" borderId="0" xfId="1" applyNumberFormat="1" applyFont="1" applyFill="1" applyBorder="1" applyProtection="1"/>
    <xf numFmtId="0" fontId="2" fillId="4" borderId="7" xfId="0" applyFont="1" applyFill="1" applyBorder="1" applyProtection="1"/>
    <xf numFmtId="0" fontId="2" fillId="4" borderId="9" xfId="0" applyFont="1" applyFill="1" applyBorder="1" applyProtection="1"/>
    <xf numFmtId="0" fontId="0" fillId="0" borderId="0" xfId="0" applyFill="1" applyAlignment="1">
      <alignment horizontal="left"/>
    </xf>
    <xf numFmtId="4" fontId="0" fillId="0" borderId="0" xfId="0" applyNumberFormat="1" applyFill="1" applyAlignment="1">
      <alignment horizontal="left"/>
    </xf>
    <xf numFmtId="9" fontId="2" fillId="8" borderId="0" xfId="0" applyNumberFormat="1" applyFont="1" applyFill="1" applyBorder="1" applyAlignment="1" applyProtection="1">
      <alignment horizontal="left"/>
      <protection locked="0"/>
    </xf>
    <xf numFmtId="0" fontId="0" fillId="0" borderId="0" xfId="0" applyFont="1"/>
    <xf numFmtId="0" fontId="3" fillId="0" borderId="0" xfId="0" applyFont="1" applyFill="1" applyBorder="1" applyAlignment="1" applyProtection="1">
      <alignment horizontal="left"/>
    </xf>
    <xf numFmtId="3" fontId="2" fillId="0" borderId="0" xfId="0" applyNumberFormat="1" applyFont="1" applyBorder="1" applyAlignment="1" applyProtection="1">
      <alignment horizontal="left"/>
    </xf>
    <xf numFmtId="0" fontId="0" fillId="0" borderId="0" xfId="0" applyFill="1" applyAlignment="1" applyProtection="1">
      <alignment horizontal="left"/>
    </xf>
    <xf numFmtId="0" fontId="34" fillId="0" borderId="0" xfId="0" applyFont="1" applyBorder="1" applyAlignment="1">
      <alignment horizontal="left"/>
    </xf>
    <xf numFmtId="2" fontId="34" fillId="2" borderId="0" xfId="0" applyNumberFormat="1" applyFont="1" applyFill="1" applyBorder="1" applyAlignment="1" applyProtection="1">
      <alignment horizontal="left"/>
      <protection locked="0"/>
    </xf>
    <xf numFmtId="0" fontId="3" fillId="0" borderId="0" xfId="0" applyFont="1" applyBorder="1" applyAlignment="1">
      <alignment horizontal="left"/>
    </xf>
    <xf numFmtId="14" fontId="40" fillId="4" borderId="0" xfId="0" applyNumberFormat="1" applyFont="1" applyFill="1" applyBorder="1" applyProtection="1"/>
    <xf numFmtId="0" fontId="2" fillId="9" borderId="0" xfId="0" applyFont="1" applyFill="1" applyProtection="1"/>
    <xf numFmtId="0" fontId="37" fillId="9" borderId="0" xfId="0" applyFont="1" applyFill="1"/>
    <xf numFmtId="0" fontId="2" fillId="10" borderId="0" xfId="0" applyFont="1" applyFill="1" applyBorder="1" applyProtection="1"/>
    <xf numFmtId="0" fontId="3" fillId="10" borderId="0" xfId="0" applyFont="1" applyFill="1" applyBorder="1" applyProtection="1"/>
    <xf numFmtId="172" fontId="3" fillId="10" borderId="0" xfId="0" applyNumberFormat="1" applyFont="1" applyFill="1" applyBorder="1" applyAlignment="1" applyProtection="1">
      <alignment horizontal="center"/>
    </xf>
    <xf numFmtId="0" fontId="3" fillId="10" borderId="0" xfId="0" applyFont="1" applyFill="1" applyBorder="1" applyAlignment="1" applyProtection="1">
      <alignment horizontal="center"/>
    </xf>
    <xf numFmtId="177" fontId="3" fillId="10" borderId="0" xfId="0" applyNumberFormat="1" applyFont="1" applyFill="1" applyBorder="1" applyAlignment="1" applyProtection="1">
      <alignment horizontal="center"/>
    </xf>
    <xf numFmtId="0" fontId="4" fillId="10" borderId="0" xfId="0" applyFont="1" applyFill="1" applyBorder="1" applyProtection="1"/>
    <xf numFmtId="0" fontId="4" fillId="10" borderId="0" xfId="0" applyFont="1" applyFill="1" applyBorder="1" applyAlignment="1" applyProtection="1">
      <alignment horizontal="right"/>
    </xf>
    <xf numFmtId="0" fontId="3" fillId="10" borderId="0" xfId="0" applyFont="1" applyFill="1" applyBorder="1" applyAlignment="1" applyProtection="1">
      <alignment horizontal="right"/>
    </xf>
    <xf numFmtId="0" fontId="18" fillId="10" borderId="0" xfId="0" applyFont="1" applyFill="1" applyBorder="1" applyProtection="1"/>
    <xf numFmtId="0" fontId="19" fillId="10" borderId="0" xfId="0" applyFont="1" applyFill="1" applyBorder="1" applyProtection="1"/>
    <xf numFmtId="0" fontId="3" fillId="10" borderId="0" xfId="0" applyFont="1" applyFill="1" applyBorder="1"/>
    <xf numFmtId="0" fontId="2" fillId="10" borderId="0" xfId="0" applyFont="1" applyFill="1" applyBorder="1"/>
    <xf numFmtId="0" fontId="19" fillId="10" borderId="0" xfId="0" applyFont="1" applyFill="1"/>
    <xf numFmtId="0" fontId="2" fillId="10" borderId="0" xfId="0" applyFont="1" applyFill="1"/>
    <xf numFmtId="0" fontId="17" fillId="10" borderId="0" xfId="0" applyFont="1" applyFill="1" applyBorder="1"/>
    <xf numFmtId="0" fontId="19" fillId="10" borderId="0" xfId="0" applyFont="1" applyFill="1" applyBorder="1"/>
    <xf numFmtId="0" fontId="2" fillId="10" borderId="8" xfId="0" applyFont="1" applyFill="1" applyBorder="1" applyProtection="1"/>
    <xf numFmtId="0" fontId="2" fillId="10" borderId="2" xfId="0" applyFont="1" applyFill="1" applyBorder="1" applyProtection="1"/>
    <xf numFmtId="0" fontId="2" fillId="10" borderId="12" xfId="0" applyFont="1" applyFill="1" applyBorder="1" applyProtection="1"/>
    <xf numFmtId="0" fontId="9" fillId="10" borderId="12" xfId="0" applyFont="1" applyFill="1" applyBorder="1" applyProtection="1"/>
    <xf numFmtId="0" fontId="2" fillId="10" borderId="12" xfId="0" applyFont="1" applyFill="1" applyBorder="1" applyAlignment="1" applyProtection="1">
      <alignment horizontal="left"/>
    </xf>
    <xf numFmtId="0" fontId="2" fillId="10" borderId="12" xfId="0" applyFont="1" applyFill="1" applyBorder="1" applyAlignment="1" applyProtection="1">
      <alignment horizontal="center"/>
    </xf>
    <xf numFmtId="0" fontId="3" fillId="10" borderId="12" xfId="0" applyFont="1" applyFill="1" applyBorder="1" applyProtection="1"/>
    <xf numFmtId="0" fontId="3" fillId="10" borderId="12" xfId="0" applyFont="1" applyFill="1" applyBorder="1" applyAlignment="1" applyProtection="1">
      <alignment horizontal="right"/>
    </xf>
    <xf numFmtId="14" fontId="2" fillId="4" borderId="12" xfId="0" applyNumberFormat="1" applyFont="1" applyFill="1" applyBorder="1" applyAlignment="1" applyProtection="1">
      <alignment horizontal="center"/>
      <protection locked="0"/>
    </xf>
    <xf numFmtId="0" fontId="11" fillId="10" borderId="12" xfId="0" applyFont="1" applyFill="1" applyBorder="1" applyProtection="1"/>
    <xf numFmtId="0" fontId="12" fillId="10" borderId="12" xfId="0" applyFont="1" applyFill="1" applyBorder="1" applyProtection="1"/>
    <xf numFmtId="167" fontId="13" fillId="10" borderId="12" xfId="0" applyNumberFormat="1" applyFont="1" applyFill="1" applyBorder="1" applyAlignment="1" applyProtection="1">
      <alignment horizontal="center"/>
    </xf>
    <xf numFmtId="0" fontId="2" fillId="4" borderId="12" xfId="0" applyFont="1" applyFill="1" applyBorder="1" applyAlignment="1" applyProtection="1">
      <alignment horizontal="center"/>
      <protection locked="0"/>
    </xf>
    <xf numFmtId="0" fontId="35" fillId="10" borderId="12" xfId="0" applyFont="1" applyFill="1" applyBorder="1" applyAlignment="1" applyProtection="1">
      <alignment horizontal="center"/>
    </xf>
    <xf numFmtId="0" fontId="14" fillId="10" borderId="12" xfId="0" applyFont="1" applyFill="1" applyBorder="1" applyAlignment="1" applyProtection="1">
      <alignment horizontal="center"/>
    </xf>
    <xf numFmtId="0" fontId="15" fillId="10" borderId="12" xfId="0" applyFont="1" applyFill="1" applyBorder="1" applyProtection="1"/>
    <xf numFmtId="0" fontId="15" fillId="10" borderId="12" xfId="0" applyFont="1" applyFill="1" applyBorder="1" applyAlignment="1" applyProtection="1">
      <alignment horizontal="left"/>
    </xf>
    <xf numFmtId="167" fontId="2" fillId="5" borderId="12" xfId="0" applyNumberFormat="1" applyFont="1" applyFill="1" applyBorder="1" applyProtection="1"/>
    <xf numFmtId="168" fontId="2" fillId="4" borderId="12" xfId="0" applyNumberFormat="1" applyFont="1" applyFill="1" applyBorder="1" applyProtection="1">
      <protection locked="0"/>
    </xf>
    <xf numFmtId="4" fontId="2" fillId="10" borderId="12" xfId="0" applyNumberFormat="1" applyFont="1" applyFill="1" applyBorder="1" applyProtection="1"/>
    <xf numFmtId="0" fontId="2" fillId="4" borderId="12" xfId="0" applyFont="1" applyFill="1" applyBorder="1" applyAlignment="1" applyProtection="1">
      <alignment horizontal="left"/>
      <protection locked="0"/>
    </xf>
    <xf numFmtId="167" fontId="2" fillId="2" borderId="12" xfId="0" applyNumberFormat="1" applyFont="1" applyFill="1" applyBorder="1" applyProtection="1"/>
    <xf numFmtId="9" fontId="17" fillId="10" borderId="12" xfId="0" applyNumberFormat="1" applyFont="1" applyFill="1" applyBorder="1" applyAlignment="1" applyProtection="1">
      <alignment horizontal="center"/>
    </xf>
    <xf numFmtId="9" fontId="2" fillId="10" borderId="12" xfId="0" applyNumberFormat="1" applyFont="1" applyFill="1" applyBorder="1" applyAlignment="1" applyProtection="1">
      <alignment horizontal="center"/>
    </xf>
    <xf numFmtId="10" fontId="17" fillId="10" borderId="12" xfId="0" applyNumberFormat="1" applyFont="1" applyFill="1" applyBorder="1" applyAlignment="1" applyProtection="1">
      <alignment horizontal="center"/>
    </xf>
    <xf numFmtId="10" fontId="2" fillId="10" borderId="12" xfId="0" applyNumberFormat="1" applyFont="1" applyFill="1" applyBorder="1" applyAlignment="1" applyProtection="1">
      <alignment horizontal="center"/>
    </xf>
    <xf numFmtId="0" fontId="2" fillId="10" borderId="12" xfId="0" applyFont="1" applyFill="1" applyBorder="1" applyAlignment="1">
      <alignment horizontal="left"/>
    </xf>
    <xf numFmtId="0" fontId="2" fillId="10" borderId="12" xfId="0" applyFont="1" applyFill="1" applyBorder="1" applyAlignment="1" applyProtection="1">
      <alignment horizontal="right"/>
    </xf>
    <xf numFmtId="1" fontId="17" fillId="10" borderId="12" xfId="0" applyNumberFormat="1" applyFont="1" applyFill="1" applyBorder="1" applyAlignment="1" applyProtection="1">
      <alignment horizontal="center"/>
    </xf>
    <xf numFmtId="0" fontId="3" fillId="10" borderId="12" xfId="0" applyFont="1" applyFill="1" applyBorder="1" applyAlignment="1" applyProtection="1">
      <alignment horizontal="left"/>
    </xf>
    <xf numFmtId="0" fontId="3" fillId="10" borderId="12" xfId="0" applyFont="1" applyFill="1" applyBorder="1" applyAlignment="1" applyProtection="1">
      <alignment horizontal="center"/>
    </xf>
    <xf numFmtId="167" fontId="3" fillId="5" borderId="12" xfId="0" applyNumberFormat="1" applyFont="1" applyFill="1" applyBorder="1" applyProtection="1"/>
    <xf numFmtId="0" fontId="14" fillId="10" borderId="12" xfId="0" applyFont="1" applyFill="1" applyBorder="1" applyProtection="1"/>
    <xf numFmtId="167" fontId="2" fillId="10" borderId="12" xfId="0" applyNumberFormat="1" applyFont="1" applyFill="1" applyBorder="1" applyProtection="1"/>
    <xf numFmtId="167" fontId="11" fillId="10" borderId="12" xfId="0" applyNumberFormat="1" applyFont="1" applyFill="1" applyBorder="1" applyProtection="1"/>
    <xf numFmtId="0" fontId="18" fillId="10" borderId="12" xfId="0" applyFont="1" applyFill="1" applyBorder="1" applyProtection="1"/>
    <xf numFmtId="0" fontId="18" fillId="10" borderId="12" xfId="0" applyFont="1" applyFill="1" applyBorder="1" applyAlignment="1" applyProtection="1">
      <alignment horizontal="left"/>
    </xf>
    <xf numFmtId="0" fontId="18" fillId="10" borderId="12" xfId="0" applyFont="1" applyFill="1" applyBorder="1" applyAlignment="1" applyProtection="1">
      <alignment horizontal="center"/>
    </xf>
    <xf numFmtId="167" fontId="17" fillId="10" borderId="12" xfId="0" applyNumberFormat="1" applyFont="1" applyFill="1" applyBorder="1" applyAlignment="1" applyProtection="1">
      <alignment horizontal="center"/>
    </xf>
    <xf numFmtId="0" fontId="13" fillId="10" borderId="12" xfId="0" applyFont="1" applyFill="1" applyBorder="1" applyAlignment="1" applyProtection="1">
      <alignment horizontal="center"/>
    </xf>
    <xf numFmtId="0" fontId="17" fillId="10" borderId="12" xfId="0" applyFont="1" applyFill="1" applyBorder="1" applyAlignment="1" applyProtection="1">
      <alignment horizontal="center"/>
    </xf>
    <xf numFmtId="167" fontId="3" fillId="10" borderId="12" xfId="0" applyNumberFormat="1" applyFont="1" applyFill="1" applyBorder="1" applyAlignment="1" applyProtection="1">
      <alignment horizontal="center"/>
    </xf>
    <xf numFmtId="169" fontId="19" fillId="5" borderId="12" xfId="1" applyNumberFormat="1" applyFont="1" applyFill="1" applyBorder="1" applyAlignment="1" applyProtection="1">
      <alignment horizontal="center"/>
    </xf>
    <xf numFmtId="170" fontId="19" fillId="5" borderId="12" xfId="1" applyNumberFormat="1" applyFont="1" applyFill="1" applyBorder="1" applyAlignment="1" applyProtection="1">
      <alignment horizontal="center"/>
    </xf>
    <xf numFmtId="10" fontId="17" fillId="2" borderId="12" xfId="0" applyNumberFormat="1" applyFont="1" applyFill="1" applyBorder="1" applyAlignment="1" applyProtection="1">
      <alignment horizontal="center"/>
    </xf>
    <xf numFmtId="0" fontId="2" fillId="10" borderId="12" xfId="2" applyNumberFormat="1" applyFont="1" applyFill="1" applyBorder="1" applyAlignment="1" applyProtection="1">
      <alignment horizontal="center"/>
    </xf>
    <xf numFmtId="167" fontId="2" fillId="0" borderId="12" xfId="0" applyNumberFormat="1" applyFont="1" applyFill="1" applyBorder="1" applyProtection="1">
      <protection locked="0"/>
    </xf>
    <xf numFmtId="4" fontId="3" fillId="10" borderId="12" xfId="0" applyNumberFormat="1" applyFont="1" applyFill="1" applyBorder="1" applyProtection="1"/>
    <xf numFmtId="10" fontId="19" fillId="5" borderId="12" xfId="0" applyNumberFormat="1" applyFont="1" applyFill="1" applyBorder="1" applyAlignment="1" applyProtection="1">
      <alignment horizontal="center"/>
    </xf>
    <xf numFmtId="10" fontId="2" fillId="10" borderId="12" xfId="2" applyNumberFormat="1" applyFont="1" applyFill="1" applyBorder="1" applyProtection="1"/>
    <xf numFmtId="10" fontId="2" fillId="10" borderId="12" xfId="0" applyNumberFormat="1" applyFont="1" applyFill="1" applyBorder="1" applyProtection="1"/>
    <xf numFmtId="10" fontId="21" fillId="10" borderId="12" xfId="0" applyNumberFormat="1" applyFont="1" applyFill="1" applyBorder="1" applyProtection="1"/>
    <xf numFmtId="0" fontId="4" fillId="10" borderId="12" xfId="0" applyFont="1" applyFill="1" applyBorder="1" applyProtection="1"/>
    <xf numFmtId="0" fontId="4" fillId="10" borderId="12" xfId="0" applyFont="1" applyFill="1" applyBorder="1" applyAlignment="1" applyProtection="1">
      <alignment horizontal="left"/>
    </xf>
    <xf numFmtId="0" fontId="4" fillId="10" borderId="12" xfId="0" applyFont="1" applyFill="1" applyBorder="1" applyAlignment="1" applyProtection="1">
      <alignment horizontal="center"/>
    </xf>
    <xf numFmtId="10" fontId="4" fillId="10" borderId="12" xfId="0" applyNumberFormat="1" applyFont="1" applyFill="1" applyBorder="1" applyProtection="1"/>
    <xf numFmtId="1" fontId="3" fillId="10" borderId="12" xfId="0" applyNumberFormat="1" applyFont="1" applyFill="1" applyBorder="1" applyProtection="1"/>
    <xf numFmtId="0" fontId="3" fillId="10" borderId="12" xfId="0" applyFont="1" applyFill="1" applyBorder="1" applyAlignment="1" applyProtection="1"/>
    <xf numFmtId="167" fontId="3" fillId="10" borderId="12" xfId="0" applyNumberFormat="1" applyFont="1" applyFill="1" applyBorder="1" applyProtection="1"/>
    <xf numFmtId="0" fontId="17" fillId="10" borderId="12" xfId="0" applyFont="1" applyFill="1" applyBorder="1" applyProtection="1"/>
    <xf numFmtId="0" fontId="17" fillId="10" borderId="12" xfId="0" applyFont="1" applyFill="1" applyBorder="1" applyAlignment="1" applyProtection="1"/>
    <xf numFmtId="0" fontId="17" fillId="10" borderId="12" xfId="0" applyFont="1" applyFill="1" applyBorder="1" applyAlignment="1" applyProtection="1">
      <alignment horizontal="left"/>
    </xf>
    <xf numFmtId="4" fontId="17" fillId="10" borderId="12" xfId="0" applyNumberFormat="1" applyFont="1" applyFill="1" applyBorder="1" applyAlignment="1" applyProtection="1">
      <alignment horizontal="center"/>
    </xf>
    <xf numFmtId="167" fontId="17" fillId="2" borderId="12" xfId="0" applyNumberFormat="1" applyFont="1" applyFill="1" applyBorder="1" applyAlignment="1" applyProtection="1">
      <alignment horizontal="left"/>
    </xf>
    <xf numFmtId="4" fontId="17" fillId="10" borderId="12" xfId="0" applyNumberFormat="1" applyFont="1" applyFill="1" applyBorder="1" applyProtection="1"/>
    <xf numFmtId="0" fontId="22" fillId="10" borderId="12" xfId="0" applyFont="1" applyFill="1" applyBorder="1" applyProtection="1"/>
    <xf numFmtId="1" fontId="17" fillId="10" borderId="12" xfId="0" applyNumberFormat="1" applyFont="1" applyFill="1" applyBorder="1" applyProtection="1"/>
    <xf numFmtId="0" fontId="19" fillId="10" borderId="12" xfId="0" applyFont="1" applyFill="1" applyBorder="1" applyProtection="1"/>
    <xf numFmtId="0" fontId="19" fillId="10" borderId="12" xfId="0" applyFont="1" applyFill="1" applyBorder="1" applyAlignment="1" applyProtection="1"/>
    <xf numFmtId="0" fontId="19" fillId="10" borderId="12" xfId="0" applyFont="1" applyFill="1" applyBorder="1" applyAlignment="1" applyProtection="1">
      <alignment horizontal="left"/>
    </xf>
    <xf numFmtId="0" fontId="19" fillId="10" borderId="12" xfId="0" applyFont="1" applyFill="1" applyBorder="1" applyAlignment="1" applyProtection="1">
      <alignment horizontal="center"/>
    </xf>
    <xf numFmtId="4" fontId="19" fillId="10" borderId="12" xfId="0" applyNumberFormat="1" applyFont="1" applyFill="1" applyBorder="1" applyAlignment="1" applyProtection="1">
      <alignment horizontal="center"/>
    </xf>
    <xf numFmtId="167" fontId="23" fillId="5" borderId="12" xfId="0" applyNumberFormat="1" applyFont="1" applyFill="1" applyBorder="1" applyAlignment="1" applyProtection="1">
      <alignment horizontal="right"/>
    </xf>
    <xf numFmtId="4" fontId="19" fillId="10" borderId="12" xfId="0" applyNumberFormat="1" applyFont="1" applyFill="1" applyBorder="1" applyProtection="1"/>
    <xf numFmtId="0" fontId="24" fillId="10" borderId="12" xfId="0" applyFont="1" applyFill="1" applyBorder="1" applyProtection="1"/>
    <xf numFmtId="167" fontId="19" fillId="10" borderId="12" xfId="0" applyNumberFormat="1" applyFont="1" applyFill="1" applyBorder="1" applyAlignment="1" applyProtection="1">
      <alignment horizontal="left"/>
    </xf>
    <xf numFmtId="0" fontId="2" fillId="10" borderId="12" xfId="0" applyFont="1" applyFill="1" applyBorder="1" applyAlignment="1" applyProtection="1"/>
    <xf numFmtId="167" fontId="13" fillId="10" borderId="12" xfId="0" applyNumberFormat="1" applyFont="1" applyFill="1" applyBorder="1" applyAlignment="1" applyProtection="1">
      <alignment horizontal="right"/>
    </xf>
    <xf numFmtId="4" fontId="4" fillId="10" borderId="12" xfId="0" applyNumberFormat="1" applyFont="1" applyFill="1" applyBorder="1" applyProtection="1"/>
    <xf numFmtId="167" fontId="2" fillId="2" borderId="12" xfId="1" applyNumberFormat="1" applyFont="1" applyFill="1" applyBorder="1" applyAlignment="1" applyProtection="1">
      <alignment horizontal="center"/>
    </xf>
    <xf numFmtId="10" fontId="2" fillId="2" borderId="12" xfId="2" applyNumberFormat="1" applyFont="1" applyFill="1" applyBorder="1" applyAlignment="1" applyProtection="1">
      <alignment horizontal="center"/>
    </xf>
    <xf numFmtId="167" fontId="3" fillId="5" borderId="12" xfId="1" applyNumberFormat="1" applyFont="1" applyFill="1" applyBorder="1" applyAlignment="1" applyProtection="1">
      <alignment horizontal="right"/>
    </xf>
    <xf numFmtId="167" fontId="3" fillId="10" borderId="12" xfId="0" applyNumberFormat="1" applyFont="1" applyFill="1" applyBorder="1" applyAlignment="1" applyProtection="1">
      <alignment horizontal="right"/>
    </xf>
    <xf numFmtId="171" fontId="2" fillId="10" borderId="12" xfId="1" applyNumberFormat="1" applyFont="1" applyFill="1" applyBorder="1" applyAlignment="1" applyProtection="1">
      <alignment horizontal="left"/>
    </xf>
    <xf numFmtId="1" fontId="41" fillId="10" borderId="12" xfId="0" applyNumberFormat="1" applyFont="1" applyFill="1" applyBorder="1" applyAlignment="1" applyProtection="1">
      <alignment horizontal="center"/>
    </xf>
    <xf numFmtId="0" fontId="41" fillId="10" borderId="12" xfId="0" applyFont="1" applyFill="1" applyBorder="1" applyAlignment="1" applyProtection="1">
      <alignment horizontal="right"/>
    </xf>
    <xf numFmtId="1" fontId="41" fillId="10" borderId="12" xfId="0" applyNumberFormat="1" applyFont="1" applyFill="1" applyBorder="1" applyProtection="1"/>
    <xf numFmtId="0" fontId="41" fillId="10" borderId="12" xfId="0" applyFont="1" applyFill="1" applyBorder="1" applyAlignment="1" applyProtection="1">
      <alignment horizontal="center"/>
    </xf>
    <xf numFmtId="0" fontId="41" fillId="10" borderId="12" xfId="0" applyFont="1" applyFill="1" applyBorder="1" applyProtection="1"/>
    <xf numFmtId="1" fontId="2" fillId="4" borderId="10" xfId="0" applyNumberFormat="1"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167" fontId="2" fillId="5" borderId="6" xfId="0" applyNumberFormat="1" applyFont="1" applyFill="1" applyBorder="1" applyAlignment="1" applyProtection="1">
      <alignment horizontal="center"/>
    </xf>
    <xf numFmtId="168" fontId="2" fillId="4" borderId="6" xfId="0" applyNumberFormat="1" applyFont="1" applyFill="1" applyBorder="1" applyProtection="1">
      <protection locked="0"/>
    </xf>
    <xf numFmtId="0" fontId="2" fillId="4" borderId="11" xfId="0" applyFont="1" applyFill="1" applyBorder="1" applyAlignment="1" applyProtection="1">
      <alignment horizontal="center"/>
      <protection locked="0"/>
    </xf>
    <xf numFmtId="10" fontId="3" fillId="5" borderId="11" xfId="0" applyNumberFormat="1" applyFont="1" applyFill="1" applyBorder="1" applyAlignment="1" applyProtection="1">
      <alignment horizontal="center"/>
    </xf>
    <xf numFmtId="10" fontId="2" fillId="2" borderId="6" xfId="0" applyNumberFormat="1" applyFont="1" applyFill="1" applyBorder="1" applyAlignment="1" applyProtection="1">
      <alignment horizontal="center"/>
    </xf>
    <xf numFmtId="167" fontId="2" fillId="2" borderId="6" xfId="0" applyNumberFormat="1" applyFont="1" applyFill="1" applyBorder="1" applyAlignment="1" applyProtection="1">
      <alignment horizontal="center"/>
    </xf>
    <xf numFmtId="167" fontId="3" fillId="5" borderId="6" xfId="0" applyNumberFormat="1" applyFont="1" applyFill="1" applyBorder="1" applyAlignment="1" applyProtection="1">
      <alignment horizontal="center"/>
    </xf>
    <xf numFmtId="174" fontId="2" fillId="4" borderId="6"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xf>
    <xf numFmtId="171" fontId="2" fillId="4" borderId="6" xfId="0" applyNumberFormat="1" applyFont="1" applyFill="1" applyBorder="1" applyAlignment="1" applyProtection="1">
      <alignment horizontal="center"/>
      <protection locked="0"/>
    </xf>
    <xf numFmtId="167" fontId="2" fillId="5" borderId="13" xfId="0" applyNumberFormat="1" applyFont="1" applyFill="1" applyBorder="1" applyAlignment="1" applyProtection="1">
      <alignment horizontal="right"/>
    </xf>
    <xf numFmtId="0" fontId="2" fillId="4" borderId="13" xfId="0" applyFont="1" applyFill="1" applyBorder="1" applyAlignment="1" applyProtection="1">
      <alignment horizontal="center"/>
      <protection locked="0"/>
    </xf>
    <xf numFmtId="10" fontId="3" fillId="5" borderId="14" xfId="0" applyNumberFormat="1" applyFont="1" applyFill="1" applyBorder="1" applyAlignment="1" applyProtection="1">
      <alignment horizontal="center"/>
    </xf>
    <xf numFmtId="10" fontId="3" fillId="5" borderId="13" xfId="0" applyNumberFormat="1" applyFont="1" applyFill="1" applyBorder="1" applyAlignment="1" applyProtection="1">
      <alignment horizontal="center"/>
    </xf>
    <xf numFmtId="167" fontId="17" fillId="2" borderId="13" xfId="0" applyNumberFormat="1" applyFont="1" applyFill="1" applyBorder="1" applyAlignment="1" applyProtection="1">
      <alignment horizontal="center"/>
    </xf>
    <xf numFmtId="10" fontId="2" fillId="2" borderId="13" xfId="0" applyNumberFormat="1" applyFont="1" applyFill="1" applyBorder="1" applyAlignment="1" applyProtection="1">
      <alignment horizontal="center"/>
    </xf>
    <xf numFmtId="174" fontId="2" fillId="4" borderId="13" xfId="0" applyNumberFormat="1" applyFont="1" applyFill="1" applyBorder="1" applyAlignment="1" applyProtection="1">
      <alignment horizontal="center"/>
      <protection locked="0"/>
    </xf>
    <xf numFmtId="171" fontId="3" fillId="5" borderId="13" xfId="0" applyNumberFormat="1" applyFont="1" applyFill="1" applyBorder="1" applyAlignment="1" applyProtection="1">
      <alignment horizontal="center"/>
    </xf>
    <xf numFmtId="0" fontId="2" fillId="4" borderId="17"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3" fillId="5" borderId="20" xfId="0" applyFont="1" applyFill="1" applyBorder="1" applyAlignment="1" applyProtection="1">
      <alignment horizontal="center"/>
    </xf>
    <xf numFmtId="173" fontId="3" fillId="5" borderId="18" xfId="0" applyNumberFormat="1" applyFont="1" applyFill="1" applyBorder="1" applyAlignment="1" applyProtection="1">
      <alignment horizontal="center"/>
    </xf>
    <xf numFmtId="167" fontId="2" fillId="2" borderId="0" xfId="0" applyNumberFormat="1" applyFont="1" applyFill="1" applyBorder="1" applyAlignment="1" applyProtection="1">
      <alignment horizontal="center"/>
    </xf>
    <xf numFmtId="168" fontId="2" fillId="2" borderId="17" xfId="0" applyNumberFormat="1" applyFont="1" applyFill="1" applyBorder="1" applyAlignment="1" applyProtection="1">
      <alignment horizontal="center"/>
    </xf>
    <xf numFmtId="174" fontId="17" fillId="4" borderId="0" xfId="0" applyNumberFormat="1" applyFont="1" applyFill="1" applyBorder="1" applyAlignment="1" applyProtection="1">
      <alignment horizontal="center"/>
      <protection locked="0"/>
    </xf>
    <xf numFmtId="167" fontId="3" fillId="5" borderId="17" xfId="0" applyNumberFormat="1" applyFont="1" applyFill="1" applyBorder="1" applyAlignment="1" applyProtection="1">
      <alignment horizontal="center"/>
    </xf>
    <xf numFmtId="167" fontId="2" fillId="2" borderId="17" xfId="0" applyNumberFormat="1" applyFont="1" applyFill="1" applyBorder="1" applyAlignment="1" applyProtection="1">
      <alignment horizontal="center"/>
    </xf>
    <xf numFmtId="10" fontId="2" fillId="2" borderId="17" xfId="0" applyNumberFormat="1" applyFont="1" applyFill="1" applyBorder="1" applyAlignment="1" applyProtection="1">
      <alignment horizontal="center"/>
    </xf>
    <xf numFmtId="0" fontId="2" fillId="4" borderId="15"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3" fontId="2" fillId="4" borderId="17" xfId="0" applyNumberFormat="1" applyFont="1" applyFill="1" applyBorder="1" applyAlignment="1" applyProtection="1">
      <alignment horizontal="center"/>
      <protection locked="0"/>
    </xf>
    <xf numFmtId="174" fontId="2" fillId="4" borderId="17" xfId="0" applyNumberFormat="1" applyFont="1" applyFill="1" applyBorder="1" applyAlignment="1" applyProtection="1">
      <alignment horizontal="center"/>
      <protection locked="0"/>
    </xf>
    <xf numFmtId="167" fontId="2" fillId="10" borderId="12" xfId="0" applyNumberFormat="1" applyFont="1" applyFill="1" applyBorder="1" applyAlignment="1" applyProtection="1">
      <alignment horizontal="center"/>
    </xf>
    <xf numFmtId="168" fontId="2" fillId="10" borderId="12" xfId="0" applyNumberFormat="1" applyFont="1" applyFill="1" applyBorder="1" applyProtection="1"/>
    <xf numFmtId="167" fontId="2" fillId="10" borderId="12" xfId="0" applyNumberFormat="1" applyFont="1" applyFill="1" applyBorder="1" applyAlignment="1" applyProtection="1">
      <alignment horizontal="right"/>
    </xf>
    <xf numFmtId="0" fontId="21" fillId="10" borderId="12" xfId="0" applyFont="1" applyFill="1" applyBorder="1" applyAlignment="1" applyProtection="1">
      <alignment horizontal="center"/>
    </xf>
    <xf numFmtId="0" fontId="21" fillId="10" borderId="12" xfId="0" applyFont="1" applyFill="1" applyBorder="1" applyAlignment="1" applyProtection="1">
      <alignment horizontal="left"/>
    </xf>
    <xf numFmtId="168" fontId="2" fillId="10" borderId="12" xfId="0" applyNumberFormat="1" applyFont="1" applyFill="1" applyBorder="1" applyAlignment="1" applyProtection="1">
      <alignment horizontal="center"/>
    </xf>
    <xf numFmtId="10" fontId="3" fillId="10" borderId="12" xfId="0" applyNumberFormat="1" applyFont="1" applyFill="1" applyBorder="1" applyAlignment="1" applyProtection="1">
      <alignment horizontal="center"/>
    </xf>
    <xf numFmtId="174" fontId="3" fillId="10" borderId="12" xfId="0" applyNumberFormat="1" applyFont="1" applyFill="1" applyBorder="1" applyAlignment="1" applyProtection="1">
      <alignment horizontal="center"/>
    </xf>
    <xf numFmtId="167" fontId="19" fillId="10" borderId="12" xfId="0" applyNumberFormat="1" applyFont="1" applyFill="1" applyBorder="1" applyAlignment="1" applyProtection="1">
      <alignment horizontal="center"/>
    </xf>
    <xf numFmtId="3" fontId="2" fillId="10" borderId="12" xfId="0" applyNumberFormat="1" applyFont="1" applyFill="1" applyBorder="1" applyProtection="1"/>
    <xf numFmtId="174" fontId="2" fillId="10" borderId="12" xfId="0" applyNumberFormat="1" applyFont="1" applyFill="1" applyBorder="1" applyProtection="1"/>
    <xf numFmtId="167" fontId="2" fillId="10" borderId="12" xfId="0" applyNumberFormat="1" applyFont="1" applyFill="1" applyBorder="1" applyAlignment="1" applyProtection="1"/>
    <xf numFmtId="167" fontId="17" fillId="10" borderId="12" xfId="0" applyNumberFormat="1" applyFont="1" applyFill="1" applyBorder="1" applyProtection="1"/>
    <xf numFmtId="167" fontId="19" fillId="10" borderId="12" xfId="0" applyNumberFormat="1" applyFont="1" applyFill="1" applyBorder="1" applyProtection="1"/>
    <xf numFmtId="171" fontId="2" fillId="10" borderId="12" xfId="0" applyNumberFormat="1" applyFont="1" applyFill="1" applyBorder="1" applyProtection="1"/>
    <xf numFmtId="171" fontId="3" fillId="10" borderId="12" xfId="0" applyNumberFormat="1" applyFont="1" applyFill="1" applyBorder="1" applyProtection="1"/>
    <xf numFmtId="168" fontId="2" fillId="4" borderId="6" xfId="0" applyNumberFormat="1" applyFont="1" applyFill="1" applyBorder="1" applyAlignment="1" applyProtection="1">
      <alignment horizontal="center"/>
      <protection locked="0"/>
    </xf>
    <xf numFmtId="175" fontId="2" fillId="4" borderId="6"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xf>
    <xf numFmtId="167" fontId="2" fillId="5" borderId="13" xfId="0" applyNumberFormat="1" applyFont="1" applyFill="1" applyBorder="1" applyAlignment="1" applyProtection="1">
      <alignment horizontal="center"/>
    </xf>
    <xf numFmtId="0" fontId="2" fillId="4" borderId="17" xfId="0" applyNumberFormat="1" applyFont="1" applyFill="1" applyBorder="1" applyAlignment="1" applyProtection="1">
      <alignment horizontal="center"/>
      <protection locked="0"/>
    </xf>
    <xf numFmtId="175" fontId="2" fillId="4" borderId="17" xfId="0" applyNumberFormat="1" applyFont="1" applyFill="1" applyBorder="1" applyAlignment="1" applyProtection="1">
      <alignment horizontal="center"/>
      <protection locked="0"/>
    </xf>
    <xf numFmtId="171" fontId="3" fillId="5" borderId="0" xfId="0" applyNumberFormat="1" applyFont="1" applyFill="1" applyBorder="1" applyAlignment="1" applyProtection="1">
      <alignment horizontal="center"/>
    </xf>
    <xf numFmtId="0" fontId="28" fillId="10" borderId="12" xfId="0" applyFont="1" applyFill="1" applyBorder="1" applyProtection="1"/>
    <xf numFmtId="0" fontId="2" fillId="10" borderId="12" xfId="0" applyFont="1" applyFill="1" applyBorder="1" applyAlignment="1" applyProtection="1">
      <alignment horizontal="left"/>
      <protection locked="0"/>
    </xf>
    <xf numFmtId="0" fontId="17" fillId="10" borderId="12" xfId="0" applyFont="1" applyFill="1" applyBorder="1" applyAlignment="1" applyProtection="1">
      <alignment horizontal="right"/>
    </xf>
    <xf numFmtId="0" fontId="2" fillId="10" borderId="12" xfId="0" applyNumberFormat="1" applyFont="1" applyFill="1" applyBorder="1" applyAlignment="1" applyProtection="1">
      <alignment horizontal="center"/>
    </xf>
    <xf numFmtId="175" fontId="2" fillId="10" borderId="12" xfId="0" applyNumberFormat="1" applyFont="1" applyFill="1" applyBorder="1" applyAlignment="1" applyProtection="1">
      <alignment horizontal="center"/>
    </xf>
    <xf numFmtId="174" fontId="2" fillId="10" borderId="12" xfId="0" applyNumberFormat="1" applyFont="1" applyFill="1" applyBorder="1" applyAlignment="1" applyProtection="1">
      <alignment horizontal="center"/>
    </xf>
    <xf numFmtId="171" fontId="2" fillId="10" borderId="12" xfId="0" applyNumberFormat="1" applyFont="1" applyFill="1" applyBorder="1" applyAlignment="1" applyProtection="1">
      <alignment horizontal="center"/>
    </xf>
    <xf numFmtId="171" fontId="3" fillId="10" borderId="12" xfId="0" applyNumberFormat="1" applyFont="1" applyFill="1" applyBorder="1" applyAlignment="1" applyProtection="1">
      <alignment horizontal="center"/>
    </xf>
    <xf numFmtId="0" fontId="28" fillId="10" borderId="12" xfId="0" applyFont="1" applyFill="1" applyBorder="1" applyAlignment="1" applyProtection="1">
      <alignment horizontal="left"/>
      <protection locked="0"/>
    </xf>
    <xf numFmtId="176" fontId="2" fillId="5" borderId="6" xfId="0" applyNumberFormat="1" applyFont="1" applyFill="1" applyBorder="1" applyAlignment="1" applyProtection="1">
      <alignment horizontal="center"/>
    </xf>
    <xf numFmtId="176" fontId="3" fillId="5" borderId="6"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xf>
    <xf numFmtId="176" fontId="2" fillId="5" borderId="13" xfId="0" applyNumberFormat="1" applyFont="1" applyFill="1" applyBorder="1" applyAlignment="1" applyProtection="1">
      <alignment horizontal="center"/>
    </xf>
    <xf numFmtId="3" fontId="2" fillId="2" borderId="13" xfId="0" applyNumberFormat="1" applyFont="1" applyFill="1" applyBorder="1" applyAlignment="1" applyProtection="1">
      <alignment horizontal="center"/>
    </xf>
    <xf numFmtId="171" fontId="2" fillId="4" borderId="13" xfId="0" applyNumberFormat="1" applyFont="1" applyFill="1" applyBorder="1" applyAlignment="1" applyProtection="1">
      <alignment horizontal="center"/>
      <protection locked="0"/>
    </xf>
    <xf numFmtId="10" fontId="2" fillId="4" borderId="17" xfId="0" applyNumberFormat="1" applyFont="1" applyFill="1" applyBorder="1" applyAlignment="1" applyProtection="1">
      <alignment horizontal="center"/>
      <protection locked="0"/>
    </xf>
    <xf numFmtId="0" fontId="21" fillId="10" borderId="12" xfId="0" applyFont="1" applyFill="1" applyBorder="1" applyAlignment="1" applyProtection="1">
      <alignment horizontal="right"/>
    </xf>
    <xf numFmtId="176" fontId="2" fillId="10" borderId="12" xfId="0" applyNumberFormat="1" applyFont="1" applyFill="1" applyBorder="1" applyAlignment="1" applyProtection="1">
      <alignment horizontal="center"/>
    </xf>
    <xf numFmtId="3" fontId="2" fillId="10" borderId="12" xfId="0" applyNumberFormat="1" applyFont="1" applyFill="1" applyBorder="1" applyAlignment="1" applyProtection="1">
      <alignment horizontal="center"/>
    </xf>
    <xf numFmtId="0" fontId="42" fillId="10" borderId="0" xfId="0" applyFont="1" applyFill="1" applyBorder="1" applyProtection="1"/>
    <xf numFmtId="0" fontId="3" fillId="0" borderId="0" xfId="0" applyFont="1" applyFill="1" applyBorder="1" applyProtection="1"/>
    <xf numFmtId="0" fontId="38" fillId="0" borderId="0" xfId="0" applyFont="1" applyFill="1" applyBorder="1" applyProtection="1"/>
    <xf numFmtId="0" fontId="2" fillId="4" borderId="12" xfId="0" applyFont="1" applyFill="1" applyBorder="1" applyAlignment="1" applyProtection="1">
      <alignment horizontal="left"/>
      <protection locked="0"/>
    </xf>
    <xf numFmtId="10" fontId="3" fillId="5" borderId="12" xfId="2" applyNumberFormat="1" applyFont="1" applyFill="1" applyBorder="1" applyAlignment="1" applyProtection="1">
      <alignment horizontal="center"/>
    </xf>
    <xf numFmtId="0" fontId="2" fillId="4" borderId="15" xfId="0" applyFont="1" applyFill="1" applyBorder="1" applyAlignment="1" applyProtection="1">
      <alignment horizontal="left"/>
      <protection locked="0"/>
    </xf>
    <xf numFmtId="0" fontId="2" fillId="4" borderId="16" xfId="0" applyFont="1" applyFill="1" applyBorder="1" applyAlignment="1" applyProtection="1">
      <alignment horizontal="left"/>
      <protection locked="0"/>
    </xf>
    <xf numFmtId="167" fontId="3" fillId="10" borderId="12" xfId="0" applyNumberFormat="1" applyFont="1" applyFill="1" applyBorder="1" applyAlignment="1" applyProtection="1"/>
    <xf numFmtId="0" fontId="3" fillId="10" borderId="12" xfId="0" applyFont="1" applyFill="1" applyBorder="1" applyAlignment="1" applyProtection="1"/>
    <xf numFmtId="0" fontId="2" fillId="4" borderId="20" xfId="0" applyFont="1" applyFill="1" applyBorder="1" applyAlignment="1" applyProtection="1">
      <alignment horizontal="left"/>
      <protection locked="0"/>
    </xf>
    <xf numFmtId="0" fontId="2" fillId="4" borderId="19" xfId="0" applyFont="1" applyFill="1" applyBorder="1" applyAlignment="1" applyProtection="1">
      <alignment horizontal="left"/>
      <protection locked="0"/>
    </xf>
    <xf numFmtId="0" fontId="2" fillId="4" borderId="15" xfId="0" applyFont="1" applyFill="1" applyBorder="1" applyAlignment="1" applyProtection="1">
      <protection locked="0"/>
    </xf>
    <xf numFmtId="0" fontId="2" fillId="4" borderId="19" xfId="0" applyFont="1" applyFill="1" applyBorder="1" applyAlignment="1" applyProtection="1">
      <protection locked="0"/>
    </xf>
    <xf numFmtId="0" fontId="2" fillId="4" borderId="16" xfId="0" applyFont="1" applyFill="1" applyBorder="1" applyAlignment="1" applyProtection="1">
      <protection locked="0"/>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CCECFF"/>
      <color rgb="FF99CCFF"/>
      <color rgb="FFFFCC99"/>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78441</xdr:rowOff>
    </xdr:from>
    <xdr:to>
      <xdr:col>17</xdr:col>
      <xdr:colOff>9524</xdr:colOff>
      <xdr:row>4</xdr:row>
      <xdr:rowOff>152400</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9294" y="246529"/>
          <a:ext cx="1746436" cy="611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332815</xdr:colOff>
      <xdr:row>2</xdr:row>
      <xdr:rowOff>17369</xdr:rowOff>
    </xdr:from>
    <xdr:to>
      <xdr:col>13</xdr:col>
      <xdr:colOff>156883</xdr:colOff>
      <xdr:row>4</xdr:row>
      <xdr:rowOff>122144</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290" y="360269"/>
          <a:ext cx="158619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2</xdr:row>
      <xdr:rowOff>38100</xdr:rowOff>
    </xdr:from>
    <xdr:to>
      <xdr:col>8</xdr:col>
      <xdr:colOff>1009650</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381000"/>
          <a:ext cx="1571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481853</xdr:colOff>
      <xdr:row>2</xdr:row>
      <xdr:rowOff>38100</xdr:rowOff>
    </xdr:from>
    <xdr:to>
      <xdr:col>9</xdr:col>
      <xdr:colOff>104775</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5803" y="361950"/>
          <a:ext cx="130884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627529</xdr:colOff>
      <xdr:row>2</xdr:row>
      <xdr:rowOff>19050</xdr:rowOff>
    </xdr:from>
    <xdr:to>
      <xdr:col>9</xdr:col>
      <xdr:colOff>8964</xdr:colOff>
      <xdr:row>4</xdr:row>
      <xdr:rowOff>123825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0529" y="342900"/>
          <a:ext cx="13340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47</xdr:row>
      <xdr:rowOff>47624</xdr:rowOff>
    </xdr:from>
    <xdr:to>
      <xdr:col>7</xdr:col>
      <xdr:colOff>317500</xdr:colOff>
      <xdr:row>51</xdr:row>
      <xdr:rowOff>34017</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2204" y="7508874"/>
          <a:ext cx="1736725" cy="62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1"/>
  <sheetViews>
    <sheetView zoomScale="85" zoomScaleNormal="85" workbookViewId="0">
      <selection activeCell="B2" sqref="B2"/>
    </sheetView>
  </sheetViews>
  <sheetFormatPr defaultRowHeight="12.75" x14ac:dyDescent="0.2"/>
  <cols>
    <col min="1" max="3" width="2.7109375" style="68" customWidth="1"/>
    <col min="4" max="15" width="9.140625" style="68"/>
    <col min="16" max="16" width="17" style="68" bestFit="1" customWidth="1"/>
    <col min="17" max="17" width="9.140625" style="68"/>
    <col min="18" max="20" width="2.7109375" style="68" customWidth="1"/>
    <col min="21" max="16384" width="9.140625" style="68"/>
  </cols>
  <sheetData>
    <row r="1" spans="2:19" ht="13.5" thickBot="1" x14ac:dyDescent="0.25"/>
    <row r="2" spans="2:19" x14ac:dyDescent="0.2">
      <c r="B2" s="28"/>
      <c r="C2" s="29"/>
      <c r="D2" s="29"/>
      <c r="E2" s="29"/>
      <c r="F2" s="29"/>
      <c r="G2" s="29"/>
      <c r="H2" s="29"/>
      <c r="I2" s="29"/>
      <c r="J2" s="29"/>
      <c r="K2" s="29"/>
      <c r="L2" s="29"/>
      <c r="M2" s="29"/>
      <c r="N2" s="29"/>
      <c r="O2" s="29"/>
      <c r="P2" s="29"/>
      <c r="Q2" s="29"/>
      <c r="R2" s="29"/>
      <c r="S2" s="32"/>
    </row>
    <row r="3" spans="2:19" x14ac:dyDescent="0.2">
      <c r="B3" s="33"/>
      <c r="C3" s="34"/>
      <c r="D3" s="34"/>
      <c r="E3" s="34"/>
      <c r="F3" s="34"/>
      <c r="G3" s="34"/>
      <c r="H3" s="34"/>
      <c r="I3" s="34"/>
      <c r="J3" s="34"/>
      <c r="K3" s="34"/>
      <c r="L3" s="34"/>
      <c r="M3" s="34"/>
      <c r="N3" s="34"/>
      <c r="O3" s="34"/>
      <c r="P3" s="34"/>
      <c r="Q3" s="34"/>
      <c r="R3" s="34"/>
      <c r="S3" s="37"/>
    </row>
    <row r="4" spans="2:19" ht="18" x14ac:dyDescent="0.25">
      <c r="B4" s="33"/>
      <c r="C4" s="39" t="s">
        <v>104</v>
      </c>
      <c r="D4" s="34"/>
      <c r="E4" s="34"/>
      <c r="F4" s="34"/>
      <c r="G4" s="34"/>
      <c r="H4" s="34"/>
      <c r="I4" s="34"/>
      <c r="J4" s="34"/>
      <c r="K4" s="34"/>
      <c r="L4" s="34"/>
      <c r="M4" s="34"/>
      <c r="N4" s="34"/>
      <c r="O4" s="34"/>
      <c r="P4" s="34"/>
      <c r="Q4" s="34"/>
      <c r="R4" s="34"/>
      <c r="S4" s="37"/>
    </row>
    <row r="5" spans="2:19" ht="15.75" x14ac:dyDescent="0.25">
      <c r="B5" s="33"/>
      <c r="C5" s="69"/>
      <c r="D5" s="34"/>
      <c r="E5" s="34"/>
      <c r="F5" s="34"/>
      <c r="G5" s="34"/>
      <c r="H5" s="34"/>
      <c r="I5" s="34"/>
      <c r="J5" s="34"/>
      <c r="K5" s="34"/>
      <c r="L5" s="34"/>
      <c r="M5" s="34"/>
      <c r="N5" s="34"/>
      <c r="O5" s="34"/>
      <c r="P5" s="34"/>
      <c r="Q5" s="34"/>
      <c r="R5" s="34"/>
      <c r="S5" s="37"/>
    </row>
    <row r="6" spans="2:19" x14ac:dyDescent="0.2">
      <c r="B6" s="33"/>
      <c r="C6" s="146"/>
      <c r="D6" s="147"/>
      <c r="E6" s="146"/>
      <c r="F6" s="146"/>
      <c r="G6" s="146"/>
      <c r="H6" s="146"/>
      <c r="I6" s="146"/>
      <c r="J6" s="146"/>
      <c r="K6" s="146"/>
      <c r="L6" s="146"/>
      <c r="M6" s="146"/>
      <c r="N6" s="147"/>
      <c r="O6" s="148"/>
      <c r="P6" s="146"/>
      <c r="Q6" s="146"/>
      <c r="R6" s="146"/>
      <c r="S6" s="37"/>
    </row>
    <row r="7" spans="2:19" x14ac:dyDescent="0.2">
      <c r="B7" s="33"/>
      <c r="C7" s="146"/>
      <c r="D7" s="146" t="s">
        <v>105</v>
      </c>
      <c r="E7" s="146"/>
      <c r="F7" s="146"/>
      <c r="G7" s="146"/>
      <c r="H7" s="146"/>
      <c r="I7" s="149" t="s">
        <v>106</v>
      </c>
      <c r="J7" s="146"/>
      <c r="K7" s="146"/>
      <c r="L7" s="146"/>
      <c r="M7" s="146"/>
      <c r="N7" s="146"/>
      <c r="O7" s="147" t="s">
        <v>107</v>
      </c>
      <c r="P7" s="150">
        <v>42387</v>
      </c>
      <c r="Q7" s="146"/>
      <c r="R7" s="146"/>
      <c r="S7" s="37"/>
    </row>
    <row r="8" spans="2:19" s="70" customFormat="1" x14ac:dyDescent="0.2">
      <c r="B8" s="38"/>
      <c r="C8" s="146"/>
      <c r="D8" s="146" t="s">
        <v>108</v>
      </c>
      <c r="E8" s="146"/>
      <c r="F8" s="146"/>
      <c r="G8" s="146"/>
      <c r="H8" s="146"/>
      <c r="I8" s="146"/>
      <c r="J8" s="146"/>
      <c r="K8" s="146"/>
      <c r="L8" s="146"/>
      <c r="M8" s="146"/>
      <c r="N8" s="146"/>
      <c r="O8" s="146"/>
      <c r="P8" s="151"/>
      <c r="Q8" s="152"/>
      <c r="R8" s="151"/>
      <c r="S8" s="45"/>
    </row>
    <row r="9" spans="2:19" x14ac:dyDescent="0.2">
      <c r="B9" s="33"/>
      <c r="C9" s="146"/>
      <c r="D9" s="146"/>
      <c r="E9" s="146"/>
      <c r="F9" s="146"/>
      <c r="G9" s="146"/>
      <c r="H9" s="146"/>
      <c r="I9" s="146"/>
      <c r="J9" s="146"/>
      <c r="K9" s="146"/>
      <c r="L9" s="146"/>
      <c r="M9" s="146"/>
      <c r="N9" s="146"/>
      <c r="O9" s="146"/>
      <c r="P9" s="146"/>
      <c r="Q9" s="153"/>
      <c r="R9" s="154"/>
      <c r="S9" s="37"/>
    </row>
    <row r="10" spans="2:19" x14ac:dyDescent="0.2">
      <c r="B10" s="33"/>
      <c r="C10" s="146"/>
      <c r="D10" s="146" t="s">
        <v>309</v>
      </c>
      <c r="E10" s="146"/>
      <c r="F10" s="146"/>
      <c r="G10" s="146"/>
      <c r="H10" s="146"/>
      <c r="I10" s="146"/>
      <c r="J10" s="146"/>
      <c r="K10" s="146"/>
      <c r="L10" s="146"/>
      <c r="M10" s="146"/>
      <c r="N10" s="146"/>
      <c r="O10" s="146"/>
      <c r="P10" s="146"/>
      <c r="Q10" s="153"/>
      <c r="R10" s="154"/>
      <c r="S10" s="37"/>
    </row>
    <row r="11" spans="2:19" x14ac:dyDescent="0.2">
      <c r="B11" s="33"/>
      <c r="C11" s="146"/>
      <c r="D11" s="146" t="s">
        <v>306</v>
      </c>
      <c r="E11" s="146"/>
      <c r="F11" s="146"/>
      <c r="G11" s="146"/>
      <c r="H11" s="146"/>
      <c r="I11" s="146"/>
      <c r="J11" s="146"/>
      <c r="K11" s="146"/>
      <c r="L11" s="146"/>
      <c r="M11" s="146"/>
      <c r="N11" s="146"/>
      <c r="O11" s="146"/>
      <c r="P11" s="146"/>
      <c r="Q11" s="153"/>
      <c r="R11" s="154"/>
      <c r="S11" s="37"/>
    </row>
    <row r="12" spans="2:19" x14ac:dyDescent="0.2">
      <c r="B12" s="33"/>
      <c r="C12" s="146"/>
      <c r="D12" s="146" t="s">
        <v>109</v>
      </c>
      <c r="E12" s="146"/>
      <c r="F12" s="146"/>
      <c r="G12" s="146"/>
      <c r="H12" s="146"/>
      <c r="I12" s="146"/>
      <c r="J12" s="146"/>
      <c r="K12" s="146"/>
      <c r="L12" s="146"/>
      <c r="M12" s="146"/>
      <c r="N12" s="146"/>
      <c r="O12" s="146"/>
      <c r="P12" s="146"/>
      <c r="Q12" s="146"/>
      <c r="R12" s="154"/>
      <c r="S12" s="37"/>
    </row>
    <row r="13" spans="2:19" x14ac:dyDescent="0.2">
      <c r="B13" s="33"/>
      <c r="C13" s="146"/>
      <c r="D13" s="146" t="s">
        <v>110</v>
      </c>
      <c r="E13" s="146"/>
      <c r="F13" s="146"/>
      <c r="G13" s="146"/>
      <c r="H13" s="146"/>
      <c r="I13" s="146"/>
      <c r="J13" s="146"/>
      <c r="K13" s="146"/>
      <c r="L13" s="146"/>
      <c r="M13" s="146"/>
      <c r="N13" s="146"/>
      <c r="O13" s="146"/>
      <c r="P13" s="146"/>
      <c r="Q13" s="146"/>
      <c r="R13" s="146"/>
      <c r="S13" s="37"/>
    </row>
    <row r="14" spans="2:19" x14ac:dyDescent="0.2">
      <c r="B14" s="33"/>
      <c r="C14" s="146"/>
      <c r="D14" s="146"/>
      <c r="E14" s="146"/>
      <c r="F14" s="146"/>
      <c r="G14" s="146"/>
      <c r="H14" s="146"/>
      <c r="I14" s="146"/>
      <c r="J14" s="146"/>
      <c r="K14" s="146"/>
      <c r="L14" s="146"/>
      <c r="M14" s="146"/>
      <c r="N14" s="146"/>
      <c r="O14" s="146"/>
      <c r="P14" s="146"/>
      <c r="Q14" s="146"/>
      <c r="R14" s="146"/>
      <c r="S14" s="37"/>
    </row>
    <row r="15" spans="2:19" x14ac:dyDescent="0.2">
      <c r="B15" s="33"/>
      <c r="C15" s="146"/>
      <c r="D15" s="146" t="s">
        <v>310</v>
      </c>
      <c r="E15" s="146"/>
      <c r="F15" s="146"/>
      <c r="G15" s="146"/>
      <c r="H15" s="146"/>
      <c r="I15" s="146"/>
      <c r="J15" s="146"/>
      <c r="K15" s="146"/>
      <c r="L15" s="146"/>
      <c r="M15" s="146"/>
      <c r="N15" s="146"/>
      <c r="O15" s="146"/>
      <c r="P15" s="146"/>
      <c r="Q15" s="146"/>
      <c r="R15" s="146"/>
      <c r="S15" s="37"/>
    </row>
    <row r="16" spans="2:19" x14ac:dyDescent="0.2">
      <c r="B16" s="33"/>
      <c r="C16" s="146"/>
      <c r="D16" s="146" t="s">
        <v>311</v>
      </c>
      <c r="E16" s="146"/>
      <c r="F16" s="146"/>
      <c r="G16" s="146"/>
      <c r="H16" s="146"/>
      <c r="I16" s="146"/>
      <c r="J16" s="146"/>
      <c r="K16" s="146"/>
      <c r="L16" s="146"/>
      <c r="M16" s="146"/>
      <c r="N16" s="146"/>
      <c r="O16" s="146"/>
      <c r="P16" s="146"/>
      <c r="Q16" s="146"/>
      <c r="R16" s="146"/>
      <c r="S16" s="37"/>
    </row>
    <row r="17" spans="2:19" x14ac:dyDescent="0.2">
      <c r="B17" s="33"/>
      <c r="C17" s="146"/>
      <c r="D17" s="146" t="s">
        <v>286</v>
      </c>
      <c r="E17" s="146"/>
      <c r="F17" s="146"/>
      <c r="G17" s="146"/>
      <c r="H17" s="146"/>
      <c r="I17" s="146"/>
      <c r="J17" s="146"/>
      <c r="K17" s="146"/>
      <c r="L17" s="146"/>
      <c r="M17" s="146"/>
      <c r="N17" s="146"/>
      <c r="O17" s="146"/>
      <c r="P17" s="146"/>
      <c r="Q17" s="146"/>
      <c r="R17" s="146"/>
      <c r="S17" s="37"/>
    </row>
    <row r="18" spans="2:19" x14ac:dyDescent="0.2">
      <c r="B18" s="33"/>
      <c r="C18" s="146"/>
      <c r="D18" s="146"/>
      <c r="E18" s="146"/>
      <c r="F18" s="146"/>
      <c r="G18" s="146"/>
      <c r="H18" s="146"/>
      <c r="I18" s="146"/>
      <c r="J18" s="146"/>
      <c r="K18" s="146"/>
      <c r="L18" s="146"/>
      <c r="M18" s="146"/>
      <c r="N18" s="146"/>
      <c r="O18" s="146"/>
      <c r="P18" s="146"/>
      <c r="Q18" s="146"/>
      <c r="R18" s="146"/>
      <c r="S18" s="37"/>
    </row>
    <row r="19" spans="2:19" x14ac:dyDescent="0.2">
      <c r="B19" s="33"/>
      <c r="C19" s="153" t="s">
        <v>111</v>
      </c>
      <c r="D19" s="147" t="s">
        <v>112</v>
      </c>
      <c r="E19" s="146"/>
      <c r="F19" s="146"/>
      <c r="G19" s="146"/>
      <c r="H19" s="146"/>
      <c r="I19" s="146"/>
      <c r="J19" s="146"/>
      <c r="K19" s="146"/>
      <c r="L19" s="146"/>
      <c r="M19" s="146"/>
      <c r="N19" s="146"/>
      <c r="O19" s="146"/>
      <c r="P19" s="146"/>
      <c r="Q19" s="146"/>
      <c r="R19" s="146"/>
      <c r="S19" s="37"/>
    </row>
    <row r="20" spans="2:19" x14ac:dyDescent="0.2">
      <c r="B20" s="33"/>
      <c r="C20" s="153"/>
      <c r="D20" s="147"/>
      <c r="E20" s="146"/>
      <c r="F20" s="146"/>
      <c r="G20" s="146"/>
      <c r="H20" s="146"/>
      <c r="I20" s="146"/>
      <c r="J20" s="146"/>
      <c r="K20" s="146"/>
      <c r="L20" s="146"/>
      <c r="M20" s="146"/>
      <c r="N20" s="146"/>
      <c r="O20" s="146"/>
      <c r="P20" s="146"/>
      <c r="Q20" s="146"/>
      <c r="R20" s="146"/>
      <c r="S20" s="37"/>
    </row>
    <row r="21" spans="2:19" x14ac:dyDescent="0.2">
      <c r="B21" s="33"/>
      <c r="C21" s="146"/>
      <c r="D21" s="147" t="s">
        <v>113</v>
      </c>
      <c r="E21" s="146"/>
      <c r="F21" s="146"/>
      <c r="G21" s="146"/>
      <c r="H21" s="146"/>
      <c r="I21" s="146"/>
      <c r="J21" s="146"/>
      <c r="K21" s="146"/>
      <c r="L21" s="146"/>
      <c r="M21" s="146"/>
      <c r="N21" s="146"/>
      <c r="O21" s="146"/>
      <c r="P21" s="146"/>
      <c r="Q21" s="146"/>
      <c r="R21" s="146"/>
      <c r="S21" s="37"/>
    </row>
    <row r="22" spans="2:19" x14ac:dyDescent="0.2">
      <c r="B22" s="33"/>
      <c r="C22" s="146"/>
      <c r="D22" s="327" t="s">
        <v>114</v>
      </c>
      <c r="E22" s="146"/>
      <c r="F22" s="146"/>
      <c r="G22" s="146"/>
      <c r="H22" s="146"/>
      <c r="I22" s="146"/>
      <c r="J22" s="146"/>
      <c r="K22" s="146"/>
      <c r="L22" s="146"/>
      <c r="M22" s="146"/>
      <c r="N22" s="146"/>
      <c r="O22" s="146"/>
      <c r="P22" s="146"/>
      <c r="Q22" s="146"/>
      <c r="R22" s="146"/>
      <c r="S22" s="37"/>
    </row>
    <row r="23" spans="2:19" x14ac:dyDescent="0.2">
      <c r="B23" s="33"/>
      <c r="C23" s="146"/>
      <c r="D23" s="327" t="s">
        <v>115</v>
      </c>
      <c r="E23" s="146"/>
      <c r="F23" s="146"/>
      <c r="G23" s="146"/>
      <c r="H23" s="146"/>
      <c r="I23" s="146"/>
      <c r="J23" s="146"/>
      <c r="K23" s="146"/>
      <c r="L23" s="146"/>
      <c r="M23" s="146"/>
      <c r="N23" s="146"/>
      <c r="O23" s="146"/>
      <c r="P23" s="146"/>
      <c r="Q23" s="146"/>
      <c r="R23" s="146"/>
      <c r="S23" s="37"/>
    </row>
    <row r="24" spans="2:19" x14ac:dyDescent="0.2">
      <c r="B24" s="33"/>
      <c r="C24" s="146"/>
      <c r="D24" s="327" t="s">
        <v>116</v>
      </c>
      <c r="E24" s="146"/>
      <c r="F24" s="146"/>
      <c r="G24" s="146"/>
      <c r="H24" s="146"/>
      <c r="I24" s="146"/>
      <c r="J24" s="146"/>
      <c r="K24" s="146"/>
      <c r="L24" s="146"/>
      <c r="M24" s="146"/>
      <c r="N24" s="146"/>
      <c r="O24" s="146"/>
      <c r="P24" s="146"/>
      <c r="Q24" s="146"/>
      <c r="R24" s="146"/>
      <c r="S24" s="37"/>
    </row>
    <row r="25" spans="2:19" x14ac:dyDescent="0.2">
      <c r="B25" s="33"/>
      <c r="C25" s="146"/>
      <c r="D25" s="327" t="s">
        <v>117</v>
      </c>
      <c r="E25" s="146"/>
      <c r="F25" s="146"/>
      <c r="G25" s="146"/>
      <c r="H25" s="146"/>
      <c r="I25" s="146"/>
      <c r="J25" s="146"/>
      <c r="K25" s="146"/>
      <c r="L25" s="146"/>
      <c r="M25" s="146"/>
      <c r="N25" s="146"/>
      <c r="O25" s="146"/>
      <c r="P25" s="146"/>
      <c r="Q25" s="146"/>
      <c r="R25" s="146"/>
      <c r="S25" s="37"/>
    </row>
    <row r="26" spans="2:19" x14ac:dyDescent="0.2">
      <c r="B26" s="33"/>
      <c r="C26" s="146"/>
      <c r="D26" s="327" t="s">
        <v>118</v>
      </c>
      <c r="E26" s="146"/>
      <c r="F26" s="146"/>
      <c r="G26" s="146"/>
      <c r="H26" s="146"/>
      <c r="I26" s="146"/>
      <c r="J26" s="146"/>
      <c r="K26" s="146"/>
      <c r="L26" s="146"/>
      <c r="M26" s="146"/>
      <c r="N26" s="146"/>
      <c r="O26" s="146"/>
      <c r="P26" s="146"/>
      <c r="Q26" s="146"/>
      <c r="R26" s="146"/>
      <c r="S26" s="37"/>
    </row>
    <row r="27" spans="2:19" x14ac:dyDescent="0.2">
      <c r="B27" s="33"/>
      <c r="C27" s="146"/>
      <c r="D27" s="327" t="s">
        <v>119</v>
      </c>
      <c r="E27" s="146"/>
      <c r="F27" s="146"/>
      <c r="G27" s="146"/>
      <c r="H27" s="146"/>
      <c r="I27" s="146"/>
      <c r="J27" s="146"/>
      <c r="K27" s="146"/>
      <c r="L27" s="146"/>
      <c r="M27" s="146"/>
      <c r="N27" s="146"/>
      <c r="O27" s="146"/>
      <c r="P27" s="146"/>
      <c r="Q27" s="146"/>
      <c r="R27" s="146"/>
      <c r="S27" s="37"/>
    </row>
    <row r="28" spans="2:19" x14ac:dyDescent="0.2">
      <c r="B28" s="33"/>
      <c r="C28" s="146"/>
      <c r="D28" s="327"/>
      <c r="E28" s="146"/>
      <c r="F28" s="146"/>
      <c r="G28" s="146"/>
      <c r="H28" s="146"/>
      <c r="I28" s="146"/>
      <c r="J28" s="146"/>
      <c r="K28" s="146"/>
      <c r="L28" s="146"/>
      <c r="M28" s="146"/>
      <c r="N28" s="146"/>
      <c r="O28" s="146"/>
      <c r="P28" s="146"/>
      <c r="Q28" s="146"/>
      <c r="R28" s="146"/>
      <c r="S28" s="37"/>
    </row>
    <row r="29" spans="2:19" x14ac:dyDescent="0.2">
      <c r="B29" s="33"/>
      <c r="C29" s="146"/>
      <c r="D29" s="327" t="s">
        <v>120</v>
      </c>
      <c r="E29" s="146"/>
      <c r="F29" s="146"/>
      <c r="G29" s="146"/>
      <c r="H29" s="146"/>
      <c r="I29" s="146"/>
      <c r="J29" s="146"/>
      <c r="K29" s="146"/>
      <c r="L29" s="146"/>
      <c r="M29" s="146"/>
      <c r="N29" s="146"/>
      <c r="O29" s="146"/>
      <c r="P29" s="146"/>
      <c r="Q29" s="146"/>
      <c r="R29" s="146"/>
      <c r="S29" s="37"/>
    </row>
    <row r="30" spans="2:19" x14ac:dyDescent="0.2">
      <c r="B30" s="33"/>
      <c r="C30" s="146"/>
      <c r="D30" s="327" t="s">
        <v>121</v>
      </c>
      <c r="E30" s="146"/>
      <c r="F30" s="146"/>
      <c r="G30" s="146"/>
      <c r="H30" s="146"/>
      <c r="I30" s="146"/>
      <c r="J30" s="146"/>
      <c r="K30" s="146"/>
      <c r="L30" s="146"/>
      <c r="M30" s="146"/>
      <c r="N30" s="146"/>
      <c r="O30" s="146"/>
      <c r="P30" s="146"/>
      <c r="Q30" s="146"/>
      <c r="R30" s="146"/>
      <c r="S30" s="37"/>
    </row>
    <row r="31" spans="2:19" x14ac:dyDescent="0.2">
      <c r="B31" s="33"/>
      <c r="C31" s="146"/>
      <c r="D31" s="327" t="s">
        <v>122</v>
      </c>
      <c r="E31" s="146"/>
      <c r="F31" s="146"/>
      <c r="G31" s="146"/>
      <c r="H31" s="146"/>
      <c r="I31" s="146"/>
      <c r="J31" s="146"/>
      <c r="K31" s="146"/>
      <c r="L31" s="146"/>
      <c r="M31" s="146"/>
      <c r="N31" s="146"/>
      <c r="O31" s="146"/>
      <c r="P31" s="146"/>
      <c r="Q31" s="146"/>
      <c r="R31" s="146"/>
      <c r="S31" s="37"/>
    </row>
    <row r="32" spans="2:19" x14ac:dyDescent="0.2">
      <c r="B32" s="33"/>
      <c r="C32" s="146"/>
      <c r="D32" s="147"/>
      <c r="E32" s="146"/>
      <c r="F32" s="146"/>
      <c r="G32" s="146"/>
      <c r="H32" s="146"/>
      <c r="I32" s="146"/>
      <c r="J32" s="146"/>
      <c r="K32" s="146"/>
      <c r="L32" s="146"/>
      <c r="M32" s="146"/>
      <c r="N32" s="146"/>
      <c r="O32" s="146"/>
      <c r="P32" s="146"/>
      <c r="Q32" s="146"/>
      <c r="R32" s="146"/>
      <c r="S32" s="37"/>
    </row>
    <row r="33" spans="2:19" x14ac:dyDescent="0.2">
      <c r="B33" s="33"/>
      <c r="C33" s="146"/>
      <c r="D33" s="146" t="s">
        <v>123</v>
      </c>
      <c r="E33" s="146"/>
      <c r="F33" s="146"/>
      <c r="G33" s="146"/>
      <c r="H33" s="146"/>
      <c r="I33" s="146"/>
      <c r="J33" s="146"/>
      <c r="K33" s="146"/>
      <c r="L33" s="146"/>
      <c r="M33" s="146"/>
      <c r="N33" s="146"/>
      <c r="O33" s="146"/>
      <c r="P33" s="146"/>
      <c r="Q33" s="146"/>
      <c r="R33" s="146"/>
      <c r="S33" s="37"/>
    </row>
    <row r="34" spans="2:19" x14ac:dyDescent="0.2">
      <c r="B34" s="33"/>
      <c r="C34" s="146"/>
      <c r="D34" s="146" t="s">
        <v>124</v>
      </c>
      <c r="E34" s="146"/>
      <c r="F34" s="146"/>
      <c r="G34" s="146"/>
      <c r="H34" s="146"/>
      <c r="I34" s="146"/>
      <c r="J34" s="146"/>
      <c r="K34" s="146"/>
      <c r="L34" s="146"/>
      <c r="M34" s="146"/>
      <c r="N34" s="146"/>
      <c r="O34" s="146"/>
      <c r="P34" s="146"/>
      <c r="Q34" s="146"/>
      <c r="R34" s="146"/>
      <c r="S34" s="37"/>
    </row>
    <row r="35" spans="2:19" x14ac:dyDescent="0.2">
      <c r="B35" s="33"/>
      <c r="C35" s="146"/>
      <c r="D35" s="146" t="s">
        <v>125</v>
      </c>
      <c r="E35" s="146"/>
      <c r="F35" s="146"/>
      <c r="G35" s="146"/>
      <c r="H35" s="146"/>
      <c r="I35" s="146"/>
      <c r="J35" s="146"/>
      <c r="K35" s="146"/>
      <c r="L35" s="146"/>
      <c r="M35" s="146"/>
      <c r="N35" s="146"/>
      <c r="O35" s="146"/>
      <c r="P35" s="146"/>
      <c r="Q35" s="146"/>
      <c r="R35" s="146"/>
      <c r="S35" s="37"/>
    </row>
    <row r="36" spans="2:19" x14ac:dyDescent="0.2">
      <c r="B36" s="33"/>
      <c r="C36" s="146"/>
      <c r="D36" s="146"/>
      <c r="E36" s="146"/>
      <c r="F36" s="146"/>
      <c r="G36" s="146"/>
      <c r="H36" s="146"/>
      <c r="I36" s="146"/>
      <c r="J36" s="146"/>
      <c r="K36" s="146"/>
      <c r="L36" s="146"/>
      <c r="M36" s="146"/>
      <c r="N36" s="146"/>
      <c r="O36" s="146"/>
      <c r="P36" s="146"/>
      <c r="Q36" s="146"/>
      <c r="R36" s="146"/>
      <c r="S36" s="37"/>
    </row>
    <row r="37" spans="2:19" x14ac:dyDescent="0.2">
      <c r="B37" s="33"/>
      <c r="C37" s="146"/>
      <c r="D37" s="156" t="s">
        <v>274</v>
      </c>
      <c r="E37" s="146"/>
      <c r="F37" s="146"/>
      <c r="G37" s="146"/>
      <c r="H37" s="146"/>
      <c r="I37" s="146"/>
      <c r="J37" s="146"/>
      <c r="K37" s="146"/>
      <c r="L37" s="146"/>
      <c r="M37" s="146"/>
      <c r="N37" s="146"/>
      <c r="O37" s="146"/>
      <c r="P37" s="146"/>
      <c r="Q37" s="146"/>
      <c r="R37" s="146"/>
      <c r="S37" s="37"/>
    </row>
    <row r="38" spans="2:19" x14ac:dyDescent="0.2">
      <c r="B38" s="33"/>
      <c r="C38" s="146"/>
      <c r="D38" s="157" t="s">
        <v>312</v>
      </c>
      <c r="E38" s="146"/>
      <c r="F38" s="146"/>
      <c r="G38" s="146"/>
      <c r="H38" s="146"/>
      <c r="I38" s="146"/>
      <c r="J38" s="146"/>
      <c r="K38" s="146"/>
      <c r="L38" s="146"/>
      <c r="M38" s="146"/>
      <c r="N38" s="146"/>
      <c r="O38" s="146"/>
      <c r="P38" s="146"/>
      <c r="Q38" s="146"/>
      <c r="R38" s="146"/>
      <c r="S38" s="37"/>
    </row>
    <row r="39" spans="2:19" x14ac:dyDescent="0.2">
      <c r="B39" s="33"/>
      <c r="C39" s="146"/>
      <c r="D39" s="157" t="s">
        <v>275</v>
      </c>
      <c r="E39" s="146"/>
      <c r="F39" s="146"/>
      <c r="G39" s="146"/>
      <c r="H39" s="146"/>
      <c r="I39" s="146"/>
      <c r="J39" s="146"/>
      <c r="K39" s="146"/>
      <c r="L39" s="146"/>
      <c r="M39" s="146"/>
      <c r="N39" s="146"/>
      <c r="O39" s="146"/>
      <c r="P39" s="146"/>
      <c r="Q39" s="146"/>
      <c r="R39" s="146"/>
      <c r="S39" s="37"/>
    </row>
    <row r="40" spans="2:19" x14ac:dyDescent="0.2">
      <c r="B40" s="33"/>
      <c r="C40" s="146"/>
      <c r="D40" s="158" t="s">
        <v>276</v>
      </c>
      <c r="E40" s="146"/>
      <c r="F40" s="146"/>
      <c r="G40" s="146"/>
      <c r="H40" s="146"/>
      <c r="I40" s="146"/>
      <c r="J40" s="146"/>
      <c r="K40" s="146"/>
      <c r="L40" s="146"/>
      <c r="M40" s="146"/>
      <c r="N40" s="146"/>
      <c r="O40" s="146"/>
      <c r="P40" s="146"/>
      <c r="Q40" s="146"/>
      <c r="R40" s="146"/>
      <c r="S40" s="37"/>
    </row>
    <row r="41" spans="2:19" x14ac:dyDescent="0.2">
      <c r="B41" s="33"/>
      <c r="C41" s="146"/>
      <c r="D41" s="159" t="s">
        <v>277</v>
      </c>
      <c r="E41" s="146"/>
      <c r="F41" s="146"/>
      <c r="G41" s="146"/>
      <c r="H41" s="146"/>
      <c r="I41" s="146"/>
      <c r="J41" s="146"/>
      <c r="K41" s="146"/>
      <c r="L41" s="146"/>
      <c r="M41" s="146"/>
      <c r="N41" s="146"/>
      <c r="O41" s="146"/>
      <c r="P41" s="146"/>
      <c r="Q41" s="146"/>
      <c r="R41" s="146"/>
      <c r="S41" s="37"/>
    </row>
    <row r="42" spans="2:19" x14ac:dyDescent="0.2">
      <c r="B42" s="33"/>
      <c r="C42" s="146"/>
      <c r="D42" s="157" t="s">
        <v>313</v>
      </c>
      <c r="E42" s="146"/>
      <c r="F42" s="146"/>
      <c r="G42" s="146"/>
      <c r="H42" s="146"/>
      <c r="I42" s="146"/>
      <c r="J42" s="146"/>
      <c r="K42" s="146"/>
      <c r="L42" s="146"/>
      <c r="M42" s="146"/>
      <c r="N42" s="146"/>
      <c r="O42" s="146"/>
      <c r="P42" s="146"/>
      <c r="Q42" s="146"/>
      <c r="R42" s="146"/>
      <c r="S42" s="37"/>
    </row>
    <row r="43" spans="2:19" x14ac:dyDescent="0.2">
      <c r="B43" s="33"/>
      <c r="C43" s="146"/>
      <c r="D43" s="157" t="s">
        <v>278</v>
      </c>
      <c r="E43" s="146"/>
      <c r="F43" s="146"/>
      <c r="G43" s="146"/>
      <c r="H43" s="146"/>
      <c r="I43" s="146"/>
      <c r="J43" s="146"/>
      <c r="K43" s="146"/>
      <c r="L43" s="146"/>
      <c r="M43" s="146"/>
      <c r="N43" s="146"/>
      <c r="O43" s="146"/>
      <c r="P43" s="146"/>
      <c r="Q43" s="146"/>
      <c r="R43" s="146"/>
      <c r="S43" s="37"/>
    </row>
    <row r="44" spans="2:19" x14ac:dyDescent="0.2">
      <c r="B44" s="33"/>
      <c r="C44" s="146"/>
      <c r="D44" s="159" t="s">
        <v>279</v>
      </c>
      <c r="E44" s="146"/>
      <c r="F44" s="146"/>
      <c r="G44" s="146"/>
      <c r="H44" s="146"/>
      <c r="I44" s="146"/>
      <c r="J44" s="146"/>
      <c r="K44" s="146"/>
      <c r="L44" s="146"/>
      <c r="M44" s="146"/>
      <c r="N44" s="146"/>
      <c r="O44" s="146"/>
      <c r="P44" s="146"/>
      <c r="Q44" s="146"/>
      <c r="R44" s="146"/>
      <c r="S44" s="37"/>
    </row>
    <row r="45" spans="2:19" x14ac:dyDescent="0.2">
      <c r="B45" s="33"/>
      <c r="C45" s="146"/>
      <c r="D45" s="157" t="s">
        <v>287</v>
      </c>
      <c r="E45" s="146"/>
      <c r="F45" s="146"/>
      <c r="G45" s="146"/>
      <c r="H45" s="146"/>
      <c r="I45" s="146"/>
      <c r="J45" s="146"/>
      <c r="K45" s="146"/>
      <c r="L45" s="146"/>
      <c r="M45" s="146"/>
      <c r="N45" s="146"/>
      <c r="O45" s="146"/>
      <c r="P45" s="146"/>
      <c r="Q45" s="146"/>
      <c r="R45" s="146"/>
      <c r="S45" s="37"/>
    </row>
    <row r="46" spans="2:19" x14ac:dyDescent="0.2">
      <c r="B46" s="33"/>
      <c r="C46" s="146"/>
      <c r="D46" s="160" t="s">
        <v>288</v>
      </c>
      <c r="E46" s="146"/>
      <c r="F46" s="146"/>
      <c r="G46" s="146"/>
      <c r="H46" s="146"/>
      <c r="I46" s="146"/>
      <c r="J46" s="146"/>
      <c r="K46" s="146"/>
      <c r="L46" s="146"/>
      <c r="M46" s="146"/>
      <c r="N46" s="146"/>
      <c r="O46" s="146"/>
      <c r="P46" s="146"/>
      <c r="Q46" s="146"/>
      <c r="R46" s="146"/>
      <c r="S46" s="37"/>
    </row>
    <row r="47" spans="2:19" x14ac:dyDescent="0.2">
      <c r="B47" s="33"/>
      <c r="C47" s="146"/>
      <c r="D47" s="159" t="s">
        <v>280</v>
      </c>
      <c r="E47" s="146"/>
      <c r="F47" s="146"/>
      <c r="G47" s="146"/>
      <c r="H47" s="146"/>
      <c r="I47" s="146"/>
      <c r="J47" s="146"/>
      <c r="K47" s="146"/>
      <c r="L47" s="146"/>
      <c r="M47" s="146"/>
      <c r="N47" s="146"/>
      <c r="O47" s="146"/>
      <c r="P47" s="146"/>
      <c r="Q47" s="146"/>
      <c r="R47" s="146"/>
      <c r="S47" s="37"/>
    </row>
    <row r="48" spans="2:19" x14ac:dyDescent="0.2">
      <c r="B48" s="33"/>
      <c r="C48" s="146"/>
      <c r="D48" s="157" t="s">
        <v>281</v>
      </c>
      <c r="E48" s="146"/>
      <c r="F48" s="146"/>
      <c r="G48" s="146"/>
      <c r="H48" s="146"/>
      <c r="I48" s="146"/>
      <c r="J48" s="146"/>
      <c r="K48" s="146"/>
      <c r="L48" s="146"/>
      <c r="M48" s="146"/>
      <c r="N48" s="146"/>
      <c r="O48" s="146"/>
      <c r="P48" s="146"/>
      <c r="Q48" s="146"/>
      <c r="R48" s="146"/>
      <c r="S48" s="37"/>
    </row>
    <row r="49" spans="2:19" x14ac:dyDescent="0.2">
      <c r="B49" s="33"/>
      <c r="C49" s="146"/>
      <c r="D49" s="157" t="s">
        <v>282</v>
      </c>
      <c r="E49" s="146"/>
      <c r="F49" s="146"/>
      <c r="G49" s="146"/>
      <c r="H49" s="146"/>
      <c r="I49" s="146"/>
      <c r="J49" s="146"/>
      <c r="K49" s="146"/>
      <c r="L49" s="146"/>
      <c r="M49" s="146"/>
      <c r="N49" s="146"/>
      <c r="O49" s="146"/>
      <c r="P49" s="146"/>
      <c r="Q49" s="146"/>
      <c r="R49" s="146"/>
      <c r="S49" s="37"/>
    </row>
    <row r="50" spans="2:19" x14ac:dyDescent="0.2">
      <c r="B50" s="33"/>
      <c r="C50" s="146"/>
      <c r="D50" s="157" t="s">
        <v>289</v>
      </c>
      <c r="E50" s="146"/>
      <c r="F50" s="146"/>
      <c r="G50" s="146"/>
      <c r="H50" s="146"/>
      <c r="I50" s="146"/>
      <c r="J50" s="146"/>
      <c r="K50" s="146"/>
      <c r="L50" s="146"/>
      <c r="M50" s="146"/>
      <c r="N50" s="146"/>
      <c r="O50" s="146"/>
      <c r="P50" s="146"/>
      <c r="Q50" s="146"/>
      <c r="R50" s="146"/>
      <c r="S50" s="37"/>
    </row>
    <row r="51" spans="2:19" x14ac:dyDescent="0.2">
      <c r="B51" s="33"/>
      <c r="C51" s="146"/>
      <c r="D51" s="157"/>
      <c r="E51" s="146"/>
      <c r="F51" s="146"/>
      <c r="G51" s="146"/>
      <c r="H51" s="146"/>
      <c r="I51" s="146"/>
      <c r="J51" s="146"/>
      <c r="K51" s="146"/>
      <c r="L51" s="146"/>
      <c r="M51" s="146"/>
      <c r="N51" s="146"/>
      <c r="O51" s="146"/>
      <c r="P51" s="146"/>
      <c r="Q51" s="146"/>
      <c r="R51" s="146"/>
      <c r="S51" s="37"/>
    </row>
    <row r="52" spans="2:19" x14ac:dyDescent="0.2">
      <c r="B52" s="33"/>
      <c r="C52" s="146"/>
      <c r="D52" s="161" t="s">
        <v>283</v>
      </c>
      <c r="E52" s="146"/>
      <c r="F52" s="146"/>
      <c r="G52" s="146"/>
      <c r="H52" s="146"/>
      <c r="I52" s="146"/>
      <c r="J52" s="146"/>
      <c r="K52" s="146"/>
      <c r="L52" s="146"/>
      <c r="M52" s="146"/>
      <c r="N52" s="146"/>
      <c r="O52" s="146"/>
      <c r="P52" s="146"/>
      <c r="Q52" s="146"/>
      <c r="R52" s="146"/>
      <c r="S52" s="37"/>
    </row>
    <row r="53" spans="2:19" x14ac:dyDescent="0.2">
      <c r="B53" s="33"/>
      <c r="C53" s="146"/>
      <c r="D53" s="146" t="s">
        <v>126</v>
      </c>
      <c r="E53" s="146"/>
      <c r="F53" s="146"/>
      <c r="G53" s="146"/>
      <c r="H53" s="146"/>
      <c r="I53" s="146"/>
      <c r="J53" s="146"/>
      <c r="K53" s="146"/>
      <c r="L53" s="146"/>
      <c r="M53" s="146"/>
      <c r="N53" s="146"/>
      <c r="O53" s="146"/>
      <c r="P53" s="146"/>
      <c r="Q53" s="146"/>
      <c r="R53" s="146"/>
      <c r="S53" s="37"/>
    </row>
    <row r="54" spans="2:19" x14ac:dyDescent="0.2">
      <c r="B54" s="33"/>
      <c r="C54" s="146"/>
      <c r="D54" s="146" t="s">
        <v>127</v>
      </c>
      <c r="E54" s="146"/>
      <c r="F54" s="146"/>
      <c r="G54" s="146"/>
      <c r="H54" s="146"/>
      <c r="I54" s="146"/>
      <c r="J54" s="146"/>
      <c r="K54" s="146"/>
      <c r="L54" s="146"/>
      <c r="M54" s="146"/>
      <c r="N54" s="146"/>
      <c r="O54" s="146"/>
      <c r="P54" s="146"/>
      <c r="Q54" s="146"/>
      <c r="R54" s="146"/>
      <c r="S54" s="37"/>
    </row>
    <row r="55" spans="2:19" x14ac:dyDescent="0.2">
      <c r="B55" s="33"/>
      <c r="C55" s="146"/>
      <c r="D55" s="146" t="s">
        <v>128</v>
      </c>
      <c r="E55" s="146"/>
      <c r="F55" s="146"/>
      <c r="G55" s="146"/>
      <c r="H55" s="146"/>
      <c r="I55" s="146"/>
      <c r="J55" s="146"/>
      <c r="K55" s="146"/>
      <c r="L55" s="146"/>
      <c r="M55" s="146"/>
      <c r="N55" s="146"/>
      <c r="O55" s="146"/>
      <c r="P55" s="146"/>
      <c r="Q55" s="146"/>
      <c r="R55" s="146"/>
      <c r="S55" s="37"/>
    </row>
    <row r="56" spans="2:19" x14ac:dyDescent="0.2">
      <c r="B56" s="33"/>
      <c r="C56" s="146"/>
      <c r="D56" s="146" t="s">
        <v>129</v>
      </c>
      <c r="E56" s="146"/>
      <c r="F56" s="146"/>
      <c r="G56" s="146"/>
      <c r="H56" s="146"/>
      <c r="I56" s="146"/>
      <c r="J56" s="146"/>
      <c r="K56" s="146"/>
      <c r="L56" s="146"/>
      <c r="M56" s="146"/>
      <c r="N56" s="146"/>
      <c r="O56" s="146"/>
      <c r="P56" s="146"/>
      <c r="Q56" s="146"/>
      <c r="R56" s="146"/>
      <c r="S56" s="37"/>
    </row>
    <row r="57" spans="2:19" x14ac:dyDescent="0.2">
      <c r="B57" s="33"/>
      <c r="C57" s="146"/>
      <c r="D57" s="146"/>
      <c r="E57" s="146"/>
      <c r="F57" s="146"/>
      <c r="G57" s="146"/>
      <c r="H57" s="146"/>
      <c r="I57" s="146"/>
      <c r="J57" s="146"/>
      <c r="K57" s="146"/>
      <c r="L57" s="146"/>
      <c r="M57" s="146"/>
      <c r="N57" s="146"/>
      <c r="O57" s="146"/>
      <c r="P57" s="146"/>
      <c r="Q57" s="146"/>
      <c r="R57" s="146"/>
      <c r="S57" s="37"/>
    </row>
    <row r="58" spans="2:19" x14ac:dyDescent="0.2">
      <c r="B58" s="33"/>
      <c r="C58" s="146"/>
      <c r="D58" s="146" t="s">
        <v>130</v>
      </c>
      <c r="E58" s="146"/>
      <c r="F58" s="146"/>
      <c r="G58" s="146"/>
      <c r="H58" s="146"/>
      <c r="I58" s="146"/>
      <c r="J58" s="146"/>
      <c r="K58" s="146"/>
      <c r="L58" s="146"/>
      <c r="M58" s="146"/>
      <c r="N58" s="146"/>
      <c r="O58" s="146"/>
      <c r="P58" s="146"/>
      <c r="Q58" s="146"/>
      <c r="R58" s="146"/>
      <c r="S58" s="37"/>
    </row>
    <row r="59" spans="2:19" x14ac:dyDescent="0.2">
      <c r="B59" s="33"/>
      <c r="C59" s="146"/>
      <c r="D59" s="157" t="s">
        <v>284</v>
      </c>
      <c r="E59" s="146"/>
      <c r="F59" s="146"/>
      <c r="G59" s="146"/>
      <c r="H59" s="146"/>
      <c r="I59" s="146"/>
      <c r="J59" s="146"/>
      <c r="K59" s="146"/>
      <c r="L59" s="146"/>
      <c r="M59" s="146"/>
      <c r="N59" s="146"/>
      <c r="O59" s="146"/>
      <c r="P59" s="146"/>
      <c r="Q59" s="146"/>
      <c r="R59" s="146"/>
      <c r="S59" s="37"/>
    </row>
    <row r="60" spans="2:19" x14ac:dyDescent="0.2">
      <c r="B60" s="33"/>
      <c r="C60" s="146"/>
      <c r="D60" s="146" t="s">
        <v>131</v>
      </c>
      <c r="E60" s="146"/>
      <c r="F60" s="146"/>
      <c r="G60" s="146"/>
      <c r="H60" s="146"/>
      <c r="I60" s="146"/>
      <c r="J60" s="146"/>
      <c r="K60" s="146"/>
      <c r="L60" s="146"/>
      <c r="M60" s="146"/>
      <c r="N60" s="146"/>
      <c r="O60" s="146"/>
      <c r="P60" s="146"/>
      <c r="Q60" s="146"/>
      <c r="R60" s="146"/>
      <c r="S60" s="37"/>
    </row>
    <row r="61" spans="2:19" x14ac:dyDescent="0.2">
      <c r="B61" s="33"/>
      <c r="C61" s="146"/>
      <c r="D61" s="146" t="s">
        <v>132</v>
      </c>
      <c r="E61" s="146"/>
      <c r="F61" s="146"/>
      <c r="G61" s="146"/>
      <c r="H61" s="146"/>
      <c r="I61" s="146"/>
      <c r="J61" s="146"/>
      <c r="K61" s="146"/>
      <c r="L61" s="146"/>
      <c r="M61" s="146"/>
      <c r="N61" s="146"/>
      <c r="O61" s="146"/>
      <c r="P61" s="146"/>
      <c r="Q61" s="146"/>
      <c r="R61" s="146"/>
      <c r="S61" s="37"/>
    </row>
    <row r="62" spans="2:19" x14ac:dyDescent="0.2">
      <c r="B62" s="33"/>
      <c r="C62" s="146"/>
      <c r="D62" s="146"/>
      <c r="E62" s="146"/>
      <c r="F62" s="146"/>
      <c r="G62" s="146"/>
      <c r="H62" s="146"/>
      <c r="I62" s="146"/>
      <c r="J62" s="146"/>
      <c r="K62" s="146"/>
      <c r="L62" s="146"/>
      <c r="M62" s="146"/>
      <c r="N62" s="146"/>
      <c r="O62" s="146"/>
      <c r="P62" s="146"/>
      <c r="Q62" s="146"/>
      <c r="R62" s="146"/>
      <c r="S62" s="37"/>
    </row>
    <row r="63" spans="2:19" x14ac:dyDescent="0.2">
      <c r="B63" s="33"/>
      <c r="C63" s="146"/>
      <c r="D63" s="146" t="s">
        <v>133</v>
      </c>
      <c r="E63" s="146"/>
      <c r="F63" s="146"/>
      <c r="G63" s="146"/>
      <c r="H63" s="146"/>
      <c r="I63" s="146"/>
      <c r="J63" s="146"/>
      <c r="K63" s="146"/>
      <c r="L63" s="146"/>
      <c r="M63" s="146"/>
      <c r="N63" s="146"/>
      <c r="O63" s="146"/>
      <c r="P63" s="146"/>
      <c r="Q63" s="146"/>
      <c r="R63" s="146"/>
      <c r="S63" s="37"/>
    </row>
    <row r="64" spans="2:19" x14ac:dyDescent="0.2">
      <c r="B64" s="33"/>
      <c r="C64" s="146"/>
      <c r="D64" s="146" t="s">
        <v>134</v>
      </c>
      <c r="E64" s="146"/>
      <c r="F64" s="146"/>
      <c r="G64" s="146"/>
      <c r="H64" s="146"/>
      <c r="I64" s="146"/>
      <c r="J64" s="146"/>
      <c r="K64" s="146"/>
      <c r="L64" s="146"/>
      <c r="M64" s="146"/>
      <c r="N64" s="146"/>
      <c r="O64" s="146"/>
      <c r="P64" s="146"/>
      <c r="Q64" s="146"/>
      <c r="R64" s="146"/>
      <c r="S64" s="37"/>
    </row>
    <row r="65" spans="2:21" x14ac:dyDescent="0.2">
      <c r="B65" s="33"/>
      <c r="C65" s="146"/>
      <c r="D65" s="146" t="s">
        <v>135</v>
      </c>
      <c r="E65" s="146"/>
      <c r="F65" s="146"/>
      <c r="G65" s="146"/>
      <c r="H65" s="146"/>
      <c r="I65" s="146"/>
      <c r="J65" s="146"/>
      <c r="K65" s="146"/>
      <c r="L65" s="146"/>
      <c r="M65" s="146"/>
      <c r="N65" s="146"/>
      <c r="O65" s="146"/>
      <c r="P65" s="146"/>
      <c r="Q65" s="146"/>
      <c r="R65" s="146"/>
      <c r="S65" s="37"/>
    </row>
    <row r="66" spans="2:21" x14ac:dyDescent="0.2">
      <c r="B66" s="33"/>
      <c r="C66" s="146"/>
      <c r="D66" s="146" t="s">
        <v>136</v>
      </c>
      <c r="E66" s="146"/>
      <c r="F66" s="146"/>
      <c r="G66" s="146"/>
      <c r="H66" s="146"/>
      <c r="I66" s="146"/>
      <c r="J66" s="146"/>
      <c r="K66" s="146"/>
      <c r="L66" s="146"/>
      <c r="M66" s="146"/>
      <c r="N66" s="146"/>
      <c r="O66" s="146"/>
      <c r="P66" s="146"/>
      <c r="Q66" s="146"/>
      <c r="R66" s="146"/>
      <c r="S66" s="37"/>
    </row>
    <row r="67" spans="2:21" x14ac:dyDescent="0.2">
      <c r="B67" s="33"/>
      <c r="C67" s="146"/>
      <c r="D67" s="146"/>
      <c r="E67" s="146"/>
      <c r="F67" s="146"/>
      <c r="G67" s="146"/>
      <c r="H67" s="146"/>
      <c r="I67" s="146"/>
      <c r="J67" s="146"/>
      <c r="K67" s="146"/>
      <c r="L67" s="146"/>
      <c r="M67" s="146"/>
      <c r="N67" s="146"/>
      <c r="O67" s="146"/>
      <c r="P67" s="146"/>
      <c r="Q67" s="146"/>
      <c r="R67" s="146"/>
      <c r="S67" s="37"/>
      <c r="U67" s="144"/>
    </row>
    <row r="68" spans="2:21" x14ac:dyDescent="0.2">
      <c r="B68" s="33"/>
      <c r="C68" s="146"/>
      <c r="D68" s="327" t="s">
        <v>137</v>
      </c>
      <c r="E68" s="146"/>
      <c r="F68" s="146"/>
      <c r="G68" s="146"/>
      <c r="H68" s="146"/>
      <c r="I68" s="146"/>
      <c r="J68" s="146"/>
      <c r="K68" s="146"/>
      <c r="L68" s="146"/>
      <c r="M68" s="146"/>
      <c r="N68" s="146"/>
      <c r="O68" s="146"/>
      <c r="P68" s="146"/>
      <c r="Q68" s="146"/>
      <c r="R68" s="146"/>
      <c r="S68" s="37"/>
      <c r="U68" s="145"/>
    </row>
    <row r="69" spans="2:21" x14ac:dyDescent="0.2">
      <c r="B69" s="33"/>
      <c r="C69" s="146"/>
      <c r="D69" s="327" t="s">
        <v>268</v>
      </c>
      <c r="E69" s="146"/>
      <c r="F69" s="146"/>
      <c r="G69" s="146"/>
      <c r="H69" s="146"/>
      <c r="I69" s="146"/>
      <c r="J69" s="146"/>
      <c r="K69" s="146"/>
      <c r="L69" s="146"/>
      <c r="M69" s="146"/>
      <c r="N69" s="146"/>
      <c r="O69" s="146"/>
      <c r="P69" s="146"/>
      <c r="Q69" s="146"/>
      <c r="R69" s="146"/>
      <c r="S69" s="37"/>
      <c r="U69" s="144"/>
    </row>
    <row r="70" spans="2:21" x14ac:dyDescent="0.2">
      <c r="B70" s="33"/>
      <c r="C70" s="146"/>
      <c r="D70" s="327" t="s">
        <v>269</v>
      </c>
      <c r="E70" s="146"/>
      <c r="F70" s="146"/>
      <c r="G70" s="146"/>
      <c r="H70" s="146"/>
      <c r="I70" s="146"/>
      <c r="J70" s="146"/>
      <c r="K70" s="146"/>
      <c r="L70" s="146"/>
      <c r="M70" s="146"/>
      <c r="N70" s="146"/>
      <c r="O70" s="146"/>
      <c r="P70" s="146"/>
      <c r="Q70" s="146"/>
      <c r="R70" s="146"/>
      <c r="S70" s="37"/>
    </row>
    <row r="71" spans="2:21" x14ac:dyDescent="0.2">
      <c r="B71" s="33"/>
      <c r="C71" s="146"/>
      <c r="D71" s="327" t="s">
        <v>266</v>
      </c>
      <c r="E71" s="146"/>
      <c r="F71" s="146"/>
      <c r="G71" s="146"/>
      <c r="H71" s="146"/>
      <c r="I71" s="146"/>
      <c r="J71" s="146"/>
      <c r="K71" s="146"/>
      <c r="L71" s="146"/>
      <c r="M71" s="146"/>
      <c r="N71" s="146"/>
      <c r="O71" s="146"/>
      <c r="P71" s="146"/>
      <c r="Q71" s="146"/>
      <c r="R71" s="146"/>
      <c r="S71" s="37"/>
    </row>
    <row r="72" spans="2:21" x14ac:dyDescent="0.2">
      <c r="B72" s="33"/>
      <c r="C72" s="146"/>
      <c r="D72" s="146"/>
      <c r="E72" s="146"/>
      <c r="F72" s="146"/>
      <c r="G72" s="146"/>
      <c r="H72" s="146"/>
      <c r="I72" s="146"/>
      <c r="J72" s="146"/>
      <c r="K72" s="146"/>
      <c r="L72" s="146"/>
      <c r="M72" s="146"/>
      <c r="N72" s="146"/>
      <c r="O72" s="146"/>
      <c r="P72" s="146"/>
      <c r="Q72" s="146"/>
      <c r="R72" s="146"/>
      <c r="S72" s="37"/>
    </row>
    <row r="73" spans="2:21" x14ac:dyDescent="0.2">
      <c r="B73" s="33"/>
      <c r="C73" s="146"/>
      <c r="D73" s="146" t="s">
        <v>302</v>
      </c>
      <c r="E73" s="146"/>
      <c r="F73" s="146"/>
      <c r="G73" s="146"/>
      <c r="H73" s="146"/>
      <c r="I73" s="146"/>
      <c r="J73" s="146"/>
      <c r="K73" s="146"/>
      <c r="L73" s="146"/>
      <c r="M73" s="146"/>
      <c r="N73" s="146"/>
      <c r="O73" s="146"/>
      <c r="P73" s="146"/>
      <c r="Q73" s="146"/>
      <c r="R73" s="146"/>
      <c r="S73" s="37"/>
    </row>
    <row r="74" spans="2:21" x14ac:dyDescent="0.2">
      <c r="B74" s="33"/>
      <c r="C74" s="146"/>
      <c r="D74" s="146" t="s">
        <v>298</v>
      </c>
      <c r="E74" s="146"/>
      <c r="F74" s="146"/>
      <c r="G74" s="146"/>
      <c r="H74" s="146"/>
      <c r="I74" s="146"/>
      <c r="J74" s="146"/>
      <c r="K74" s="146"/>
      <c r="L74" s="146"/>
      <c r="M74" s="146"/>
      <c r="N74" s="146"/>
      <c r="O74" s="146"/>
      <c r="P74" s="146"/>
      <c r="Q74" s="146"/>
      <c r="R74" s="146"/>
      <c r="S74" s="37"/>
    </row>
    <row r="75" spans="2:21" x14ac:dyDescent="0.2">
      <c r="B75" s="33"/>
      <c r="C75" s="146"/>
      <c r="D75" s="146" t="s">
        <v>299</v>
      </c>
      <c r="E75" s="146"/>
      <c r="F75" s="146"/>
      <c r="G75" s="146"/>
      <c r="H75" s="146"/>
      <c r="I75" s="146"/>
      <c r="J75" s="146"/>
      <c r="K75" s="146"/>
      <c r="L75" s="146"/>
      <c r="M75" s="146"/>
      <c r="N75" s="146"/>
      <c r="O75" s="146"/>
      <c r="P75" s="146"/>
      <c r="Q75" s="146"/>
      <c r="R75" s="146"/>
      <c r="S75" s="37"/>
    </row>
    <row r="76" spans="2:21" x14ac:dyDescent="0.2">
      <c r="B76" s="33"/>
      <c r="C76" s="146"/>
      <c r="D76" s="146"/>
      <c r="E76" s="146"/>
      <c r="F76" s="146"/>
      <c r="G76" s="146"/>
      <c r="H76" s="146"/>
      <c r="I76" s="146"/>
      <c r="J76" s="146"/>
      <c r="K76" s="146"/>
      <c r="L76" s="146"/>
      <c r="M76" s="146"/>
      <c r="N76" s="146"/>
      <c r="O76" s="146"/>
      <c r="P76" s="146"/>
      <c r="Q76" s="146"/>
      <c r="R76" s="146"/>
      <c r="S76" s="37"/>
    </row>
    <row r="77" spans="2:21" x14ac:dyDescent="0.2">
      <c r="B77" s="33"/>
      <c r="C77" s="146"/>
      <c r="D77" s="155" t="s">
        <v>30</v>
      </c>
      <c r="E77" s="146"/>
      <c r="F77" s="146"/>
      <c r="G77" s="146"/>
      <c r="H77" s="146"/>
      <c r="I77" s="146"/>
      <c r="J77" s="146"/>
      <c r="K77" s="146"/>
      <c r="L77" s="146"/>
      <c r="M77" s="146"/>
      <c r="N77" s="146"/>
      <c r="O77" s="146"/>
      <c r="P77" s="146"/>
      <c r="Q77" s="146"/>
      <c r="R77" s="146"/>
      <c r="S77" s="37"/>
    </row>
    <row r="78" spans="2:21" x14ac:dyDescent="0.2">
      <c r="B78" s="33"/>
      <c r="C78" s="146"/>
      <c r="D78" s="146" t="s">
        <v>290</v>
      </c>
      <c r="E78" s="146"/>
      <c r="F78" s="146"/>
      <c r="G78" s="146"/>
      <c r="H78" s="146"/>
      <c r="I78" s="146"/>
      <c r="J78" s="146"/>
      <c r="K78" s="146"/>
      <c r="L78" s="146"/>
      <c r="M78" s="146"/>
      <c r="N78" s="146"/>
      <c r="O78" s="146"/>
      <c r="P78" s="146"/>
      <c r="Q78" s="146"/>
      <c r="R78" s="146"/>
      <c r="S78" s="37"/>
    </row>
    <row r="79" spans="2:21" x14ac:dyDescent="0.2">
      <c r="B79" s="33"/>
      <c r="C79" s="146"/>
      <c r="D79" s="146"/>
      <c r="E79" s="146"/>
      <c r="F79" s="146"/>
      <c r="G79" s="146"/>
      <c r="H79" s="146"/>
      <c r="I79" s="146"/>
      <c r="J79" s="146"/>
      <c r="K79" s="146"/>
      <c r="L79" s="146"/>
      <c r="M79" s="146"/>
      <c r="N79" s="146"/>
      <c r="O79" s="146"/>
      <c r="P79" s="146"/>
      <c r="Q79" s="146"/>
      <c r="R79" s="146"/>
      <c r="S79" s="37"/>
    </row>
    <row r="80" spans="2:21" x14ac:dyDescent="0.2">
      <c r="B80" s="33"/>
      <c r="C80" s="146"/>
      <c r="D80" s="155" t="s">
        <v>138</v>
      </c>
      <c r="E80" s="146"/>
      <c r="F80" s="146"/>
      <c r="G80" s="146"/>
      <c r="H80" s="146"/>
      <c r="I80" s="146"/>
      <c r="J80" s="146"/>
      <c r="K80" s="146"/>
      <c r="L80" s="146"/>
      <c r="M80" s="146"/>
      <c r="N80" s="146"/>
      <c r="O80" s="146"/>
      <c r="P80" s="146"/>
      <c r="Q80" s="146"/>
      <c r="R80" s="146"/>
      <c r="S80" s="37"/>
    </row>
    <row r="81" spans="2:19" x14ac:dyDescent="0.2">
      <c r="B81" s="33"/>
      <c r="C81" s="146"/>
      <c r="D81" s="146" t="s">
        <v>291</v>
      </c>
      <c r="E81" s="146"/>
      <c r="F81" s="146"/>
      <c r="G81" s="146"/>
      <c r="H81" s="146"/>
      <c r="I81" s="146"/>
      <c r="J81" s="146"/>
      <c r="K81" s="146"/>
      <c r="L81" s="146"/>
      <c r="M81" s="146"/>
      <c r="N81" s="146"/>
      <c r="O81" s="146"/>
      <c r="P81" s="146"/>
      <c r="Q81" s="146"/>
      <c r="R81" s="146"/>
      <c r="S81" s="37"/>
    </row>
    <row r="82" spans="2:19" x14ac:dyDescent="0.2">
      <c r="B82" s="33"/>
      <c r="C82" s="146"/>
      <c r="D82" s="146"/>
      <c r="E82" s="146"/>
      <c r="F82" s="146"/>
      <c r="G82" s="146"/>
      <c r="H82" s="146"/>
      <c r="I82" s="146"/>
      <c r="J82" s="146"/>
      <c r="K82" s="146"/>
      <c r="L82" s="146"/>
      <c r="M82" s="146"/>
      <c r="N82" s="146"/>
      <c r="O82" s="146"/>
      <c r="P82" s="146"/>
      <c r="Q82" s="146"/>
      <c r="R82" s="146"/>
      <c r="S82" s="37"/>
    </row>
    <row r="83" spans="2:19" x14ac:dyDescent="0.2">
      <c r="B83" s="33"/>
      <c r="C83" s="146"/>
      <c r="D83" s="155" t="s">
        <v>139</v>
      </c>
      <c r="E83" s="146"/>
      <c r="F83" s="146"/>
      <c r="G83" s="146"/>
      <c r="H83" s="146"/>
      <c r="I83" s="146"/>
      <c r="J83" s="146"/>
      <c r="K83" s="146"/>
      <c r="L83" s="146"/>
      <c r="M83" s="146"/>
      <c r="N83" s="146"/>
      <c r="O83" s="146"/>
      <c r="P83" s="146"/>
      <c r="Q83" s="146"/>
      <c r="R83" s="146"/>
      <c r="S83" s="37"/>
    </row>
    <row r="84" spans="2:19" x14ac:dyDescent="0.2">
      <c r="B84" s="33"/>
      <c r="C84" s="146"/>
      <c r="D84" s="146" t="s">
        <v>140</v>
      </c>
      <c r="E84" s="146"/>
      <c r="F84" s="146"/>
      <c r="G84" s="146"/>
      <c r="H84" s="146"/>
      <c r="I84" s="146"/>
      <c r="J84" s="146"/>
      <c r="K84" s="146"/>
      <c r="L84" s="146"/>
      <c r="M84" s="146"/>
      <c r="N84" s="146"/>
      <c r="O84" s="146"/>
      <c r="P84" s="146"/>
      <c r="Q84" s="154"/>
      <c r="R84" s="146"/>
      <c r="S84" s="37"/>
    </row>
    <row r="85" spans="2:19" x14ac:dyDescent="0.2">
      <c r="B85" s="33"/>
      <c r="C85" s="146"/>
      <c r="D85" s="146"/>
      <c r="E85" s="146"/>
      <c r="F85" s="146"/>
      <c r="G85" s="146"/>
      <c r="H85" s="146"/>
      <c r="I85" s="146"/>
      <c r="J85" s="146"/>
      <c r="K85" s="146"/>
      <c r="L85" s="146"/>
      <c r="M85" s="146"/>
      <c r="N85" s="146"/>
      <c r="O85" s="146"/>
      <c r="P85" s="146"/>
      <c r="Q85" s="154"/>
      <c r="R85" s="146"/>
      <c r="S85" s="37"/>
    </row>
    <row r="86" spans="2:19" x14ac:dyDescent="0.2">
      <c r="B86" s="33"/>
      <c r="C86" s="146"/>
      <c r="D86" s="155" t="s">
        <v>141</v>
      </c>
      <c r="E86" s="146"/>
      <c r="F86" s="146"/>
      <c r="G86" s="146"/>
      <c r="H86" s="146"/>
      <c r="I86" s="146"/>
      <c r="J86" s="146"/>
      <c r="K86" s="146"/>
      <c r="L86" s="146"/>
      <c r="M86" s="146"/>
      <c r="N86" s="146"/>
      <c r="O86" s="146"/>
      <c r="P86" s="146"/>
      <c r="Q86" s="154"/>
      <c r="R86" s="146"/>
      <c r="S86" s="37"/>
    </row>
    <row r="87" spans="2:19" x14ac:dyDescent="0.2">
      <c r="B87" s="33"/>
      <c r="C87" s="146"/>
      <c r="D87" s="146" t="s">
        <v>303</v>
      </c>
      <c r="E87" s="146"/>
      <c r="F87" s="146"/>
      <c r="G87" s="146"/>
      <c r="H87" s="146"/>
      <c r="I87" s="146"/>
      <c r="J87" s="146"/>
      <c r="K87" s="146"/>
      <c r="L87" s="146"/>
      <c r="M87" s="146"/>
      <c r="N87" s="146"/>
      <c r="O87" s="146"/>
      <c r="P87" s="146"/>
      <c r="Q87" s="146"/>
      <c r="R87" s="146"/>
      <c r="S87" s="37"/>
    </row>
    <row r="88" spans="2:19" x14ac:dyDescent="0.2">
      <c r="B88" s="33"/>
      <c r="C88" s="146"/>
      <c r="D88" s="146" t="s">
        <v>304</v>
      </c>
      <c r="E88" s="146"/>
      <c r="F88" s="146"/>
      <c r="G88" s="146"/>
      <c r="H88" s="146"/>
      <c r="I88" s="146"/>
      <c r="J88" s="146"/>
      <c r="K88" s="146"/>
      <c r="L88" s="146"/>
      <c r="M88" s="146"/>
      <c r="N88" s="146"/>
      <c r="O88" s="146"/>
      <c r="P88" s="146"/>
      <c r="Q88" s="146"/>
      <c r="R88" s="146"/>
      <c r="S88" s="37"/>
    </row>
    <row r="89" spans="2:19" ht="13.5" thickBot="1" x14ac:dyDescent="0.25">
      <c r="B89" s="131"/>
      <c r="C89" s="162"/>
      <c r="D89" s="162"/>
      <c r="E89" s="162"/>
      <c r="F89" s="162"/>
      <c r="G89" s="162"/>
      <c r="H89" s="162"/>
      <c r="I89" s="162"/>
      <c r="J89" s="162"/>
      <c r="K89" s="162"/>
      <c r="L89" s="162"/>
      <c r="M89" s="162"/>
      <c r="N89" s="162"/>
      <c r="O89" s="162"/>
      <c r="P89" s="162"/>
      <c r="Q89" s="162"/>
      <c r="R89" s="162"/>
      <c r="S89" s="132"/>
    </row>
    <row r="90" spans="2:19" x14ac:dyDescent="0.2">
      <c r="B90" s="28"/>
      <c r="C90" s="163"/>
      <c r="D90" s="163"/>
      <c r="E90" s="163"/>
      <c r="F90" s="163"/>
      <c r="G90" s="163"/>
      <c r="H90" s="163"/>
      <c r="I90" s="163"/>
      <c r="J90" s="163"/>
      <c r="K90" s="163"/>
      <c r="L90" s="163"/>
      <c r="M90" s="163"/>
      <c r="N90" s="163"/>
      <c r="O90" s="163"/>
      <c r="P90" s="163"/>
      <c r="Q90" s="163"/>
      <c r="R90" s="163"/>
      <c r="S90" s="32"/>
    </row>
    <row r="91" spans="2:19" x14ac:dyDescent="0.2">
      <c r="B91" s="33"/>
      <c r="C91" s="153" t="s">
        <v>142</v>
      </c>
      <c r="D91" s="147" t="s">
        <v>143</v>
      </c>
      <c r="E91" s="146"/>
      <c r="F91" s="146"/>
      <c r="G91" s="146"/>
      <c r="H91" s="146"/>
      <c r="I91" s="146"/>
      <c r="J91" s="146"/>
      <c r="K91" s="146"/>
      <c r="L91" s="146"/>
      <c r="M91" s="146"/>
      <c r="N91" s="146"/>
      <c r="O91" s="146"/>
      <c r="P91" s="146"/>
      <c r="Q91" s="146"/>
      <c r="R91" s="146"/>
      <c r="S91" s="37"/>
    </row>
    <row r="92" spans="2:19" x14ac:dyDescent="0.2">
      <c r="B92" s="33"/>
      <c r="C92" s="153"/>
      <c r="D92" s="147"/>
      <c r="E92" s="146"/>
      <c r="F92" s="146"/>
      <c r="G92" s="146"/>
      <c r="H92" s="146"/>
      <c r="I92" s="146"/>
      <c r="J92" s="146"/>
      <c r="K92" s="146"/>
      <c r="L92" s="146"/>
      <c r="M92" s="146"/>
      <c r="N92" s="146"/>
      <c r="O92" s="146"/>
      <c r="P92" s="146"/>
      <c r="Q92" s="146"/>
      <c r="R92" s="146"/>
      <c r="S92" s="37"/>
    </row>
    <row r="93" spans="2:19" x14ac:dyDescent="0.2">
      <c r="B93" s="33"/>
      <c r="C93" s="153"/>
      <c r="D93" s="155" t="s">
        <v>46</v>
      </c>
      <c r="E93" s="146"/>
      <c r="F93" s="146"/>
      <c r="G93" s="146"/>
      <c r="H93" s="146"/>
      <c r="I93" s="146"/>
      <c r="J93" s="146"/>
      <c r="K93" s="146"/>
      <c r="L93" s="146"/>
      <c r="M93" s="146"/>
      <c r="N93" s="146"/>
      <c r="O93" s="146"/>
      <c r="P93" s="146"/>
      <c r="Q93" s="146"/>
      <c r="R93" s="146"/>
      <c r="S93" s="37"/>
    </row>
    <row r="94" spans="2:19" x14ac:dyDescent="0.2">
      <c r="B94" s="33"/>
      <c r="C94" s="153"/>
      <c r="D94" s="146" t="s">
        <v>144</v>
      </c>
      <c r="E94" s="146"/>
      <c r="F94" s="146"/>
      <c r="G94" s="146"/>
      <c r="H94" s="146"/>
      <c r="I94" s="146"/>
      <c r="J94" s="146"/>
      <c r="K94" s="146"/>
      <c r="L94" s="146"/>
      <c r="M94" s="146"/>
      <c r="N94" s="146"/>
      <c r="O94" s="146"/>
      <c r="P94" s="146"/>
      <c r="Q94" s="146"/>
      <c r="R94" s="146"/>
      <c r="S94" s="37"/>
    </row>
    <row r="95" spans="2:19" x14ac:dyDescent="0.2">
      <c r="B95" s="33"/>
      <c r="C95" s="153"/>
      <c r="D95" s="146" t="s">
        <v>305</v>
      </c>
      <c r="E95" s="146"/>
      <c r="F95" s="146"/>
      <c r="G95" s="146"/>
      <c r="H95" s="146"/>
      <c r="I95" s="146"/>
      <c r="J95" s="146"/>
      <c r="K95" s="146"/>
      <c r="L95" s="146"/>
      <c r="M95" s="146"/>
      <c r="N95" s="146"/>
      <c r="O95" s="146"/>
      <c r="P95" s="146"/>
      <c r="Q95" s="146"/>
      <c r="R95" s="146"/>
      <c r="S95" s="37"/>
    </row>
    <row r="96" spans="2:19" x14ac:dyDescent="0.2">
      <c r="B96" s="33"/>
      <c r="C96" s="153"/>
      <c r="D96" s="146" t="s">
        <v>145</v>
      </c>
      <c r="E96" s="146"/>
      <c r="F96" s="146"/>
      <c r="G96" s="146"/>
      <c r="H96" s="146"/>
      <c r="I96" s="146"/>
      <c r="J96" s="146"/>
      <c r="K96" s="146"/>
      <c r="L96" s="146"/>
      <c r="M96" s="146"/>
      <c r="N96" s="146"/>
      <c r="O96" s="146"/>
      <c r="P96" s="146"/>
      <c r="Q96" s="146"/>
      <c r="R96" s="146"/>
      <c r="S96" s="37"/>
    </row>
    <row r="97" spans="2:19" x14ac:dyDescent="0.2">
      <c r="B97" s="33"/>
      <c r="C97" s="153"/>
      <c r="D97" s="146"/>
      <c r="E97" s="146"/>
      <c r="F97" s="146"/>
      <c r="G97" s="146"/>
      <c r="H97" s="146"/>
      <c r="I97" s="146"/>
      <c r="J97" s="146"/>
      <c r="K97" s="146"/>
      <c r="L97" s="146"/>
      <c r="M97" s="146"/>
      <c r="N97" s="146"/>
      <c r="O97" s="146"/>
      <c r="P97" s="146"/>
      <c r="Q97" s="146"/>
      <c r="R97" s="146"/>
      <c r="S97" s="37"/>
    </row>
    <row r="98" spans="2:19" x14ac:dyDescent="0.2">
      <c r="B98" s="33"/>
      <c r="C98" s="153"/>
      <c r="D98" s="155" t="s">
        <v>146</v>
      </c>
      <c r="E98" s="146"/>
      <c r="F98" s="146"/>
      <c r="G98" s="146"/>
      <c r="H98" s="146"/>
      <c r="I98" s="146"/>
      <c r="J98" s="146"/>
      <c r="K98" s="146"/>
      <c r="L98" s="146"/>
      <c r="M98" s="146"/>
      <c r="N98" s="146"/>
      <c r="O98" s="146"/>
      <c r="P98" s="146"/>
      <c r="Q98" s="146"/>
      <c r="R98" s="146"/>
      <c r="S98" s="37"/>
    </row>
    <row r="99" spans="2:19" x14ac:dyDescent="0.2">
      <c r="B99" s="33"/>
      <c r="C99" s="153"/>
      <c r="D99" s="146" t="s">
        <v>147</v>
      </c>
      <c r="E99" s="146"/>
      <c r="F99" s="146"/>
      <c r="G99" s="146"/>
      <c r="H99" s="146"/>
      <c r="I99" s="146"/>
      <c r="J99" s="146"/>
      <c r="K99" s="146"/>
      <c r="L99" s="146"/>
      <c r="M99" s="146"/>
      <c r="N99" s="146"/>
      <c r="O99" s="146"/>
      <c r="P99" s="146"/>
      <c r="Q99" s="146"/>
      <c r="R99" s="146"/>
      <c r="S99" s="37"/>
    </row>
    <row r="100" spans="2:19" x14ac:dyDescent="0.2">
      <c r="B100" s="33"/>
      <c r="C100" s="153"/>
      <c r="D100" s="146" t="s">
        <v>148</v>
      </c>
      <c r="E100" s="146"/>
      <c r="F100" s="146"/>
      <c r="G100" s="146"/>
      <c r="H100" s="146"/>
      <c r="I100" s="146"/>
      <c r="J100" s="146"/>
      <c r="K100" s="146"/>
      <c r="L100" s="146"/>
      <c r="M100" s="146"/>
      <c r="N100" s="146"/>
      <c r="O100" s="146"/>
      <c r="P100" s="146"/>
      <c r="Q100" s="146"/>
      <c r="R100" s="146"/>
      <c r="S100" s="37"/>
    </row>
    <row r="101" spans="2:19" x14ac:dyDescent="0.2">
      <c r="B101" s="33"/>
      <c r="C101" s="153"/>
      <c r="D101" s="146" t="s">
        <v>149</v>
      </c>
      <c r="E101" s="146"/>
      <c r="F101" s="146"/>
      <c r="G101" s="146"/>
      <c r="H101" s="146"/>
      <c r="I101" s="146"/>
      <c r="J101" s="146"/>
      <c r="K101" s="146"/>
      <c r="L101" s="146"/>
      <c r="M101" s="146"/>
      <c r="N101" s="146"/>
      <c r="O101" s="146"/>
      <c r="P101" s="146"/>
      <c r="Q101" s="146"/>
      <c r="R101" s="146"/>
      <c r="S101" s="37"/>
    </row>
    <row r="102" spans="2:19" x14ac:dyDescent="0.2">
      <c r="B102" s="33"/>
      <c r="C102" s="153"/>
      <c r="D102" s="146" t="s">
        <v>150</v>
      </c>
      <c r="E102" s="146"/>
      <c r="F102" s="146"/>
      <c r="G102" s="146"/>
      <c r="H102" s="146"/>
      <c r="I102" s="146"/>
      <c r="J102" s="146"/>
      <c r="K102" s="146"/>
      <c r="L102" s="146"/>
      <c r="M102" s="146"/>
      <c r="N102" s="146"/>
      <c r="O102" s="146"/>
      <c r="P102" s="146"/>
      <c r="Q102" s="146"/>
      <c r="R102" s="146"/>
      <c r="S102" s="37"/>
    </row>
    <row r="103" spans="2:19" x14ac:dyDescent="0.2">
      <c r="B103" s="33"/>
      <c r="C103" s="153"/>
      <c r="D103" s="146"/>
      <c r="E103" s="146"/>
      <c r="F103" s="146"/>
      <c r="G103" s="146"/>
      <c r="H103" s="146"/>
      <c r="I103" s="146"/>
      <c r="J103" s="146"/>
      <c r="K103" s="146"/>
      <c r="L103" s="146"/>
      <c r="M103" s="146"/>
      <c r="N103" s="146"/>
      <c r="O103" s="146"/>
      <c r="P103" s="146"/>
      <c r="Q103" s="146"/>
      <c r="R103" s="146"/>
      <c r="S103" s="37"/>
    </row>
    <row r="104" spans="2:19" x14ac:dyDescent="0.2">
      <c r="B104" s="33"/>
      <c r="C104" s="153" t="s">
        <v>151</v>
      </c>
      <c r="D104" s="147" t="s">
        <v>152</v>
      </c>
      <c r="E104" s="146"/>
      <c r="F104" s="146"/>
      <c r="G104" s="146"/>
      <c r="H104" s="146"/>
      <c r="I104" s="146"/>
      <c r="J104" s="146"/>
      <c r="K104" s="146"/>
      <c r="L104" s="146"/>
      <c r="M104" s="146"/>
      <c r="N104" s="146"/>
      <c r="O104" s="146"/>
      <c r="P104" s="146"/>
      <c r="Q104" s="146"/>
      <c r="R104" s="146"/>
      <c r="S104" s="37"/>
    </row>
    <row r="105" spans="2:19" x14ac:dyDescent="0.2">
      <c r="B105" s="33"/>
      <c r="C105" s="153"/>
      <c r="D105" s="147"/>
      <c r="E105" s="146"/>
      <c r="F105" s="146"/>
      <c r="G105" s="146"/>
      <c r="H105" s="146"/>
      <c r="I105" s="146"/>
      <c r="J105" s="146"/>
      <c r="K105" s="146"/>
      <c r="L105" s="146"/>
      <c r="M105" s="146"/>
      <c r="N105" s="146"/>
      <c r="O105" s="146"/>
      <c r="P105" s="146"/>
      <c r="Q105" s="146"/>
      <c r="R105" s="146"/>
      <c r="S105" s="37"/>
    </row>
    <row r="106" spans="2:19" x14ac:dyDescent="0.2">
      <c r="B106" s="33"/>
      <c r="C106" s="153"/>
      <c r="D106" s="146" t="s">
        <v>153</v>
      </c>
      <c r="E106" s="146"/>
      <c r="F106" s="146"/>
      <c r="G106" s="146"/>
      <c r="H106" s="146"/>
      <c r="I106" s="146"/>
      <c r="J106" s="146"/>
      <c r="K106" s="146"/>
      <c r="L106" s="146"/>
      <c r="M106" s="146"/>
      <c r="N106" s="146"/>
      <c r="O106" s="146"/>
      <c r="P106" s="146"/>
      <c r="Q106" s="146"/>
      <c r="R106" s="146"/>
      <c r="S106" s="37"/>
    </row>
    <row r="107" spans="2:19" x14ac:dyDescent="0.2">
      <c r="B107" s="33"/>
      <c r="C107" s="153"/>
      <c r="D107" s="146" t="s">
        <v>154</v>
      </c>
      <c r="E107" s="146"/>
      <c r="F107" s="146"/>
      <c r="G107" s="146"/>
      <c r="H107" s="146"/>
      <c r="I107" s="146"/>
      <c r="J107" s="146"/>
      <c r="K107" s="146"/>
      <c r="L107" s="146"/>
      <c r="M107" s="146"/>
      <c r="N107" s="146"/>
      <c r="O107" s="146"/>
      <c r="P107" s="146"/>
      <c r="Q107" s="146"/>
      <c r="R107" s="146"/>
      <c r="S107" s="37"/>
    </row>
    <row r="108" spans="2:19" x14ac:dyDescent="0.2">
      <c r="B108" s="33"/>
      <c r="C108" s="153"/>
      <c r="D108" s="146" t="s">
        <v>155</v>
      </c>
      <c r="E108" s="146"/>
      <c r="F108" s="146"/>
      <c r="G108" s="146"/>
      <c r="H108" s="146"/>
      <c r="I108" s="146"/>
      <c r="J108" s="146"/>
      <c r="K108" s="146"/>
      <c r="L108" s="146"/>
      <c r="M108" s="146"/>
      <c r="N108" s="146"/>
      <c r="O108" s="146"/>
      <c r="P108" s="146"/>
      <c r="Q108" s="146"/>
      <c r="R108" s="146"/>
      <c r="S108" s="37"/>
    </row>
    <row r="109" spans="2:19" x14ac:dyDescent="0.2">
      <c r="B109" s="33"/>
      <c r="C109" s="153"/>
      <c r="D109" s="146" t="s">
        <v>292</v>
      </c>
      <c r="E109" s="146"/>
      <c r="F109" s="146"/>
      <c r="G109" s="146"/>
      <c r="H109" s="146"/>
      <c r="I109" s="146"/>
      <c r="J109" s="146"/>
      <c r="K109" s="146"/>
      <c r="L109" s="146"/>
      <c r="M109" s="146"/>
      <c r="N109" s="146"/>
      <c r="O109" s="146"/>
      <c r="P109" s="146"/>
      <c r="Q109" s="146"/>
      <c r="R109" s="146"/>
      <c r="S109" s="37"/>
    </row>
    <row r="110" spans="2:19" x14ac:dyDescent="0.2">
      <c r="B110" s="33"/>
      <c r="C110" s="153"/>
      <c r="D110" s="146" t="s">
        <v>156</v>
      </c>
      <c r="E110" s="146"/>
      <c r="F110" s="146"/>
      <c r="G110" s="146"/>
      <c r="H110" s="146"/>
      <c r="I110" s="146"/>
      <c r="J110" s="146"/>
      <c r="K110" s="146"/>
      <c r="L110" s="146"/>
      <c r="M110" s="146"/>
      <c r="N110" s="146"/>
      <c r="O110" s="146"/>
      <c r="P110" s="146"/>
      <c r="Q110" s="146"/>
      <c r="R110" s="146"/>
      <c r="S110" s="37"/>
    </row>
    <row r="111" spans="2:19" x14ac:dyDescent="0.2">
      <c r="B111" s="33"/>
      <c r="C111" s="153"/>
      <c r="D111" s="146" t="s">
        <v>157</v>
      </c>
      <c r="E111" s="146"/>
      <c r="F111" s="146"/>
      <c r="G111" s="146"/>
      <c r="H111" s="146"/>
      <c r="I111" s="146"/>
      <c r="J111" s="146"/>
      <c r="K111" s="146"/>
      <c r="L111" s="146"/>
      <c r="M111" s="146"/>
      <c r="N111" s="146"/>
      <c r="O111" s="146"/>
      <c r="P111" s="146"/>
      <c r="Q111" s="146"/>
      <c r="R111" s="146"/>
      <c r="S111" s="37"/>
    </row>
    <row r="112" spans="2:19" x14ac:dyDescent="0.2">
      <c r="B112" s="33"/>
      <c r="C112" s="153"/>
      <c r="D112" s="146" t="s">
        <v>158</v>
      </c>
      <c r="E112" s="146"/>
      <c r="F112" s="146"/>
      <c r="G112" s="146"/>
      <c r="H112" s="146"/>
      <c r="I112" s="146"/>
      <c r="J112" s="146"/>
      <c r="K112" s="146"/>
      <c r="L112" s="146"/>
      <c r="M112" s="146"/>
      <c r="N112" s="146"/>
      <c r="O112" s="146"/>
      <c r="P112" s="146"/>
      <c r="Q112" s="146"/>
      <c r="R112" s="146"/>
      <c r="S112" s="37"/>
    </row>
    <row r="113" spans="2:19" x14ac:dyDescent="0.2">
      <c r="B113" s="33"/>
      <c r="C113" s="153"/>
      <c r="D113" s="146"/>
      <c r="E113" s="146"/>
      <c r="F113" s="146"/>
      <c r="G113" s="146"/>
      <c r="H113" s="146"/>
      <c r="I113" s="146"/>
      <c r="J113" s="146"/>
      <c r="K113" s="146"/>
      <c r="L113" s="146"/>
      <c r="M113" s="146"/>
      <c r="N113" s="146"/>
      <c r="O113" s="146"/>
      <c r="P113" s="146"/>
      <c r="Q113" s="146"/>
      <c r="R113" s="146"/>
      <c r="S113" s="37"/>
    </row>
    <row r="114" spans="2:19" x14ac:dyDescent="0.2">
      <c r="B114" s="33"/>
      <c r="C114" s="153"/>
      <c r="D114" s="146" t="s">
        <v>159</v>
      </c>
      <c r="E114" s="146"/>
      <c r="F114" s="146"/>
      <c r="G114" s="146"/>
      <c r="H114" s="146"/>
      <c r="I114" s="146"/>
      <c r="J114" s="146"/>
      <c r="K114" s="146"/>
      <c r="L114" s="146"/>
      <c r="M114" s="146"/>
      <c r="N114" s="146"/>
      <c r="O114" s="146"/>
      <c r="P114" s="146"/>
      <c r="Q114" s="146"/>
      <c r="R114" s="146"/>
      <c r="S114" s="37"/>
    </row>
    <row r="115" spans="2:19" x14ac:dyDescent="0.2">
      <c r="B115" s="33"/>
      <c r="C115" s="153"/>
      <c r="D115" s="146" t="s">
        <v>160</v>
      </c>
      <c r="E115" s="146"/>
      <c r="F115" s="146"/>
      <c r="G115" s="146"/>
      <c r="H115" s="146"/>
      <c r="I115" s="146"/>
      <c r="J115" s="146"/>
      <c r="K115" s="146"/>
      <c r="L115" s="146"/>
      <c r="M115" s="146"/>
      <c r="N115" s="146"/>
      <c r="O115" s="146"/>
      <c r="P115" s="146"/>
      <c r="Q115" s="146"/>
      <c r="R115" s="146"/>
      <c r="S115" s="37"/>
    </row>
    <row r="116" spans="2:19" x14ac:dyDescent="0.2">
      <c r="B116" s="33"/>
      <c r="C116" s="153"/>
      <c r="D116" s="146"/>
      <c r="E116" s="146"/>
      <c r="F116" s="146"/>
      <c r="G116" s="146"/>
      <c r="H116" s="146"/>
      <c r="I116" s="146"/>
      <c r="J116" s="146"/>
      <c r="K116" s="146"/>
      <c r="L116" s="146"/>
      <c r="M116" s="146"/>
      <c r="N116" s="146"/>
      <c r="O116" s="146"/>
      <c r="P116" s="146"/>
      <c r="Q116" s="146"/>
      <c r="R116" s="146"/>
      <c r="S116" s="37"/>
    </row>
    <row r="117" spans="2:19" x14ac:dyDescent="0.2">
      <c r="B117" s="33"/>
      <c r="C117" s="153"/>
      <c r="D117" s="146" t="s">
        <v>161</v>
      </c>
      <c r="E117" s="146"/>
      <c r="F117" s="146"/>
      <c r="G117" s="146"/>
      <c r="H117" s="146"/>
      <c r="I117" s="146"/>
      <c r="J117" s="146"/>
      <c r="K117" s="146"/>
      <c r="L117" s="146"/>
      <c r="M117" s="146"/>
      <c r="N117" s="146"/>
      <c r="O117" s="146"/>
      <c r="P117" s="146"/>
      <c r="Q117" s="146"/>
      <c r="R117" s="146"/>
      <c r="S117" s="37"/>
    </row>
    <row r="118" spans="2:19" x14ac:dyDescent="0.2">
      <c r="B118" s="33"/>
      <c r="C118" s="153"/>
      <c r="D118" s="146" t="s">
        <v>162</v>
      </c>
      <c r="E118" s="146"/>
      <c r="F118" s="146"/>
      <c r="G118" s="146"/>
      <c r="H118" s="146"/>
      <c r="I118" s="146"/>
      <c r="J118" s="146"/>
      <c r="K118" s="146"/>
      <c r="L118" s="146"/>
      <c r="M118" s="146"/>
      <c r="N118" s="146"/>
      <c r="O118" s="146"/>
      <c r="P118" s="146"/>
      <c r="Q118" s="146"/>
      <c r="R118" s="146"/>
      <c r="S118" s="37"/>
    </row>
    <row r="119" spans="2:19" x14ac:dyDescent="0.2">
      <c r="B119" s="33"/>
      <c r="C119" s="153"/>
      <c r="D119" s="146"/>
      <c r="E119" s="146"/>
      <c r="F119" s="146"/>
      <c r="G119" s="146"/>
      <c r="H119" s="146"/>
      <c r="I119" s="146"/>
      <c r="J119" s="146"/>
      <c r="K119" s="146"/>
      <c r="L119" s="146"/>
      <c r="M119" s="146"/>
      <c r="N119" s="146"/>
      <c r="O119" s="146"/>
      <c r="P119" s="146"/>
      <c r="Q119" s="146"/>
      <c r="R119" s="146"/>
      <c r="S119" s="37"/>
    </row>
    <row r="120" spans="2:19" x14ac:dyDescent="0.2">
      <c r="B120" s="33"/>
      <c r="C120" s="153"/>
      <c r="D120" s="146" t="s">
        <v>163</v>
      </c>
      <c r="E120" s="146"/>
      <c r="F120" s="146"/>
      <c r="G120" s="146"/>
      <c r="H120" s="146"/>
      <c r="I120" s="146"/>
      <c r="J120" s="146"/>
      <c r="K120" s="146"/>
      <c r="L120" s="146"/>
      <c r="M120" s="146"/>
      <c r="N120" s="146"/>
      <c r="O120" s="146"/>
      <c r="P120" s="146"/>
      <c r="Q120" s="146"/>
      <c r="R120" s="146"/>
      <c r="S120" s="37"/>
    </row>
    <row r="121" spans="2:19" x14ac:dyDescent="0.2">
      <c r="B121" s="33"/>
      <c r="C121" s="153"/>
      <c r="D121" s="146" t="s">
        <v>164</v>
      </c>
      <c r="E121" s="146"/>
      <c r="F121" s="146"/>
      <c r="G121" s="146"/>
      <c r="H121" s="146"/>
      <c r="I121" s="146"/>
      <c r="J121" s="146"/>
      <c r="K121" s="146"/>
      <c r="L121" s="146"/>
      <c r="M121" s="146"/>
      <c r="N121" s="146"/>
      <c r="O121" s="146"/>
      <c r="P121" s="146"/>
      <c r="Q121" s="146"/>
      <c r="R121" s="146"/>
      <c r="S121" s="37"/>
    </row>
    <row r="122" spans="2:19" x14ac:dyDescent="0.2">
      <c r="B122" s="33"/>
      <c r="C122" s="153"/>
      <c r="D122" s="146" t="s">
        <v>165</v>
      </c>
      <c r="E122" s="146"/>
      <c r="F122" s="146"/>
      <c r="G122" s="146"/>
      <c r="H122" s="146"/>
      <c r="I122" s="146"/>
      <c r="J122" s="146"/>
      <c r="K122" s="146"/>
      <c r="L122" s="146"/>
      <c r="M122" s="146"/>
      <c r="N122" s="146"/>
      <c r="O122" s="146"/>
      <c r="P122" s="146"/>
      <c r="Q122" s="146"/>
      <c r="R122" s="146"/>
      <c r="S122" s="37"/>
    </row>
    <row r="123" spans="2:19" x14ac:dyDescent="0.2">
      <c r="B123" s="33"/>
      <c r="C123" s="153"/>
      <c r="D123" s="146"/>
      <c r="E123" s="146"/>
      <c r="F123" s="146"/>
      <c r="G123" s="146"/>
      <c r="H123" s="146"/>
      <c r="I123" s="146"/>
      <c r="J123" s="146"/>
      <c r="K123" s="146"/>
      <c r="L123" s="146"/>
      <c r="M123" s="146"/>
      <c r="N123" s="146"/>
      <c r="O123" s="146"/>
      <c r="P123" s="146"/>
      <c r="Q123" s="146"/>
      <c r="R123" s="146"/>
      <c r="S123" s="37"/>
    </row>
    <row r="124" spans="2:19" x14ac:dyDescent="0.2">
      <c r="B124" s="33"/>
      <c r="C124" s="153"/>
      <c r="D124" s="146" t="s">
        <v>145</v>
      </c>
      <c r="E124" s="146"/>
      <c r="F124" s="146"/>
      <c r="G124" s="146"/>
      <c r="H124" s="146"/>
      <c r="I124" s="146"/>
      <c r="J124" s="146"/>
      <c r="K124" s="146"/>
      <c r="L124" s="146"/>
      <c r="M124" s="146"/>
      <c r="N124" s="146"/>
      <c r="O124" s="146"/>
      <c r="P124" s="146"/>
      <c r="Q124" s="146"/>
      <c r="R124" s="146"/>
      <c r="S124" s="37"/>
    </row>
    <row r="125" spans="2:19" x14ac:dyDescent="0.2">
      <c r="B125" s="33"/>
      <c r="C125" s="153"/>
      <c r="D125" s="146"/>
      <c r="E125" s="146"/>
      <c r="F125" s="146"/>
      <c r="G125" s="146"/>
      <c r="H125" s="146"/>
      <c r="I125" s="146"/>
      <c r="J125" s="146"/>
      <c r="K125" s="146"/>
      <c r="L125" s="146"/>
      <c r="M125" s="146"/>
      <c r="N125" s="146"/>
      <c r="O125" s="146"/>
      <c r="P125" s="146"/>
      <c r="Q125" s="146"/>
      <c r="R125" s="146"/>
      <c r="S125" s="37"/>
    </row>
    <row r="126" spans="2:19" x14ac:dyDescent="0.2">
      <c r="B126" s="33"/>
      <c r="C126" s="153"/>
      <c r="D126" s="146" t="s">
        <v>166</v>
      </c>
      <c r="E126" s="146"/>
      <c r="F126" s="146"/>
      <c r="G126" s="146"/>
      <c r="H126" s="146"/>
      <c r="I126" s="146"/>
      <c r="J126" s="146"/>
      <c r="K126" s="146"/>
      <c r="L126" s="146"/>
      <c r="M126" s="146"/>
      <c r="N126" s="146"/>
      <c r="O126" s="146"/>
      <c r="P126" s="146"/>
      <c r="Q126" s="146"/>
      <c r="R126" s="146"/>
      <c r="S126" s="37"/>
    </row>
    <row r="127" spans="2:19" x14ac:dyDescent="0.2">
      <c r="B127" s="33"/>
      <c r="C127" s="153"/>
      <c r="D127" s="146" t="s">
        <v>167</v>
      </c>
      <c r="E127" s="146"/>
      <c r="F127" s="146"/>
      <c r="G127" s="146"/>
      <c r="H127" s="146"/>
      <c r="I127" s="146"/>
      <c r="J127" s="146"/>
      <c r="K127" s="146"/>
      <c r="L127" s="146"/>
      <c r="M127" s="146"/>
      <c r="N127" s="146"/>
      <c r="O127" s="146"/>
      <c r="P127" s="146"/>
      <c r="Q127" s="146"/>
      <c r="R127" s="146"/>
      <c r="S127" s="37"/>
    </row>
    <row r="128" spans="2:19" x14ac:dyDescent="0.2">
      <c r="B128" s="33"/>
      <c r="C128" s="153"/>
      <c r="D128" s="146"/>
      <c r="E128" s="146"/>
      <c r="F128" s="146"/>
      <c r="G128" s="146"/>
      <c r="H128" s="146"/>
      <c r="I128" s="146"/>
      <c r="J128" s="146"/>
      <c r="K128" s="146"/>
      <c r="L128" s="146"/>
      <c r="M128" s="146"/>
      <c r="N128" s="146"/>
      <c r="O128" s="146"/>
      <c r="P128" s="146"/>
      <c r="Q128" s="146"/>
      <c r="R128" s="146"/>
      <c r="S128" s="37"/>
    </row>
    <row r="129" spans="2:19" x14ac:dyDescent="0.2">
      <c r="B129" s="33"/>
      <c r="C129" s="153" t="s">
        <v>168</v>
      </c>
      <c r="D129" s="147" t="s">
        <v>169</v>
      </c>
      <c r="E129" s="146"/>
      <c r="F129" s="146"/>
      <c r="G129" s="146"/>
      <c r="H129" s="146"/>
      <c r="I129" s="146"/>
      <c r="J129" s="146"/>
      <c r="K129" s="146"/>
      <c r="L129" s="146"/>
      <c r="M129" s="146"/>
      <c r="N129" s="146"/>
      <c r="O129" s="146"/>
      <c r="P129" s="146"/>
      <c r="Q129" s="146"/>
      <c r="R129" s="146"/>
      <c r="S129" s="37"/>
    </row>
    <row r="130" spans="2:19" x14ac:dyDescent="0.2">
      <c r="B130" s="33"/>
      <c r="C130" s="153"/>
      <c r="D130" s="147"/>
      <c r="E130" s="146"/>
      <c r="F130" s="146"/>
      <c r="G130" s="146"/>
      <c r="H130" s="146"/>
      <c r="I130" s="146"/>
      <c r="J130" s="146"/>
      <c r="K130" s="146"/>
      <c r="L130" s="146"/>
      <c r="M130" s="146"/>
      <c r="N130" s="146"/>
      <c r="O130" s="146"/>
      <c r="P130" s="146"/>
      <c r="Q130" s="146"/>
      <c r="R130" s="146"/>
      <c r="S130" s="37"/>
    </row>
    <row r="131" spans="2:19" x14ac:dyDescent="0.2">
      <c r="B131" s="33"/>
      <c r="C131" s="153"/>
      <c r="D131" s="146" t="s">
        <v>170</v>
      </c>
      <c r="E131" s="146"/>
      <c r="F131" s="146"/>
      <c r="G131" s="146"/>
      <c r="H131" s="146"/>
      <c r="I131" s="146"/>
      <c r="J131" s="146"/>
      <c r="K131" s="146"/>
      <c r="L131" s="146"/>
      <c r="M131" s="146"/>
      <c r="N131" s="146"/>
      <c r="O131" s="146"/>
      <c r="P131" s="146"/>
      <c r="Q131" s="146"/>
      <c r="R131" s="146"/>
      <c r="S131" s="37"/>
    </row>
    <row r="132" spans="2:19" x14ac:dyDescent="0.2">
      <c r="B132" s="33"/>
      <c r="C132" s="153"/>
      <c r="D132" s="146" t="s">
        <v>171</v>
      </c>
      <c r="E132" s="146"/>
      <c r="F132" s="146"/>
      <c r="G132" s="146"/>
      <c r="H132" s="146"/>
      <c r="I132" s="146"/>
      <c r="J132" s="146"/>
      <c r="K132" s="146"/>
      <c r="L132" s="146"/>
      <c r="M132" s="146"/>
      <c r="N132" s="146"/>
      <c r="O132" s="146"/>
      <c r="P132" s="146"/>
      <c r="Q132" s="146"/>
      <c r="R132" s="146"/>
      <c r="S132" s="37"/>
    </row>
    <row r="133" spans="2:19" x14ac:dyDescent="0.2">
      <c r="B133" s="33"/>
      <c r="C133" s="153"/>
      <c r="D133" s="146" t="s">
        <v>172</v>
      </c>
      <c r="E133" s="146"/>
      <c r="F133" s="146"/>
      <c r="G133" s="146"/>
      <c r="H133" s="146"/>
      <c r="I133" s="146"/>
      <c r="J133" s="146"/>
      <c r="K133" s="146"/>
      <c r="L133" s="146"/>
      <c r="M133" s="146"/>
      <c r="N133" s="146"/>
      <c r="O133" s="146"/>
      <c r="P133" s="146"/>
      <c r="Q133" s="146"/>
      <c r="R133" s="146"/>
      <c r="S133" s="37"/>
    </row>
    <row r="134" spans="2:19" x14ac:dyDescent="0.2">
      <c r="B134" s="33"/>
      <c r="C134" s="153"/>
      <c r="D134" s="146" t="s">
        <v>173</v>
      </c>
      <c r="E134" s="146"/>
      <c r="F134" s="146"/>
      <c r="G134" s="146"/>
      <c r="H134" s="146"/>
      <c r="I134" s="146"/>
      <c r="J134" s="146"/>
      <c r="K134" s="146"/>
      <c r="L134" s="146"/>
      <c r="M134" s="146"/>
      <c r="N134" s="146"/>
      <c r="O134" s="146"/>
      <c r="P134" s="146"/>
      <c r="Q134" s="146"/>
      <c r="R134" s="146"/>
      <c r="S134" s="37"/>
    </row>
    <row r="135" spans="2:19" x14ac:dyDescent="0.2">
      <c r="B135" s="33"/>
      <c r="C135" s="153"/>
      <c r="D135" s="146"/>
      <c r="E135" s="146"/>
      <c r="F135" s="146"/>
      <c r="G135" s="146"/>
      <c r="H135" s="146"/>
      <c r="I135" s="146"/>
      <c r="J135" s="146"/>
      <c r="K135" s="146"/>
      <c r="L135" s="146"/>
      <c r="M135" s="146"/>
      <c r="N135" s="146"/>
      <c r="O135" s="146"/>
      <c r="P135" s="146"/>
      <c r="Q135" s="146"/>
      <c r="R135" s="146"/>
      <c r="S135" s="37"/>
    </row>
    <row r="136" spans="2:19" x14ac:dyDescent="0.2">
      <c r="B136" s="33"/>
      <c r="C136" s="153"/>
      <c r="D136" s="146" t="s">
        <v>145</v>
      </c>
      <c r="E136" s="146"/>
      <c r="F136" s="146"/>
      <c r="G136" s="146"/>
      <c r="H136" s="146"/>
      <c r="I136" s="146"/>
      <c r="J136" s="146"/>
      <c r="K136" s="146"/>
      <c r="L136" s="146"/>
      <c r="M136" s="146"/>
      <c r="N136" s="146"/>
      <c r="O136" s="146"/>
      <c r="P136" s="146"/>
      <c r="Q136" s="146"/>
      <c r="R136" s="146"/>
      <c r="S136" s="37"/>
    </row>
    <row r="137" spans="2:19" x14ac:dyDescent="0.2">
      <c r="B137" s="33"/>
      <c r="C137" s="153"/>
      <c r="D137" s="146"/>
      <c r="E137" s="146"/>
      <c r="F137" s="146"/>
      <c r="G137" s="146"/>
      <c r="H137" s="146"/>
      <c r="I137" s="146"/>
      <c r="J137" s="146"/>
      <c r="K137" s="146"/>
      <c r="L137" s="146"/>
      <c r="M137" s="146"/>
      <c r="N137" s="146"/>
      <c r="O137" s="146"/>
      <c r="P137" s="146"/>
      <c r="Q137" s="146"/>
      <c r="R137" s="146"/>
      <c r="S137" s="37"/>
    </row>
    <row r="138" spans="2:19" x14ac:dyDescent="0.2">
      <c r="B138" s="33"/>
      <c r="C138" s="153"/>
      <c r="D138" s="146" t="s">
        <v>166</v>
      </c>
      <c r="E138" s="146"/>
      <c r="F138" s="146"/>
      <c r="G138" s="146"/>
      <c r="H138" s="146"/>
      <c r="I138" s="146"/>
      <c r="J138" s="146"/>
      <c r="K138" s="146"/>
      <c r="L138" s="146"/>
      <c r="M138" s="146"/>
      <c r="N138" s="146"/>
      <c r="O138" s="146"/>
      <c r="P138" s="146"/>
      <c r="Q138" s="146"/>
      <c r="R138" s="146"/>
      <c r="S138" s="37"/>
    </row>
    <row r="139" spans="2:19" x14ac:dyDescent="0.2">
      <c r="B139" s="33"/>
      <c r="C139" s="153"/>
      <c r="D139" s="146" t="s">
        <v>167</v>
      </c>
      <c r="E139" s="146"/>
      <c r="F139" s="146"/>
      <c r="G139" s="146"/>
      <c r="H139" s="146"/>
      <c r="I139" s="146"/>
      <c r="J139" s="146"/>
      <c r="K139" s="146"/>
      <c r="L139" s="146"/>
      <c r="M139" s="146"/>
      <c r="N139" s="146"/>
      <c r="O139" s="146"/>
      <c r="P139" s="146"/>
      <c r="Q139" s="146"/>
      <c r="R139" s="146"/>
      <c r="S139" s="37"/>
    </row>
    <row r="140" spans="2:19" x14ac:dyDescent="0.2">
      <c r="B140" s="33"/>
      <c r="C140" s="153"/>
      <c r="D140" s="146"/>
      <c r="E140" s="146"/>
      <c r="F140" s="146"/>
      <c r="G140" s="146"/>
      <c r="H140" s="146"/>
      <c r="I140" s="146"/>
      <c r="J140" s="146"/>
      <c r="K140" s="146"/>
      <c r="L140" s="146"/>
      <c r="M140" s="146"/>
      <c r="N140" s="146"/>
      <c r="O140" s="146"/>
      <c r="P140" s="146"/>
      <c r="Q140" s="146"/>
      <c r="R140" s="146"/>
      <c r="S140" s="37"/>
    </row>
    <row r="141" spans="2:19" x14ac:dyDescent="0.2">
      <c r="B141" s="33"/>
      <c r="C141" s="153"/>
      <c r="D141" s="155" t="s">
        <v>146</v>
      </c>
      <c r="E141" s="146"/>
      <c r="F141" s="146"/>
      <c r="G141" s="146"/>
      <c r="H141" s="146"/>
      <c r="I141" s="146"/>
      <c r="J141" s="146"/>
      <c r="K141" s="146"/>
      <c r="L141" s="146"/>
      <c r="M141" s="146"/>
      <c r="N141" s="146"/>
      <c r="O141" s="146"/>
      <c r="P141" s="146"/>
      <c r="Q141" s="146"/>
      <c r="R141" s="146"/>
      <c r="S141" s="37"/>
    </row>
    <row r="142" spans="2:19" x14ac:dyDescent="0.2">
      <c r="B142" s="33"/>
      <c r="C142" s="153"/>
      <c r="D142" s="146" t="s">
        <v>174</v>
      </c>
      <c r="E142" s="146"/>
      <c r="F142" s="146"/>
      <c r="G142" s="146"/>
      <c r="H142" s="146"/>
      <c r="I142" s="146"/>
      <c r="J142" s="146"/>
      <c r="K142" s="146"/>
      <c r="L142" s="146"/>
      <c r="M142" s="146"/>
      <c r="N142" s="146"/>
      <c r="O142" s="146"/>
      <c r="P142" s="146"/>
      <c r="Q142" s="146"/>
      <c r="R142" s="146"/>
      <c r="S142" s="37"/>
    </row>
    <row r="143" spans="2:19" x14ac:dyDescent="0.2">
      <c r="B143" s="33"/>
      <c r="C143" s="153"/>
      <c r="D143" s="146" t="s">
        <v>175</v>
      </c>
      <c r="E143" s="146"/>
      <c r="F143" s="146"/>
      <c r="G143" s="146"/>
      <c r="H143" s="146"/>
      <c r="I143" s="146"/>
      <c r="J143" s="146"/>
      <c r="K143" s="146"/>
      <c r="L143" s="146"/>
      <c r="M143" s="146"/>
      <c r="N143" s="146"/>
      <c r="O143" s="146"/>
      <c r="P143" s="146"/>
      <c r="Q143" s="146"/>
      <c r="R143" s="146"/>
      <c r="S143" s="37"/>
    </row>
    <row r="144" spans="2:19" x14ac:dyDescent="0.2">
      <c r="B144" s="33"/>
      <c r="C144" s="153"/>
      <c r="D144" s="146" t="s">
        <v>176</v>
      </c>
      <c r="E144" s="146"/>
      <c r="F144" s="146"/>
      <c r="G144" s="146"/>
      <c r="H144" s="146"/>
      <c r="I144" s="146"/>
      <c r="J144" s="146"/>
      <c r="K144" s="146"/>
      <c r="L144" s="146"/>
      <c r="M144" s="146"/>
      <c r="N144" s="146"/>
      <c r="O144" s="146"/>
      <c r="P144" s="146"/>
      <c r="Q144" s="146"/>
      <c r="R144" s="146"/>
      <c r="S144" s="37"/>
    </row>
    <row r="145" spans="2:19" x14ac:dyDescent="0.2">
      <c r="B145" s="33"/>
      <c r="C145" s="153"/>
      <c r="D145" s="146" t="s">
        <v>177</v>
      </c>
      <c r="E145" s="146"/>
      <c r="F145" s="146"/>
      <c r="G145" s="146"/>
      <c r="H145" s="146"/>
      <c r="I145" s="146"/>
      <c r="J145" s="146"/>
      <c r="K145" s="146"/>
      <c r="L145" s="146"/>
      <c r="M145" s="146"/>
      <c r="N145" s="146"/>
      <c r="O145" s="146"/>
      <c r="P145" s="146"/>
      <c r="Q145" s="146"/>
      <c r="R145" s="146"/>
      <c r="S145" s="37"/>
    </row>
    <row r="146" spans="2:19" x14ac:dyDescent="0.2">
      <c r="B146" s="33"/>
      <c r="C146" s="153"/>
      <c r="D146" s="146" t="s">
        <v>178</v>
      </c>
      <c r="E146" s="146"/>
      <c r="F146" s="146"/>
      <c r="G146" s="146"/>
      <c r="H146" s="146"/>
      <c r="I146" s="146"/>
      <c r="J146" s="146"/>
      <c r="K146" s="146"/>
      <c r="L146" s="146"/>
      <c r="M146" s="146"/>
      <c r="N146" s="146"/>
      <c r="O146" s="146"/>
      <c r="P146" s="146"/>
      <c r="Q146" s="146"/>
      <c r="R146" s="146"/>
      <c r="S146" s="37"/>
    </row>
    <row r="147" spans="2:19" x14ac:dyDescent="0.2">
      <c r="B147" s="33"/>
      <c r="C147" s="153"/>
      <c r="D147" s="146" t="s">
        <v>179</v>
      </c>
      <c r="E147" s="146"/>
      <c r="F147" s="146"/>
      <c r="G147" s="146"/>
      <c r="H147" s="146"/>
      <c r="I147" s="146"/>
      <c r="J147" s="146"/>
      <c r="K147" s="146"/>
      <c r="L147" s="146"/>
      <c r="M147" s="146"/>
      <c r="N147" s="146"/>
      <c r="O147" s="146"/>
      <c r="P147" s="146"/>
      <c r="Q147" s="146"/>
      <c r="R147" s="146"/>
      <c r="S147" s="37"/>
    </row>
    <row r="148" spans="2:19" x14ac:dyDescent="0.2">
      <c r="B148" s="33"/>
      <c r="C148" s="153"/>
      <c r="D148" s="146" t="s">
        <v>180</v>
      </c>
      <c r="E148" s="146"/>
      <c r="F148" s="146"/>
      <c r="G148" s="146"/>
      <c r="H148" s="146"/>
      <c r="I148" s="146"/>
      <c r="J148" s="146"/>
      <c r="K148" s="146"/>
      <c r="L148" s="146"/>
      <c r="M148" s="146"/>
      <c r="N148" s="146"/>
      <c r="O148" s="146"/>
      <c r="P148" s="146"/>
      <c r="Q148" s="146"/>
      <c r="R148" s="146"/>
      <c r="S148" s="37"/>
    </row>
    <row r="149" spans="2:19" x14ac:dyDescent="0.2">
      <c r="B149" s="33"/>
      <c r="C149" s="153"/>
      <c r="D149" s="146"/>
      <c r="E149" s="146"/>
      <c r="F149" s="146"/>
      <c r="G149" s="146"/>
      <c r="H149" s="146"/>
      <c r="I149" s="146"/>
      <c r="J149" s="146"/>
      <c r="K149" s="146"/>
      <c r="L149" s="146"/>
      <c r="M149" s="146"/>
      <c r="N149" s="146"/>
      <c r="O149" s="146"/>
      <c r="P149" s="146"/>
      <c r="Q149" s="146"/>
      <c r="R149" s="146"/>
      <c r="S149" s="37"/>
    </row>
    <row r="150" spans="2:19" x14ac:dyDescent="0.2">
      <c r="B150" s="33"/>
      <c r="C150" s="153" t="s">
        <v>181</v>
      </c>
      <c r="D150" s="147" t="s">
        <v>182</v>
      </c>
      <c r="E150" s="146"/>
      <c r="F150" s="146"/>
      <c r="G150" s="146"/>
      <c r="H150" s="146"/>
      <c r="I150" s="146"/>
      <c r="J150" s="146"/>
      <c r="K150" s="146"/>
      <c r="L150" s="146"/>
      <c r="M150" s="146"/>
      <c r="N150" s="146"/>
      <c r="O150" s="146"/>
      <c r="P150" s="146"/>
      <c r="Q150" s="146"/>
      <c r="R150" s="146"/>
      <c r="S150" s="37"/>
    </row>
    <row r="151" spans="2:19" x14ac:dyDescent="0.2">
      <c r="B151" s="33"/>
      <c r="C151" s="153"/>
      <c r="D151" s="147"/>
      <c r="E151" s="146"/>
      <c r="F151" s="146"/>
      <c r="G151" s="146"/>
      <c r="H151" s="146"/>
      <c r="I151" s="146"/>
      <c r="J151" s="146"/>
      <c r="K151" s="146"/>
      <c r="L151" s="146"/>
      <c r="M151" s="146"/>
      <c r="N151" s="146"/>
      <c r="O151" s="146"/>
      <c r="P151" s="146"/>
      <c r="Q151" s="146"/>
      <c r="R151" s="146"/>
      <c r="S151" s="37"/>
    </row>
    <row r="152" spans="2:19" x14ac:dyDescent="0.2">
      <c r="B152" s="33"/>
      <c r="C152" s="153"/>
      <c r="D152" s="146" t="s">
        <v>314</v>
      </c>
      <c r="E152" s="146"/>
      <c r="F152" s="146"/>
      <c r="G152" s="146"/>
      <c r="H152" s="146"/>
      <c r="I152" s="146"/>
      <c r="J152" s="146"/>
      <c r="K152" s="146"/>
      <c r="L152" s="146"/>
      <c r="M152" s="146"/>
      <c r="N152" s="146"/>
      <c r="O152" s="146"/>
      <c r="P152" s="146"/>
      <c r="Q152" s="146"/>
      <c r="R152" s="146"/>
      <c r="S152" s="37"/>
    </row>
    <row r="153" spans="2:19" x14ac:dyDescent="0.2">
      <c r="B153" s="33"/>
      <c r="C153" s="153"/>
      <c r="D153" s="146"/>
      <c r="E153" s="146"/>
      <c r="F153" s="146"/>
      <c r="G153" s="146"/>
      <c r="H153" s="146"/>
      <c r="I153" s="146"/>
      <c r="J153" s="146"/>
      <c r="K153" s="146"/>
      <c r="L153" s="146"/>
      <c r="M153" s="146"/>
      <c r="N153" s="146"/>
      <c r="O153" s="146"/>
      <c r="P153" s="146"/>
      <c r="Q153" s="146"/>
      <c r="R153" s="146"/>
      <c r="S153" s="37"/>
    </row>
    <row r="154" spans="2:19" x14ac:dyDescent="0.2">
      <c r="B154" s="33"/>
      <c r="C154" s="153"/>
      <c r="D154" s="147" t="s">
        <v>183</v>
      </c>
      <c r="E154" s="146"/>
      <c r="F154" s="146"/>
      <c r="G154" s="146"/>
      <c r="H154" s="146"/>
      <c r="I154" s="146"/>
      <c r="J154" s="146"/>
      <c r="K154" s="146"/>
      <c r="L154" s="146"/>
      <c r="M154" s="146"/>
      <c r="N154" s="146"/>
      <c r="O154" s="146"/>
      <c r="P154" s="146"/>
      <c r="Q154" s="146"/>
      <c r="R154" s="146"/>
      <c r="S154" s="37"/>
    </row>
    <row r="155" spans="2:19" x14ac:dyDescent="0.2">
      <c r="B155" s="33"/>
      <c r="C155" s="153"/>
      <c r="D155" s="147" t="s">
        <v>184</v>
      </c>
      <c r="E155" s="146"/>
      <c r="F155" s="146"/>
      <c r="G155" s="146"/>
      <c r="H155" s="146"/>
      <c r="I155" s="146"/>
      <c r="J155" s="146"/>
      <c r="K155" s="146"/>
      <c r="L155" s="146"/>
      <c r="M155" s="146"/>
      <c r="N155" s="146"/>
      <c r="O155" s="146"/>
      <c r="P155" s="146"/>
      <c r="Q155" s="146"/>
      <c r="R155" s="146"/>
      <c r="S155" s="37"/>
    </row>
    <row r="156" spans="2:19" x14ac:dyDescent="0.2">
      <c r="B156" s="33"/>
      <c r="C156" s="153"/>
      <c r="D156" s="147" t="s">
        <v>185</v>
      </c>
      <c r="E156" s="146"/>
      <c r="F156" s="147" t="s">
        <v>186</v>
      </c>
      <c r="G156" s="146"/>
      <c r="H156" s="146"/>
      <c r="I156" s="146"/>
      <c r="J156" s="146"/>
      <c r="K156" s="146"/>
      <c r="L156" s="146"/>
      <c r="M156" s="146"/>
      <c r="N156" s="146"/>
      <c r="O156" s="146"/>
      <c r="P156" s="146"/>
      <c r="Q156" s="146"/>
      <c r="R156" s="146"/>
      <c r="S156" s="37"/>
    </row>
    <row r="157" spans="2:19" x14ac:dyDescent="0.2">
      <c r="B157" s="33"/>
      <c r="C157" s="153"/>
      <c r="D157" s="147" t="s">
        <v>187</v>
      </c>
      <c r="E157" s="146"/>
      <c r="F157" s="147" t="s">
        <v>188</v>
      </c>
      <c r="G157" s="146"/>
      <c r="H157" s="146"/>
      <c r="I157" s="146"/>
      <c r="J157" s="146"/>
      <c r="K157" s="146"/>
      <c r="L157" s="146"/>
      <c r="M157" s="146"/>
      <c r="N157" s="146"/>
      <c r="O157" s="146"/>
      <c r="P157" s="146"/>
      <c r="Q157" s="146"/>
      <c r="R157" s="146"/>
      <c r="S157" s="37"/>
    </row>
    <row r="158" spans="2:19" x14ac:dyDescent="0.2">
      <c r="B158" s="33"/>
      <c r="C158" s="146"/>
      <c r="D158" s="146"/>
      <c r="E158" s="146"/>
      <c r="F158" s="146"/>
      <c r="G158" s="146"/>
      <c r="H158" s="146"/>
      <c r="I158" s="146"/>
      <c r="J158" s="146"/>
      <c r="K158" s="146"/>
      <c r="L158" s="146"/>
      <c r="M158" s="146"/>
      <c r="N158" s="146"/>
      <c r="O158" s="146"/>
      <c r="P158" s="146"/>
      <c r="Q158" s="146"/>
      <c r="R158" s="146"/>
      <c r="S158" s="37"/>
    </row>
    <row r="159" spans="2:19" x14ac:dyDescent="0.2">
      <c r="B159" s="33"/>
      <c r="C159" s="34"/>
      <c r="D159" s="34"/>
      <c r="E159" s="34"/>
      <c r="F159" s="34"/>
      <c r="G159" s="34"/>
      <c r="H159" s="34"/>
      <c r="I159" s="34"/>
      <c r="J159" s="34"/>
      <c r="K159" s="34"/>
      <c r="L159" s="34"/>
      <c r="M159" s="34"/>
      <c r="N159" s="34"/>
      <c r="O159" s="34"/>
      <c r="P159" s="34"/>
      <c r="Q159" s="34"/>
      <c r="R159" s="34"/>
      <c r="S159" s="37"/>
    </row>
    <row r="160" spans="2:19" ht="13.5" thickBot="1" x14ac:dyDescent="0.25">
      <c r="B160" s="60"/>
      <c r="C160" s="61"/>
      <c r="D160" s="61"/>
      <c r="E160" s="61"/>
      <c r="F160" s="61"/>
      <c r="G160" s="61"/>
      <c r="H160" s="61"/>
      <c r="I160" s="61"/>
      <c r="J160" s="61"/>
      <c r="K160" s="61"/>
      <c r="L160" s="61"/>
      <c r="M160" s="61"/>
      <c r="N160" s="61"/>
      <c r="O160" s="61"/>
      <c r="P160" s="61"/>
      <c r="Q160" s="61"/>
      <c r="R160" s="64" t="s">
        <v>103</v>
      </c>
      <c r="S160" s="65"/>
    </row>
    <row r="161" spans="4:19" ht="15.75" x14ac:dyDescent="0.25">
      <c r="D161" s="25"/>
      <c r="E161" s="25"/>
      <c r="F161" s="25"/>
      <c r="G161" s="25"/>
      <c r="H161" s="25"/>
      <c r="I161" s="25"/>
      <c r="J161" s="25"/>
      <c r="K161" s="25"/>
      <c r="L161" s="25"/>
      <c r="M161" s="25"/>
      <c r="N161" s="25"/>
      <c r="O161" s="25"/>
      <c r="P161" s="25"/>
      <c r="Q161" s="25"/>
      <c r="R161" s="71"/>
      <c r="S161" s="25"/>
    </row>
  </sheetData>
  <sheetProtection algorithmName="SHA-512" hashValue="nsHi09RdFDYMApeIdddwV5G9JCbFUYlLq1ucVyN3crD5MJEGOqynW7qM5MgvsDRGr12Yc0tmWdZxm4ozDP3ZcQ==" saltValue="d5twbO87MxSBqBa0teMcDg==" spinCount="100000" sheet="1" objects="1" scenarios="1"/>
  <pageMargins left="0.7" right="0.7" top="0.75" bottom="0.75" header="0.3" footer="0.3"/>
  <pageSetup paperSize="9" scale="60" orientation="portrait" r:id="rId1"/>
  <headerFooter>
    <oddFooter>&amp;L&amp;F&amp;CPagina&amp;&amp;[Pagina]&amp;R&amp;A</oddFooter>
  </headerFooter>
  <rowBreaks count="1" manualBreakCount="1">
    <brk id="89" min="1"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04"/>
  <sheetViews>
    <sheetView tabSelected="1" zoomScale="85" zoomScaleNormal="85" workbookViewId="0">
      <selection activeCell="B2" sqref="B2"/>
    </sheetView>
  </sheetViews>
  <sheetFormatPr defaultColWidth="9.7109375" defaultRowHeight="13.5" customHeight="1" x14ac:dyDescent="0.2"/>
  <cols>
    <col min="1" max="1" width="2.7109375" style="25" customWidth="1"/>
    <col min="2" max="4" width="2.5703125" style="25" customWidth="1"/>
    <col min="5" max="5" width="35.7109375" style="25" customWidth="1"/>
    <col min="6" max="6" width="12.7109375" style="26" customWidth="1"/>
    <col min="7" max="7" width="12.7109375" style="27" customWidth="1"/>
    <col min="8" max="8" width="2.7109375" style="27" customWidth="1"/>
    <col min="9" max="10" width="12.85546875" style="25" customWidth="1"/>
    <col min="11" max="11" width="2.7109375" style="25" customWidth="1"/>
    <col min="12" max="12" width="13.7109375" style="25" customWidth="1"/>
    <col min="13" max="13" width="12.7109375" style="25" customWidth="1"/>
    <col min="14" max="16" width="2.7109375" style="25" customWidth="1"/>
    <col min="17" max="16384" width="9.7109375" style="25"/>
  </cols>
  <sheetData>
    <row r="1" spans="2:18" ht="13.5" customHeight="1" thickBot="1" x14ac:dyDescent="0.25"/>
    <row r="2" spans="2:18" ht="13.5" customHeight="1" x14ac:dyDescent="0.2">
      <c r="B2" s="28"/>
      <c r="C2" s="29"/>
      <c r="D2" s="29"/>
      <c r="E2" s="29"/>
      <c r="F2" s="30"/>
      <c r="G2" s="31"/>
      <c r="H2" s="31"/>
      <c r="I2" s="29"/>
      <c r="J2" s="29"/>
      <c r="K2" s="29"/>
      <c r="L2" s="29"/>
      <c r="M2" s="29"/>
      <c r="N2" s="29"/>
      <c r="O2" s="32"/>
    </row>
    <row r="3" spans="2:18" ht="13.5" customHeight="1" x14ac:dyDescent="0.2">
      <c r="B3" s="33"/>
      <c r="C3" s="34"/>
      <c r="D3" s="34"/>
      <c r="E3" s="34"/>
      <c r="F3" s="35"/>
      <c r="G3" s="36"/>
      <c r="H3" s="36"/>
      <c r="I3" s="34"/>
      <c r="J3" s="34"/>
      <c r="K3" s="34"/>
      <c r="L3" s="34"/>
      <c r="M3" s="34"/>
      <c r="N3" s="34"/>
      <c r="O3" s="37"/>
    </row>
    <row r="4" spans="2:18" s="46" customFormat="1" ht="18" customHeight="1" x14ac:dyDescent="0.25">
      <c r="B4" s="38"/>
      <c r="C4" s="39" t="s">
        <v>44</v>
      </c>
      <c r="D4" s="40"/>
      <c r="E4" s="40"/>
      <c r="F4" s="41">
        <f>tabellen!B2</f>
        <v>2016</v>
      </c>
      <c r="G4" s="42" t="str">
        <f>tabellen!C2</f>
        <v>vanaf 1 januari</v>
      </c>
      <c r="H4" s="43"/>
      <c r="I4" s="40"/>
      <c r="J4" s="40"/>
      <c r="K4" s="40"/>
      <c r="L4" s="44"/>
      <c r="M4" s="40"/>
      <c r="N4" s="40"/>
      <c r="O4" s="45"/>
    </row>
    <row r="5" spans="2:18" s="46" customFormat="1" ht="12.75" customHeight="1" x14ac:dyDescent="0.25">
      <c r="B5" s="38"/>
      <c r="C5" s="39"/>
      <c r="D5" s="40"/>
      <c r="E5" s="40"/>
      <c r="F5" s="41"/>
      <c r="G5" s="41"/>
      <c r="H5" s="43"/>
      <c r="I5" s="40"/>
      <c r="J5" s="40"/>
      <c r="K5" s="40"/>
      <c r="L5" s="44"/>
      <c r="M5" s="40"/>
      <c r="N5" s="40"/>
      <c r="O5" s="45"/>
    </row>
    <row r="6" spans="2:18" ht="12.75" customHeight="1" x14ac:dyDescent="0.2">
      <c r="B6" s="33"/>
      <c r="C6" s="34"/>
      <c r="D6" s="34"/>
      <c r="E6" s="47"/>
      <c r="F6" s="35"/>
      <c r="G6" s="36"/>
      <c r="H6" s="36"/>
      <c r="I6" s="143"/>
      <c r="J6" s="48"/>
      <c r="K6" s="34"/>
      <c r="L6" s="48"/>
      <c r="M6" s="48"/>
      <c r="N6" s="34"/>
      <c r="O6" s="37"/>
    </row>
    <row r="7" spans="2:18" ht="12.75" customHeight="1" x14ac:dyDescent="0.2">
      <c r="B7" s="33"/>
      <c r="C7" s="164"/>
      <c r="D7" s="164"/>
      <c r="E7" s="165"/>
      <c r="F7" s="166"/>
      <c r="G7" s="167"/>
      <c r="H7" s="167"/>
      <c r="I7" s="164"/>
      <c r="J7" s="164"/>
      <c r="K7" s="164"/>
      <c r="L7" s="164"/>
      <c r="M7" s="164"/>
      <c r="N7" s="164"/>
      <c r="O7" s="37"/>
    </row>
    <row r="8" spans="2:18" ht="12.75" customHeight="1" x14ac:dyDescent="0.2">
      <c r="B8" s="33"/>
      <c r="C8" s="164"/>
      <c r="D8" s="168" t="s">
        <v>45</v>
      </c>
      <c r="E8" s="165"/>
      <c r="F8" s="166"/>
      <c r="G8" s="167"/>
      <c r="H8" s="167"/>
      <c r="I8" s="164"/>
      <c r="J8" s="164"/>
      <c r="K8" s="164"/>
      <c r="L8" s="164"/>
      <c r="M8" s="164"/>
      <c r="N8" s="164"/>
      <c r="O8" s="37"/>
    </row>
    <row r="9" spans="2:18" ht="12.75" customHeight="1" x14ac:dyDescent="0.2">
      <c r="B9" s="33"/>
      <c r="C9" s="164"/>
      <c r="D9" s="164"/>
      <c r="E9" s="165"/>
      <c r="F9" s="166"/>
      <c r="G9" s="167"/>
      <c r="H9" s="167"/>
      <c r="I9" s="164"/>
      <c r="J9" s="164"/>
      <c r="K9" s="164"/>
      <c r="L9" s="164"/>
      <c r="M9" s="164"/>
      <c r="N9" s="164"/>
      <c r="O9" s="37"/>
    </row>
    <row r="10" spans="2:18" ht="12.75" customHeight="1" x14ac:dyDescent="0.2">
      <c r="B10" s="49"/>
      <c r="C10" s="168"/>
      <c r="D10" s="164" t="s">
        <v>46</v>
      </c>
      <c r="E10" s="164"/>
      <c r="F10" s="164"/>
      <c r="G10" s="164"/>
      <c r="H10" s="164"/>
      <c r="I10" s="330" t="s">
        <v>47</v>
      </c>
      <c r="J10" s="330"/>
      <c r="K10" s="164"/>
      <c r="L10" s="169"/>
      <c r="M10" s="164"/>
      <c r="N10" s="164"/>
      <c r="O10" s="37"/>
    </row>
    <row r="11" spans="2:18" ht="12.75" customHeight="1" x14ac:dyDescent="0.2">
      <c r="B11" s="33"/>
      <c r="C11" s="164"/>
      <c r="D11" s="164" t="s">
        <v>48</v>
      </c>
      <c r="E11" s="164"/>
      <c r="F11" s="166"/>
      <c r="G11" s="167"/>
      <c r="H11" s="167"/>
      <c r="I11" s="170">
        <v>32487</v>
      </c>
      <c r="J11" s="246">
        <f>YEAR(I6)-YEAR(I11)</f>
        <v>-88</v>
      </c>
      <c r="K11" s="247"/>
      <c r="L11" s="248">
        <f>MONTH(I6)-MONTH(I11)</f>
        <v>-11</v>
      </c>
      <c r="M11" s="248">
        <f>DAY(I6)-DAY(I11)</f>
        <v>-10</v>
      </c>
      <c r="N11" s="164"/>
      <c r="O11" s="37"/>
    </row>
    <row r="12" spans="2:18" ht="12.75" customHeight="1" x14ac:dyDescent="0.2">
      <c r="B12" s="33"/>
      <c r="C12" s="164"/>
      <c r="D12" s="168"/>
      <c r="E12" s="164"/>
      <c r="F12" s="166"/>
      <c r="G12" s="167"/>
      <c r="H12" s="167"/>
      <c r="I12" s="164"/>
      <c r="J12" s="249">
        <f>YEAR(I11)</f>
        <v>1988</v>
      </c>
      <c r="K12" s="247"/>
      <c r="L12" s="250"/>
      <c r="M12" s="250"/>
      <c r="N12" s="164"/>
      <c r="O12" s="37"/>
    </row>
    <row r="13" spans="2:18" ht="12.75" customHeight="1" x14ac:dyDescent="0.2">
      <c r="B13" s="33"/>
      <c r="C13" s="164"/>
      <c r="D13" s="172" t="s">
        <v>49</v>
      </c>
      <c r="E13" s="164"/>
      <c r="F13" s="164"/>
      <c r="G13" s="164"/>
      <c r="H13" s="164"/>
      <c r="I13" s="173"/>
      <c r="J13" s="250"/>
      <c r="K13" s="250"/>
      <c r="L13" s="250"/>
      <c r="M13" s="250"/>
      <c r="N13" s="164"/>
      <c r="O13" s="37"/>
    </row>
    <row r="14" spans="2:18" ht="12.75" customHeight="1" x14ac:dyDescent="0.2">
      <c r="B14" s="33"/>
      <c r="C14" s="164"/>
      <c r="D14" s="166" t="s">
        <v>50</v>
      </c>
      <c r="E14" s="164"/>
      <c r="F14" s="164"/>
      <c r="G14" s="166"/>
      <c r="H14" s="167"/>
      <c r="I14" s="174" t="s">
        <v>5</v>
      </c>
      <c r="J14" s="250">
        <f>IF(AND(I14&gt;0,I14&lt;16),0,100)</f>
        <v>100</v>
      </c>
      <c r="K14" s="250"/>
      <c r="L14" s="250"/>
      <c r="M14" s="250"/>
      <c r="N14" s="164"/>
      <c r="O14" s="37"/>
    </row>
    <row r="15" spans="2:18" ht="12.75" customHeight="1" x14ac:dyDescent="0.2">
      <c r="B15" s="33"/>
      <c r="C15" s="164"/>
      <c r="D15" s="166" t="s">
        <v>51</v>
      </c>
      <c r="E15" s="164"/>
      <c r="F15" s="164"/>
      <c r="G15" s="167"/>
      <c r="H15" s="167"/>
      <c r="I15" s="174">
        <v>11</v>
      </c>
      <c r="J15" s="175" t="str">
        <f>IF(AND(I15&gt;0,I15&lt;M15+1),"",R15)</f>
        <v/>
      </c>
      <c r="K15" s="176"/>
      <c r="L15" s="177" t="s">
        <v>52</v>
      </c>
      <c r="M15" s="178">
        <f>VLOOKUP(I14,salaristabellen,18,FALSE)</f>
        <v>12</v>
      </c>
      <c r="N15" s="164"/>
      <c r="O15" s="37"/>
      <c r="R15" s="50" t="s">
        <v>53</v>
      </c>
    </row>
    <row r="16" spans="2:18" ht="12.75" customHeight="1" x14ac:dyDescent="0.2">
      <c r="B16" s="33"/>
      <c r="C16" s="164"/>
      <c r="D16" s="166" t="s">
        <v>54</v>
      </c>
      <c r="E16" s="164"/>
      <c r="F16" s="164"/>
      <c r="G16" s="167"/>
      <c r="H16" s="167"/>
      <c r="I16" s="179">
        <f>VLOOKUP(I14,salaristabellen,I15+1,FALSE)</f>
        <v>3660</v>
      </c>
      <c r="J16" s="171"/>
      <c r="K16" s="171"/>
      <c r="L16" s="171"/>
      <c r="M16" s="171"/>
      <c r="N16" s="164"/>
      <c r="O16" s="37"/>
    </row>
    <row r="17" spans="2:15" ht="12.75" x14ac:dyDescent="0.2">
      <c r="B17" s="33"/>
      <c r="C17" s="164"/>
      <c r="D17" s="164" t="s">
        <v>55</v>
      </c>
      <c r="E17" s="164"/>
      <c r="F17" s="166"/>
      <c r="G17" s="167"/>
      <c r="H17" s="167"/>
      <c r="I17" s="180">
        <v>1</v>
      </c>
      <c r="J17" s="171"/>
      <c r="K17" s="171"/>
      <c r="L17" s="171"/>
      <c r="M17" s="171"/>
      <c r="N17" s="164"/>
      <c r="O17" s="37"/>
    </row>
    <row r="18" spans="2:15" ht="12.75" x14ac:dyDescent="0.2">
      <c r="B18" s="33"/>
      <c r="C18" s="164"/>
      <c r="D18" s="166" t="s">
        <v>56</v>
      </c>
      <c r="E18" s="164"/>
      <c r="F18" s="164"/>
      <c r="G18" s="167"/>
      <c r="H18" s="167"/>
      <c r="I18" s="179">
        <f>+I16*I17</f>
        <v>3660</v>
      </c>
      <c r="J18" s="171"/>
      <c r="K18" s="171"/>
      <c r="L18" s="171"/>
      <c r="M18" s="171"/>
      <c r="N18" s="164"/>
      <c r="O18" s="37"/>
    </row>
    <row r="19" spans="2:15" ht="12.75" x14ac:dyDescent="0.2">
      <c r="B19" s="33"/>
      <c r="C19" s="164"/>
      <c r="D19" s="164"/>
      <c r="E19" s="164"/>
      <c r="F19" s="166"/>
      <c r="G19" s="167"/>
      <c r="H19" s="167"/>
      <c r="I19" s="181"/>
      <c r="J19" s="171"/>
      <c r="K19" s="171"/>
      <c r="L19" s="171"/>
      <c r="M19" s="171"/>
      <c r="N19" s="164"/>
      <c r="O19" s="37"/>
    </row>
    <row r="20" spans="2:15" ht="12.75" x14ac:dyDescent="0.2">
      <c r="B20" s="33"/>
      <c r="C20" s="164"/>
      <c r="D20" s="168" t="s">
        <v>57</v>
      </c>
      <c r="E20" s="164"/>
      <c r="F20" s="166"/>
      <c r="G20" s="167"/>
      <c r="H20" s="167"/>
      <c r="I20" s="164"/>
      <c r="J20" s="171"/>
      <c r="K20" s="171"/>
      <c r="L20" s="171"/>
      <c r="M20" s="171"/>
      <c r="N20" s="164"/>
      <c r="O20" s="37"/>
    </row>
    <row r="21" spans="2:15" ht="12.75" x14ac:dyDescent="0.2">
      <c r="B21" s="33"/>
      <c r="C21" s="164"/>
      <c r="D21" s="166" t="s">
        <v>58</v>
      </c>
      <c r="E21" s="164"/>
      <c r="F21" s="182" t="s">
        <v>5</v>
      </c>
      <c r="G21" s="174" t="s">
        <v>59</v>
      </c>
      <c r="H21" s="167"/>
      <c r="I21" s="183">
        <f>ROUND(IF(G21="ja",VLOOKUP(F21,uitlooptoeslag,2,FALSE))*IF(I17&gt;1,1,I17),2)</f>
        <v>26.78</v>
      </c>
      <c r="J21" s="171"/>
      <c r="K21" s="171"/>
      <c r="L21" s="171"/>
      <c r="M21" s="171"/>
      <c r="N21" s="164"/>
      <c r="O21" s="37"/>
    </row>
    <row r="22" spans="2:15" ht="12.75" x14ac:dyDescent="0.2">
      <c r="B22" s="33"/>
      <c r="C22" s="164"/>
      <c r="D22" s="166" t="s">
        <v>60</v>
      </c>
      <c r="E22" s="164"/>
      <c r="F22" s="166"/>
      <c r="G22" s="184">
        <v>0.08</v>
      </c>
      <c r="H22" s="185"/>
      <c r="I22" s="183">
        <f>ROUND(IF((I$18+I$21)*G22&lt;I17*tabellen!D65,I17*tabellen!D65,(I$18+I$21)*G22),2)</f>
        <v>294.94</v>
      </c>
      <c r="J22" s="171"/>
      <c r="K22" s="171"/>
      <c r="L22" s="171"/>
      <c r="M22" s="171"/>
      <c r="N22" s="164"/>
      <c r="O22" s="37"/>
    </row>
    <row r="23" spans="2:15" ht="12.75" x14ac:dyDescent="0.2">
      <c r="B23" s="33"/>
      <c r="C23" s="164"/>
      <c r="D23" s="166" t="s">
        <v>61</v>
      </c>
      <c r="E23" s="164"/>
      <c r="F23" s="166"/>
      <c r="G23" s="186">
        <f>tabellen!D66</f>
        <v>7.3999999999999996E-2</v>
      </c>
      <c r="H23" s="187"/>
      <c r="I23" s="183">
        <f>ROUND(+(I$18+I$21)*G23,2)</f>
        <v>272.82</v>
      </c>
      <c r="J23" s="171"/>
      <c r="K23" s="171"/>
      <c r="L23" s="171"/>
      <c r="M23" s="171"/>
      <c r="N23" s="164"/>
      <c r="O23" s="37"/>
    </row>
    <row r="24" spans="2:15" ht="12.75" x14ac:dyDescent="0.2">
      <c r="B24" s="33"/>
      <c r="C24" s="164"/>
      <c r="D24" s="166" t="s">
        <v>62</v>
      </c>
      <c r="E24" s="164"/>
      <c r="F24" s="166"/>
      <c r="G24" s="187"/>
      <c r="H24" s="187"/>
      <c r="I24" s="183">
        <f>+tabellen!C60*I17</f>
        <v>33.21</v>
      </c>
      <c r="J24" s="171"/>
      <c r="K24" s="171"/>
      <c r="L24" s="171"/>
      <c r="M24" s="171"/>
      <c r="N24" s="164"/>
      <c r="O24" s="37"/>
    </row>
    <row r="25" spans="2:15" ht="12.75" x14ac:dyDescent="0.2">
      <c r="B25" s="33"/>
      <c r="C25" s="164"/>
      <c r="D25" s="188" t="s">
        <v>300</v>
      </c>
      <c r="E25" s="164"/>
      <c r="F25" s="166"/>
      <c r="G25" s="187"/>
      <c r="H25" s="187"/>
      <c r="I25" s="183">
        <f>IF(I17=0,0,I17*tabellen!C57)/12</f>
        <v>16.666666666666668</v>
      </c>
      <c r="J25" s="171"/>
      <c r="K25" s="171"/>
      <c r="L25" s="171"/>
      <c r="M25" s="171"/>
      <c r="N25" s="164"/>
      <c r="O25" s="37"/>
    </row>
    <row r="26" spans="2:15" ht="12.75" x14ac:dyDescent="0.2">
      <c r="B26" s="33"/>
      <c r="C26" s="164"/>
      <c r="D26" s="164" t="s">
        <v>301</v>
      </c>
      <c r="E26" s="164"/>
      <c r="F26" s="166"/>
      <c r="G26" s="187"/>
      <c r="H26" s="187"/>
      <c r="I26" s="183">
        <v>41.666666666666664</v>
      </c>
      <c r="J26" s="171"/>
      <c r="K26" s="171"/>
      <c r="L26" s="171"/>
      <c r="M26" s="171"/>
      <c r="N26" s="164"/>
      <c r="O26" s="37"/>
    </row>
    <row r="27" spans="2:15" ht="12.75" x14ac:dyDescent="0.2">
      <c r="B27" s="33"/>
      <c r="C27" s="164"/>
      <c r="D27" s="166" t="s">
        <v>39</v>
      </c>
      <c r="E27" s="164"/>
      <c r="F27" s="189"/>
      <c r="G27" s="190">
        <f>IF(J14=100,0,I14)</f>
        <v>0</v>
      </c>
      <c r="H27" s="187"/>
      <c r="I27" s="183">
        <f>VLOOKUP(G27,eindejaarsuitkering_OOP,2,TRUE)*I17/12</f>
        <v>0</v>
      </c>
      <c r="J27" s="171"/>
      <c r="K27" s="171"/>
      <c r="L27" s="171"/>
      <c r="M27" s="171"/>
      <c r="N27" s="164"/>
      <c r="O27" s="37"/>
    </row>
    <row r="28" spans="2:15" s="52" customFormat="1" ht="12.75" x14ac:dyDescent="0.2">
      <c r="B28" s="49"/>
      <c r="C28" s="168"/>
      <c r="D28" s="168"/>
      <c r="E28" s="168"/>
      <c r="F28" s="191"/>
      <c r="G28" s="192"/>
      <c r="H28" s="192"/>
      <c r="I28" s="193">
        <f>+I18+SUM(I21:I27)</f>
        <v>4346.083333333333</v>
      </c>
      <c r="J28" s="194"/>
      <c r="K28" s="194"/>
      <c r="L28" s="194"/>
      <c r="M28" s="194"/>
      <c r="N28" s="168"/>
      <c r="O28" s="51"/>
    </row>
    <row r="29" spans="2:15" ht="12.75" x14ac:dyDescent="0.2">
      <c r="B29" s="33"/>
      <c r="C29" s="164"/>
      <c r="D29" s="168"/>
      <c r="E29" s="164"/>
      <c r="F29" s="166"/>
      <c r="G29" s="167"/>
      <c r="H29" s="167"/>
      <c r="I29" s="195"/>
      <c r="J29" s="171"/>
      <c r="K29" s="171"/>
      <c r="L29" s="171"/>
      <c r="M29" s="171"/>
      <c r="N29" s="164"/>
      <c r="O29" s="37"/>
    </row>
    <row r="30" spans="2:15" ht="12.75" x14ac:dyDescent="0.2">
      <c r="B30" s="33"/>
      <c r="C30" s="164"/>
      <c r="D30" s="164" t="s">
        <v>63</v>
      </c>
      <c r="E30" s="168"/>
      <c r="F30" s="166"/>
      <c r="G30" s="167"/>
      <c r="H30" s="167"/>
      <c r="I30" s="183">
        <f>+I28*12</f>
        <v>52153</v>
      </c>
      <c r="J30" s="171"/>
      <c r="K30" s="171"/>
      <c r="L30" s="171"/>
      <c r="M30" s="171"/>
      <c r="N30" s="164"/>
      <c r="O30" s="37"/>
    </row>
    <row r="31" spans="2:15" ht="12.75" x14ac:dyDescent="0.2">
      <c r="B31" s="33"/>
      <c r="C31" s="164"/>
      <c r="D31" s="164" t="s">
        <v>30</v>
      </c>
      <c r="E31" s="168"/>
      <c r="F31" s="182" t="s">
        <v>64</v>
      </c>
      <c r="G31" s="174" t="s">
        <v>59</v>
      </c>
      <c r="H31" s="167"/>
      <c r="I31" s="183">
        <f>ROUND(IF(G31="ja",VLOOKUP(F31,bindingstoelage,2,FALSE))*IF(I17&gt;1,1,I17),2)</f>
        <v>1388.12</v>
      </c>
      <c r="J31" s="171"/>
      <c r="K31" s="171"/>
      <c r="L31" s="171"/>
      <c r="M31" s="171"/>
      <c r="N31" s="164"/>
      <c r="O31" s="37"/>
    </row>
    <row r="32" spans="2:15" ht="12.75" x14ac:dyDescent="0.2">
      <c r="B32" s="33"/>
      <c r="C32" s="164"/>
      <c r="D32" s="168" t="s">
        <v>65</v>
      </c>
      <c r="E32" s="164"/>
      <c r="F32" s="166"/>
      <c r="G32" s="167"/>
      <c r="H32" s="167"/>
      <c r="I32" s="193">
        <f>ROUND(SUM(I30:I31),0)</f>
        <v>53541</v>
      </c>
      <c r="J32" s="171"/>
      <c r="K32" s="171"/>
      <c r="L32" s="171"/>
      <c r="M32" s="171"/>
      <c r="N32" s="164"/>
      <c r="O32" s="37"/>
    </row>
    <row r="33" spans="2:15" ht="12.75" x14ac:dyDescent="0.2">
      <c r="B33" s="33"/>
      <c r="C33" s="164"/>
      <c r="D33" s="168"/>
      <c r="E33" s="164"/>
      <c r="F33" s="166"/>
      <c r="G33" s="167"/>
      <c r="H33" s="167"/>
      <c r="I33" s="196"/>
      <c r="J33" s="171"/>
      <c r="K33" s="171"/>
      <c r="L33" s="171"/>
      <c r="M33" s="171"/>
      <c r="N33" s="164"/>
      <c r="O33" s="37"/>
    </row>
    <row r="34" spans="2:15" s="55" customFormat="1" ht="12.75" x14ac:dyDescent="0.2">
      <c r="B34" s="53"/>
      <c r="C34" s="197"/>
      <c r="D34" s="168" t="s">
        <v>66</v>
      </c>
      <c r="E34" s="197"/>
      <c r="F34" s="198"/>
      <c r="G34" s="199"/>
      <c r="H34" s="199"/>
      <c r="I34" s="200" t="s">
        <v>67</v>
      </c>
      <c r="J34" s="200" t="s">
        <v>68</v>
      </c>
      <c r="K34" s="201"/>
      <c r="L34" s="184" t="s">
        <v>69</v>
      </c>
      <c r="M34" s="202" t="s">
        <v>70</v>
      </c>
      <c r="N34" s="197"/>
      <c r="O34" s="54"/>
    </row>
    <row r="35" spans="2:15" ht="12.75" x14ac:dyDescent="0.2">
      <c r="B35" s="33"/>
      <c r="C35" s="164"/>
      <c r="D35" s="168"/>
      <c r="E35" s="164"/>
      <c r="F35" s="166"/>
      <c r="G35" s="167"/>
      <c r="H35" s="167"/>
      <c r="I35" s="203"/>
      <c r="J35" s="203"/>
      <c r="K35" s="192"/>
      <c r="L35" s="204">
        <f>I32</f>
        <v>53541</v>
      </c>
      <c r="M35" s="205">
        <f>12*I18</f>
        <v>43920</v>
      </c>
      <c r="N35" s="164"/>
      <c r="O35" s="56"/>
    </row>
    <row r="36" spans="2:15" ht="12.75" x14ac:dyDescent="0.2">
      <c r="B36" s="33"/>
      <c r="C36" s="164"/>
      <c r="D36" s="166" t="s">
        <v>71</v>
      </c>
      <c r="E36" s="164" t="s">
        <v>72</v>
      </c>
      <c r="F36" s="166"/>
      <c r="G36" s="167"/>
      <c r="H36" s="167"/>
      <c r="I36" s="183">
        <f>+I32/12</f>
        <v>4461.75</v>
      </c>
      <c r="J36" s="183">
        <f>+I32</f>
        <v>53541</v>
      </c>
      <c r="K36" s="181"/>
      <c r="L36" s="164"/>
      <c r="M36" s="164"/>
      <c r="N36" s="164"/>
      <c r="O36" s="56"/>
    </row>
    <row r="37" spans="2:15" ht="12.75" x14ac:dyDescent="0.2">
      <c r="B37" s="33"/>
      <c r="C37" s="164"/>
      <c r="D37" s="166" t="s">
        <v>73</v>
      </c>
      <c r="E37" s="164" t="s">
        <v>20</v>
      </c>
      <c r="F37" s="166"/>
      <c r="G37" s="167"/>
      <c r="H37" s="167"/>
      <c r="I37" s="183">
        <f>IF($I$32/$I$17&lt;tabellen!E36,0,($I$32-tabellen!E36*$I$17)/12)*tabellen!$C36</f>
        <v>428.04539166666666</v>
      </c>
      <c r="J37" s="183">
        <f>IF($I$32/$I$17&lt;tabellen!E36,0,(+$I$32-tabellen!E36*$I$17))*tabellen!$C36</f>
        <v>5136.5447000000004</v>
      </c>
      <c r="K37" s="181"/>
      <c r="L37" s="206">
        <f t="shared" ref="L37:L44" si="0">+J37/J$36</f>
        <v>9.5936659756074794E-2</v>
      </c>
      <c r="M37" s="206">
        <f t="shared" ref="M37:M44" si="1">+J37/(12*I$18)</f>
        <v>0.11695229280510019</v>
      </c>
      <c r="N37" s="164"/>
      <c r="O37" s="56"/>
    </row>
    <row r="38" spans="2:15" ht="12.75" x14ac:dyDescent="0.2">
      <c r="B38" s="33"/>
      <c r="C38" s="164"/>
      <c r="D38" s="166" t="s">
        <v>74</v>
      </c>
      <c r="E38" s="164" t="s">
        <v>75</v>
      </c>
      <c r="F38" s="166"/>
      <c r="G38" s="167"/>
      <c r="H38" s="167"/>
      <c r="I38" s="183">
        <f>IF($I$32/$I$17&lt;tabellen!E37,0,(+$I$32-tabellen!E37*$I$17)/12)*tabellen!$C37</f>
        <v>10.135249999999999</v>
      </c>
      <c r="J38" s="183">
        <f>IF($I$32/$I$17&lt;tabellen!E37,0,(+$I$32-tabellen!E37*$I$17))*tabellen!$C37</f>
        <v>121.623</v>
      </c>
      <c r="K38" s="181"/>
      <c r="L38" s="206">
        <f t="shared" si="0"/>
        <v>2.2715862609962458E-3</v>
      </c>
      <c r="M38" s="206">
        <f t="shared" si="1"/>
        <v>2.7691939890710383E-3</v>
      </c>
      <c r="N38" s="164"/>
      <c r="O38" s="56"/>
    </row>
    <row r="39" spans="2:15" ht="12.75" x14ac:dyDescent="0.2">
      <c r="B39" s="33"/>
      <c r="C39" s="164"/>
      <c r="D39" s="166" t="s">
        <v>76</v>
      </c>
      <c r="E39" s="164" t="s">
        <v>77</v>
      </c>
      <c r="F39" s="166" t="s">
        <v>78</v>
      </c>
      <c r="G39" s="166"/>
      <c r="H39" s="167"/>
      <c r="I39" s="183">
        <f>$I$32/12*tabellen!$C38</f>
        <v>102.62025</v>
      </c>
      <c r="J39" s="183">
        <f>$I$32*tabellen!$C38</f>
        <v>1231.443</v>
      </c>
      <c r="K39" s="181"/>
      <c r="L39" s="206">
        <f>+J39/J$36</f>
        <v>2.3E-2</v>
      </c>
      <c r="M39" s="206">
        <f>+J39/(12*I$18)</f>
        <v>2.8038319672131148E-2</v>
      </c>
      <c r="N39" s="164"/>
      <c r="O39" s="56"/>
    </row>
    <row r="40" spans="2:15" ht="12.75" x14ac:dyDescent="0.2">
      <c r="B40" s="33"/>
      <c r="C40" s="164"/>
      <c r="D40" s="166" t="s">
        <v>79</v>
      </c>
      <c r="E40" s="164" t="s">
        <v>80</v>
      </c>
      <c r="F40" s="166"/>
      <c r="G40" s="167"/>
      <c r="H40" s="167"/>
      <c r="I40" s="183">
        <f>IF($I$62&gt;tabellen!$G$39/12,tabellen!$G$39/12,$I$62)*(tabellen!$C39+tabellen!$C40)</f>
        <v>312.49691211416661</v>
      </c>
      <c r="J40" s="183">
        <f>12*I40</f>
        <v>3749.962945369999</v>
      </c>
      <c r="K40" s="181"/>
      <c r="L40" s="206">
        <f t="shared" si="0"/>
        <v>7.0039090516986965E-2</v>
      </c>
      <c r="M40" s="206">
        <f t="shared" si="1"/>
        <v>8.5381669976548252E-2</v>
      </c>
      <c r="N40" s="164"/>
      <c r="O40" s="56"/>
    </row>
    <row r="41" spans="2:15" ht="12.75" x14ac:dyDescent="0.2">
      <c r="B41" s="33"/>
      <c r="C41" s="164"/>
      <c r="D41" s="166" t="s">
        <v>81</v>
      </c>
      <c r="E41" s="164" t="s">
        <v>82</v>
      </c>
      <c r="F41" s="166"/>
      <c r="G41" s="167"/>
      <c r="H41" s="167"/>
      <c r="I41" s="183">
        <f>ROUND(IF(I62&gt;tabellen!H42,tabellen!H42,I62)*tabellen!C42,2)</f>
        <v>288.56</v>
      </c>
      <c r="J41" s="183">
        <f>ROUND(IF(J62&gt;tabellen!G42,tabellen!G42,J62)*tabellen!C42,2)</f>
        <v>3462.69</v>
      </c>
      <c r="K41" s="181"/>
      <c r="L41" s="206">
        <f t="shared" si="0"/>
        <v>6.4673614613100242E-2</v>
      </c>
      <c r="M41" s="206">
        <f t="shared" si="1"/>
        <v>7.8840846994535516E-2</v>
      </c>
      <c r="N41" s="164"/>
      <c r="O41" s="56"/>
    </row>
    <row r="42" spans="2:15" ht="12.75" x14ac:dyDescent="0.2">
      <c r="B42" s="33"/>
      <c r="C42" s="164"/>
      <c r="D42" s="166" t="s">
        <v>83</v>
      </c>
      <c r="E42" s="164" t="s">
        <v>84</v>
      </c>
      <c r="F42" s="166"/>
      <c r="G42" s="167"/>
      <c r="H42" s="167"/>
      <c r="I42" s="183">
        <f>IF($I$62&gt;tabellen!$G$43*$I$17/12,tabellen!$G$43*$I$17/12,$I$62)*tabellen!$C43</f>
        <v>33.344403755000002</v>
      </c>
      <c r="J42" s="183">
        <f>IF($J$62&gt;tabellen!$G$43*$I$17,tabellen!$G$43*$I$17,$J$62)*tabellen!$C43</f>
        <v>400.13284506000002</v>
      </c>
      <c r="K42" s="181"/>
      <c r="L42" s="206">
        <f t="shared" si="0"/>
        <v>7.4733913273939603E-3</v>
      </c>
      <c r="M42" s="206">
        <f t="shared" si="1"/>
        <v>9.1104928292349736E-3</v>
      </c>
      <c r="N42" s="164"/>
      <c r="O42" s="56"/>
    </row>
    <row r="43" spans="2:15" ht="12.75" x14ac:dyDescent="0.2">
      <c r="B43" s="33"/>
      <c r="C43" s="164"/>
      <c r="D43" s="166" t="s">
        <v>85</v>
      </c>
      <c r="E43" s="164" t="s">
        <v>86</v>
      </c>
      <c r="F43" s="166"/>
      <c r="G43" s="207"/>
      <c r="H43" s="167"/>
      <c r="I43" s="183">
        <f>I62*tabellen!C44</f>
        <v>0</v>
      </c>
      <c r="J43" s="183">
        <f>J62*tabellen!C44</f>
        <v>0</v>
      </c>
      <c r="K43" s="181"/>
      <c r="L43" s="206">
        <f t="shared" si="0"/>
        <v>0</v>
      </c>
      <c r="M43" s="206">
        <f t="shared" si="1"/>
        <v>0</v>
      </c>
      <c r="N43" s="164"/>
      <c r="O43" s="56"/>
    </row>
    <row r="44" spans="2:15" ht="12.75" x14ac:dyDescent="0.2">
      <c r="B44" s="33"/>
      <c r="C44" s="164"/>
      <c r="D44" s="166" t="s">
        <v>87</v>
      </c>
      <c r="E44" s="164" t="s">
        <v>88</v>
      </c>
      <c r="F44" s="166"/>
      <c r="G44" s="167"/>
      <c r="H44" s="167"/>
      <c r="I44" s="183">
        <f>I62*tabellen!C45</f>
        <v>0</v>
      </c>
      <c r="J44" s="183">
        <f>J62*tabellen!C45</f>
        <v>0</v>
      </c>
      <c r="K44" s="181"/>
      <c r="L44" s="206">
        <f t="shared" si="0"/>
        <v>0</v>
      </c>
      <c r="M44" s="206">
        <f t="shared" si="1"/>
        <v>0</v>
      </c>
      <c r="N44" s="164"/>
      <c r="O44" s="56"/>
    </row>
    <row r="45" spans="2:15" ht="12.75" x14ac:dyDescent="0.2">
      <c r="B45" s="33"/>
      <c r="C45" s="164"/>
      <c r="D45" s="166" t="s">
        <v>296</v>
      </c>
      <c r="E45" s="164" t="s">
        <v>297</v>
      </c>
      <c r="F45" s="166"/>
      <c r="G45" s="167"/>
      <c r="H45" s="167"/>
      <c r="I45" s="208">
        <v>0</v>
      </c>
      <c r="J45" s="208">
        <v>0</v>
      </c>
      <c r="K45" s="181"/>
      <c r="L45" s="206">
        <f t="shared" ref="L45" si="2">+J45/J$36</f>
        <v>0</v>
      </c>
      <c r="M45" s="206">
        <f t="shared" ref="M45" si="3">+J45/(12*I$18)</f>
        <v>0</v>
      </c>
      <c r="N45" s="164"/>
      <c r="O45" s="56"/>
    </row>
    <row r="46" spans="2:15" ht="12.75" x14ac:dyDescent="0.2">
      <c r="B46" s="33"/>
      <c r="C46" s="164"/>
      <c r="D46" s="189"/>
      <c r="E46" s="164"/>
      <c r="F46" s="166"/>
      <c r="G46" s="167"/>
      <c r="H46" s="167"/>
      <c r="I46" s="195"/>
      <c r="J46" s="195"/>
      <c r="K46" s="181"/>
      <c r="L46" s="186"/>
      <c r="M46" s="186"/>
      <c r="N46" s="164"/>
      <c r="O46" s="56"/>
    </row>
    <row r="47" spans="2:15" s="52" customFormat="1" ht="12.75" x14ac:dyDescent="0.2">
      <c r="B47" s="49"/>
      <c r="C47" s="168"/>
      <c r="D47" s="168" t="s">
        <v>89</v>
      </c>
      <c r="E47" s="168"/>
      <c r="F47" s="191"/>
      <c r="G47" s="192"/>
      <c r="H47" s="192"/>
      <c r="I47" s="193">
        <f>SUM(I36:I45)</f>
        <v>5636.9522075358336</v>
      </c>
      <c r="J47" s="193">
        <f>SUM(J36:J44)</f>
        <v>67643.396490429994</v>
      </c>
      <c r="K47" s="209"/>
      <c r="L47" s="210">
        <f>+J47/J$36-1</f>
        <v>0.26339434247455218</v>
      </c>
      <c r="M47" s="210">
        <f>+J47/(I18*12)-1</f>
        <v>0.54015019331580127</v>
      </c>
      <c r="N47" s="168"/>
      <c r="O47" s="57"/>
    </row>
    <row r="48" spans="2:15" ht="12.75" x14ac:dyDescent="0.2">
      <c r="B48" s="33"/>
      <c r="C48" s="164"/>
      <c r="D48" s="195"/>
      <c r="E48" s="168"/>
      <c r="F48" s="166"/>
      <c r="G48" s="167"/>
      <c r="H48" s="167"/>
      <c r="I48" s="211"/>
      <c r="J48" s="211"/>
      <c r="K48" s="212"/>
      <c r="L48" s="213"/>
      <c r="M48" s="213"/>
      <c r="N48" s="164"/>
      <c r="O48" s="56"/>
    </row>
    <row r="49" spans="2:15" s="46" customFormat="1" ht="12.75" x14ac:dyDescent="0.2">
      <c r="B49" s="38"/>
      <c r="C49" s="214"/>
      <c r="D49" s="168" t="s">
        <v>90</v>
      </c>
      <c r="E49" s="214"/>
      <c r="F49" s="215"/>
      <c r="G49" s="216"/>
      <c r="H49" s="216"/>
      <c r="I49" s="331">
        <f>+I47/I18-1</f>
        <v>0.54015087637591086</v>
      </c>
      <c r="J49" s="331"/>
      <c r="K49" s="217"/>
      <c r="L49" s="217"/>
      <c r="M49" s="217"/>
      <c r="N49" s="214"/>
      <c r="O49" s="45"/>
    </row>
    <row r="50" spans="2:15" ht="12.75" x14ac:dyDescent="0.2">
      <c r="B50" s="33"/>
      <c r="C50" s="164"/>
      <c r="D50" s="164"/>
      <c r="E50" s="164"/>
      <c r="F50" s="166"/>
      <c r="G50" s="167"/>
      <c r="H50" s="167"/>
      <c r="I50" s="195"/>
      <c r="J50" s="195"/>
      <c r="K50" s="164"/>
      <c r="L50" s="164"/>
      <c r="M50" s="164"/>
      <c r="N50" s="164"/>
      <c r="O50" s="56"/>
    </row>
    <row r="51" spans="2:15" ht="12.75" x14ac:dyDescent="0.2">
      <c r="B51" s="33"/>
      <c r="C51" s="34"/>
      <c r="D51" s="34"/>
      <c r="E51" s="34"/>
      <c r="F51" s="35"/>
      <c r="G51" s="36"/>
      <c r="H51" s="36"/>
      <c r="I51" s="59"/>
      <c r="J51" s="59"/>
      <c r="K51" s="34"/>
      <c r="L51" s="34"/>
      <c r="M51" s="34"/>
      <c r="N51" s="34"/>
      <c r="O51" s="37"/>
    </row>
    <row r="52" spans="2:15" ht="12.75" x14ac:dyDescent="0.2">
      <c r="B52" s="33"/>
      <c r="C52" s="164"/>
      <c r="D52" s="164"/>
      <c r="E52" s="164"/>
      <c r="F52" s="166"/>
      <c r="G52" s="167"/>
      <c r="H52" s="167"/>
      <c r="I52" s="195"/>
      <c r="J52" s="195"/>
      <c r="K52" s="164"/>
      <c r="L52" s="164"/>
      <c r="M52" s="164"/>
      <c r="N52" s="164"/>
      <c r="O52" s="56"/>
    </row>
    <row r="53" spans="2:15" ht="12.75" x14ac:dyDescent="0.2">
      <c r="B53" s="33"/>
      <c r="C53" s="197"/>
      <c r="D53" s="168" t="s">
        <v>91</v>
      </c>
      <c r="E53" s="197"/>
      <c r="F53" s="198"/>
      <c r="G53" s="199"/>
      <c r="H53" s="199"/>
      <c r="I53" s="190" t="s">
        <v>67</v>
      </c>
      <c r="J53" s="202" t="s">
        <v>68</v>
      </c>
      <c r="K53" s="201"/>
      <c r="L53" s="171"/>
      <c r="M53" s="197"/>
      <c r="N53" s="197"/>
      <c r="O53" s="56"/>
    </row>
    <row r="54" spans="2:15" ht="12.75" x14ac:dyDescent="0.2">
      <c r="B54" s="33"/>
      <c r="C54" s="164"/>
      <c r="D54" s="168"/>
      <c r="E54" s="164"/>
      <c r="F54" s="166"/>
      <c r="G54" s="167"/>
      <c r="H54" s="167"/>
      <c r="I54" s="218"/>
      <c r="J54" s="168"/>
      <c r="K54" s="164"/>
      <c r="L54" s="171"/>
      <c r="M54" s="164"/>
      <c r="N54" s="164"/>
      <c r="O54" s="56"/>
    </row>
    <row r="55" spans="2:15" ht="12.75" x14ac:dyDescent="0.2">
      <c r="B55" s="33"/>
      <c r="C55" s="168"/>
      <c r="D55" s="219" t="s">
        <v>71</v>
      </c>
      <c r="E55" s="168" t="s">
        <v>65</v>
      </c>
      <c r="F55" s="191"/>
      <c r="G55" s="192"/>
      <c r="H55" s="192"/>
      <c r="I55" s="193">
        <f>I32/12</f>
        <v>4461.75</v>
      </c>
      <c r="J55" s="193">
        <f>I32</f>
        <v>53541</v>
      </c>
      <c r="K55" s="168"/>
      <c r="L55" s="194"/>
      <c r="M55" s="168"/>
      <c r="N55" s="168"/>
      <c r="O55" s="56"/>
    </row>
    <row r="56" spans="2:15" ht="12.75" x14ac:dyDescent="0.2">
      <c r="B56" s="33"/>
      <c r="C56" s="168"/>
      <c r="D56" s="219"/>
      <c r="E56" s="168"/>
      <c r="F56" s="191"/>
      <c r="G56" s="192"/>
      <c r="H56" s="192"/>
      <c r="I56" s="220"/>
      <c r="J56" s="220"/>
      <c r="K56" s="168"/>
      <c r="L56" s="194"/>
      <c r="M56" s="168"/>
      <c r="N56" s="168"/>
      <c r="O56" s="56"/>
    </row>
    <row r="57" spans="2:15" ht="12.75" x14ac:dyDescent="0.2">
      <c r="B57" s="33"/>
      <c r="C57" s="221"/>
      <c r="D57" s="222" t="s">
        <v>73</v>
      </c>
      <c r="E57" s="221" t="s">
        <v>20</v>
      </c>
      <c r="F57" s="223"/>
      <c r="G57" s="202"/>
      <c r="H57" s="224"/>
      <c r="I57" s="225">
        <f>IF($I$32/$I$17&lt;tabellen!E36,0,(+$I$32-tabellen!E36*I17)/12*tabellen!$D36)</f>
        <v>183.44802499999997</v>
      </c>
      <c r="J57" s="225">
        <f>IF($I$32/$I$17&lt;tabellen!E36,0,(+$I$32-tabellen!E36*I17)*tabellen!$D36)</f>
        <v>2201.3762999999999</v>
      </c>
      <c r="K57" s="226"/>
      <c r="L57" s="227"/>
      <c r="M57" s="221"/>
      <c r="N57" s="221"/>
      <c r="O57" s="56"/>
    </row>
    <row r="58" spans="2:15" ht="12.75" x14ac:dyDescent="0.2">
      <c r="B58" s="33"/>
      <c r="C58" s="221"/>
      <c r="D58" s="222" t="s">
        <v>74</v>
      </c>
      <c r="E58" s="221" t="s">
        <v>21</v>
      </c>
      <c r="F58" s="223"/>
      <c r="G58" s="202"/>
      <c r="H58" s="224"/>
      <c r="I58" s="225">
        <f>IF($I$32/$I$17&lt;tabellen!E37,0,(+$I$32-tabellen!E37*$I$17)/12*tabellen!$D37)</f>
        <v>3.3784166666666664</v>
      </c>
      <c r="J58" s="225">
        <f>IF($I$32/$I$17&lt;tabellen!E37,0,(+$I$32-tabellen!E37*$I$17)*tabellen!$D37)</f>
        <v>40.541000000000004</v>
      </c>
      <c r="K58" s="226"/>
      <c r="L58" s="227"/>
      <c r="M58" s="228"/>
      <c r="N58" s="221"/>
      <c r="O58" s="56"/>
    </row>
    <row r="59" spans="2:15" ht="12.75" x14ac:dyDescent="0.2">
      <c r="B59" s="33"/>
      <c r="C59" s="221"/>
      <c r="D59" s="222" t="s">
        <v>76</v>
      </c>
      <c r="E59" s="221" t="s">
        <v>77</v>
      </c>
      <c r="F59" s="223" t="s">
        <v>92</v>
      </c>
      <c r="G59" s="202"/>
      <c r="H59" s="224"/>
      <c r="I59" s="225">
        <f>$I$32/12*tabellen!$D38</f>
        <v>0</v>
      </c>
      <c r="J59" s="225">
        <f>$I$32*tabellen!$D38</f>
        <v>0</v>
      </c>
      <c r="K59" s="226"/>
      <c r="L59" s="227"/>
      <c r="M59" s="221"/>
      <c r="N59" s="221"/>
      <c r="O59" s="56"/>
    </row>
    <row r="60" spans="2:15" ht="12.75" x14ac:dyDescent="0.2">
      <c r="B60" s="33"/>
      <c r="C60" s="229"/>
      <c r="D60" s="230" t="s">
        <v>79</v>
      </c>
      <c r="E60" s="229" t="s">
        <v>93</v>
      </c>
      <c r="F60" s="231"/>
      <c r="G60" s="232"/>
      <c r="H60" s="233"/>
      <c r="I60" s="234">
        <f>SUM(I57:I59)</f>
        <v>186.82644166666665</v>
      </c>
      <c r="J60" s="234">
        <f>SUM(J57:J59)</f>
        <v>2241.9173000000001</v>
      </c>
      <c r="K60" s="235"/>
      <c r="L60" s="236"/>
      <c r="M60" s="229"/>
      <c r="N60" s="229"/>
      <c r="O60" s="56"/>
    </row>
    <row r="61" spans="2:15" ht="12.75" x14ac:dyDescent="0.2">
      <c r="B61" s="33"/>
      <c r="C61" s="229"/>
      <c r="D61" s="230"/>
      <c r="E61" s="229"/>
      <c r="F61" s="231"/>
      <c r="G61" s="232"/>
      <c r="H61" s="233"/>
      <c r="I61" s="237"/>
      <c r="J61" s="237"/>
      <c r="K61" s="235"/>
      <c r="L61" s="236"/>
      <c r="M61" s="229"/>
      <c r="N61" s="229"/>
      <c r="O61" s="56"/>
    </row>
    <row r="62" spans="2:15" ht="12.75" x14ac:dyDescent="0.2">
      <c r="B62" s="33"/>
      <c r="C62" s="168"/>
      <c r="D62" s="230" t="s">
        <v>85</v>
      </c>
      <c r="E62" s="229" t="s">
        <v>94</v>
      </c>
      <c r="F62" s="191"/>
      <c r="G62" s="192"/>
      <c r="H62" s="192"/>
      <c r="I62" s="193">
        <f>+(I32)/12-I60</f>
        <v>4274.9235583333329</v>
      </c>
      <c r="J62" s="193">
        <f>I32-J60</f>
        <v>51299.082699999999</v>
      </c>
      <c r="K62" s="168"/>
      <c r="L62" s="194"/>
      <c r="M62" s="168"/>
      <c r="N62" s="168"/>
      <c r="O62" s="56"/>
    </row>
    <row r="63" spans="2:15" ht="12.75" x14ac:dyDescent="0.2">
      <c r="B63" s="33"/>
      <c r="C63" s="168"/>
      <c r="D63" s="219"/>
      <c r="E63" s="168"/>
      <c r="F63" s="191"/>
      <c r="G63" s="192"/>
      <c r="H63" s="192"/>
      <c r="I63" s="220"/>
      <c r="J63" s="220"/>
      <c r="K63" s="168"/>
      <c r="L63" s="194"/>
      <c r="M63" s="168"/>
      <c r="N63" s="168"/>
      <c r="O63" s="56"/>
    </row>
    <row r="64" spans="2:15" ht="12.75" x14ac:dyDescent="0.2">
      <c r="B64" s="33"/>
      <c r="C64" s="164"/>
      <c r="D64" s="238" t="s">
        <v>87</v>
      </c>
      <c r="E64" s="164" t="s">
        <v>95</v>
      </c>
      <c r="F64" s="166"/>
      <c r="G64" s="167"/>
      <c r="H64" s="167"/>
      <c r="I64" s="183">
        <f>+I75</f>
        <v>1657.9231871166667</v>
      </c>
      <c r="J64" s="183">
        <f>+J75</f>
        <v>19895.0782454</v>
      </c>
      <c r="K64" s="164"/>
      <c r="L64" s="171"/>
      <c r="M64" s="164"/>
      <c r="N64" s="164"/>
      <c r="O64" s="56"/>
    </row>
    <row r="65" spans="2:17" ht="12.75" x14ac:dyDescent="0.2">
      <c r="B65" s="33"/>
      <c r="C65" s="164"/>
      <c r="D65" s="238"/>
      <c r="E65" s="164"/>
      <c r="F65" s="166"/>
      <c r="G65" s="167"/>
      <c r="H65" s="167"/>
      <c r="I65" s="195"/>
      <c r="J65" s="195"/>
      <c r="K65" s="164"/>
      <c r="L65" s="171"/>
      <c r="M65" s="164"/>
      <c r="N65" s="164"/>
      <c r="O65" s="56"/>
    </row>
    <row r="66" spans="2:17" ht="12.75" x14ac:dyDescent="0.2">
      <c r="B66" s="33"/>
      <c r="C66" s="168"/>
      <c r="D66" s="219"/>
      <c r="E66" s="168" t="s">
        <v>96</v>
      </c>
      <c r="F66" s="191"/>
      <c r="G66" s="192"/>
      <c r="H66" s="192"/>
      <c r="I66" s="193">
        <f>+I62-I64</f>
        <v>2617.0003712166663</v>
      </c>
      <c r="J66" s="193">
        <f>+J62-J64</f>
        <v>31404.004454599999</v>
      </c>
      <c r="K66" s="168"/>
      <c r="L66" s="194"/>
      <c r="M66" s="168"/>
      <c r="N66" s="168"/>
      <c r="O66" s="56"/>
    </row>
    <row r="67" spans="2:17" ht="12.75" x14ac:dyDescent="0.2">
      <c r="B67" s="33"/>
      <c r="C67" s="169"/>
      <c r="D67" s="169"/>
      <c r="E67" s="164"/>
      <c r="F67" s="166"/>
      <c r="G67" s="167"/>
      <c r="H67" s="167"/>
      <c r="I67" s="195"/>
      <c r="J67" s="195"/>
      <c r="K67" s="164"/>
      <c r="L67" s="164"/>
      <c r="M67" s="164"/>
      <c r="N67" s="164"/>
      <c r="O67" s="56"/>
    </row>
    <row r="68" spans="2:17" ht="12.75" x14ac:dyDescent="0.2">
      <c r="B68" s="33"/>
      <c r="C68" s="169"/>
      <c r="D68" s="168" t="s">
        <v>97</v>
      </c>
      <c r="E68" s="164"/>
      <c r="F68" s="166"/>
      <c r="G68" s="167"/>
      <c r="H68" s="167"/>
      <c r="I68" s="190" t="s">
        <v>67</v>
      </c>
      <c r="J68" s="202" t="s">
        <v>68</v>
      </c>
      <c r="K68" s="164"/>
      <c r="L68" s="164"/>
      <c r="M68" s="164"/>
      <c r="N68" s="164"/>
      <c r="O68" s="56"/>
    </row>
    <row r="69" spans="2:17" ht="12.75" x14ac:dyDescent="0.2">
      <c r="B69" s="33"/>
      <c r="C69" s="164"/>
      <c r="D69" s="168" t="s">
        <v>85</v>
      </c>
      <c r="E69" s="168" t="s">
        <v>98</v>
      </c>
      <c r="F69" s="166"/>
      <c r="G69" s="167"/>
      <c r="H69" s="167"/>
      <c r="I69" s="193">
        <f>+I62</f>
        <v>4274.9235583333329</v>
      </c>
      <c r="J69" s="193">
        <f>+J62</f>
        <v>51299.082699999999</v>
      </c>
      <c r="K69" s="181"/>
      <c r="L69" s="164"/>
      <c r="M69" s="164"/>
      <c r="N69" s="164"/>
      <c r="O69" s="56"/>
    </row>
    <row r="70" spans="2:17" s="46" customFormat="1" ht="12.75" x14ac:dyDescent="0.2">
      <c r="B70" s="38"/>
      <c r="C70" s="214"/>
      <c r="D70" s="168"/>
      <c r="E70" s="214"/>
      <c r="F70" s="215"/>
      <c r="G70" s="216"/>
      <c r="H70" s="216"/>
      <c r="I70" s="239"/>
      <c r="J70" s="239"/>
      <c r="K70" s="240"/>
      <c r="L70" s="214"/>
      <c r="M70" s="240"/>
      <c r="N70" s="214"/>
      <c r="O70" s="45"/>
    </row>
    <row r="71" spans="2:17" ht="12.75" x14ac:dyDescent="0.2">
      <c r="B71" s="33"/>
      <c r="C71" s="164"/>
      <c r="D71" s="164" t="s">
        <v>99</v>
      </c>
      <c r="E71" s="164"/>
      <c r="F71" s="241">
        <f>IF(J62&gt;tabellen!B77,tabellen!B77,J62)</f>
        <v>19922</v>
      </c>
      <c r="G71" s="242">
        <f>+tabellen!C77</f>
        <v>0.36549999999999999</v>
      </c>
      <c r="H71" s="187"/>
      <c r="I71" s="183">
        <f>+F71*G71/12</f>
        <v>606.7909166666667</v>
      </c>
      <c r="J71" s="183">
        <f>+F71*G71</f>
        <v>7281.491</v>
      </c>
      <c r="K71" s="164"/>
      <c r="L71" s="164"/>
      <c r="M71" s="164"/>
      <c r="N71" s="164"/>
      <c r="O71" s="58"/>
    </row>
    <row r="72" spans="2:17" ht="12.75" x14ac:dyDescent="0.2">
      <c r="B72" s="33"/>
      <c r="C72" s="164"/>
      <c r="D72" s="164" t="s">
        <v>100</v>
      </c>
      <c r="E72" s="164"/>
      <c r="F72" s="241">
        <f>IF((IF(J62&gt;tabellen!B78,tabellen!B78,J62)-tabellen!B77)&lt;0,0,IF(J62&gt;tabellen!B78,tabellen!B78,J62)-tabellen!B77)</f>
        <v>13793</v>
      </c>
      <c r="G72" s="242">
        <f>+tabellen!C78</f>
        <v>0.40200000000000002</v>
      </c>
      <c r="H72" s="187"/>
      <c r="I72" s="183">
        <f>+F72*G72/12</f>
        <v>462.06549999999999</v>
      </c>
      <c r="J72" s="183">
        <f>+F72*G72</f>
        <v>5544.7860000000001</v>
      </c>
      <c r="K72" s="164"/>
      <c r="L72" s="164"/>
      <c r="M72" s="164"/>
      <c r="N72" s="164"/>
      <c r="O72" s="37"/>
    </row>
    <row r="73" spans="2:17" ht="12.75" x14ac:dyDescent="0.2">
      <c r="B73" s="33"/>
      <c r="C73" s="164"/>
      <c r="D73" s="164" t="s">
        <v>101</v>
      </c>
      <c r="E73" s="164"/>
      <c r="F73" s="241">
        <f>IF((IF(J62&gt;tabellen!B79,tabellen!B79,J62)-tabellen!B78)&lt;0,0,IF(J62&gt;tabellen!B79,tabellen!B79,J62)-tabellen!B78)</f>
        <v>17584.082699999999</v>
      </c>
      <c r="G73" s="242">
        <f>+tabellen!C79</f>
        <v>0.40200000000000002</v>
      </c>
      <c r="H73" s="185"/>
      <c r="I73" s="183">
        <f>+F73*G73/12</f>
        <v>589.06677045000004</v>
      </c>
      <c r="J73" s="183">
        <f>+F73*G73</f>
        <v>7068.8012454</v>
      </c>
      <c r="K73" s="164"/>
      <c r="L73" s="164"/>
      <c r="M73" s="195"/>
      <c r="N73" s="164"/>
      <c r="O73" s="37"/>
    </row>
    <row r="74" spans="2:17" ht="12.75" x14ac:dyDescent="0.2">
      <c r="B74" s="33"/>
      <c r="C74" s="164"/>
      <c r="D74" s="164" t="s">
        <v>102</v>
      </c>
      <c r="E74" s="164"/>
      <c r="F74" s="241">
        <f>IF((IF(J62&gt;tabellen!B80,tabellen!B80,J62)-tabellen!B79)&lt;0,0,IF(J62&gt;tabellen!B80,tabellen!B80,J62)-tabellen!B79)</f>
        <v>0</v>
      </c>
      <c r="G74" s="242">
        <f>+tabellen!C80</f>
        <v>0.52</v>
      </c>
      <c r="H74" s="185"/>
      <c r="I74" s="183">
        <f>+F74*G74/12</f>
        <v>0</v>
      </c>
      <c r="J74" s="183">
        <f>+F74*G74</f>
        <v>0</v>
      </c>
      <c r="K74" s="164"/>
      <c r="L74" s="164"/>
      <c r="M74" s="164"/>
      <c r="N74" s="164"/>
      <c r="O74" s="37"/>
    </row>
    <row r="75" spans="2:17" s="52" customFormat="1" ht="12.75" x14ac:dyDescent="0.2">
      <c r="B75" s="49"/>
      <c r="C75" s="168"/>
      <c r="D75" s="191"/>
      <c r="E75" s="168"/>
      <c r="F75" s="243">
        <f>SUM(F71:F74)</f>
        <v>51299.082699999999</v>
      </c>
      <c r="G75" s="244"/>
      <c r="H75" s="192"/>
      <c r="I75" s="193">
        <f>SUM(I71:I74)</f>
        <v>1657.9231871166667</v>
      </c>
      <c r="J75" s="193">
        <f>SUM(J71:J74)</f>
        <v>19895.0782454</v>
      </c>
      <c r="K75" s="209"/>
      <c r="L75" s="168"/>
      <c r="M75" s="168"/>
      <c r="N75" s="168"/>
      <c r="O75" s="51"/>
    </row>
    <row r="76" spans="2:17" ht="12.75" x14ac:dyDescent="0.2">
      <c r="B76" s="33"/>
      <c r="C76" s="164"/>
      <c r="D76" s="164"/>
      <c r="E76" s="164"/>
      <c r="F76" s="245"/>
      <c r="G76" s="167"/>
      <c r="H76" s="167"/>
      <c r="I76" s="195"/>
      <c r="J76" s="195"/>
      <c r="K76" s="164"/>
      <c r="L76" s="181"/>
      <c r="M76" s="164"/>
      <c r="N76" s="164"/>
      <c r="O76" s="37"/>
    </row>
    <row r="77" spans="2:17" ht="12.75" x14ac:dyDescent="0.2">
      <c r="B77" s="33"/>
      <c r="C77" s="34"/>
      <c r="D77" s="34"/>
      <c r="E77" s="34"/>
      <c r="F77" s="35"/>
      <c r="G77" s="36"/>
      <c r="H77" s="36"/>
      <c r="I77" s="59"/>
      <c r="J77" s="59"/>
      <c r="K77" s="59"/>
      <c r="L77" s="59"/>
      <c r="M77" s="34"/>
      <c r="N77" s="34"/>
      <c r="O77" s="37"/>
    </row>
    <row r="78" spans="2:17" thickBot="1" x14ac:dyDescent="0.25">
      <c r="B78" s="60"/>
      <c r="C78" s="61"/>
      <c r="D78" s="62"/>
      <c r="E78" s="61"/>
      <c r="F78" s="63"/>
      <c r="G78" s="61"/>
      <c r="H78" s="61"/>
      <c r="I78" s="61"/>
      <c r="J78" s="61"/>
      <c r="K78" s="61"/>
      <c r="L78" s="61"/>
      <c r="M78" s="61"/>
      <c r="N78" s="64" t="s">
        <v>103</v>
      </c>
      <c r="O78" s="65"/>
    </row>
    <row r="80" spans="2:17" ht="12.75" x14ac:dyDescent="0.2">
      <c r="Q80" s="66" t="s">
        <v>5</v>
      </c>
    </row>
    <row r="81" spans="6:17" ht="12.75" x14ac:dyDescent="0.2">
      <c r="Q81" s="66" t="s">
        <v>6</v>
      </c>
    </row>
    <row r="82" spans="6:17" ht="12.75" x14ac:dyDescent="0.2">
      <c r="Q82" s="66" t="s">
        <v>7</v>
      </c>
    </row>
    <row r="83" spans="6:17" ht="12.75" x14ac:dyDescent="0.2">
      <c r="Q83" s="66" t="s">
        <v>8</v>
      </c>
    </row>
    <row r="84" spans="6:17" ht="12.75" x14ac:dyDescent="0.2">
      <c r="Q84" s="67">
        <v>1</v>
      </c>
    </row>
    <row r="85" spans="6:17" ht="12.75" x14ac:dyDescent="0.2">
      <c r="Q85" s="67">
        <v>2</v>
      </c>
    </row>
    <row r="86" spans="6:17" ht="12.75" x14ac:dyDescent="0.2">
      <c r="Q86" s="67">
        <v>3</v>
      </c>
    </row>
    <row r="87" spans="6:17" ht="12.75" x14ac:dyDescent="0.2">
      <c r="Q87" s="67">
        <v>4</v>
      </c>
    </row>
    <row r="88" spans="6:17" ht="12.75" x14ac:dyDescent="0.2">
      <c r="Q88" s="67">
        <v>5</v>
      </c>
    </row>
    <row r="89" spans="6:17" ht="12.75" x14ac:dyDescent="0.2">
      <c r="Q89" s="67">
        <v>6</v>
      </c>
    </row>
    <row r="90" spans="6:17" ht="12.75" x14ac:dyDescent="0.2">
      <c r="Q90" s="67">
        <v>7</v>
      </c>
    </row>
    <row r="91" spans="6:17" ht="12.75" x14ac:dyDescent="0.2">
      <c r="Q91" s="67">
        <v>8</v>
      </c>
    </row>
    <row r="92" spans="6:17" ht="12.75" x14ac:dyDescent="0.2">
      <c r="Q92" s="67">
        <v>9</v>
      </c>
    </row>
    <row r="93" spans="6:17" ht="12.75" x14ac:dyDescent="0.2">
      <c r="Q93" s="67">
        <v>10</v>
      </c>
    </row>
    <row r="94" spans="6:17" ht="12.75" x14ac:dyDescent="0.2">
      <c r="F94" s="25"/>
      <c r="G94" s="25"/>
      <c r="H94" s="25"/>
      <c r="Q94" s="67">
        <v>11</v>
      </c>
    </row>
    <row r="95" spans="6:17" ht="12.75" x14ac:dyDescent="0.2">
      <c r="F95" s="25"/>
      <c r="G95" s="25"/>
      <c r="H95" s="25"/>
      <c r="Q95" s="67">
        <v>12</v>
      </c>
    </row>
    <row r="96" spans="6:17" ht="12.75" x14ac:dyDescent="0.2">
      <c r="F96" s="25"/>
      <c r="G96" s="25"/>
      <c r="H96" s="25"/>
      <c r="Q96" s="67">
        <v>13</v>
      </c>
    </row>
    <row r="97" spans="6:17" ht="12.75" x14ac:dyDescent="0.2">
      <c r="F97" s="25"/>
      <c r="G97" s="25"/>
      <c r="H97" s="25"/>
      <c r="Q97" s="67">
        <v>14</v>
      </c>
    </row>
    <row r="98" spans="6:17" ht="12.75" x14ac:dyDescent="0.2">
      <c r="F98" s="25"/>
      <c r="G98" s="25"/>
      <c r="H98" s="25"/>
      <c r="Q98" s="67">
        <v>15</v>
      </c>
    </row>
    <row r="99" spans="6:17" ht="12.75" x14ac:dyDescent="0.2">
      <c r="F99" s="25"/>
      <c r="G99" s="25"/>
      <c r="H99" s="25"/>
      <c r="Q99" s="67">
        <v>16</v>
      </c>
    </row>
    <row r="100" spans="6:17" ht="12.75" x14ac:dyDescent="0.2">
      <c r="F100" s="25"/>
      <c r="G100" s="25"/>
      <c r="H100" s="25"/>
      <c r="Q100" s="67">
        <v>17</v>
      </c>
    </row>
    <row r="101" spans="6:17" ht="12.75" x14ac:dyDescent="0.2">
      <c r="F101" s="25"/>
      <c r="G101" s="25"/>
      <c r="H101" s="25"/>
      <c r="Q101" s="67" t="s">
        <v>9</v>
      </c>
    </row>
    <row r="102" spans="6:17" ht="12.75" x14ac:dyDescent="0.2">
      <c r="F102" s="25"/>
      <c r="G102" s="25"/>
      <c r="H102" s="25"/>
      <c r="Q102" s="67" t="s">
        <v>10</v>
      </c>
    </row>
    <row r="103" spans="6:17" ht="12.75" x14ac:dyDescent="0.2">
      <c r="F103" s="25"/>
      <c r="G103" s="25"/>
      <c r="H103" s="25"/>
      <c r="Q103" s="67" t="s">
        <v>11</v>
      </c>
    </row>
    <row r="104" spans="6:17" ht="12.75" x14ac:dyDescent="0.2">
      <c r="F104" s="25"/>
      <c r="G104" s="25"/>
      <c r="H104" s="25"/>
      <c r="Q104" s="67" t="s">
        <v>12</v>
      </c>
    </row>
  </sheetData>
  <sheetProtection algorithmName="SHA-512" hashValue="PBWBJMyikRKDmkTdzqVkvv/XFwpSSYhOAxizAOyEtCF6qaOHWrm+OByVUAOGYSkwo1gPQd9rWIS+g0JSlfQthA==" saltValue="qttbKRrZh19rinZKtHOrZg==" spinCount="100000" sheet="1" objects="1" scenarios="1"/>
  <mergeCells count="2">
    <mergeCell ref="I10:J10"/>
    <mergeCell ref="I49:J49"/>
  </mergeCells>
  <dataValidations count="6">
    <dataValidation type="list" allowBlank="1" showInputMessage="1" showErrorMessage="1" sqref="I14">
      <formula1>$Q$80:$Q$104</formula1>
    </dataValidation>
    <dataValidation type="list" allowBlank="1" showInputMessage="1" showErrorMessage="1" sqref="F21">
      <formula1>"LB,LC,LD"</formula1>
    </dataValidation>
    <dataValidation type="list" allowBlank="1" showInputMessage="1" showErrorMessage="1" sqref="H31 H21">
      <formula1>#REF!</formula1>
    </dataValidation>
    <dataValidation type="list" allowBlank="1" showInputMessage="1" showErrorMessage="1" sqref="F31">
      <formula1>"Leraar,Directie,OOP S9"</formula1>
    </dataValidation>
    <dataValidation type="list" allowBlank="1" showInputMessage="1" showErrorMessage="1" sqref="G31 G21">
      <formula1>"ja,nee"</formula1>
    </dataValidation>
    <dataValidation type="list" allowBlank="1" showInputMessage="1" showErrorMessage="1" sqref="H43">
      <formula1>"1,2,3"</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6"/>
  <sheetViews>
    <sheetView zoomScale="84" zoomScaleNormal="84" workbookViewId="0">
      <selection activeCell="B2" sqref="B2"/>
    </sheetView>
  </sheetViews>
  <sheetFormatPr defaultRowHeight="13.5" customHeight="1" x14ac:dyDescent="0.2"/>
  <cols>
    <col min="1" max="3" width="2.7109375" style="25" customWidth="1"/>
    <col min="4" max="4" width="35.7109375" style="25" customWidth="1"/>
    <col min="5" max="8" width="12.85546875" style="25" customWidth="1"/>
    <col min="9" max="10" width="16" style="25" customWidth="1"/>
    <col min="11" max="13" width="2.7109375" style="25" customWidth="1"/>
    <col min="14" max="16384" width="9.140625" style="25"/>
  </cols>
  <sheetData>
    <row r="1" spans="2:12" thickBot="1" x14ac:dyDescent="0.25"/>
    <row r="2" spans="2:12" ht="12.75" x14ac:dyDescent="0.2">
      <c r="B2" s="28"/>
      <c r="C2" s="29"/>
      <c r="D2" s="29"/>
      <c r="E2" s="29"/>
      <c r="F2" s="29"/>
      <c r="G2" s="29"/>
      <c r="H2" s="29"/>
      <c r="I2" s="29"/>
      <c r="J2" s="29"/>
      <c r="K2" s="29"/>
      <c r="L2" s="32"/>
    </row>
    <row r="3" spans="2:12" ht="12.75" x14ac:dyDescent="0.2">
      <c r="B3" s="33"/>
      <c r="C3" s="34"/>
      <c r="D3" s="34"/>
      <c r="E3" s="34"/>
      <c r="F3" s="34"/>
      <c r="G3" s="34"/>
      <c r="H3" s="34"/>
      <c r="I3" s="34"/>
      <c r="J3" s="34"/>
      <c r="K3" s="34"/>
      <c r="L3" s="37"/>
    </row>
    <row r="4" spans="2:12" s="52" customFormat="1" ht="18" x14ac:dyDescent="0.25">
      <c r="B4" s="49"/>
      <c r="C4" s="39" t="s">
        <v>189</v>
      </c>
      <c r="D4" s="72"/>
      <c r="E4" s="72"/>
      <c r="F4" s="72"/>
      <c r="G4" s="73"/>
      <c r="H4" s="74"/>
      <c r="I4" s="72"/>
      <c r="J4" s="72"/>
      <c r="K4" s="72"/>
      <c r="L4" s="51"/>
    </row>
    <row r="5" spans="2:12" ht="12.75" x14ac:dyDescent="0.2">
      <c r="B5" s="33"/>
      <c r="C5" s="34"/>
      <c r="D5" s="34"/>
      <c r="E5" s="34"/>
      <c r="F5" s="34"/>
      <c r="G5" s="34"/>
      <c r="H5" s="34"/>
      <c r="I5" s="34"/>
      <c r="J5" s="34"/>
      <c r="K5" s="34"/>
      <c r="L5" s="37"/>
    </row>
    <row r="6" spans="2:12" ht="12.75" x14ac:dyDescent="0.2">
      <c r="B6" s="33"/>
      <c r="C6" s="34"/>
      <c r="D6" s="34"/>
      <c r="E6" s="34"/>
      <c r="F6" s="34"/>
      <c r="G6" s="34"/>
      <c r="H6" s="34"/>
      <c r="I6" s="34"/>
      <c r="J6" s="34"/>
      <c r="K6" s="34"/>
      <c r="L6" s="37"/>
    </row>
    <row r="7" spans="2:12" ht="12.75" x14ac:dyDescent="0.2">
      <c r="B7" s="33"/>
      <c r="C7" s="164"/>
      <c r="D7" s="164"/>
      <c r="E7" s="164"/>
      <c r="F7" s="164"/>
      <c r="G7" s="164"/>
      <c r="H7" s="164"/>
      <c r="I7" s="164"/>
      <c r="J7" s="164"/>
      <c r="K7" s="164"/>
      <c r="L7" s="37"/>
    </row>
    <row r="8" spans="2:12" ht="12.75" x14ac:dyDescent="0.2">
      <c r="B8" s="33"/>
      <c r="C8" s="164"/>
      <c r="D8" s="168" t="s">
        <v>45</v>
      </c>
      <c r="E8" s="164"/>
      <c r="F8" s="164"/>
      <c r="G8" s="164"/>
      <c r="H8" s="164"/>
      <c r="I8" s="164"/>
      <c r="J8" s="164"/>
      <c r="K8" s="164"/>
      <c r="L8" s="37"/>
    </row>
    <row r="9" spans="2:12" ht="12.75" x14ac:dyDescent="0.2">
      <c r="B9" s="33"/>
      <c r="C9" s="164"/>
      <c r="D9" s="164"/>
      <c r="E9" s="164"/>
      <c r="F9" s="164"/>
      <c r="G9" s="164"/>
      <c r="H9" s="164"/>
      <c r="I9" s="164"/>
      <c r="J9" s="164"/>
      <c r="K9" s="164"/>
      <c r="L9" s="37"/>
    </row>
    <row r="10" spans="2:12" ht="12.75" x14ac:dyDescent="0.2">
      <c r="B10" s="33"/>
      <c r="C10" s="164"/>
      <c r="D10" s="164" t="s">
        <v>190</v>
      </c>
      <c r="E10" s="164"/>
      <c r="F10" s="164"/>
      <c r="G10" s="164"/>
      <c r="H10" s="332" t="s">
        <v>191</v>
      </c>
      <c r="I10" s="333"/>
      <c r="J10" s="238"/>
      <c r="K10" s="164"/>
      <c r="L10" s="37"/>
    </row>
    <row r="11" spans="2:12" ht="12.75" x14ac:dyDescent="0.2">
      <c r="B11" s="33"/>
      <c r="C11" s="164"/>
      <c r="D11" s="164"/>
      <c r="E11" s="164"/>
      <c r="F11" s="164"/>
      <c r="G11" s="166"/>
      <c r="H11" s="166"/>
      <c r="I11" s="238"/>
      <c r="J11" s="238"/>
      <c r="K11" s="164"/>
      <c r="L11" s="37"/>
    </row>
    <row r="12" spans="2:12" s="52" customFormat="1" ht="12.75" x14ac:dyDescent="0.2">
      <c r="B12" s="49"/>
      <c r="C12" s="168"/>
      <c r="D12" s="168" t="s">
        <v>49</v>
      </c>
      <c r="E12" s="168"/>
      <c r="F12" s="168"/>
      <c r="G12" s="168"/>
      <c r="H12" s="168"/>
      <c r="I12" s="168"/>
      <c r="J12" s="168"/>
      <c r="K12" s="168"/>
      <c r="L12" s="51"/>
    </row>
    <row r="13" spans="2:12" ht="12.75" x14ac:dyDescent="0.2">
      <c r="B13" s="33"/>
      <c r="C13" s="164"/>
      <c r="D13" s="164" t="s">
        <v>50</v>
      </c>
      <c r="E13" s="164"/>
      <c r="F13" s="164"/>
      <c r="G13" s="167"/>
      <c r="H13" s="271" t="s">
        <v>6</v>
      </c>
      <c r="I13" s="189"/>
      <c r="J13" s="164"/>
      <c r="K13" s="164"/>
      <c r="L13" s="37"/>
    </row>
    <row r="14" spans="2:12" ht="12.75" x14ac:dyDescent="0.2">
      <c r="B14" s="33"/>
      <c r="C14" s="164"/>
      <c r="D14" s="164" t="s">
        <v>51</v>
      </c>
      <c r="E14" s="164"/>
      <c r="F14" s="164"/>
      <c r="G14" s="167"/>
      <c r="H14" s="252">
        <v>7</v>
      </c>
      <c r="I14" s="289" t="s">
        <v>232</v>
      </c>
      <c r="J14" s="288">
        <f>VLOOKUP(H$13,salaristabellen,18,FALSE)</f>
        <v>12</v>
      </c>
      <c r="K14" s="164"/>
      <c r="L14" s="37"/>
    </row>
    <row r="15" spans="2:12" ht="12.75" x14ac:dyDescent="0.2">
      <c r="B15" s="33"/>
      <c r="C15" s="164"/>
      <c r="D15" s="164" t="s">
        <v>54</v>
      </c>
      <c r="E15" s="164"/>
      <c r="F15" s="164"/>
      <c r="G15" s="285"/>
      <c r="H15" s="253">
        <f>VLOOKUP(H13,salaristabellen,H14+1,FALSE)</f>
        <v>3406</v>
      </c>
      <c r="I15" s="164"/>
      <c r="J15" s="164"/>
      <c r="K15" s="164"/>
      <c r="L15" s="37"/>
    </row>
    <row r="16" spans="2:12" ht="12.75" x14ac:dyDescent="0.2">
      <c r="B16" s="33"/>
      <c r="C16" s="164"/>
      <c r="D16" s="164" t="s">
        <v>55</v>
      </c>
      <c r="E16" s="164"/>
      <c r="F16" s="164"/>
      <c r="G16" s="286"/>
      <c r="H16" s="254">
        <v>1</v>
      </c>
      <c r="I16" s="164"/>
      <c r="J16" s="164"/>
      <c r="K16" s="164"/>
      <c r="L16" s="37"/>
    </row>
    <row r="17" spans="2:12" ht="12.75" x14ac:dyDescent="0.2">
      <c r="B17" s="33"/>
      <c r="C17" s="164"/>
      <c r="D17" s="164" t="s">
        <v>56</v>
      </c>
      <c r="E17" s="164"/>
      <c r="F17" s="164"/>
      <c r="G17" s="287"/>
      <c r="H17" s="263">
        <f>+H15*H16</f>
        <v>3406</v>
      </c>
      <c r="I17" s="164"/>
      <c r="J17" s="164"/>
      <c r="K17" s="164"/>
      <c r="L17" s="37"/>
    </row>
    <row r="18" spans="2:12" ht="12.75" x14ac:dyDescent="0.2">
      <c r="B18" s="33"/>
      <c r="C18" s="164"/>
      <c r="D18" s="164"/>
      <c r="E18" s="164"/>
      <c r="F18" s="164"/>
      <c r="G18" s="287"/>
      <c r="H18" s="287"/>
      <c r="I18" s="164"/>
      <c r="J18" s="164"/>
      <c r="K18" s="164"/>
      <c r="L18" s="37"/>
    </row>
    <row r="19" spans="2:12" ht="12.75" x14ac:dyDescent="0.2">
      <c r="B19" s="33"/>
      <c r="C19" s="34"/>
      <c r="D19" s="34"/>
      <c r="E19" s="34"/>
      <c r="F19" s="34"/>
      <c r="G19" s="34"/>
      <c r="H19" s="34"/>
      <c r="I19" s="34"/>
      <c r="J19" s="34"/>
      <c r="K19" s="34"/>
      <c r="L19" s="37"/>
    </row>
    <row r="20" spans="2:12" ht="12.75" x14ac:dyDescent="0.2">
      <c r="B20" s="33"/>
      <c r="C20" s="164"/>
      <c r="D20" s="164"/>
      <c r="E20" s="164"/>
      <c r="F20" s="164"/>
      <c r="G20" s="164"/>
      <c r="H20" s="164"/>
      <c r="I20" s="164"/>
      <c r="J20" s="164"/>
      <c r="K20" s="164"/>
      <c r="L20" s="37"/>
    </row>
    <row r="21" spans="2:12" s="52" customFormat="1" ht="12.75" x14ac:dyDescent="0.2">
      <c r="B21" s="49"/>
      <c r="C21" s="168"/>
      <c r="D21" s="168" t="s">
        <v>192</v>
      </c>
      <c r="E21" s="168"/>
      <c r="F21" s="168"/>
      <c r="G21" s="232"/>
      <c r="H21" s="232" t="s">
        <v>193</v>
      </c>
      <c r="I21" s="232" t="s">
        <v>194</v>
      </c>
      <c r="J21" s="192"/>
      <c r="K21" s="192"/>
      <c r="L21" s="51"/>
    </row>
    <row r="22" spans="2:12" ht="12.75" x14ac:dyDescent="0.2">
      <c r="B22" s="33"/>
      <c r="C22" s="164"/>
      <c r="D22" s="164"/>
      <c r="E22" s="164"/>
      <c r="F22" s="164"/>
      <c r="G22" s="167"/>
      <c r="H22" s="167"/>
      <c r="I22" s="167"/>
      <c r="J22" s="167"/>
      <c r="K22" s="167"/>
      <c r="L22" s="37"/>
    </row>
    <row r="23" spans="2:12" ht="12.75" x14ac:dyDescent="0.2">
      <c r="B23" s="33"/>
      <c r="C23" s="164"/>
      <c r="D23" s="164" t="s">
        <v>195</v>
      </c>
      <c r="E23" s="164"/>
      <c r="F23" s="164"/>
      <c r="G23" s="167"/>
      <c r="H23" s="272" t="s">
        <v>237</v>
      </c>
      <c r="I23" s="167"/>
      <c r="J23" s="167"/>
      <c r="K23" s="167"/>
      <c r="L23" s="37"/>
    </row>
    <row r="24" spans="2:12" ht="12.75" x14ac:dyDescent="0.2">
      <c r="B24" s="33"/>
      <c r="C24" s="164"/>
      <c r="D24" s="164"/>
      <c r="E24" s="164"/>
      <c r="F24" s="164"/>
      <c r="G24" s="167"/>
      <c r="H24" s="167"/>
      <c r="I24" s="167"/>
      <c r="J24" s="167"/>
      <c r="K24" s="167"/>
      <c r="L24" s="37"/>
    </row>
    <row r="25" spans="2:12" ht="12.75" x14ac:dyDescent="0.2">
      <c r="B25" s="33"/>
      <c r="C25" s="164"/>
      <c r="D25" s="164" t="s">
        <v>196</v>
      </c>
      <c r="E25" s="164"/>
      <c r="F25" s="164"/>
      <c r="G25" s="167"/>
      <c r="H25" s="273">
        <f>ROUND(415*H16,0)</f>
        <v>415</v>
      </c>
      <c r="I25" s="274">
        <f>ROUND(233*H16,0)</f>
        <v>233</v>
      </c>
      <c r="J25" s="167"/>
      <c r="K25" s="167"/>
      <c r="L25" s="37"/>
    </row>
    <row r="26" spans="2:12" ht="12.75" x14ac:dyDescent="0.2">
      <c r="B26" s="33"/>
      <c r="C26" s="164"/>
      <c r="D26" s="164" t="s">
        <v>197</v>
      </c>
      <c r="E26" s="164"/>
      <c r="F26" s="164"/>
      <c r="G26" s="167"/>
      <c r="H26" s="255">
        <v>415</v>
      </c>
      <c r="I26" s="251">
        <v>233</v>
      </c>
      <c r="J26" s="167"/>
      <c r="K26" s="167"/>
      <c r="L26" s="37"/>
    </row>
    <row r="27" spans="2:12" ht="12.75" x14ac:dyDescent="0.2">
      <c r="B27" s="33"/>
      <c r="C27" s="164"/>
      <c r="D27" s="164" t="s">
        <v>198</v>
      </c>
      <c r="E27" s="164"/>
      <c r="F27" s="164"/>
      <c r="G27" s="187"/>
      <c r="H27" s="256">
        <f>+H26/H25</f>
        <v>1</v>
      </c>
      <c r="I27" s="265">
        <f>+I26/I25</f>
        <v>1</v>
      </c>
      <c r="J27" s="167"/>
      <c r="K27" s="167"/>
      <c r="L27" s="37"/>
    </row>
    <row r="28" spans="2:12" ht="12.75" x14ac:dyDescent="0.2">
      <c r="B28" s="33"/>
      <c r="C28" s="164"/>
      <c r="D28" s="164" t="s">
        <v>199</v>
      </c>
      <c r="E28" s="164"/>
      <c r="F28" s="164"/>
      <c r="G28" s="167"/>
      <c r="H28" s="264">
        <v>6</v>
      </c>
      <c r="I28" s="167" t="str">
        <f>IF(H28&lt;2.999,"moet minimaal 3 gehele maanden zijn"," ")</f>
        <v xml:space="preserve"> </v>
      </c>
      <c r="J28" s="167"/>
      <c r="K28" s="167"/>
      <c r="L28" s="37"/>
    </row>
    <row r="29" spans="2:12" ht="12.75" x14ac:dyDescent="0.2">
      <c r="B29" s="33"/>
      <c r="C29" s="164"/>
      <c r="D29" s="164"/>
      <c r="E29" s="164"/>
      <c r="F29" s="164"/>
      <c r="G29" s="167"/>
      <c r="H29" s="167"/>
      <c r="I29" s="167"/>
      <c r="J29" s="167"/>
      <c r="K29" s="167"/>
      <c r="L29" s="37"/>
    </row>
    <row r="30" spans="2:12" ht="12.75" x14ac:dyDescent="0.2">
      <c r="B30" s="33"/>
      <c r="C30" s="164"/>
      <c r="D30" s="164" t="s">
        <v>200</v>
      </c>
      <c r="E30" s="164"/>
      <c r="F30" s="164"/>
      <c r="G30" s="290"/>
      <c r="H30" s="276">
        <f>ROUND(IF(H23="ja",+(I26/I25),H26/H25)*(3/H28)*H16,4)</f>
        <v>0.5</v>
      </c>
      <c r="I30" s="167"/>
      <c r="J30" s="285"/>
      <c r="K30" s="202"/>
      <c r="L30" s="37"/>
    </row>
    <row r="31" spans="2:12" ht="12.75" x14ac:dyDescent="0.2">
      <c r="B31" s="33"/>
      <c r="C31" s="164"/>
      <c r="D31" s="164" t="s">
        <v>201</v>
      </c>
      <c r="E31" s="164"/>
      <c r="F31" s="164"/>
      <c r="G31" s="187"/>
      <c r="H31" s="268">
        <f>ROUND(+IF(H23="ja",I26,H26)/ROUND((IF(H23="ja",233,415)*H16),0)*1.35/H28,4)</f>
        <v>0.22500000000000001</v>
      </c>
      <c r="I31" s="167"/>
      <c r="J31" s="275">
        <f>+H31*H17</f>
        <v>766.35</v>
      </c>
      <c r="K31" s="200">
        <f>+H30*0.45*H15</f>
        <v>766.35</v>
      </c>
      <c r="L31" s="37"/>
    </row>
    <row r="32" spans="2:12" ht="12.75" x14ac:dyDescent="0.2">
      <c r="B32" s="33"/>
      <c r="C32" s="164"/>
      <c r="D32" s="164"/>
      <c r="E32" s="164"/>
      <c r="F32" s="164"/>
      <c r="G32" s="187"/>
      <c r="H32" s="187"/>
      <c r="I32" s="167"/>
      <c r="J32" s="285"/>
      <c r="K32" s="200"/>
      <c r="L32" s="37"/>
    </row>
    <row r="33" spans="2:12" ht="12.75" x14ac:dyDescent="0.2">
      <c r="B33" s="33"/>
      <c r="C33" s="164"/>
      <c r="D33" s="164" t="s">
        <v>202</v>
      </c>
      <c r="E33" s="164"/>
      <c r="F33" s="164"/>
      <c r="G33" s="187"/>
      <c r="H33" s="280">
        <f>ROUND((3*I27/H28),4)-H31</f>
        <v>0.27500000000000002</v>
      </c>
      <c r="I33" s="167"/>
      <c r="J33" s="279">
        <f>+H33*H17</f>
        <v>936.65000000000009</v>
      </c>
      <c r="K33" s="200">
        <f>+H30*0.55*H15</f>
        <v>936.65000000000009</v>
      </c>
      <c r="L33" s="37"/>
    </row>
    <row r="34" spans="2:12" ht="12.75" x14ac:dyDescent="0.2">
      <c r="B34" s="33"/>
      <c r="C34" s="164"/>
      <c r="D34" s="164" t="s">
        <v>203</v>
      </c>
      <c r="E34" s="164"/>
      <c r="F34" s="164"/>
      <c r="G34" s="187"/>
      <c r="H34" s="257">
        <f>1-ROUND(1/0.45*H31,4)</f>
        <v>0.5</v>
      </c>
      <c r="I34" s="167"/>
      <c r="J34" s="258">
        <f>+H34*H17</f>
        <v>1703</v>
      </c>
      <c r="K34" s="202"/>
      <c r="L34" s="37"/>
    </row>
    <row r="35" spans="2:12" s="52" customFormat="1" ht="12.75" x14ac:dyDescent="0.2">
      <c r="B35" s="49"/>
      <c r="C35" s="168"/>
      <c r="D35" s="168" t="s">
        <v>204</v>
      </c>
      <c r="E35" s="168"/>
      <c r="F35" s="168"/>
      <c r="G35" s="291"/>
      <c r="H35" s="266">
        <f>+H33+H34</f>
        <v>0.77500000000000002</v>
      </c>
      <c r="I35" s="192"/>
      <c r="J35" s="259">
        <f>SUM(J33:J34)</f>
        <v>2639.65</v>
      </c>
      <c r="K35" s="232"/>
      <c r="L35" s="51"/>
    </row>
    <row r="36" spans="2:12" ht="12.75" x14ac:dyDescent="0.2">
      <c r="B36" s="33"/>
      <c r="C36" s="164"/>
      <c r="D36" s="221" t="s">
        <v>205</v>
      </c>
      <c r="E36" s="221"/>
      <c r="F36" s="221"/>
      <c r="G36" s="202"/>
      <c r="H36" s="202"/>
      <c r="I36" s="202"/>
      <c r="J36" s="267">
        <f>+J33*H28</f>
        <v>5619.9000000000005</v>
      </c>
      <c r="K36" s="202"/>
      <c r="L36" s="37"/>
    </row>
    <row r="37" spans="2:12" ht="12.75" x14ac:dyDescent="0.2">
      <c r="B37" s="33"/>
      <c r="C37" s="164"/>
      <c r="D37" s="164"/>
      <c r="E37" s="164"/>
      <c r="F37" s="164"/>
      <c r="G37" s="167"/>
      <c r="H37" s="167"/>
      <c r="I37" s="167"/>
      <c r="J37" s="285"/>
      <c r="K37" s="202"/>
      <c r="L37" s="37"/>
    </row>
    <row r="38" spans="2:12" s="52" customFormat="1" ht="12.75" x14ac:dyDescent="0.2">
      <c r="B38" s="49"/>
      <c r="C38" s="168"/>
      <c r="D38" s="168" t="s">
        <v>206</v>
      </c>
      <c r="E38" s="168"/>
      <c r="F38" s="168"/>
      <c r="G38" s="292"/>
      <c r="H38" s="277">
        <f>+tabellen!C62</f>
        <v>0.53</v>
      </c>
      <c r="I38" s="192"/>
      <c r="J38" s="278">
        <f>+J36*(1+H38)</f>
        <v>8598.4470000000001</v>
      </c>
      <c r="K38" s="168"/>
      <c r="L38" s="51"/>
    </row>
    <row r="39" spans="2:12" ht="12.75" x14ac:dyDescent="0.2">
      <c r="B39" s="33"/>
      <c r="C39" s="164"/>
      <c r="D39" s="221" t="s">
        <v>67</v>
      </c>
      <c r="E39" s="221"/>
      <c r="F39" s="221"/>
      <c r="G39" s="221"/>
      <c r="H39" s="221"/>
      <c r="I39" s="221"/>
      <c r="J39" s="267">
        <f>+J38/H$28</f>
        <v>1433.0744999999999</v>
      </c>
      <c r="K39" s="195"/>
      <c r="L39" s="37"/>
    </row>
    <row r="40" spans="2:12" ht="12.75" x14ac:dyDescent="0.2">
      <c r="B40" s="33"/>
      <c r="C40" s="164"/>
      <c r="D40" s="164"/>
      <c r="E40" s="164"/>
      <c r="F40" s="164"/>
      <c r="G40" s="164"/>
      <c r="H40" s="164"/>
      <c r="I40" s="164"/>
      <c r="J40" s="293"/>
      <c r="K40" s="195"/>
      <c r="L40" s="37"/>
    </row>
    <row r="41" spans="2:12" ht="12.75" x14ac:dyDescent="0.2">
      <c r="B41" s="33"/>
      <c r="C41" s="34"/>
      <c r="D41" s="34"/>
      <c r="E41" s="34"/>
      <c r="F41" s="34"/>
      <c r="G41" s="34"/>
      <c r="H41" s="34"/>
      <c r="I41" s="34"/>
      <c r="J41" s="59"/>
      <c r="K41" s="59"/>
      <c r="L41" s="37"/>
    </row>
    <row r="42" spans="2:12" ht="12.75" x14ac:dyDescent="0.2">
      <c r="B42" s="33"/>
      <c r="C42" s="164"/>
      <c r="D42" s="164"/>
      <c r="E42" s="164"/>
      <c r="F42" s="164"/>
      <c r="G42" s="164"/>
      <c r="H42" s="164"/>
      <c r="I42" s="195"/>
      <c r="J42" s="164"/>
      <c r="K42" s="164"/>
      <c r="L42" s="37"/>
    </row>
    <row r="43" spans="2:12" s="52" customFormat="1" ht="12.75" x14ac:dyDescent="0.2">
      <c r="B43" s="75"/>
      <c r="C43" s="169"/>
      <c r="D43" s="168" t="s">
        <v>207</v>
      </c>
      <c r="E43" s="168"/>
      <c r="F43" s="168"/>
      <c r="G43" s="168"/>
      <c r="H43" s="168"/>
      <c r="I43" s="334"/>
      <c r="J43" s="335"/>
      <c r="K43" s="168"/>
      <c r="L43" s="51"/>
    </row>
    <row r="44" spans="2:12" ht="12.75" x14ac:dyDescent="0.2">
      <c r="B44" s="76"/>
      <c r="C44" s="189"/>
      <c r="D44" s="164"/>
      <c r="E44" s="164"/>
      <c r="F44" s="164"/>
      <c r="G44" s="164"/>
      <c r="H44" s="164"/>
      <c r="I44" s="296"/>
      <c r="J44" s="238"/>
      <c r="K44" s="164"/>
      <c r="L44" s="37"/>
    </row>
    <row r="45" spans="2:12" ht="12.75" x14ac:dyDescent="0.2">
      <c r="B45" s="33"/>
      <c r="C45" s="164"/>
      <c r="D45" s="164" t="s">
        <v>208</v>
      </c>
      <c r="E45" s="164"/>
      <c r="F45" s="164"/>
      <c r="G45" s="164"/>
      <c r="H45" s="164"/>
      <c r="I45" s="195"/>
      <c r="J45" s="164"/>
      <c r="K45" s="164"/>
      <c r="L45" s="37"/>
    </row>
    <row r="46" spans="2:12" ht="12.75" x14ac:dyDescent="0.2">
      <c r="B46" s="33"/>
      <c r="C46" s="164"/>
      <c r="D46" s="164" t="s">
        <v>209</v>
      </c>
      <c r="E46" s="164"/>
      <c r="F46" s="164"/>
      <c r="G46" s="294"/>
      <c r="H46" s="283">
        <v>600</v>
      </c>
      <c r="I46" s="297" t="s">
        <v>210</v>
      </c>
      <c r="J46" s="164"/>
      <c r="K46" s="164"/>
      <c r="L46" s="37"/>
    </row>
    <row r="47" spans="2:12" ht="12.75" x14ac:dyDescent="0.2">
      <c r="B47" s="33"/>
      <c r="C47" s="164"/>
      <c r="D47" s="164" t="s">
        <v>211</v>
      </c>
      <c r="E47" s="164"/>
      <c r="F47" s="164"/>
      <c r="G47" s="295"/>
      <c r="H47" s="269">
        <v>0.75</v>
      </c>
      <c r="I47" s="297" t="s">
        <v>210</v>
      </c>
      <c r="J47" s="164"/>
      <c r="K47" s="164"/>
      <c r="L47" s="37"/>
    </row>
    <row r="48" spans="2:12" ht="12.75" x14ac:dyDescent="0.2">
      <c r="B48" s="33"/>
      <c r="C48" s="164"/>
      <c r="D48" s="164"/>
      <c r="E48" s="167" t="s">
        <v>212</v>
      </c>
      <c r="F48" s="167" t="s">
        <v>213</v>
      </c>
      <c r="G48" s="164"/>
      <c r="H48" s="167"/>
      <c r="I48" s="297"/>
      <c r="J48" s="164"/>
      <c r="K48" s="164"/>
      <c r="L48" s="37"/>
    </row>
    <row r="49" spans="2:14" ht="12.75" x14ac:dyDescent="0.2">
      <c r="B49" s="33"/>
      <c r="C49" s="164"/>
      <c r="D49" s="164" t="s">
        <v>214</v>
      </c>
      <c r="E49" s="281">
        <v>20</v>
      </c>
      <c r="F49" s="282">
        <v>40</v>
      </c>
      <c r="G49" s="295"/>
      <c r="H49" s="284">
        <v>0.375</v>
      </c>
      <c r="I49" s="297" t="s">
        <v>215</v>
      </c>
      <c r="J49" s="164"/>
      <c r="K49" s="164"/>
      <c r="L49" s="37"/>
    </row>
    <row r="50" spans="2:14" ht="12.75" x14ac:dyDescent="0.2">
      <c r="B50" s="33"/>
      <c r="C50" s="164"/>
      <c r="D50" s="164" t="s">
        <v>216</v>
      </c>
      <c r="E50" s="164"/>
      <c r="F50" s="164"/>
      <c r="G50" s="164"/>
      <c r="H50" s="252">
        <v>1.8</v>
      </c>
      <c r="I50" s="297" t="s">
        <v>217</v>
      </c>
      <c r="J50" s="164"/>
      <c r="K50" s="164"/>
      <c r="L50" s="37"/>
    </row>
    <row r="51" spans="2:14" ht="12.75" x14ac:dyDescent="0.2">
      <c r="B51" s="33"/>
      <c r="C51" s="164"/>
      <c r="D51" s="164" t="s">
        <v>218</v>
      </c>
      <c r="E51" s="164"/>
      <c r="F51" s="164"/>
      <c r="G51" s="294"/>
      <c r="H51" s="261">
        <f>ROUND(H46*H47*H49*H50,0)</f>
        <v>304</v>
      </c>
      <c r="I51" s="297"/>
      <c r="J51" s="164"/>
      <c r="K51" s="164"/>
      <c r="L51" s="37"/>
    </row>
    <row r="52" spans="2:14" ht="12.75" x14ac:dyDescent="0.2">
      <c r="B52" s="33"/>
      <c r="C52" s="164"/>
      <c r="D52" s="164" t="s">
        <v>219</v>
      </c>
      <c r="E52" s="164"/>
      <c r="F52" s="164"/>
      <c r="G52" s="295"/>
      <c r="H52" s="260">
        <v>1</v>
      </c>
      <c r="I52" s="297" t="s">
        <v>220</v>
      </c>
      <c r="J52" s="164"/>
      <c r="K52" s="164"/>
      <c r="L52" s="37"/>
    </row>
    <row r="53" spans="2:14" ht="12.75" x14ac:dyDescent="0.2">
      <c r="B53" s="33"/>
      <c r="C53" s="164"/>
      <c r="D53" s="164" t="s">
        <v>221</v>
      </c>
      <c r="E53" s="164"/>
      <c r="F53" s="164"/>
      <c r="G53" s="294"/>
      <c r="H53" s="261">
        <f>ROUND(H51*H52/(F49-E49),0)</f>
        <v>15</v>
      </c>
      <c r="I53" s="297"/>
      <c r="J53" s="164"/>
      <c r="K53" s="164"/>
      <c r="L53" s="37"/>
    </row>
    <row r="54" spans="2:14" ht="12.75" x14ac:dyDescent="0.2">
      <c r="B54" s="33"/>
      <c r="C54" s="164"/>
      <c r="D54" s="164" t="s">
        <v>222</v>
      </c>
      <c r="E54" s="164"/>
      <c r="F54" s="164"/>
      <c r="G54" s="299"/>
      <c r="H54" s="262">
        <v>9000</v>
      </c>
      <c r="I54" s="297" t="s">
        <v>220</v>
      </c>
      <c r="J54" s="164"/>
      <c r="K54" s="164"/>
      <c r="L54" s="37"/>
    </row>
    <row r="55" spans="2:14" s="52" customFormat="1" ht="12.75" x14ac:dyDescent="0.2">
      <c r="B55" s="49"/>
      <c r="C55" s="168"/>
      <c r="D55" s="168" t="s">
        <v>223</v>
      </c>
      <c r="E55" s="168"/>
      <c r="F55" s="168"/>
      <c r="G55" s="300"/>
      <c r="H55" s="270">
        <f>+H53*H54</f>
        <v>135000</v>
      </c>
      <c r="I55" s="298" t="s">
        <v>224</v>
      </c>
      <c r="J55" s="168"/>
      <c r="K55" s="168"/>
      <c r="L55" s="51"/>
    </row>
    <row r="56" spans="2:14" ht="12.75" x14ac:dyDescent="0.2">
      <c r="B56" s="33"/>
      <c r="C56" s="164"/>
      <c r="D56" s="164"/>
      <c r="E56" s="164"/>
      <c r="F56" s="164"/>
      <c r="G56" s="164"/>
      <c r="H56" s="164"/>
      <c r="I56" s="195"/>
      <c r="J56" s="164"/>
      <c r="K56" s="164"/>
      <c r="L56" s="37"/>
    </row>
    <row r="57" spans="2:14" ht="12.75" x14ac:dyDescent="0.2">
      <c r="B57" s="33"/>
      <c r="C57" s="34"/>
      <c r="D57" s="34"/>
      <c r="E57" s="34"/>
      <c r="F57" s="34"/>
      <c r="G57" s="34"/>
      <c r="H57" s="34"/>
      <c r="I57" s="59"/>
      <c r="J57" s="34"/>
      <c r="K57" s="34"/>
      <c r="L57" s="37"/>
    </row>
    <row r="58" spans="2:14" thickBot="1" x14ac:dyDescent="0.25">
      <c r="B58" s="60"/>
      <c r="C58" s="61"/>
      <c r="D58" s="61"/>
      <c r="E58" s="61"/>
      <c r="F58" s="61"/>
      <c r="G58" s="61"/>
      <c r="H58" s="61"/>
      <c r="I58" s="77"/>
      <c r="J58" s="61"/>
      <c r="K58" s="64" t="s">
        <v>103</v>
      </c>
      <c r="L58" s="65"/>
    </row>
    <row r="59" spans="2:14" ht="12.75" x14ac:dyDescent="0.2">
      <c r="I59" s="78"/>
    </row>
    <row r="60" spans="2:14" ht="13.5" customHeight="1" x14ac:dyDescent="0.2">
      <c r="I60" s="78"/>
      <c r="N60" s="79" t="s">
        <v>5</v>
      </c>
    </row>
    <row r="61" spans="2:14" ht="13.5" customHeight="1" x14ac:dyDescent="0.2">
      <c r="I61" s="78"/>
      <c r="N61" s="79" t="s">
        <v>6</v>
      </c>
    </row>
    <row r="62" spans="2:14" ht="13.5" customHeight="1" x14ac:dyDescent="0.2">
      <c r="I62" s="78"/>
      <c r="N62" s="79" t="s">
        <v>7</v>
      </c>
    </row>
    <row r="63" spans="2:14" ht="13.5" customHeight="1" x14ac:dyDescent="0.2">
      <c r="I63" s="78"/>
      <c r="N63" s="79" t="s">
        <v>8</v>
      </c>
    </row>
    <row r="64" spans="2:14" ht="13.5" customHeight="1" x14ac:dyDescent="0.2">
      <c r="I64" s="78"/>
      <c r="N64" s="26">
        <v>1</v>
      </c>
    </row>
    <row r="65" spans="9:14" ht="13.5" customHeight="1" x14ac:dyDescent="0.2">
      <c r="I65" s="78"/>
      <c r="N65" s="26">
        <v>2</v>
      </c>
    </row>
    <row r="66" spans="9:14" ht="13.5" customHeight="1" x14ac:dyDescent="0.2">
      <c r="I66" s="78"/>
      <c r="N66" s="26">
        <v>3</v>
      </c>
    </row>
    <row r="67" spans="9:14" ht="13.5" customHeight="1" x14ac:dyDescent="0.2">
      <c r="I67" s="78"/>
      <c r="N67" s="26">
        <v>4</v>
      </c>
    </row>
    <row r="68" spans="9:14" ht="13.5" customHeight="1" x14ac:dyDescent="0.2">
      <c r="I68" s="78"/>
      <c r="N68" s="26">
        <v>5</v>
      </c>
    </row>
    <row r="69" spans="9:14" ht="13.5" customHeight="1" x14ac:dyDescent="0.2">
      <c r="I69" s="78"/>
      <c r="N69" s="26">
        <v>6</v>
      </c>
    </row>
    <row r="70" spans="9:14" ht="13.5" customHeight="1" x14ac:dyDescent="0.2">
      <c r="I70" s="78"/>
      <c r="N70" s="26">
        <v>7</v>
      </c>
    </row>
    <row r="71" spans="9:14" ht="13.5" customHeight="1" x14ac:dyDescent="0.2">
      <c r="I71" s="78"/>
      <c r="N71" s="26">
        <v>8</v>
      </c>
    </row>
    <row r="72" spans="9:14" ht="13.5" customHeight="1" x14ac:dyDescent="0.2">
      <c r="I72" s="78"/>
      <c r="N72" s="26">
        <v>9</v>
      </c>
    </row>
    <row r="73" spans="9:14" ht="13.5" customHeight="1" x14ac:dyDescent="0.2">
      <c r="I73" s="78"/>
      <c r="N73" s="26">
        <v>10</v>
      </c>
    </row>
    <row r="74" spans="9:14" ht="13.5" customHeight="1" x14ac:dyDescent="0.2">
      <c r="I74" s="78"/>
      <c r="N74" s="26">
        <v>11</v>
      </c>
    </row>
    <row r="75" spans="9:14" ht="13.5" customHeight="1" x14ac:dyDescent="0.2">
      <c r="I75" s="78"/>
      <c r="N75" s="26">
        <v>12</v>
      </c>
    </row>
    <row r="76" spans="9:14" ht="13.5" customHeight="1" x14ac:dyDescent="0.2">
      <c r="I76" s="78"/>
      <c r="N76" s="26">
        <v>13</v>
      </c>
    </row>
    <row r="77" spans="9:14" ht="13.5" customHeight="1" x14ac:dyDescent="0.2">
      <c r="I77" s="78"/>
      <c r="N77" s="26">
        <v>14</v>
      </c>
    </row>
    <row r="78" spans="9:14" ht="13.5" customHeight="1" x14ac:dyDescent="0.2">
      <c r="I78" s="78"/>
      <c r="N78" s="26">
        <v>15</v>
      </c>
    </row>
    <row r="79" spans="9:14" ht="13.5" customHeight="1" x14ac:dyDescent="0.2">
      <c r="I79" s="78"/>
      <c r="N79" s="26">
        <v>16</v>
      </c>
    </row>
    <row r="80" spans="9:14" ht="13.5" customHeight="1" x14ac:dyDescent="0.2">
      <c r="I80" s="78"/>
      <c r="N80" s="26">
        <v>17</v>
      </c>
    </row>
    <row r="81" spans="6:14" ht="13.5" customHeight="1" x14ac:dyDescent="0.2">
      <c r="I81" s="78"/>
      <c r="N81" s="26" t="s">
        <v>9</v>
      </c>
    </row>
    <row r="82" spans="6:14" ht="13.5" customHeight="1" x14ac:dyDescent="0.2">
      <c r="I82" s="78"/>
      <c r="N82" s="26" t="s">
        <v>10</v>
      </c>
    </row>
    <row r="83" spans="6:14" ht="13.5" customHeight="1" x14ac:dyDescent="0.2">
      <c r="I83" s="78"/>
      <c r="N83" s="26" t="s">
        <v>11</v>
      </c>
    </row>
    <row r="84" spans="6:14" ht="13.5" customHeight="1" x14ac:dyDescent="0.2">
      <c r="I84" s="78"/>
      <c r="N84" s="26" t="s">
        <v>12</v>
      </c>
    </row>
    <row r="85" spans="6:14" ht="13.5" customHeight="1" x14ac:dyDescent="0.2">
      <c r="I85" s="78"/>
    </row>
    <row r="86" spans="6:14" ht="13.5" customHeight="1" x14ac:dyDescent="0.2">
      <c r="I86" s="78"/>
    </row>
    <row r="87" spans="6:14" ht="13.5" customHeight="1" x14ac:dyDescent="0.2">
      <c r="I87" s="78"/>
    </row>
    <row r="88" spans="6:14" ht="13.5" customHeight="1" x14ac:dyDescent="0.2">
      <c r="F88" s="80"/>
      <c r="G88" s="81"/>
      <c r="I88" s="78"/>
    </row>
    <row r="89" spans="6:14" ht="13.5" customHeight="1" x14ac:dyDescent="0.2">
      <c r="F89" s="80"/>
      <c r="G89" s="81"/>
      <c r="I89" s="78"/>
    </row>
    <row r="90" spans="6:14" ht="13.5" customHeight="1" x14ac:dyDescent="0.2">
      <c r="F90" s="80"/>
      <c r="G90" s="81"/>
      <c r="I90" s="78"/>
    </row>
    <row r="91" spans="6:14" ht="13.5" customHeight="1" x14ac:dyDescent="0.2">
      <c r="F91" s="80"/>
      <c r="G91" s="81"/>
      <c r="I91" s="78"/>
    </row>
    <row r="92" spans="6:14" ht="12.75" x14ac:dyDescent="0.2">
      <c r="F92" s="82"/>
      <c r="G92" s="78"/>
      <c r="I92" s="78"/>
    </row>
    <row r="93" spans="6:14" ht="12.75" x14ac:dyDescent="0.2">
      <c r="F93" s="80"/>
      <c r="G93" s="78"/>
      <c r="I93" s="78"/>
    </row>
    <row r="94" spans="6:14" ht="12.75" x14ac:dyDescent="0.2">
      <c r="F94" s="83"/>
      <c r="I94" s="78"/>
    </row>
    <row r="95" spans="6:14" ht="12.75" x14ac:dyDescent="0.2">
      <c r="I95" s="78"/>
    </row>
    <row r="96" spans="6:14" ht="12.75" x14ac:dyDescent="0.2">
      <c r="I96" s="78"/>
    </row>
  </sheetData>
  <sheetProtection algorithmName="SHA-512" hashValue="oUBKDTdnlqC1BLCbx96zHwwnWj7OT2EGcIZdCYO/gI7Ra6Xg7DqXSFhei+OecajDyccEySU5/ey2IU/+jRSEhQ==" saltValue="n6sjh5NXjpjvAJZ8Ef87mA==" spinCount="100000" sheet="1" objects="1" scenarios="1"/>
  <mergeCells count="2">
    <mergeCell ref="H10:I10"/>
    <mergeCell ref="I43:J43"/>
  </mergeCells>
  <dataValidations count="3">
    <dataValidation type="list" allowBlank="1" showInputMessage="1" showErrorMessage="1" sqref="H13">
      <formula1>$N$60:$N$84</formula1>
    </dataValidation>
    <dataValidation type="list" allowBlank="1" showInputMessage="1" showErrorMessage="1" sqref="H23">
      <formula1>"ja,nee"</formula1>
    </dataValidation>
    <dataValidation type="list" allowBlank="1" showInputMessage="1" showErrorMessage="1" sqref="G2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04"/>
  <sheetViews>
    <sheetView zoomScale="85" zoomScaleNormal="85" workbookViewId="0">
      <selection activeCell="B2" sqref="B2"/>
    </sheetView>
  </sheetViews>
  <sheetFormatPr defaultColWidth="9.7109375" defaultRowHeight="13.5" customHeight="1" x14ac:dyDescent="0.2"/>
  <cols>
    <col min="1" max="3" width="2.7109375" style="84" customWidth="1"/>
    <col min="4" max="4" width="45.7109375" style="84" customWidth="1"/>
    <col min="5" max="5" width="2.7109375" style="84" customWidth="1"/>
    <col min="6" max="6" width="14.7109375" style="85" customWidth="1"/>
    <col min="7" max="7" width="2.7109375" style="85" customWidth="1"/>
    <col min="8" max="8" width="16.5703125" style="84" bestFit="1" customWidth="1"/>
    <col min="9" max="9" width="8.7109375" style="84" customWidth="1"/>
    <col min="10" max="12" width="2.7109375" style="84" customWidth="1"/>
    <col min="13" max="15" width="10.7109375" style="84" customWidth="1"/>
    <col min="16" max="16" width="6.140625" style="84" customWidth="1"/>
    <col min="17" max="17" width="8.140625" style="84" customWidth="1"/>
    <col min="18" max="18" width="2.42578125" style="84" customWidth="1"/>
    <col min="19" max="19" width="6.7109375" style="84" customWidth="1"/>
    <col min="20" max="20" width="10.7109375" style="84" customWidth="1"/>
    <col min="21" max="21" width="2.7109375" style="84" customWidth="1"/>
    <col min="22" max="22" width="10.7109375" style="84" customWidth="1"/>
    <col min="23" max="23" width="11.7109375" style="84" bestFit="1" customWidth="1"/>
    <col min="24" max="24" width="2.140625" style="84" customWidth="1"/>
    <col min="25" max="25" width="11.85546875" style="84" bestFit="1" customWidth="1"/>
    <col min="26" max="26" width="1.85546875" style="84" customWidth="1"/>
    <col min="27" max="27" width="4" style="84" bestFit="1" customWidth="1"/>
    <col min="28" max="29" width="10.7109375" style="84" customWidth="1"/>
    <col min="30" max="16384" width="9.7109375" style="84"/>
  </cols>
  <sheetData>
    <row r="1" spans="2:29" ht="12.75" customHeight="1" thickBot="1" x14ac:dyDescent="0.25"/>
    <row r="2" spans="2:29" ht="12.75" customHeight="1" x14ac:dyDescent="0.2">
      <c r="B2" s="28"/>
      <c r="C2" s="29"/>
      <c r="D2" s="29"/>
      <c r="E2" s="29"/>
      <c r="F2" s="31"/>
      <c r="G2" s="31"/>
      <c r="H2" s="29"/>
      <c r="I2" s="29"/>
      <c r="J2" s="29"/>
      <c r="K2" s="32"/>
    </row>
    <row r="3" spans="2:29" ht="12.75" customHeight="1" x14ac:dyDescent="0.2">
      <c r="B3" s="33"/>
      <c r="C3" s="34"/>
      <c r="D3" s="34"/>
      <c r="E3" s="34"/>
      <c r="F3" s="36"/>
      <c r="G3" s="36"/>
      <c r="H3" s="34"/>
      <c r="I3" s="34"/>
      <c r="J3" s="34"/>
      <c r="K3" s="37"/>
    </row>
    <row r="4" spans="2:29" ht="18" customHeight="1" x14ac:dyDescent="0.25">
      <c r="B4" s="33"/>
      <c r="C4" s="39" t="s">
        <v>225</v>
      </c>
      <c r="D4" s="34"/>
      <c r="E4" s="34"/>
      <c r="F4" s="73"/>
      <c r="G4" s="73"/>
      <c r="H4" s="74"/>
      <c r="I4" s="34"/>
      <c r="J4" s="34"/>
      <c r="K4" s="37"/>
    </row>
    <row r="5" spans="2:29" s="90" customFormat="1" ht="12.75" customHeight="1" x14ac:dyDescent="0.2">
      <c r="B5" s="86"/>
      <c r="C5" s="87" t="s">
        <v>293</v>
      </c>
      <c r="D5" s="87"/>
      <c r="E5" s="87"/>
      <c r="F5" s="88"/>
      <c r="G5" s="88"/>
      <c r="H5" s="87"/>
      <c r="I5" s="87"/>
      <c r="J5" s="87"/>
      <c r="K5" s="89"/>
    </row>
    <row r="6" spans="2:29" ht="12.75" customHeight="1" x14ac:dyDescent="0.2">
      <c r="B6" s="33"/>
      <c r="C6" s="87"/>
      <c r="D6" s="72"/>
      <c r="E6" s="34"/>
      <c r="F6" s="36"/>
      <c r="G6" s="36"/>
      <c r="H6" s="34"/>
      <c r="I6" s="34"/>
      <c r="J6" s="34"/>
      <c r="K6" s="37"/>
    </row>
    <row r="7" spans="2:29" ht="12.75" customHeight="1" x14ac:dyDescent="0.2">
      <c r="B7" s="33"/>
      <c r="C7" s="164"/>
      <c r="D7" s="168"/>
      <c r="E7" s="164"/>
      <c r="F7" s="167"/>
      <c r="G7" s="167"/>
      <c r="H7" s="164"/>
      <c r="I7" s="164"/>
      <c r="J7" s="164"/>
      <c r="K7" s="37"/>
    </row>
    <row r="8" spans="2:29" ht="12.75" customHeight="1" x14ac:dyDescent="0.2">
      <c r="B8" s="33"/>
      <c r="C8" s="164"/>
      <c r="D8" s="164" t="s">
        <v>190</v>
      </c>
      <c r="E8" s="164"/>
      <c r="F8" s="336" t="s">
        <v>47</v>
      </c>
      <c r="G8" s="337"/>
      <c r="H8" s="333"/>
      <c r="I8" s="164"/>
      <c r="J8" s="164"/>
      <c r="K8" s="37"/>
    </row>
    <row r="9" spans="2:29" ht="12.75" customHeight="1" x14ac:dyDescent="0.25">
      <c r="B9" s="33"/>
      <c r="C9" s="164"/>
      <c r="D9" s="308" t="s">
        <v>226</v>
      </c>
      <c r="E9" s="308"/>
      <c r="F9" s="91" t="s">
        <v>32</v>
      </c>
      <c r="G9" s="316"/>
      <c r="H9" s="309"/>
      <c r="I9" s="164"/>
      <c r="J9" s="164"/>
      <c r="K9" s="37"/>
    </row>
    <row r="10" spans="2:29" ht="12.75" customHeight="1" x14ac:dyDescent="0.2">
      <c r="B10" s="33"/>
      <c r="C10" s="164"/>
      <c r="D10" s="168"/>
      <c r="E10" s="164"/>
      <c r="F10" s="167"/>
      <c r="G10" s="167"/>
      <c r="H10" s="238"/>
      <c r="I10" s="164"/>
      <c r="J10" s="164"/>
      <c r="K10" s="37"/>
    </row>
    <row r="11" spans="2:29" ht="12.75" customHeight="1" x14ac:dyDescent="0.2">
      <c r="B11" s="33"/>
      <c r="C11" s="34"/>
      <c r="D11" s="72"/>
      <c r="E11" s="34"/>
      <c r="F11" s="36"/>
      <c r="G11" s="36"/>
      <c r="H11" s="92"/>
      <c r="I11" s="34"/>
      <c r="J11" s="34"/>
      <c r="K11" s="37"/>
    </row>
    <row r="12" spans="2:29" ht="12.75" customHeight="1" x14ac:dyDescent="0.2">
      <c r="B12" s="33"/>
      <c r="C12" s="164"/>
      <c r="D12" s="168"/>
      <c r="E12" s="164"/>
      <c r="F12" s="167"/>
      <c r="G12" s="167"/>
      <c r="H12" s="238"/>
      <c r="I12" s="164"/>
      <c r="J12" s="164"/>
      <c r="K12" s="37"/>
      <c r="P12" s="93" t="s">
        <v>227</v>
      </c>
      <c r="Q12" s="94"/>
      <c r="R12" s="94"/>
      <c r="S12" s="94"/>
      <c r="T12" s="94"/>
      <c r="U12" s="94"/>
      <c r="V12" s="94"/>
      <c r="W12" s="94"/>
      <c r="X12" s="94"/>
      <c r="Y12" s="94"/>
      <c r="Z12" s="94"/>
      <c r="AA12" s="94"/>
      <c r="AB12" s="94"/>
      <c r="AC12" s="95"/>
    </row>
    <row r="13" spans="2:29" ht="12.75" customHeight="1" x14ac:dyDescent="0.2">
      <c r="B13" s="33"/>
      <c r="C13" s="164"/>
      <c r="D13" s="168" t="s">
        <v>228</v>
      </c>
      <c r="E13" s="164"/>
      <c r="F13" s="167"/>
      <c r="G13" s="167"/>
      <c r="H13" s="164"/>
      <c r="I13" s="164"/>
      <c r="J13" s="164"/>
      <c r="K13" s="37"/>
      <c r="P13" s="94"/>
      <c r="Q13" s="94"/>
      <c r="R13" s="94"/>
      <c r="S13" s="94"/>
      <c r="T13" s="94"/>
      <c r="U13" s="94"/>
      <c r="V13" s="94"/>
      <c r="W13" s="94"/>
      <c r="X13" s="94"/>
      <c r="Y13" s="94"/>
      <c r="Z13" s="94"/>
      <c r="AA13" s="94"/>
      <c r="AB13" s="94"/>
      <c r="AC13" s="94"/>
    </row>
    <row r="14" spans="2:29" ht="12.75" customHeight="1" x14ac:dyDescent="0.2">
      <c r="B14" s="33"/>
      <c r="C14" s="164"/>
      <c r="D14" s="168"/>
      <c r="E14" s="164"/>
      <c r="F14" s="167"/>
      <c r="G14" s="167"/>
      <c r="H14" s="164"/>
      <c r="I14" s="164"/>
      <c r="J14" s="164"/>
      <c r="K14" s="37"/>
      <c r="P14" s="94" t="s">
        <v>229</v>
      </c>
      <c r="Q14" s="94"/>
      <c r="R14" s="94"/>
      <c r="S14" s="94" t="s">
        <v>230</v>
      </c>
      <c r="T14" s="94"/>
      <c r="U14" s="94"/>
      <c r="V14" s="94"/>
      <c r="W14" s="94"/>
      <c r="X14" s="94"/>
      <c r="Y14" s="94" t="s">
        <v>231</v>
      </c>
      <c r="Z14" s="94"/>
      <c r="AA14" s="94"/>
      <c r="AB14" s="94"/>
      <c r="AC14" s="95"/>
    </row>
    <row r="15" spans="2:29" ht="12.75" customHeight="1" x14ac:dyDescent="0.2">
      <c r="B15" s="33"/>
      <c r="C15" s="164"/>
      <c r="D15" s="164" t="s">
        <v>50</v>
      </c>
      <c r="E15" s="164"/>
      <c r="F15" s="305">
        <v>7</v>
      </c>
      <c r="G15" s="311"/>
      <c r="H15" s="164"/>
      <c r="I15" s="164"/>
      <c r="J15" s="164"/>
      <c r="K15" s="37"/>
      <c r="P15" s="94">
        <f t="shared" ref="P15:P60" si="0">+$F$29</f>
        <v>8</v>
      </c>
      <c r="Q15" s="94">
        <f>+$F$30+AA15</f>
        <v>5</v>
      </c>
      <c r="R15" s="94"/>
      <c r="S15" s="94">
        <f t="shared" ref="S15:S60" si="1">+$F$15</f>
        <v>7</v>
      </c>
      <c r="T15" s="94">
        <f>+$F$16+AA15</f>
        <v>8</v>
      </c>
      <c r="U15" s="94"/>
      <c r="V15" s="96">
        <f t="shared" ref="V15:V60" si="2">IF(AA15+1&gt;$F$44,0,IF(Q15&gt;$I$30,VLOOKUP($P15,salaristabellen,$I$30+1,FALSE),VLOOKUP($P15,salaristabellen,Q15+1,FALSE))*12*(1+F$42))</f>
        <v>46836.36</v>
      </c>
      <c r="W15" s="96">
        <f t="shared" ref="W15:W60" si="3">IF(AA15+1&gt;$F$44,0,IF(T15&gt;$I$16,VLOOKUP($S15,salaristabellen,$I$16+1,FALSE),VLOOKUP($S15,salaristabellen,T15+1,FALSE))*12*(1+F$42))</f>
        <v>45734.76</v>
      </c>
      <c r="X15" s="94"/>
      <c r="Y15" s="96">
        <f t="shared" ref="Y15:Y60" si="4">+V15-W15</f>
        <v>1101.5999999999985</v>
      </c>
      <c r="Z15" s="94"/>
      <c r="AA15" s="94">
        <v>0</v>
      </c>
      <c r="AB15" s="94"/>
      <c r="AC15" s="95" t="s">
        <v>5</v>
      </c>
    </row>
    <row r="16" spans="2:29" ht="12.75" customHeight="1" x14ac:dyDescent="0.2">
      <c r="B16" s="33"/>
      <c r="C16" s="164"/>
      <c r="D16" s="164" t="s">
        <v>51</v>
      </c>
      <c r="E16" s="164"/>
      <c r="F16" s="252">
        <v>8</v>
      </c>
      <c r="G16" s="167"/>
      <c r="H16" s="289" t="s">
        <v>232</v>
      </c>
      <c r="I16" s="288">
        <f>VLOOKUP(F$15,salaristabellen,18,FALSE)</f>
        <v>12</v>
      </c>
      <c r="J16" s="164"/>
      <c r="K16" s="37"/>
      <c r="P16" s="94">
        <f t="shared" si="0"/>
        <v>8</v>
      </c>
      <c r="Q16" s="94">
        <f t="shared" ref="Q16:Q60" si="5">+$F$30+AA16</f>
        <v>6</v>
      </c>
      <c r="R16" s="94"/>
      <c r="S16" s="94">
        <f t="shared" si="1"/>
        <v>7</v>
      </c>
      <c r="T16" s="94">
        <f t="shared" ref="T16:T60" si="6">+$F$16+AA16</f>
        <v>9</v>
      </c>
      <c r="U16" s="94"/>
      <c r="V16" s="96">
        <f t="shared" si="2"/>
        <v>49113</v>
      </c>
      <c r="W16" s="96">
        <f t="shared" si="3"/>
        <v>46836.36</v>
      </c>
      <c r="X16" s="94"/>
      <c r="Y16" s="96">
        <f t="shared" si="4"/>
        <v>2276.6399999999994</v>
      </c>
      <c r="Z16" s="94"/>
      <c r="AA16" s="94">
        <v>1</v>
      </c>
      <c r="AB16" s="97"/>
      <c r="AC16" s="95" t="s">
        <v>6</v>
      </c>
    </row>
    <row r="17" spans="2:29" ht="12.75" customHeight="1" x14ac:dyDescent="0.2">
      <c r="B17" s="33"/>
      <c r="C17" s="164"/>
      <c r="D17" s="164" t="s">
        <v>54</v>
      </c>
      <c r="E17" s="164"/>
      <c r="F17" s="258">
        <f>VLOOKUP(F15,salaristabellen,IF(F16&gt;15,16,F16+1),FALSE)</f>
        <v>2491</v>
      </c>
      <c r="G17" s="285"/>
      <c r="H17" s="310"/>
      <c r="I17" s="202"/>
      <c r="J17" s="164"/>
      <c r="K17" s="37"/>
      <c r="P17" s="94">
        <f t="shared" si="0"/>
        <v>8</v>
      </c>
      <c r="Q17" s="94">
        <f t="shared" si="5"/>
        <v>7</v>
      </c>
      <c r="R17" s="94"/>
      <c r="S17" s="94">
        <f t="shared" si="1"/>
        <v>7</v>
      </c>
      <c r="T17" s="94">
        <f t="shared" si="6"/>
        <v>10</v>
      </c>
      <c r="U17" s="94"/>
      <c r="V17" s="96">
        <f t="shared" si="2"/>
        <v>50434.92</v>
      </c>
      <c r="W17" s="96">
        <f t="shared" si="3"/>
        <v>47974.68</v>
      </c>
      <c r="X17" s="94"/>
      <c r="Y17" s="96">
        <f t="shared" si="4"/>
        <v>2460.239999999998</v>
      </c>
      <c r="Z17" s="94"/>
      <c r="AA17" s="94">
        <v>2</v>
      </c>
      <c r="AB17" s="94"/>
      <c r="AC17" s="95" t="s">
        <v>7</v>
      </c>
    </row>
    <row r="18" spans="2:29" ht="12.75" customHeight="1" x14ac:dyDescent="0.2">
      <c r="B18" s="33"/>
      <c r="C18" s="164"/>
      <c r="D18" s="164" t="s">
        <v>233</v>
      </c>
      <c r="E18" s="164"/>
      <c r="F18" s="258">
        <f>IF(F16=I16,VLOOKUP(F9,bindingstoelage,3,FALSE),0)+IF(F9="leraar",1,0)*IF(F16=I16,IF(F15="LB",tabellen!C48,IF(F15="LC",tabellen!C49,IF(F15="LD",tabellen!C50,0))),0)</f>
        <v>0</v>
      </c>
      <c r="G18" s="285"/>
      <c r="H18" s="310"/>
      <c r="I18" s="202"/>
      <c r="J18" s="164"/>
      <c r="K18" s="37"/>
      <c r="P18" s="94">
        <f t="shared" si="0"/>
        <v>8</v>
      </c>
      <c r="Q18" s="94">
        <f t="shared" si="5"/>
        <v>8</v>
      </c>
      <c r="R18" s="94"/>
      <c r="S18" s="94">
        <f t="shared" si="1"/>
        <v>7</v>
      </c>
      <c r="T18" s="94">
        <f t="shared" si="6"/>
        <v>11</v>
      </c>
      <c r="U18" s="94"/>
      <c r="V18" s="96">
        <f t="shared" si="2"/>
        <v>51628.32</v>
      </c>
      <c r="W18" s="96">
        <f t="shared" si="3"/>
        <v>49113</v>
      </c>
      <c r="X18" s="94"/>
      <c r="Y18" s="96">
        <f t="shared" si="4"/>
        <v>2515.3199999999997</v>
      </c>
      <c r="Z18" s="94"/>
      <c r="AA18" s="94">
        <v>3</v>
      </c>
      <c r="AB18" s="94"/>
      <c r="AC18" s="95" t="s">
        <v>8</v>
      </c>
    </row>
    <row r="19" spans="2:29" ht="12.75" customHeight="1" x14ac:dyDescent="0.2">
      <c r="B19" s="33"/>
      <c r="C19" s="164"/>
      <c r="D19" s="168" t="s">
        <v>55</v>
      </c>
      <c r="E19" s="164"/>
      <c r="F19" s="301">
        <v>1</v>
      </c>
      <c r="G19" s="290"/>
      <c r="H19" s="310"/>
      <c r="I19" s="202"/>
      <c r="J19" s="164"/>
      <c r="K19" s="37"/>
      <c r="P19" s="94">
        <f t="shared" si="0"/>
        <v>8</v>
      </c>
      <c r="Q19" s="94">
        <f t="shared" si="5"/>
        <v>9</v>
      </c>
      <c r="R19" s="94"/>
      <c r="S19" s="94">
        <f t="shared" si="1"/>
        <v>7</v>
      </c>
      <c r="T19" s="94">
        <f t="shared" si="6"/>
        <v>12</v>
      </c>
      <c r="U19" s="94"/>
      <c r="V19" s="96">
        <f t="shared" si="2"/>
        <v>52693.200000000004</v>
      </c>
      <c r="W19" s="96">
        <f t="shared" si="3"/>
        <v>50434.92</v>
      </c>
      <c r="X19" s="94"/>
      <c r="Y19" s="96">
        <f t="shared" si="4"/>
        <v>2258.2800000000061</v>
      </c>
      <c r="Z19" s="94"/>
      <c r="AA19" s="94">
        <v>4</v>
      </c>
      <c r="AB19" s="94"/>
      <c r="AC19" s="95">
        <v>1</v>
      </c>
    </row>
    <row r="20" spans="2:29" ht="12.75" customHeight="1" x14ac:dyDescent="0.2">
      <c r="B20" s="33"/>
      <c r="C20" s="164"/>
      <c r="D20" s="164" t="s">
        <v>56</v>
      </c>
      <c r="E20" s="164"/>
      <c r="F20" s="304">
        <f>ROUND(+(F17+F18)*F19,2)</f>
        <v>2491</v>
      </c>
      <c r="G20" s="285"/>
      <c r="H20" s="310"/>
      <c r="I20" s="202"/>
      <c r="J20" s="164"/>
      <c r="K20" s="37"/>
      <c r="P20" s="94">
        <f t="shared" si="0"/>
        <v>8</v>
      </c>
      <c r="Q20" s="94">
        <f t="shared" si="5"/>
        <v>10</v>
      </c>
      <c r="R20" s="94"/>
      <c r="S20" s="94">
        <f t="shared" si="1"/>
        <v>7</v>
      </c>
      <c r="T20" s="94">
        <f t="shared" si="6"/>
        <v>13</v>
      </c>
      <c r="U20" s="94"/>
      <c r="V20" s="96">
        <f t="shared" si="2"/>
        <v>53849.88</v>
      </c>
      <c r="W20" s="96">
        <f t="shared" si="3"/>
        <v>50434.92</v>
      </c>
      <c r="X20" s="94"/>
      <c r="Y20" s="96">
        <f t="shared" si="4"/>
        <v>3414.9599999999991</v>
      </c>
      <c r="Z20" s="94"/>
      <c r="AA20" s="94">
        <v>5</v>
      </c>
      <c r="AB20" s="94"/>
      <c r="AC20" s="95">
        <v>2</v>
      </c>
    </row>
    <row r="21" spans="2:29" ht="12.75" customHeight="1" x14ac:dyDescent="0.2">
      <c r="B21" s="33"/>
      <c r="C21" s="164"/>
      <c r="D21" s="164"/>
      <c r="E21" s="164"/>
      <c r="F21" s="285"/>
      <c r="G21" s="285"/>
      <c r="H21" s="310"/>
      <c r="I21" s="202"/>
      <c r="J21" s="164"/>
      <c r="K21" s="37"/>
      <c r="P21" s="94">
        <f t="shared" si="0"/>
        <v>8</v>
      </c>
      <c r="Q21" s="94">
        <f t="shared" si="5"/>
        <v>11</v>
      </c>
      <c r="R21" s="94"/>
      <c r="S21" s="94">
        <f t="shared" si="1"/>
        <v>7</v>
      </c>
      <c r="T21" s="94">
        <f t="shared" si="6"/>
        <v>14</v>
      </c>
      <c r="U21" s="94"/>
      <c r="V21" s="96">
        <f t="shared" si="2"/>
        <v>54988.200000000004</v>
      </c>
      <c r="W21" s="96">
        <f t="shared" si="3"/>
        <v>50434.92</v>
      </c>
      <c r="X21" s="94"/>
      <c r="Y21" s="96">
        <f t="shared" si="4"/>
        <v>4553.2800000000061</v>
      </c>
      <c r="Z21" s="94"/>
      <c r="AA21" s="94">
        <v>6</v>
      </c>
      <c r="AB21" s="94"/>
      <c r="AC21" s="95">
        <v>3</v>
      </c>
    </row>
    <row r="22" spans="2:29" ht="12.75" customHeight="1" x14ac:dyDescent="0.2">
      <c r="B22" s="33"/>
      <c r="C22" s="164"/>
      <c r="D22" s="168" t="s">
        <v>294</v>
      </c>
      <c r="E22" s="164"/>
      <c r="F22" s="271">
        <v>49</v>
      </c>
      <c r="G22" s="167"/>
      <c r="H22" s="310"/>
      <c r="I22" s="202"/>
      <c r="J22" s="164"/>
      <c r="K22" s="37"/>
      <c r="P22" s="94">
        <f t="shared" si="0"/>
        <v>8</v>
      </c>
      <c r="Q22" s="94">
        <f t="shared" si="5"/>
        <v>12</v>
      </c>
      <c r="R22" s="94"/>
      <c r="S22" s="94">
        <f t="shared" si="1"/>
        <v>7</v>
      </c>
      <c r="T22" s="94">
        <f t="shared" si="6"/>
        <v>15</v>
      </c>
      <c r="U22" s="94"/>
      <c r="V22" s="96">
        <f t="shared" si="2"/>
        <v>56053.08</v>
      </c>
      <c r="W22" s="96">
        <f t="shared" si="3"/>
        <v>50434.92</v>
      </c>
      <c r="X22" s="94"/>
      <c r="Y22" s="96">
        <f t="shared" si="4"/>
        <v>5618.1600000000035</v>
      </c>
      <c r="Z22" s="94"/>
      <c r="AA22" s="94">
        <v>7</v>
      </c>
      <c r="AB22" s="94"/>
      <c r="AC22" s="95">
        <v>4</v>
      </c>
    </row>
    <row r="23" spans="2:29" ht="12.75" customHeight="1" x14ac:dyDescent="0.2">
      <c r="B23" s="33"/>
      <c r="C23" s="164"/>
      <c r="D23" s="164" t="s">
        <v>234</v>
      </c>
      <c r="E23" s="164"/>
      <c r="F23" s="264">
        <v>65</v>
      </c>
      <c r="G23" s="167"/>
      <c r="H23" s="310"/>
      <c r="I23" s="202"/>
      <c r="J23" s="164"/>
      <c r="K23" s="37"/>
      <c r="P23" s="94">
        <f t="shared" si="0"/>
        <v>8</v>
      </c>
      <c r="Q23" s="94">
        <f t="shared" si="5"/>
        <v>13</v>
      </c>
      <c r="R23" s="94"/>
      <c r="S23" s="94">
        <f t="shared" si="1"/>
        <v>7</v>
      </c>
      <c r="T23" s="94">
        <f t="shared" si="6"/>
        <v>16</v>
      </c>
      <c r="U23" s="94"/>
      <c r="V23" s="96">
        <f t="shared" si="2"/>
        <v>57062.879999999997</v>
      </c>
      <c r="W23" s="96">
        <f t="shared" si="3"/>
        <v>50434.92</v>
      </c>
      <c r="X23" s="94"/>
      <c r="Y23" s="96">
        <f t="shared" si="4"/>
        <v>6627.9599999999991</v>
      </c>
      <c r="Z23" s="94"/>
      <c r="AA23" s="94">
        <v>8</v>
      </c>
      <c r="AB23" s="94"/>
      <c r="AC23" s="95">
        <v>5</v>
      </c>
    </row>
    <row r="24" spans="2:29" ht="12.75" customHeight="1" x14ac:dyDescent="0.2">
      <c r="B24" s="33"/>
      <c r="C24" s="164"/>
      <c r="D24" s="164"/>
      <c r="E24" s="164"/>
      <c r="F24" s="167"/>
      <c r="G24" s="167"/>
      <c r="H24" s="310"/>
      <c r="I24" s="202"/>
      <c r="J24" s="164"/>
      <c r="K24" s="37"/>
      <c r="P24" s="94">
        <f t="shared" si="0"/>
        <v>8</v>
      </c>
      <c r="Q24" s="94">
        <f t="shared" si="5"/>
        <v>14</v>
      </c>
      <c r="R24" s="94"/>
      <c r="S24" s="94">
        <f t="shared" si="1"/>
        <v>7</v>
      </c>
      <c r="T24" s="94">
        <f t="shared" si="6"/>
        <v>17</v>
      </c>
      <c r="U24" s="94"/>
      <c r="V24" s="96">
        <f t="shared" si="2"/>
        <v>57062.879999999997</v>
      </c>
      <c r="W24" s="96">
        <f t="shared" si="3"/>
        <v>50434.92</v>
      </c>
      <c r="X24" s="94"/>
      <c r="Y24" s="96">
        <f t="shared" si="4"/>
        <v>6627.9599999999991</v>
      </c>
      <c r="Z24" s="94"/>
      <c r="AA24" s="94">
        <v>9</v>
      </c>
      <c r="AB24" s="94"/>
      <c r="AC24" s="95">
        <v>6</v>
      </c>
    </row>
    <row r="25" spans="2:29" ht="12.75" customHeight="1" x14ac:dyDescent="0.2">
      <c r="B25" s="33"/>
      <c r="C25" s="34"/>
      <c r="D25" s="34"/>
      <c r="E25" s="34"/>
      <c r="F25" s="36"/>
      <c r="G25" s="36"/>
      <c r="H25" s="98"/>
      <c r="I25" s="88"/>
      <c r="J25" s="34"/>
      <c r="K25" s="37"/>
      <c r="P25" s="94">
        <f t="shared" si="0"/>
        <v>8</v>
      </c>
      <c r="Q25" s="94">
        <f t="shared" si="5"/>
        <v>15</v>
      </c>
      <c r="R25" s="94"/>
      <c r="S25" s="94">
        <f t="shared" si="1"/>
        <v>7</v>
      </c>
      <c r="T25" s="94">
        <f t="shared" si="6"/>
        <v>18</v>
      </c>
      <c r="U25" s="94"/>
      <c r="V25" s="96">
        <f t="shared" si="2"/>
        <v>57062.879999999997</v>
      </c>
      <c r="W25" s="96">
        <f t="shared" si="3"/>
        <v>50434.92</v>
      </c>
      <c r="X25" s="94"/>
      <c r="Y25" s="96">
        <f t="shared" si="4"/>
        <v>6627.9599999999991</v>
      </c>
      <c r="Z25" s="94"/>
      <c r="AA25" s="94">
        <v>10</v>
      </c>
      <c r="AB25" s="94"/>
      <c r="AC25" s="95">
        <v>7</v>
      </c>
    </row>
    <row r="26" spans="2:29" ht="12.75" customHeight="1" x14ac:dyDescent="0.2">
      <c r="B26" s="33"/>
      <c r="C26" s="164"/>
      <c r="D26" s="164"/>
      <c r="E26" s="164"/>
      <c r="F26" s="167"/>
      <c r="G26" s="167"/>
      <c r="H26" s="310"/>
      <c r="I26" s="202"/>
      <c r="J26" s="164"/>
      <c r="K26" s="37"/>
      <c r="P26" s="94">
        <f t="shared" si="0"/>
        <v>8</v>
      </c>
      <c r="Q26" s="94">
        <f t="shared" si="5"/>
        <v>16</v>
      </c>
      <c r="R26" s="94"/>
      <c r="S26" s="94">
        <f t="shared" si="1"/>
        <v>7</v>
      </c>
      <c r="T26" s="94">
        <f t="shared" si="6"/>
        <v>19</v>
      </c>
      <c r="U26" s="94"/>
      <c r="V26" s="96">
        <f t="shared" si="2"/>
        <v>57062.879999999997</v>
      </c>
      <c r="W26" s="96">
        <f t="shared" si="3"/>
        <v>50434.92</v>
      </c>
      <c r="X26" s="94"/>
      <c r="Y26" s="96">
        <f t="shared" si="4"/>
        <v>6627.9599999999991</v>
      </c>
      <c r="Z26" s="94"/>
      <c r="AA26" s="94">
        <v>11</v>
      </c>
      <c r="AB26" s="94"/>
      <c r="AC26" s="95">
        <v>8</v>
      </c>
    </row>
    <row r="27" spans="2:29" ht="12.75" customHeight="1" x14ac:dyDescent="0.2">
      <c r="B27" s="33"/>
      <c r="C27" s="164"/>
      <c r="D27" s="168" t="s">
        <v>235</v>
      </c>
      <c r="E27" s="164"/>
      <c r="F27" s="167"/>
      <c r="G27" s="167"/>
      <c r="H27" s="310"/>
      <c r="I27" s="202"/>
      <c r="J27" s="164"/>
      <c r="K27" s="37"/>
      <c r="P27" s="94">
        <f t="shared" si="0"/>
        <v>8</v>
      </c>
      <c r="Q27" s="94">
        <f t="shared" si="5"/>
        <v>17</v>
      </c>
      <c r="R27" s="94"/>
      <c r="S27" s="94">
        <f t="shared" si="1"/>
        <v>7</v>
      </c>
      <c r="T27" s="94">
        <f t="shared" si="6"/>
        <v>20</v>
      </c>
      <c r="U27" s="94"/>
      <c r="V27" s="96">
        <f t="shared" si="2"/>
        <v>57062.879999999997</v>
      </c>
      <c r="W27" s="96">
        <f t="shared" si="3"/>
        <v>50434.92</v>
      </c>
      <c r="X27" s="94"/>
      <c r="Y27" s="96">
        <f t="shared" si="4"/>
        <v>6627.9599999999991</v>
      </c>
      <c r="Z27" s="94"/>
      <c r="AA27" s="94">
        <v>12</v>
      </c>
      <c r="AB27" s="94"/>
      <c r="AC27" s="95">
        <v>9</v>
      </c>
    </row>
    <row r="28" spans="2:29" ht="12.75" customHeight="1" x14ac:dyDescent="0.2">
      <c r="B28" s="33"/>
      <c r="C28" s="164"/>
      <c r="D28" s="168"/>
      <c r="E28" s="164"/>
      <c r="F28" s="167"/>
      <c r="G28" s="167"/>
      <c r="H28" s="310"/>
      <c r="I28" s="202"/>
      <c r="J28" s="164"/>
      <c r="K28" s="37"/>
      <c r="P28" s="94">
        <f t="shared" si="0"/>
        <v>8</v>
      </c>
      <c r="Q28" s="94">
        <f t="shared" si="5"/>
        <v>18</v>
      </c>
      <c r="R28" s="94"/>
      <c r="S28" s="94">
        <f t="shared" si="1"/>
        <v>7</v>
      </c>
      <c r="T28" s="94">
        <f t="shared" si="6"/>
        <v>21</v>
      </c>
      <c r="U28" s="94"/>
      <c r="V28" s="96">
        <f t="shared" si="2"/>
        <v>57062.879999999997</v>
      </c>
      <c r="W28" s="96">
        <f t="shared" si="3"/>
        <v>50434.92</v>
      </c>
      <c r="X28" s="94"/>
      <c r="Y28" s="96">
        <f t="shared" si="4"/>
        <v>6627.9599999999991</v>
      </c>
      <c r="Z28" s="94"/>
      <c r="AA28" s="94">
        <v>13</v>
      </c>
      <c r="AB28" s="94"/>
      <c r="AC28" s="95">
        <v>10</v>
      </c>
    </row>
    <row r="29" spans="2:29" ht="12.75" customHeight="1" x14ac:dyDescent="0.2">
      <c r="B29" s="33"/>
      <c r="C29" s="164"/>
      <c r="D29" s="164" t="s">
        <v>50</v>
      </c>
      <c r="E29" s="164"/>
      <c r="F29" s="305">
        <v>8</v>
      </c>
      <c r="G29" s="311"/>
      <c r="H29" s="310"/>
      <c r="I29" s="202"/>
      <c r="J29" s="164"/>
      <c r="K29" s="37"/>
      <c r="P29" s="94">
        <f t="shared" si="0"/>
        <v>8</v>
      </c>
      <c r="Q29" s="94">
        <f t="shared" si="5"/>
        <v>19</v>
      </c>
      <c r="R29" s="94"/>
      <c r="S29" s="94">
        <f t="shared" si="1"/>
        <v>7</v>
      </c>
      <c r="T29" s="94">
        <f t="shared" si="6"/>
        <v>22</v>
      </c>
      <c r="U29" s="94"/>
      <c r="V29" s="96">
        <f t="shared" si="2"/>
        <v>57062.879999999997</v>
      </c>
      <c r="W29" s="96">
        <f t="shared" si="3"/>
        <v>50434.92</v>
      </c>
      <c r="X29" s="94"/>
      <c r="Y29" s="96">
        <f t="shared" si="4"/>
        <v>6627.9599999999991</v>
      </c>
      <c r="Z29" s="94"/>
      <c r="AA29" s="94">
        <v>14</v>
      </c>
      <c r="AB29" s="94"/>
      <c r="AC29" s="95">
        <v>11</v>
      </c>
    </row>
    <row r="30" spans="2:29" ht="12.75" customHeight="1" x14ac:dyDescent="0.2">
      <c r="B30" s="33"/>
      <c r="C30" s="164"/>
      <c r="D30" s="164" t="s">
        <v>51</v>
      </c>
      <c r="E30" s="164"/>
      <c r="F30" s="252">
        <v>5</v>
      </c>
      <c r="G30" s="167"/>
      <c r="H30" s="289" t="s">
        <v>232</v>
      </c>
      <c r="I30" s="288">
        <f>VLOOKUP(F29,salaristabellen,18,FALSE)</f>
        <v>13</v>
      </c>
      <c r="J30" s="164"/>
      <c r="K30" s="37"/>
      <c r="P30" s="94">
        <f t="shared" si="0"/>
        <v>8</v>
      </c>
      <c r="Q30" s="94">
        <f t="shared" si="5"/>
        <v>20</v>
      </c>
      <c r="R30" s="94"/>
      <c r="S30" s="94">
        <f t="shared" si="1"/>
        <v>7</v>
      </c>
      <c r="T30" s="94">
        <f t="shared" si="6"/>
        <v>23</v>
      </c>
      <c r="U30" s="94"/>
      <c r="V30" s="96">
        <f t="shared" si="2"/>
        <v>57062.879999999997</v>
      </c>
      <c r="W30" s="96">
        <f t="shared" si="3"/>
        <v>50434.92</v>
      </c>
      <c r="X30" s="94"/>
      <c r="Y30" s="96">
        <f t="shared" si="4"/>
        <v>6627.9599999999991</v>
      </c>
      <c r="Z30" s="94"/>
      <c r="AA30" s="94">
        <v>15</v>
      </c>
      <c r="AB30" s="94"/>
      <c r="AC30" s="95">
        <v>12</v>
      </c>
    </row>
    <row r="31" spans="2:29" ht="12.75" customHeight="1" x14ac:dyDescent="0.2">
      <c r="B31" s="33"/>
      <c r="C31" s="164"/>
      <c r="D31" s="164" t="s">
        <v>54</v>
      </c>
      <c r="E31" s="164"/>
      <c r="F31" s="304">
        <f>VLOOKUP(F29,salaristabellen,IF(F30&gt;15,16,F30+1),FALSE)</f>
        <v>2551</v>
      </c>
      <c r="G31" s="285"/>
      <c r="H31" s="164"/>
      <c r="I31" s="164"/>
      <c r="J31" s="164"/>
      <c r="K31" s="37"/>
      <c r="P31" s="94">
        <f t="shared" si="0"/>
        <v>8</v>
      </c>
      <c r="Q31" s="94">
        <f t="shared" si="5"/>
        <v>21</v>
      </c>
      <c r="R31" s="94"/>
      <c r="S31" s="94">
        <f t="shared" si="1"/>
        <v>7</v>
      </c>
      <c r="T31" s="94">
        <f t="shared" si="6"/>
        <v>24</v>
      </c>
      <c r="U31" s="94"/>
      <c r="V31" s="96">
        <f t="shared" si="2"/>
        <v>0</v>
      </c>
      <c r="W31" s="96">
        <f t="shared" si="3"/>
        <v>0</v>
      </c>
      <c r="X31" s="94"/>
      <c r="Y31" s="96">
        <f t="shared" si="4"/>
        <v>0</v>
      </c>
      <c r="Z31" s="94"/>
      <c r="AA31" s="94">
        <v>16</v>
      </c>
      <c r="AB31" s="94"/>
      <c r="AC31" s="95">
        <v>13</v>
      </c>
    </row>
    <row r="32" spans="2:29" ht="12.75" customHeight="1" x14ac:dyDescent="0.2">
      <c r="B32" s="33"/>
      <c r="C32" s="164"/>
      <c r="D32" s="164"/>
      <c r="E32" s="164"/>
      <c r="F32" s="285"/>
      <c r="G32" s="285"/>
      <c r="H32" s="164"/>
      <c r="I32" s="164"/>
      <c r="J32" s="164"/>
      <c r="K32" s="37"/>
      <c r="P32" s="94">
        <f t="shared" si="0"/>
        <v>8</v>
      </c>
      <c r="Q32" s="94">
        <f t="shared" si="5"/>
        <v>22</v>
      </c>
      <c r="R32" s="94"/>
      <c r="S32" s="94">
        <f t="shared" si="1"/>
        <v>7</v>
      </c>
      <c r="T32" s="94">
        <f t="shared" si="6"/>
        <v>25</v>
      </c>
      <c r="U32" s="94"/>
      <c r="V32" s="96">
        <f t="shared" si="2"/>
        <v>0</v>
      </c>
      <c r="W32" s="96">
        <f t="shared" si="3"/>
        <v>0</v>
      </c>
      <c r="X32" s="94"/>
      <c r="Y32" s="96">
        <f t="shared" si="4"/>
        <v>0</v>
      </c>
      <c r="Z32" s="94"/>
      <c r="AA32" s="94">
        <v>17</v>
      </c>
      <c r="AB32" s="94"/>
      <c r="AC32" s="95">
        <v>14</v>
      </c>
    </row>
    <row r="33" spans="2:29" ht="12.75" customHeight="1" x14ac:dyDescent="0.2">
      <c r="B33" s="33"/>
      <c r="C33" s="164"/>
      <c r="D33" s="168" t="s">
        <v>236</v>
      </c>
      <c r="E33" s="164"/>
      <c r="F33" s="306" t="s">
        <v>237</v>
      </c>
      <c r="G33" s="312"/>
      <c r="H33" s="164"/>
      <c r="I33" s="164"/>
      <c r="J33" s="164"/>
      <c r="K33" s="37"/>
      <c r="P33" s="94">
        <f t="shared" si="0"/>
        <v>8</v>
      </c>
      <c r="Q33" s="94">
        <f t="shared" si="5"/>
        <v>23</v>
      </c>
      <c r="R33" s="94"/>
      <c r="S33" s="94">
        <f t="shared" si="1"/>
        <v>7</v>
      </c>
      <c r="T33" s="94">
        <f t="shared" si="6"/>
        <v>26</v>
      </c>
      <c r="U33" s="94"/>
      <c r="V33" s="96">
        <f t="shared" si="2"/>
        <v>0</v>
      </c>
      <c r="W33" s="96">
        <f t="shared" si="3"/>
        <v>0</v>
      </c>
      <c r="X33" s="94"/>
      <c r="Y33" s="96">
        <f t="shared" si="4"/>
        <v>0</v>
      </c>
      <c r="Z33" s="94"/>
      <c r="AA33" s="94">
        <v>18</v>
      </c>
      <c r="AB33" s="94"/>
      <c r="AC33" s="95">
        <v>15</v>
      </c>
    </row>
    <row r="34" spans="2:29" ht="12.75" customHeight="1" x14ac:dyDescent="0.2">
      <c r="B34" s="33"/>
      <c r="C34" s="164"/>
      <c r="D34" s="164" t="s">
        <v>238</v>
      </c>
      <c r="E34" s="164"/>
      <c r="F34" s="302">
        <v>0</v>
      </c>
      <c r="G34" s="312"/>
      <c r="H34" s="164"/>
      <c r="I34" s="164"/>
      <c r="J34" s="164"/>
      <c r="K34" s="37"/>
      <c r="P34" s="94">
        <f t="shared" si="0"/>
        <v>8</v>
      </c>
      <c r="Q34" s="94">
        <f t="shared" si="5"/>
        <v>24</v>
      </c>
      <c r="R34" s="94"/>
      <c r="S34" s="94">
        <f t="shared" si="1"/>
        <v>7</v>
      </c>
      <c r="T34" s="94">
        <f t="shared" si="6"/>
        <v>27</v>
      </c>
      <c r="U34" s="94"/>
      <c r="V34" s="96">
        <f t="shared" si="2"/>
        <v>0</v>
      </c>
      <c r="W34" s="96">
        <f t="shared" si="3"/>
        <v>0</v>
      </c>
      <c r="X34" s="94"/>
      <c r="Y34" s="96">
        <f t="shared" si="4"/>
        <v>0</v>
      </c>
      <c r="Z34" s="94"/>
      <c r="AA34" s="94">
        <v>19</v>
      </c>
      <c r="AB34" s="94"/>
      <c r="AC34" s="95">
        <v>16</v>
      </c>
    </row>
    <row r="35" spans="2:29" ht="12.75" customHeight="1" x14ac:dyDescent="0.2">
      <c r="B35" s="33"/>
      <c r="C35" s="164"/>
      <c r="D35" s="164" t="s">
        <v>56</v>
      </c>
      <c r="E35" s="164"/>
      <c r="F35" s="304">
        <f>ROUND(IF(F33="ja",F31*F34,F31*F19),2)</f>
        <v>2551</v>
      </c>
      <c r="G35" s="285"/>
      <c r="H35" s="164"/>
      <c r="I35" s="164"/>
      <c r="J35" s="164"/>
      <c r="K35" s="37"/>
      <c r="P35" s="94">
        <f t="shared" si="0"/>
        <v>8</v>
      </c>
      <c r="Q35" s="94">
        <f t="shared" si="5"/>
        <v>25</v>
      </c>
      <c r="R35" s="94"/>
      <c r="S35" s="94">
        <f t="shared" si="1"/>
        <v>7</v>
      </c>
      <c r="T35" s="94">
        <f t="shared" si="6"/>
        <v>28</v>
      </c>
      <c r="U35" s="94"/>
      <c r="V35" s="96">
        <f t="shared" si="2"/>
        <v>0</v>
      </c>
      <c r="W35" s="96">
        <f t="shared" si="3"/>
        <v>0</v>
      </c>
      <c r="X35" s="94"/>
      <c r="Y35" s="96">
        <f t="shared" si="4"/>
        <v>0</v>
      </c>
      <c r="Z35" s="94"/>
      <c r="AA35" s="94">
        <v>20</v>
      </c>
      <c r="AB35" s="94"/>
      <c r="AC35" s="95">
        <v>17</v>
      </c>
    </row>
    <row r="36" spans="2:29" ht="12.75" customHeight="1" x14ac:dyDescent="0.2">
      <c r="B36" s="33"/>
      <c r="C36" s="164"/>
      <c r="D36" s="164"/>
      <c r="E36" s="164"/>
      <c r="F36" s="167"/>
      <c r="G36" s="167"/>
      <c r="H36" s="164"/>
      <c r="I36" s="164"/>
      <c r="J36" s="164"/>
      <c r="K36" s="37"/>
      <c r="P36" s="94">
        <f t="shared" si="0"/>
        <v>8</v>
      </c>
      <c r="Q36" s="94">
        <f t="shared" si="5"/>
        <v>26</v>
      </c>
      <c r="R36" s="94"/>
      <c r="S36" s="94">
        <f t="shared" si="1"/>
        <v>7</v>
      </c>
      <c r="T36" s="94">
        <f t="shared" si="6"/>
        <v>29</v>
      </c>
      <c r="U36" s="94"/>
      <c r="V36" s="96">
        <f t="shared" si="2"/>
        <v>0</v>
      </c>
      <c r="W36" s="96">
        <f t="shared" si="3"/>
        <v>0</v>
      </c>
      <c r="X36" s="94"/>
      <c r="Y36" s="96">
        <f t="shared" si="4"/>
        <v>0</v>
      </c>
      <c r="Z36" s="94"/>
      <c r="AA36" s="94">
        <v>21</v>
      </c>
      <c r="AB36" s="94"/>
      <c r="AC36" s="95" t="s">
        <v>9</v>
      </c>
    </row>
    <row r="37" spans="2:29" ht="12.75" customHeight="1" x14ac:dyDescent="0.2">
      <c r="B37" s="33"/>
      <c r="C37" s="34"/>
      <c r="D37" s="34"/>
      <c r="E37" s="34"/>
      <c r="F37" s="36"/>
      <c r="G37" s="36"/>
      <c r="H37" s="34"/>
      <c r="I37" s="34"/>
      <c r="J37" s="34"/>
      <c r="K37" s="37"/>
      <c r="P37" s="94">
        <f t="shared" si="0"/>
        <v>8</v>
      </c>
      <c r="Q37" s="94">
        <f t="shared" si="5"/>
        <v>27</v>
      </c>
      <c r="R37" s="94"/>
      <c r="S37" s="94">
        <f t="shared" si="1"/>
        <v>7</v>
      </c>
      <c r="T37" s="94">
        <f t="shared" si="6"/>
        <v>30</v>
      </c>
      <c r="U37" s="94"/>
      <c r="V37" s="96">
        <f t="shared" si="2"/>
        <v>0</v>
      </c>
      <c r="W37" s="96">
        <f t="shared" si="3"/>
        <v>0</v>
      </c>
      <c r="X37" s="94"/>
      <c r="Y37" s="96">
        <f t="shared" si="4"/>
        <v>0</v>
      </c>
      <c r="Z37" s="94"/>
      <c r="AA37" s="94">
        <v>22</v>
      </c>
      <c r="AB37" s="94"/>
      <c r="AC37" s="95" t="s">
        <v>10</v>
      </c>
    </row>
    <row r="38" spans="2:29" ht="12.75" customHeight="1" x14ac:dyDescent="0.2">
      <c r="B38" s="33"/>
      <c r="C38" s="164"/>
      <c r="D38" s="164"/>
      <c r="E38" s="164"/>
      <c r="F38" s="167"/>
      <c r="G38" s="167"/>
      <c r="H38" s="164"/>
      <c r="I38" s="164"/>
      <c r="J38" s="164"/>
      <c r="K38" s="37"/>
      <c r="P38" s="94">
        <f t="shared" si="0"/>
        <v>8</v>
      </c>
      <c r="Q38" s="94">
        <f t="shared" si="5"/>
        <v>28</v>
      </c>
      <c r="R38" s="94"/>
      <c r="S38" s="94">
        <f t="shared" si="1"/>
        <v>7</v>
      </c>
      <c r="T38" s="94">
        <f t="shared" si="6"/>
        <v>31</v>
      </c>
      <c r="U38" s="94"/>
      <c r="V38" s="96">
        <f t="shared" si="2"/>
        <v>0</v>
      </c>
      <c r="W38" s="96">
        <f t="shared" si="3"/>
        <v>0</v>
      </c>
      <c r="X38" s="94"/>
      <c r="Y38" s="96">
        <f t="shared" si="4"/>
        <v>0</v>
      </c>
      <c r="Z38" s="94"/>
      <c r="AA38" s="94">
        <v>23</v>
      </c>
      <c r="AB38" s="94"/>
      <c r="AC38" s="95" t="s">
        <v>11</v>
      </c>
    </row>
    <row r="39" spans="2:29" ht="12.75" customHeight="1" x14ac:dyDescent="0.2">
      <c r="B39" s="33"/>
      <c r="C39" s="164"/>
      <c r="D39" s="168" t="s">
        <v>239</v>
      </c>
      <c r="E39" s="164"/>
      <c r="F39" s="167"/>
      <c r="G39" s="167"/>
      <c r="H39" s="164"/>
      <c r="I39" s="164"/>
      <c r="J39" s="164"/>
      <c r="K39" s="37"/>
      <c r="P39" s="94">
        <f t="shared" si="0"/>
        <v>8</v>
      </c>
      <c r="Q39" s="94">
        <f t="shared" si="5"/>
        <v>29</v>
      </c>
      <c r="R39" s="94"/>
      <c r="S39" s="94">
        <f t="shared" si="1"/>
        <v>7</v>
      </c>
      <c r="T39" s="94">
        <f t="shared" si="6"/>
        <v>32</v>
      </c>
      <c r="U39" s="94"/>
      <c r="V39" s="96">
        <f t="shared" si="2"/>
        <v>0</v>
      </c>
      <c r="W39" s="96">
        <f t="shared" si="3"/>
        <v>0</v>
      </c>
      <c r="X39" s="94"/>
      <c r="Y39" s="96">
        <f t="shared" si="4"/>
        <v>0</v>
      </c>
      <c r="Z39" s="94"/>
      <c r="AA39" s="94">
        <v>24</v>
      </c>
      <c r="AB39" s="94"/>
      <c r="AC39" s="95" t="s">
        <v>12</v>
      </c>
    </row>
    <row r="40" spans="2:29" ht="12.75" customHeight="1" x14ac:dyDescent="0.2">
      <c r="B40" s="33"/>
      <c r="C40" s="164"/>
      <c r="D40" s="164"/>
      <c r="E40" s="164"/>
      <c r="F40" s="167"/>
      <c r="G40" s="167"/>
      <c r="H40" s="164"/>
      <c r="I40" s="164"/>
      <c r="J40" s="164"/>
      <c r="K40" s="37"/>
      <c r="P40" s="94">
        <f t="shared" si="0"/>
        <v>8</v>
      </c>
      <c r="Q40" s="94">
        <f t="shared" si="5"/>
        <v>30</v>
      </c>
      <c r="R40" s="94"/>
      <c r="S40" s="94">
        <f t="shared" si="1"/>
        <v>7</v>
      </c>
      <c r="T40" s="94">
        <f t="shared" si="6"/>
        <v>33</v>
      </c>
      <c r="U40" s="94"/>
      <c r="V40" s="96">
        <f t="shared" si="2"/>
        <v>0</v>
      </c>
      <c r="W40" s="96">
        <f t="shared" si="3"/>
        <v>0</v>
      </c>
      <c r="X40" s="94"/>
      <c r="Y40" s="96">
        <f t="shared" si="4"/>
        <v>0</v>
      </c>
      <c r="Z40" s="94"/>
      <c r="AA40" s="94">
        <v>25</v>
      </c>
      <c r="AB40" s="94"/>
      <c r="AC40" s="94"/>
    </row>
    <row r="41" spans="2:29" ht="12.75" customHeight="1" x14ac:dyDescent="0.2">
      <c r="B41" s="33"/>
      <c r="C41" s="164"/>
      <c r="D41" s="164" t="s">
        <v>240</v>
      </c>
      <c r="E41" s="164"/>
      <c r="F41" s="279">
        <f>+F35-F20</f>
        <v>60</v>
      </c>
      <c r="G41" s="285"/>
      <c r="H41" s="164"/>
      <c r="I41" s="164"/>
      <c r="J41" s="164"/>
      <c r="K41" s="37"/>
      <c r="P41" s="94">
        <f t="shared" si="0"/>
        <v>8</v>
      </c>
      <c r="Q41" s="94">
        <f t="shared" si="5"/>
        <v>31</v>
      </c>
      <c r="R41" s="94"/>
      <c r="S41" s="94">
        <f t="shared" si="1"/>
        <v>7</v>
      </c>
      <c r="T41" s="94">
        <f t="shared" si="6"/>
        <v>34</v>
      </c>
      <c r="U41" s="94"/>
      <c r="V41" s="96">
        <f t="shared" si="2"/>
        <v>0</v>
      </c>
      <c r="W41" s="96">
        <f t="shared" si="3"/>
        <v>0</v>
      </c>
      <c r="X41" s="94"/>
      <c r="Y41" s="96">
        <f t="shared" si="4"/>
        <v>0</v>
      </c>
      <c r="Z41" s="94"/>
      <c r="AA41" s="94">
        <v>26</v>
      </c>
      <c r="AB41" s="94"/>
      <c r="AC41" s="99" t="s">
        <v>31</v>
      </c>
    </row>
    <row r="42" spans="2:29" ht="12.75" customHeight="1" x14ac:dyDescent="0.2">
      <c r="B42" s="33"/>
      <c r="C42" s="164"/>
      <c r="D42" s="164" t="s">
        <v>241</v>
      </c>
      <c r="E42" s="164"/>
      <c r="F42" s="260">
        <f>+tabellen!C62</f>
        <v>0.53</v>
      </c>
      <c r="G42" s="313"/>
      <c r="H42" s="164"/>
      <c r="I42" s="164"/>
      <c r="J42" s="164"/>
      <c r="K42" s="37"/>
      <c r="P42" s="94">
        <f t="shared" si="0"/>
        <v>8</v>
      </c>
      <c r="Q42" s="94">
        <f t="shared" si="5"/>
        <v>32</v>
      </c>
      <c r="R42" s="94"/>
      <c r="S42" s="94">
        <f t="shared" si="1"/>
        <v>7</v>
      </c>
      <c r="T42" s="94">
        <f t="shared" si="6"/>
        <v>35</v>
      </c>
      <c r="U42" s="94"/>
      <c r="V42" s="96">
        <f t="shared" si="2"/>
        <v>0</v>
      </c>
      <c r="W42" s="96">
        <f t="shared" si="3"/>
        <v>0</v>
      </c>
      <c r="X42" s="94"/>
      <c r="Y42" s="96">
        <f t="shared" si="4"/>
        <v>0</v>
      </c>
      <c r="Z42" s="94"/>
      <c r="AA42" s="94">
        <v>27</v>
      </c>
      <c r="AB42" s="94"/>
      <c r="AC42" s="99" t="s">
        <v>32</v>
      </c>
    </row>
    <row r="43" spans="2:29" ht="12.75" customHeight="1" x14ac:dyDescent="0.2">
      <c r="B43" s="33"/>
      <c r="C43" s="164"/>
      <c r="D43" s="164" t="s">
        <v>242</v>
      </c>
      <c r="E43" s="164"/>
      <c r="F43" s="259">
        <f>+F41*12*(1+F42)</f>
        <v>1101.5999999999999</v>
      </c>
      <c r="G43" s="285"/>
      <c r="H43" s="164"/>
      <c r="I43" s="164"/>
      <c r="J43" s="164"/>
      <c r="K43" s="37"/>
      <c r="P43" s="94">
        <f t="shared" si="0"/>
        <v>8</v>
      </c>
      <c r="Q43" s="94">
        <f t="shared" si="5"/>
        <v>33</v>
      </c>
      <c r="R43" s="94"/>
      <c r="S43" s="94">
        <f t="shared" si="1"/>
        <v>7</v>
      </c>
      <c r="T43" s="94">
        <f t="shared" si="6"/>
        <v>36</v>
      </c>
      <c r="U43" s="94"/>
      <c r="V43" s="96">
        <f t="shared" si="2"/>
        <v>0</v>
      </c>
      <c r="W43" s="96">
        <f t="shared" si="3"/>
        <v>0</v>
      </c>
      <c r="X43" s="94"/>
      <c r="Y43" s="96">
        <f t="shared" si="4"/>
        <v>0</v>
      </c>
      <c r="Z43" s="94"/>
      <c r="AA43" s="94">
        <v>28</v>
      </c>
      <c r="AB43" s="94"/>
      <c r="AC43" s="99" t="s">
        <v>33</v>
      </c>
    </row>
    <row r="44" spans="2:29" ht="12.75" customHeight="1" x14ac:dyDescent="0.2">
      <c r="B44" s="33"/>
      <c r="C44" s="164"/>
      <c r="D44" s="164" t="s">
        <v>243</v>
      </c>
      <c r="E44" s="164"/>
      <c r="F44" s="303">
        <f>+F23-F22</f>
        <v>16</v>
      </c>
      <c r="G44" s="167"/>
      <c r="H44" s="164"/>
      <c r="I44" s="164"/>
      <c r="J44" s="164"/>
      <c r="K44" s="37"/>
      <c r="L44" s="100"/>
      <c r="M44" s="100"/>
      <c r="N44" s="100"/>
      <c r="O44" s="100"/>
      <c r="P44" s="94">
        <f t="shared" si="0"/>
        <v>8</v>
      </c>
      <c r="Q44" s="94">
        <f t="shared" si="5"/>
        <v>34</v>
      </c>
      <c r="R44" s="94"/>
      <c r="S44" s="94">
        <f t="shared" si="1"/>
        <v>7</v>
      </c>
      <c r="T44" s="94">
        <f t="shared" si="6"/>
        <v>37</v>
      </c>
      <c r="U44" s="94"/>
      <c r="V44" s="96">
        <f t="shared" si="2"/>
        <v>0</v>
      </c>
      <c r="W44" s="96">
        <f t="shared" si="3"/>
        <v>0</v>
      </c>
      <c r="X44" s="94"/>
      <c r="Y44" s="96">
        <f t="shared" si="4"/>
        <v>0</v>
      </c>
      <c r="Z44" s="94"/>
      <c r="AA44" s="94">
        <v>29</v>
      </c>
      <c r="AB44" s="94"/>
      <c r="AC44" s="101" t="s">
        <v>34</v>
      </c>
    </row>
    <row r="45" spans="2:29" s="103" customFormat="1" ht="12.75" customHeight="1" x14ac:dyDescent="0.2">
      <c r="B45" s="33"/>
      <c r="C45" s="164"/>
      <c r="D45" s="164" t="s">
        <v>244</v>
      </c>
      <c r="E45" s="164"/>
      <c r="F45" s="270">
        <f>IF(F33="nee",Y63*F19,Y63*F34)</f>
        <v>4826.3850000000002</v>
      </c>
      <c r="G45" s="314"/>
      <c r="H45" s="195"/>
      <c r="I45" s="164"/>
      <c r="J45" s="164"/>
      <c r="K45" s="37"/>
      <c r="L45" s="102"/>
      <c r="M45" s="102"/>
      <c r="N45" s="102"/>
      <c r="O45" s="102"/>
      <c r="P45" s="94">
        <f t="shared" si="0"/>
        <v>8</v>
      </c>
      <c r="Q45" s="94">
        <f t="shared" si="5"/>
        <v>35</v>
      </c>
      <c r="R45" s="94"/>
      <c r="S45" s="94">
        <f t="shared" si="1"/>
        <v>7</v>
      </c>
      <c r="T45" s="94">
        <f t="shared" si="6"/>
        <v>38</v>
      </c>
      <c r="U45" s="94"/>
      <c r="V45" s="96">
        <f t="shared" si="2"/>
        <v>0</v>
      </c>
      <c r="W45" s="96">
        <f t="shared" si="3"/>
        <v>0</v>
      </c>
      <c r="X45" s="94"/>
      <c r="Y45" s="96">
        <f t="shared" si="4"/>
        <v>0</v>
      </c>
      <c r="Z45" s="94"/>
      <c r="AA45" s="94">
        <v>30</v>
      </c>
      <c r="AB45" s="94"/>
      <c r="AC45" s="94"/>
    </row>
    <row r="46" spans="2:29" ht="12.75" customHeight="1" x14ac:dyDescent="0.2">
      <c r="B46" s="33"/>
      <c r="C46" s="164"/>
      <c r="D46" s="168"/>
      <c r="E46" s="164"/>
      <c r="F46" s="315"/>
      <c r="G46" s="315"/>
      <c r="H46" s="195"/>
      <c r="I46" s="164"/>
      <c r="J46" s="195"/>
      <c r="K46" s="104"/>
      <c r="L46" s="100"/>
      <c r="M46" s="100"/>
      <c r="N46" s="100"/>
      <c r="O46" s="100"/>
      <c r="P46" s="94">
        <f t="shared" si="0"/>
        <v>8</v>
      </c>
      <c r="Q46" s="94">
        <f t="shared" si="5"/>
        <v>36</v>
      </c>
      <c r="R46" s="94"/>
      <c r="S46" s="94">
        <f t="shared" si="1"/>
        <v>7</v>
      </c>
      <c r="T46" s="94">
        <f t="shared" si="6"/>
        <v>39</v>
      </c>
      <c r="U46" s="94"/>
      <c r="V46" s="96">
        <f t="shared" si="2"/>
        <v>0</v>
      </c>
      <c r="W46" s="96">
        <f t="shared" si="3"/>
        <v>0</v>
      </c>
      <c r="X46" s="94"/>
      <c r="Y46" s="96">
        <f t="shared" si="4"/>
        <v>0</v>
      </c>
      <c r="Z46" s="94"/>
      <c r="AA46" s="94">
        <v>31</v>
      </c>
      <c r="AB46" s="94"/>
      <c r="AC46" s="94"/>
    </row>
    <row r="47" spans="2:29" ht="12.75" customHeight="1" x14ac:dyDescent="0.2">
      <c r="B47" s="49"/>
      <c r="C47" s="168"/>
      <c r="D47" s="168" t="s">
        <v>245</v>
      </c>
      <c r="E47" s="168"/>
      <c r="F47" s="307">
        <f>+Y62*F19</f>
        <v>77222.16</v>
      </c>
      <c r="G47" s="315"/>
      <c r="H47" s="168"/>
      <c r="I47" s="168"/>
      <c r="J47" s="220"/>
      <c r="K47" s="105"/>
      <c r="L47" s="100"/>
      <c r="M47" s="100"/>
      <c r="N47" s="100"/>
      <c r="O47" s="100"/>
      <c r="P47" s="94">
        <f t="shared" si="0"/>
        <v>8</v>
      </c>
      <c r="Q47" s="94">
        <f t="shared" si="5"/>
        <v>37</v>
      </c>
      <c r="R47" s="94"/>
      <c r="S47" s="94">
        <f t="shared" si="1"/>
        <v>7</v>
      </c>
      <c r="T47" s="94">
        <f t="shared" si="6"/>
        <v>40</v>
      </c>
      <c r="U47" s="94"/>
      <c r="V47" s="96">
        <f t="shared" si="2"/>
        <v>0</v>
      </c>
      <c r="W47" s="96">
        <f t="shared" si="3"/>
        <v>0</v>
      </c>
      <c r="X47" s="94"/>
      <c r="Y47" s="96">
        <f t="shared" si="4"/>
        <v>0</v>
      </c>
      <c r="Z47" s="94"/>
      <c r="AA47" s="94">
        <v>32</v>
      </c>
      <c r="AB47" s="94"/>
      <c r="AC47" s="94"/>
    </row>
    <row r="48" spans="2:29" ht="12.75" customHeight="1" x14ac:dyDescent="0.2">
      <c r="B48" s="33"/>
      <c r="C48" s="164"/>
      <c r="D48" s="164"/>
      <c r="E48" s="164"/>
      <c r="F48" s="167"/>
      <c r="G48" s="167"/>
      <c r="H48" s="164"/>
      <c r="I48" s="164"/>
      <c r="J48" s="195"/>
      <c r="K48" s="104"/>
      <c r="L48" s="100"/>
      <c r="M48" s="100"/>
      <c r="N48" s="100"/>
      <c r="O48" s="100"/>
      <c r="P48" s="94">
        <f t="shared" si="0"/>
        <v>8</v>
      </c>
      <c r="Q48" s="94">
        <f t="shared" si="5"/>
        <v>38</v>
      </c>
      <c r="R48" s="94"/>
      <c r="S48" s="94">
        <f t="shared" si="1"/>
        <v>7</v>
      </c>
      <c r="T48" s="94">
        <f t="shared" si="6"/>
        <v>41</v>
      </c>
      <c r="U48" s="94"/>
      <c r="V48" s="96">
        <f t="shared" si="2"/>
        <v>0</v>
      </c>
      <c r="W48" s="96">
        <f t="shared" si="3"/>
        <v>0</v>
      </c>
      <c r="X48" s="94"/>
      <c r="Y48" s="96">
        <f t="shared" si="4"/>
        <v>0</v>
      </c>
      <c r="Z48" s="94"/>
      <c r="AA48" s="94">
        <v>33</v>
      </c>
      <c r="AB48" s="94"/>
      <c r="AC48" s="94"/>
    </row>
    <row r="49" spans="2:29" ht="12.75" customHeight="1" x14ac:dyDescent="0.2">
      <c r="B49" s="33"/>
      <c r="C49" s="34"/>
      <c r="D49" s="34"/>
      <c r="E49" s="34"/>
      <c r="F49" s="36"/>
      <c r="G49" s="36"/>
      <c r="H49" s="34"/>
      <c r="I49" s="34"/>
      <c r="J49" s="59"/>
      <c r="K49" s="104"/>
      <c r="L49" s="100"/>
      <c r="M49" s="100"/>
      <c r="N49" s="100"/>
      <c r="O49" s="100"/>
      <c r="P49" s="94">
        <f t="shared" si="0"/>
        <v>8</v>
      </c>
      <c r="Q49" s="94">
        <f t="shared" si="5"/>
        <v>39</v>
      </c>
      <c r="R49" s="94"/>
      <c r="S49" s="94">
        <f t="shared" si="1"/>
        <v>7</v>
      </c>
      <c r="T49" s="94">
        <f t="shared" si="6"/>
        <v>42</v>
      </c>
      <c r="U49" s="94"/>
      <c r="V49" s="96">
        <f t="shared" si="2"/>
        <v>0</v>
      </c>
      <c r="W49" s="96">
        <f t="shared" si="3"/>
        <v>0</v>
      </c>
      <c r="X49" s="94"/>
      <c r="Y49" s="96">
        <f t="shared" si="4"/>
        <v>0</v>
      </c>
      <c r="Z49" s="94"/>
      <c r="AA49" s="94">
        <v>34</v>
      </c>
      <c r="AB49" s="94"/>
      <c r="AC49" s="94"/>
    </row>
    <row r="50" spans="2:29" ht="12.75" customHeight="1" thickBot="1" x14ac:dyDescent="0.25">
      <c r="B50" s="60"/>
      <c r="C50" s="61"/>
      <c r="D50" s="61"/>
      <c r="E50" s="61"/>
      <c r="F50" s="106"/>
      <c r="G50" s="106"/>
      <c r="H50" s="61"/>
      <c r="I50" s="61"/>
      <c r="J50" s="64" t="s">
        <v>103</v>
      </c>
      <c r="K50" s="107"/>
      <c r="L50" s="100"/>
      <c r="M50" s="100"/>
      <c r="N50" s="100"/>
      <c r="O50" s="100"/>
      <c r="P50" s="94">
        <f t="shared" si="0"/>
        <v>8</v>
      </c>
      <c r="Q50" s="94">
        <f t="shared" si="5"/>
        <v>40</v>
      </c>
      <c r="R50" s="94"/>
      <c r="S50" s="94">
        <f t="shared" si="1"/>
        <v>7</v>
      </c>
      <c r="T50" s="94">
        <f t="shared" si="6"/>
        <v>43</v>
      </c>
      <c r="U50" s="94"/>
      <c r="V50" s="96">
        <f t="shared" si="2"/>
        <v>0</v>
      </c>
      <c r="W50" s="96">
        <f t="shared" si="3"/>
        <v>0</v>
      </c>
      <c r="X50" s="94"/>
      <c r="Y50" s="96">
        <f t="shared" si="4"/>
        <v>0</v>
      </c>
      <c r="Z50" s="94"/>
      <c r="AA50" s="94">
        <v>35</v>
      </c>
      <c r="AB50" s="94"/>
      <c r="AC50" s="94"/>
    </row>
    <row r="51" spans="2:29" ht="12.75" customHeight="1" x14ac:dyDescent="0.2">
      <c r="J51" s="108"/>
      <c r="K51" s="100"/>
      <c r="L51" s="100"/>
      <c r="M51" s="100"/>
      <c r="N51" s="100"/>
      <c r="O51" s="100"/>
      <c r="P51" s="94">
        <f t="shared" si="0"/>
        <v>8</v>
      </c>
      <c r="Q51" s="94">
        <f t="shared" si="5"/>
        <v>41</v>
      </c>
      <c r="R51" s="94"/>
      <c r="S51" s="94">
        <f t="shared" si="1"/>
        <v>7</v>
      </c>
      <c r="T51" s="94">
        <f t="shared" si="6"/>
        <v>44</v>
      </c>
      <c r="U51" s="94"/>
      <c r="V51" s="96">
        <f t="shared" si="2"/>
        <v>0</v>
      </c>
      <c r="W51" s="96">
        <f t="shared" si="3"/>
        <v>0</v>
      </c>
      <c r="X51" s="94"/>
      <c r="Y51" s="96">
        <f t="shared" si="4"/>
        <v>0</v>
      </c>
      <c r="Z51" s="94"/>
      <c r="AA51" s="94">
        <v>36</v>
      </c>
      <c r="AB51" s="94"/>
      <c r="AC51" s="94"/>
    </row>
    <row r="52" spans="2:29" ht="12.75" customHeight="1" x14ac:dyDescent="0.2">
      <c r="J52" s="100"/>
      <c r="K52" s="100"/>
      <c r="L52" s="100"/>
      <c r="M52" s="100"/>
      <c r="N52" s="100"/>
      <c r="O52" s="100"/>
      <c r="P52" s="94">
        <f t="shared" si="0"/>
        <v>8</v>
      </c>
      <c r="Q52" s="94">
        <f t="shared" si="5"/>
        <v>42</v>
      </c>
      <c r="R52" s="94"/>
      <c r="S52" s="94">
        <f t="shared" si="1"/>
        <v>7</v>
      </c>
      <c r="T52" s="94">
        <f t="shared" si="6"/>
        <v>45</v>
      </c>
      <c r="U52" s="94"/>
      <c r="V52" s="96">
        <f t="shared" si="2"/>
        <v>0</v>
      </c>
      <c r="W52" s="96">
        <f t="shared" si="3"/>
        <v>0</v>
      </c>
      <c r="X52" s="94"/>
      <c r="Y52" s="96">
        <f t="shared" si="4"/>
        <v>0</v>
      </c>
      <c r="Z52" s="94"/>
      <c r="AA52" s="94">
        <v>37</v>
      </c>
      <c r="AB52" s="94"/>
      <c r="AC52" s="94"/>
    </row>
    <row r="53" spans="2:29" ht="12.75" customHeight="1" x14ac:dyDescent="0.2">
      <c r="J53" s="100"/>
      <c r="K53" s="100"/>
      <c r="L53" s="100"/>
      <c r="P53" s="94">
        <f t="shared" si="0"/>
        <v>8</v>
      </c>
      <c r="Q53" s="94">
        <f t="shared" si="5"/>
        <v>43</v>
      </c>
      <c r="R53" s="94"/>
      <c r="S53" s="94">
        <f t="shared" si="1"/>
        <v>7</v>
      </c>
      <c r="T53" s="94">
        <f t="shared" si="6"/>
        <v>46</v>
      </c>
      <c r="U53" s="94"/>
      <c r="V53" s="96">
        <f t="shared" si="2"/>
        <v>0</v>
      </c>
      <c r="W53" s="96">
        <f t="shared" si="3"/>
        <v>0</v>
      </c>
      <c r="X53" s="94"/>
      <c r="Y53" s="96">
        <f t="shared" si="4"/>
        <v>0</v>
      </c>
      <c r="Z53" s="94"/>
      <c r="AA53" s="94">
        <v>38</v>
      </c>
      <c r="AB53" s="94"/>
      <c r="AC53" s="94"/>
    </row>
    <row r="54" spans="2:29" ht="12.75" customHeight="1" x14ac:dyDescent="0.2">
      <c r="J54" s="100"/>
      <c r="K54" s="100"/>
      <c r="L54" s="100"/>
      <c r="P54" s="94">
        <f t="shared" si="0"/>
        <v>8</v>
      </c>
      <c r="Q54" s="94">
        <f t="shared" si="5"/>
        <v>44</v>
      </c>
      <c r="R54" s="94"/>
      <c r="S54" s="94">
        <f t="shared" si="1"/>
        <v>7</v>
      </c>
      <c r="T54" s="94">
        <f t="shared" si="6"/>
        <v>47</v>
      </c>
      <c r="U54" s="94"/>
      <c r="V54" s="96">
        <f t="shared" si="2"/>
        <v>0</v>
      </c>
      <c r="W54" s="96">
        <f t="shared" si="3"/>
        <v>0</v>
      </c>
      <c r="X54" s="94"/>
      <c r="Y54" s="96">
        <f t="shared" si="4"/>
        <v>0</v>
      </c>
      <c r="Z54" s="94"/>
      <c r="AA54" s="94">
        <v>39</v>
      </c>
      <c r="AB54" s="94"/>
      <c r="AC54" s="94"/>
    </row>
    <row r="55" spans="2:29" ht="12.75" customHeight="1" x14ac:dyDescent="0.2">
      <c r="J55" s="100"/>
      <c r="K55" s="100"/>
      <c r="L55" s="100"/>
      <c r="P55" s="94">
        <f t="shared" si="0"/>
        <v>8</v>
      </c>
      <c r="Q55" s="94">
        <f t="shared" si="5"/>
        <v>45</v>
      </c>
      <c r="R55" s="94"/>
      <c r="S55" s="94">
        <f t="shared" si="1"/>
        <v>7</v>
      </c>
      <c r="T55" s="94">
        <f t="shared" si="6"/>
        <v>48</v>
      </c>
      <c r="U55" s="94"/>
      <c r="V55" s="96">
        <f t="shared" si="2"/>
        <v>0</v>
      </c>
      <c r="W55" s="96">
        <f t="shared" si="3"/>
        <v>0</v>
      </c>
      <c r="X55" s="94"/>
      <c r="Y55" s="96">
        <f t="shared" si="4"/>
        <v>0</v>
      </c>
      <c r="Z55" s="94"/>
      <c r="AA55" s="94">
        <v>40</v>
      </c>
      <c r="AB55" s="94"/>
      <c r="AC55" s="94"/>
    </row>
    <row r="56" spans="2:29" ht="12.75" customHeight="1" x14ac:dyDescent="0.2">
      <c r="J56" s="100"/>
      <c r="K56" s="100"/>
      <c r="L56" s="100"/>
      <c r="P56" s="94">
        <f t="shared" si="0"/>
        <v>8</v>
      </c>
      <c r="Q56" s="94">
        <f t="shared" si="5"/>
        <v>46</v>
      </c>
      <c r="R56" s="94"/>
      <c r="S56" s="94">
        <f t="shared" si="1"/>
        <v>7</v>
      </c>
      <c r="T56" s="94">
        <f t="shared" si="6"/>
        <v>49</v>
      </c>
      <c r="U56" s="94"/>
      <c r="V56" s="96">
        <f t="shared" si="2"/>
        <v>0</v>
      </c>
      <c r="W56" s="96">
        <f t="shared" si="3"/>
        <v>0</v>
      </c>
      <c r="X56" s="94"/>
      <c r="Y56" s="96">
        <f t="shared" si="4"/>
        <v>0</v>
      </c>
      <c r="Z56" s="94"/>
      <c r="AA56" s="94">
        <v>41</v>
      </c>
      <c r="AB56" s="109"/>
      <c r="AC56" s="94"/>
    </row>
    <row r="57" spans="2:29" ht="12.75" customHeight="1" x14ac:dyDescent="0.2">
      <c r="J57" s="100"/>
      <c r="K57" s="100"/>
      <c r="L57" s="100"/>
      <c r="P57" s="94">
        <f t="shared" si="0"/>
        <v>8</v>
      </c>
      <c r="Q57" s="94">
        <f t="shared" si="5"/>
        <v>47</v>
      </c>
      <c r="R57" s="94"/>
      <c r="S57" s="94">
        <f t="shared" si="1"/>
        <v>7</v>
      </c>
      <c r="T57" s="94">
        <f t="shared" si="6"/>
        <v>50</v>
      </c>
      <c r="U57" s="94"/>
      <c r="V57" s="96">
        <f t="shared" si="2"/>
        <v>0</v>
      </c>
      <c r="W57" s="96">
        <f t="shared" si="3"/>
        <v>0</v>
      </c>
      <c r="X57" s="94"/>
      <c r="Y57" s="96">
        <f t="shared" si="4"/>
        <v>0</v>
      </c>
      <c r="Z57" s="94"/>
      <c r="AA57" s="94">
        <v>42</v>
      </c>
      <c r="AB57" s="110"/>
      <c r="AC57" s="110"/>
    </row>
    <row r="58" spans="2:29" ht="12.75" customHeight="1" x14ac:dyDescent="0.2">
      <c r="J58" s="100"/>
      <c r="K58" s="100"/>
      <c r="L58" s="100"/>
      <c r="P58" s="94">
        <f t="shared" si="0"/>
        <v>8</v>
      </c>
      <c r="Q58" s="94">
        <f t="shared" si="5"/>
        <v>48</v>
      </c>
      <c r="R58" s="94"/>
      <c r="S58" s="94">
        <f t="shared" si="1"/>
        <v>7</v>
      </c>
      <c r="T58" s="94">
        <f t="shared" si="6"/>
        <v>51</v>
      </c>
      <c r="U58" s="94"/>
      <c r="V58" s="96">
        <f t="shared" si="2"/>
        <v>0</v>
      </c>
      <c r="W58" s="96">
        <f t="shared" si="3"/>
        <v>0</v>
      </c>
      <c r="X58" s="94"/>
      <c r="Y58" s="96">
        <f t="shared" si="4"/>
        <v>0</v>
      </c>
      <c r="Z58" s="94"/>
      <c r="AA58" s="94">
        <v>43</v>
      </c>
      <c r="AB58" s="94"/>
      <c r="AC58" s="94"/>
    </row>
    <row r="59" spans="2:29" ht="12.75" customHeight="1" x14ac:dyDescent="0.2">
      <c r="J59" s="100"/>
      <c r="K59" s="100"/>
      <c r="L59" s="100"/>
      <c r="P59" s="94">
        <f t="shared" si="0"/>
        <v>8</v>
      </c>
      <c r="Q59" s="94">
        <f t="shared" si="5"/>
        <v>49</v>
      </c>
      <c r="R59" s="94"/>
      <c r="S59" s="94">
        <f t="shared" si="1"/>
        <v>7</v>
      </c>
      <c r="T59" s="94">
        <f t="shared" si="6"/>
        <v>52</v>
      </c>
      <c r="U59" s="94"/>
      <c r="V59" s="96">
        <f t="shared" si="2"/>
        <v>0</v>
      </c>
      <c r="W59" s="96">
        <f t="shared" si="3"/>
        <v>0</v>
      </c>
      <c r="X59" s="94"/>
      <c r="Y59" s="96">
        <f t="shared" si="4"/>
        <v>0</v>
      </c>
      <c r="Z59" s="94"/>
      <c r="AA59" s="94">
        <v>44</v>
      </c>
      <c r="AB59" s="94"/>
      <c r="AC59" s="94"/>
    </row>
    <row r="60" spans="2:29" ht="12.75" customHeight="1" x14ac:dyDescent="0.2">
      <c r="J60" s="100"/>
      <c r="K60" s="100"/>
      <c r="L60" s="100"/>
      <c r="P60" s="94">
        <f t="shared" si="0"/>
        <v>8</v>
      </c>
      <c r="Q60" s="94">
        <f t="shared" si="5"/>
        <v>50</v>
      </c>
      <c r="R60" s="94"/>
      <c r="S60" s="94">
        <f t="shared" si="1"/>
        <v>7</v>
      </c>
      <c r="T60" s="94">
        <f t="shared" si="6"/>
        <v>53</v>
      </c>
      <c r="U60" s="94"/>
      <c r="V60" s="96">
        <f t="shared" si="2"/>
        <v>0</v>
      </c>
      <c r="W60" s="96">
        <f t="shared" si="3"/>
        <v>0</v>
      </c>
      <c r="X60" s="94"/>
      <c r="Y60" s="96">
        <f t="shared" si="4"/>
        <v>0</v>
      </c>
      <c r="Z60" s="94"/>
      <c r="AA60" s="94">
        <v>45</v>
      </c>
      <c r="AB60" s="94"/>
      <c r="AC60" s="94"/>
    </row>
    <row r="61" spans="2:29" ht="12.75" customHeight="1" x14ac:dyDescent="0.2">
      <c r="C61" s="111"/>
      <c r="J61" s="100"/>
      <c r="K61" s="100"/>
      <c r="L61" s="100"/>
      <c r="P61" s="94"/>
      <c r="Q61" s="94"/>
      <c r="R61" s="94"/>
      <c r="S61" s="94"/>
      <c r="T61" s="94"/>
      <c r="U61" s="94"/>
      <c r="V61" s="94"/>
      <c r="W61" s="94"/>
      <c r="X61" s="94"/>
      <c r="Y61" s="94"/>
      <c r="Z61" s="94"/>
      <c r="AA61" s="94"/>
      <c r="AB61" s="94"/>
      <c r="AC61" s="94"/>
    </row>
    <row r="62" spans="2:29" ht="12.75" customHeight="1" x14ac:dyDescent="0.2">
      <c r="C62" s="111"/>
      <c r="J62" s="100"/>
      <c r="K62" s="100"/>
      <c r="L62" s="100"/>
      <c r="P62" s="94"/>
      <c r="Q62" s="94"/>
      <c r="R62" s="94"/>
      <c r="S62" s="94"/>
      <c r="T62" s="94"/>
      <c r="U62" s="94"/>
      <c r="V62" s="94"/>
      <c r="W62" s="94"/>
      <c r="X62" s="94"/>
      <c r="Y62" s="96">
        <f>SUM(Y15:Y60)</f>
        <v>77222.16</v>
      </c>
      <c r="Z62" s="94"/>
      <c r="AA62" s="94"/>
      <c r="AB62" s="94"/>
      <c r="AC62" s="94"/>
    </row>
    <row r="63" spans="2:29" ht="13.5" customHeight="1" x14ac:dyDescent="0.2">
      <c r="C63" s="111"/>
      <c r="J63" s="100"/>
      <c r="K63" s="100"/>
      <c r="L63" s="100"/>
      <c r="P63" s="94"/>
      <c r="Q63" s="94"/>
      <c r="R63" s="94"/>
      <c r="S63" s="94"/>
      <c r="T63" s="94"/>
      <c r="U63" s="94"/>
      <c r="V63" s="94"/>
      <c r="W63" s="94" t="s">
        <v>246</v>
      </c>
      <c r="X63" s="94"/>
      <c r="Y63" s="96">
        <f>IF(F44=0,0,+Y62/F44)</f>
        <v>4826.3850000000002</v>
      </c>
      <c r="Z63" s="94"/>
      <c r="AA63" s="94"/>
      <c r="AB63" s="94"/>
      <c r="AC63" s="94"/>
    </row>
    <row r="64" spans="2:29" ht="13.5" customHeight="1" x14ac:dyDescent="0.2">
      <c r="C64" s="112"/>
      <c r="J64" s="100"/>
      <c r="K64" s="100"/>
      <c r="L64" s="100"/>
      <c r="P64" s="113"/>
      <c r="Q64" s="113"/>
    </row>
    <row r="65" spans="10:17" s="84" customFormat="1" ht="12.75" x14ac:dyDescent="0.2">
      <c r="J65" s="100"/>
      <c r="K65" s="100"/>
      <c r="L65" s="100"/>
      <c r="P65" s="113"/>
      <c r="Q65" s="113"/>
    </row>
    <row r="66" spans="10:17" s="84" customFormat="1" ht="12.75" x14ac:dyDescent="0.2">
      <c r="J66" s="100"/>
      <c r="K66" s="100"/>
      <c r="L66" s="100"/>
      <c r="P66" s="113"/>
      <c r="Q66" s="113"/>
    </row>
    <row r="67" spans="10:17" s="84" customFormat="1" ht="12.75" x14ac:dyDescent="0.2">
      <c r="J67" s="100"/>
      <c r="K67" s="100"/>
      <c r="L67" s="100"/>
      <c r="P67" s="113"/>
      <c r="Q67" s="113"/>
    </row>
    <row r="68" spans="10:17" s="84" customFormat="1" ht="12.75" x14ac:dyDescent="0.2">
      <c r="J68" s="100"/>
      <c r="K68" s="100"/>
      <c r="L68" s="100"/>
      <c r="P68" s="113"/>
      <c r="Q68" s="113"/>
    </row>
    <row r="69" spans="10:17" s="84" customFormat="1" ht="12.75" x14ac:dyDescent="0.2">
      <c r="J69" s="100"/>
      <c r="K69" s="100"/>
      <c r="L69" s="100"/>
      <c r="P69" s="113"/>
      <c r="Q69" s="113"/>
    </row>
    <row r="70" spans="10:17" s="84" customFormat="1" ht="12.75" x14ac:dyDescent="0.2">
      <c r="J70" s="100"/>
      <c r="K70" s="100"/>
      <c r="L70" s="100"/>
      <c r="P70" s="113"/>
      <c r="Q70" s="113"/>
    </row>
    <row r="71" spans="10:17" s="84" customFormat="1" ht="12.75" x14ac:dyDescent="0.2">
      <c r="J71" s="100"/>
      <c r="K71" s="100"/>
      <c r="L71" s="100"/>
      <c r="P71" s="113"/>
      <c r="Q71" s="113"/>
    </row>
    <row r="72" spans="10:17" s="84" customFormat="1" ht="12.75" x14ac:dyDescent="0.2">
      <c r="J72" s="100"/>
      <c r="K72" s="100"/>
      <c r="L72" s="100"/>
      <c r="P72" s="113"/>
      <c r="Q72" s="113"/>
    </row>
    <row r="73" spans="10:17" s="84" customFormat="1" ht="12.75" x14ac:dyDescent="0.2">
      <c r="J73" s="100"/>
      <c r="K73" s="100"/>
      <c r="L73" s="100"/>
      <c r="P73" s="113"/>
      <c r="Q73" s="113"/>
    </row>
    <row r="74" spans="10:17" s="84" customFormat="1" ht="12.75" x14ac:dyDescent="0.2">
      <c r="J74" s="100"/>
      <c r="K74" s="100"/>
      <c r="L74" s="100"/>
      <c r="P74" s="113"/>
      <c r="Q74" s="113"/>
    </row>
    <row r="75" spans="10:17" s="84" customFormat="1" ht="12.75" x14ac:dyDescent="0.2">
      <c r="J75" s="100"/>
      <c r="K75" s="100"/>
      <c r="L75" s="100"/>
      <c r="P75" s="113"/>
      <c r="Q75" s="113"/>
    </row>
    <row r="76" spans="10:17" s="84" customFormat="1" ht="12.75" x14ac:dyDescent="0.2">
      <c r="J76" s="100"/>
      <c r="K76" s="100"/>
      <c r="L76" s="100"/>
      <c r="P76" s="113"/>
      <c r="Q76" s="113"/>
    </row>
    <row r="77" spans="10:17" s="84" customFormat="1" ht="12.75" x14ac:dyDescent="0.2">
      <c r="J77" s="100"/>
      <c r="K77" s="100"/>
      <c r="L77" s="100"/>
      <c r="P77" s="113"/>
      <c r="Q77" s="113"/>
    </row>
    <row r="78" spans="10:17" s="84" customFormat="1" ht="12.75" x14ac:dyDescent="0.2">
      <c r="J78" s="100"/>
      <c r="K78" s="100"/>
      <c r="L78" s="100"/>
      <c r="P78" s="113"/>
      <c r="Q78" s="113"/>
    </row>
    <row r="79" spans="10:17" s="84" customFormat="1" ht="12.75" x14ac:dyDescent="0.2">
      <c r="J79" s="100"/>
      <c r="K79" s="100"/>
      <c r="L79" s="100"/>
      <c r="P79" s="113"/>
      <c r="Q79" s="113"/>
    </row>
    <row r="80" spans="10:17" s="84" customFormat="1" ht="12.75" x14ac:dyDescent="0.2">
      <c r="J80" s="100"/>
      <c r="K80" s="100"/>
      <c r="L80" s="100"/>
      <c r="P80" s="113"/>
      <c r="Q80" s="113"/>
    </row>
    <row r="81" spans="6:17" ht="12.75" x14ac:dyDescent="0.2">
      <c r="J81" s="100"/>
      <c r="K81" s="100"/>
      <c r="L81" s="100"/>
      <c r="P81" s="113"/>
      <c r="Q81" s="113"/>
    </row>
    <row r="82" spans="6:17" ht="12.75" x14ac:dyDescent="0.2">
      <c r="J82" s="100"/>
      <c r="K82" s="100"/>
      <c r="L82" s="100"/>
      <c r="P82" s="113"/>
      <c r="Q82" s="113"/>
    </row>
    <row r="83" spans="6:17" ht="12.75" x14ac:dyDescent="0.2">
      <c r="J83" s="100"/>
      <c r="K83" s="100"/>
      <c r="L83" s="100"/>
      <c r="P83" s="113"/>
      <c r="Q83" s="113"/>
    </row>
    <row r="84" spans="6:17" ht="12.75" x14ac:dyDescent="0.2">
      <c r="J84" s="100"/>
      <c r="K84" s="100"/>
      <c r="L84" s="100"/>
      <c r="P84" s="113"/>
      <c r="Q84" s="113"/>
    </row>
    <row r="85" spans="6:17" ht="12.75" x14ac:dyDescent="0.2">
      <c r="J85" s="100"/>
      <c r="K85" s="100"/>
      <c r="L85" s="100"/>
      <c r="P85" s="113"/>
      <c r="Q85" s="113"/>
    </row>
    <row r="86" spans="6:17" ht="12.75" x14ac:dyDescent="0.2">
      <c r="J86" s="100"/>
      <c r="K86" s="100"/>
      <c r="L86" s="100"/>
      <c r="P86" s="113"/>
      <c r="Q86" s="113"/>
    </row>
    <row r="87" spans="6:17" ht="12.75" x14ac:dyDescent="0.2">
      <c r="J87" s="100"/>
      <c r="K87" s="100"/>
      <c r="L87" s="100"/>
      <c r="P87" s="113"/>
      <c r="Q87" s="113"/>
    </row>
    <row r="88" spans="6:17" ht="12.75" x14ac:dyDescent="0.2">
      <c r="J88" s="100"/>
      <c r="K88" s="100"/>
      <c r="L88" s="100"/>
      <c r="P88" s="113"/>
      <c r="Q88" s="113"/>
    </row>
    <row r="89" spans="6:17" ht="12.75" x14ac:dyDescent="0.2">
      <c r="J89" s="100"/>
      <c r="K89" s="100"/>
      <c r="L89" s="100"/>
      <c r="P89" s="113"/>
      <c r="Q89" s="113"/>
    </row>
    <row r="90" spans="6:17" ht="12.75" x14ac:dyDescent="0.2">
      <c r="J90" s="100"/>
      <c r="K90" s="100"/>
      <c r="L90" s="100"/>
      <c r="P90" s="113"/>
      <c r="Q90" s="113"/>
    </row>
    <row r="91" spans="6:17" ht="12.75" x14ac:dyDescent="0.2">
      <c r="J91" s="100"/>
      <c r="K91" s="100"/>
      <c r="L91" s="100"/>
      <c r="P91" s="113"/>
      <c r="Q91" s="113"/>
    </row>
    <row r="92" spans="6:17" ht="12.75" x14ac:dyDescent="0.2">
      <c r="J92" s="100"/>
      <c r="K92" s="100"/>
      <c r="L92" s="100"/>
      <c r="P92" s="113"/>
      <c r="Q92" s="113"/>
    </row>
    <row r="93" spans="6:17" ht="12.75" x14ac:dyDescent="0.2">
      <c r="J93" s="100"/>
      <c r="K93" s="100"/>
      <c r="L93" s="100"/>
      <c r="P93" s="113"/>
      <c r="Q93" s="113"/>
    </row>
    <row r="94" spans="6:17" ht="12.75" x14ac:dyDescent="0.2">
      <c r="J94" s="100"/>
      <c r="K94" s="100"/>
      <c r="L94" s="100"/>
      <c r="P94" s="113"/>
      <c r="Q94" s="113"/>
    </row>
    <row r="95" spans="6:17" ht="12.75" x14ac:dyDescent="0.2">
      <c r="J95" s="100"/>
      <c r="K95" s="100"/>
      <c r="L95" s="100"/>
      <c r="P95" s="113"/>
      <c r="Q95" s="113"/>
    </row>
    <row r="96" spans="6:17" ht="12.75" x14ac:dyDescent="0.2">
      <c r="F96" s="114"/>
      <c r="G96" s="114"/>
      <c r="H96" s="115"/>
      <c r="J96" s="100"/>
      <c r="K96" s="100"/>
      <c r="L96" s="100"/>
    </row>
    <row r="97" spans="6:12" ht="12.75" x14ac:dyDescent="0.2">
      <c r="F97" s="114"/>
      <c r="G97" s="114"/>
      <c r="H97" s="115"/>
      <c r="J97" s="100"/>
      <c r="K97" s="100"/>
      <c r="L97" s="100"/>
    </row>
    <row r="98" spans="6:12" ht="12.75" x14ac:dyDescent="0.2">
      <c r="F98" s="114"/>
      <c r="G98" s="114"/>
      <c r="H98" s="115"/>
      <c r="J98" s="100"/>
      <c r="K98" s="100"/>
      <c r="L98" s="100"/>
    </row>
    <row r="99" spans="6:12" ht="12.75" x14ac:dyDescent="0.2">
      <c r="F99" s="114"/>
      <c r="G99" s="114"/>
      <c r="H99" s="115"/>
      <c r="J99" s="100"/>
      <c r="K99" s="100"/>
      <c r="L99" s="100"/>
    </row>
    <row r="100" spans="6:12" ht="12.75" x14ac:dyDescent="0.2">
      <c r="F100" s="116"/>
      <c r="G100" s="116"/>
      <c r="H100" s="100"/>
      <c r="J100" s="100"/>
      <c r="K100" s="100"/>
      <c r="L100" s="100"/>
    </row>
    <row r="101" spans="6:12" ht="12.75" x14ac:dyDescent="0.2">
      <c r="F101" s="114"/>
      <c r="G101" s="114"/>
      <c r="H101" s="100"/>
      <c r="J101" s="100"/>
      <c r="K101" s="100"/>
      <c r="L101" s="100"/>
    </row>
    <row r="102" spans="6:12" ht="12.75" x14ac:dyDescent="0.2">
      <c r="F102" s="117"/>
      <c r="G102" s="117"/>
      <c r="J102" s="100"/>
      <c r="K102" s="100"/>
      <c r="L102" s="100"/>
    </row>
    <row r="103" spans="6:12" ht="12.75" x14ac:dyDescent="0.2">
      <c r="J103" s="100"/>
      <c r="K103" s="100"/>
    </row>
    <row r="104" spans="6:12" ht="12.75" x14ac:dyDescent="0.2">
      <c r="J104" s="100"/>
      <c r="K104" s="100"/>
    </row>
  </sheetData>
  <sheetProtection algorithmName="SHA-512" hashValue="bNj4LdE7NOB49tvjhpjCYDfZHystz55yZx3UM7FfsGyBmZxlfv2pYOapvr6RxamcnPrYiABD2PNZHXJgqwF/uQ==" saltValue="+Aon0CUYpPXord7serJQ+Q==" spinCount="100000" sheet="1" objects="1" scenarios="1"/>
  <mergeCells count="1">
    <mergeCell ref="F8:H8"/>
  </mergeCells>
  <dataValidations count="4">
    <dataValidation type="list" allowBlank="1" showInputMessage="1" showErrorMessage="1" sqref="F9">
      <formula1>$AC$41:$AC$44</formula1>
    </dataValidation>
    <dataValidation type="list" allowBlank="1" showInputMessage="1" showErrorMessage="1" sqref="F33">
      <formula1>"ja,nee"</formula1>
    </dataValidation>
    <dataValidation type="list" allowBlank="1" showInputMessage="1" showErrorMessage="1" sqref="F29:G29 F15:G15">
      <formula1>$AC$15:$AC$39</formula1>
    </dataValidation>
    <dataValidation type="list" allowBlank="1" showInputMessage="1" showErrorMessage="1" sqref="G3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39"/>
  <sheetViews>
    <sheetView zoomScale="85" zoomScaleNormal="85" workbookViewId="0">
      <selection activeCell="B2" sqref="B2"/>
    </sheetView>
  </sheetViews>
  <sheetFormatPr defaultColWidth="9.7109375" defaultRowHeight="13.5" customHeight="1" x14ac:dyDescent="0.2"/>
  <cols>
    <col min="1" max="3" width="2.7109375" style="84" customWidth="1"/>
    <col min="4" max="4" width="45.7109375" style="84" customWidth="1"/>
    <col min="5" max="5" width="2.85546875" style="84" customWidth="1"/>
    <col min="6" max="6" width="14.85546875" style="84" customWidth="1"/>
    <col min="7" max="7" width="2.7109375" style="84" customWidth="1"/>
    <col min="8" max="8" width="14.85546875" style="84" customWidth="1"/>
    <col min="9" max="9" width="14.42578125" style="84" customWidth="1"/>
    <col min="10" max="12" width="2.7109375" style="84" customWidth="1"/>
    <col min="13" max="40" width="10.7109375" style="84" customWidth="1"/>
    <col min="41" max="16384" width="9.7109375" style="84"/>
  </cols>
  <sheetData>
    <row r="1" spans="2:23" thickBot="1" x14ac:dyDescent="0.25"/>
    <row r="2" spans="2:23" ht="12.75" x14ac:dyDescent="0.2">
      <c r="B2" s="28"/>
      <c r="C2" s="29"/>
      <c r="D2" s="29"/>
      <c r="E2" s="29"/>
      <c r="F2" s="29"/>
      <c r="G2" s="29"/>
      <c r="H2" s="29"/>
      <c r="I2" s="29"/>
      <c r="J2" s="29"/>
      <c r="K2" s="32"/>
    </row>
    <row r="3" spans="2:23" ht="12.75" x14ac:dyDescent="0.2">
      <c r="B3" s="33"/>
      <c r="C3" s="34"/>
      <c r="D3" s="34"/>
      <c r="E3" s="34"/>
      <c r="F3" s="34"/>
      <c r="G3" s="34"/>
      <c r="H3" s="34"/>
      <c r="I3" s="34"/>
      <c r="J3" s="34"/>
      <c r="K3" s="37"/>
    </row>
    <row r="4" spans="2:23" ht="18" x14ac:dyDescent="0.25">
      <c r="B4" s="33"/>
      <c r="C4" s="39" t="s">
        <v>247</v>
      </c>
      <c r="D4" s="34"/>
      <c r="E4" s="34"/>
      <c r="F4" s="118"/>
      <c r="G4" s="73"/>
      <c r="H4" s="72"/>
      <c r="I4" s="34"/>
      <c r="J4" s="34"/>
      <c r="K4" s="37"/>
    </row>
    <row r="5" spans="2:23" ht="12.75" x14ac:dyDescent="0.2">
      <c r="B5" s="33"/>
      <c r="C5" s="34"/>
      <c r="D5" s="72"/>
      <c r="E5" s="34"/>
      <c r="F5" s="34"/>
      <c r="G5" s="34"/>
      <c r="H5" s="34"/>
      <c r="I5" s="34"/>
      <c r="J5" s="34"/>
      <c r="K5" s="37"/>
    </row>
    <row r="6" spans="2:23" ht="12.75" x14ac:dyDescent="0.2">
      <c r="B6" s="33"/>
      <c r="C6" s="34"/>
      <c r="D6" s="72"/>
      <c r="E6" s="34"/>
      <c r="F6" s="34"/>
      <c r="G6" s="34"/>
      <c r="H6" s="34"/>
      <c r="I6" s="34"/>
      <c r="J6" s="34"/>
      <c r="K6" s="37"/>
    </row>
    <row r="7" spans="2:23" ht="12.75" x14ac:dyDescent="0.2">
      <c r="B7" s="33"/>
      <c r="C7" s="164"/>
      <c r="D7" s="168"/>
      <c r="E7" s="164"/>
      <c r="F7" s="164"/>
      <c r="G7" s="164"/>
      <c r="H7" s="164"/>
      <c r="I7" s="164"/>
      <c r="J7" s="164"/>
      <c r="K7" s="37"/>
    </row>
    <row r="8" spans="2:23" ht="12.75" x14ac:dyDescent="0.2">
      <c r="B8" s="33"/>
      <c r="C8" s="168"/>
      <c r="D8" s="168" t="s">
        <v>248</v>
      </c>
      <c r="E8" s="164"/>
      <c r="F8" s="164"/>
      <c r="G8" s="164"/>
      <c r="H8" s="164"/>
      <c r="I8" s="164"/>
      <c r="J8" s="164"/>
      <c r="K8" s="37"/>
    </row>
    <row r="9" spans="2:23" ht="12.75" x14ac:dyDescent="0.2">
      <c r="B9" s="33"/>
      <c r="C9" s="168"/>
      <c r="D9" s="168"/>
      <c r="E9" s="164"/>
      <c r="F9" s="164"/>
      <c r="G9" s="164"/>
      <c r="H9" s="164"/>
      <c r="I9" s="164"/>
      <c r="J9" s="164"/>
      <c r="K9" s="37"/>
    </row>
    <row r="10" spans="2:23" ht="12.75" x14ac:dyDescent="0.2">
      <c r="B10" s="33"/>
      <c r="C10" s="164"/>
      <c r="D10" s="164" t="s">
        <v>190</v>
      </c>
      <c r="E10" s="164"/>
      <c r="F10" s="338" t="s">
        <v>47</v>
      </c>
      <c r="G10" s="339"/>
      <c r="H10" s="340"/>
      <c r="I10" s="164"/>
      <c r="J10" s="164"/>
      <c r="K10" s="37"/>
      <c r="P10" s="119"/>
    </row>
    <row r="11" spans="2:23" ht="12.75" x14ac:dyDescent="0.2">
      <c r="B11" s="33"/>
      <c r="C11" s="164"/>
      <c r="D11" s="164"/>
      <c r="E11" s="164"/>
      <c r="F11" s="238"/>
      <c r="G11" s="238"/>
      <c r="H11" s="238"/>
      <c r="I11" s="164"/>
      <c r="J11" s="164"/>
      <c r="K11" s="37"/>
      <c r="P11" s="119"/>
    </row>
    <row r="12" spans="2:23" ht="12.75" x14ac:dyDescent="0.2">
      <c r="B12" s="33"/>
      <c r="C12" s="34"/>
      <c r="D12" s="34"/>
      <c r="E12" s="34"/>
      <c r="F12" s="92"/>
      <c r="G12" s="92"/>
      <c r="H12" s="92"/>
      <c r="I12" s="34"/>
      <c r="J12" s="34"/>
      <c r="K12" s="37"/>
      <c r="P12" s="119"/>
    </row>
    <row r="13" spans="2:23" ht="12.75" x14ac:dyDescent="0.2">
      <c r="B13" s="33"/>
      <c r="C13" s="164"/>
      <c r="D13" s="168"/>
      <c r="E13" s="164"/>
      <c r="F13" s="238"/>
      <c r="G13" s="238"/>
      <c r="H13" s="238"/>
      <c r="I13" s="164"/>
      <c r="J13" s="164"/>
      <c r="K13" s="37"/>
      <c r="P13" s="119"/>
    </row>
    <row r="14" spans="2:23" ht="12.75" x14ac:dyDescent="0.2">
      <c r="B14" s="33"/>
      <c r="C14" s="164"/>
      <c r="D14" s="168" t="s">
        <v>49</v>
      </c>
      <c r="E14" s="164"/>
      <c r="F14" s="164"/>
      <c r="G14" s="164"/>
      <c r="H14" s="164"/>
      <c r="I14" s="164"/>
      <c r="J14" s="164"/>
      <c r="K14" s="37"/>
      <c r="P14" s="120"/>
    </row>
    <row r="15" spans="2:23" ht="12.75" x14ac:dyDescent="0.2">
      <c r="B15" s="33"/>
      <c r="C15" s="164"/>
      <c r="D15" s="168"/>
      <c r="E15" s="164"/>
      <c r="F15" s="164"/>
      <c r="G15" s="164"/>
      <c r="H15" s="164"/>
      <c r="I15" s="164"/>
      <c r="J15" s="164"/>
      <c r="K15" s="37"/>
      <c r="P15" s="121"/>
    </row>
    <row r="16" spans="2:23" ht="12.75" x14ac:dyDescent="0.2">
      <c r="B16" s="33"/>
      <c r="C16" s="164"/>
      <c r="D16" s="164" t="s">
        <v>50</v>
      </c>
      <c r="E16" s="164"/>
      <c r="F16" s="271" t="s">
        <v>5</v>
      </c>
      <c r="G16" s="167"/>
      <c r="H16" s="164"/>
      <c r="I16" s="164"/>
      <c r="J16" s="164"/>
      <c r="K16" s="37"/>
      <c r="P16" s="122" t="s">
        <v>50</v>
      </c>
      <c r="Q16" s="94" t="s">
        <v>249</v>
      </c>
      <c r="R16" s="94" t="s">
        <v>250</v>
      </c>
      <c r="S16" s="94"/>
      <c r="T16" s="94"/>
      <c r="U16" s="94"/>
      <c r="V16" s="94"/>
      <c r="W16" s="94"/>
    </row>
    <row r="17" spans="2:23" ht="12.75" x14ac:dyDescent="0.2">
      <c r="B17" s="33"/>
      <c r="C17" s="164"/>
      <c r="D17" s="164" t="s">
        <v>51</v>
      </c>
      <c r="E17" s="164"/>
      <c r="F17" s="252">
        <v>8</v>
      </c>
      <c r="G17" s="167"/>
      <c r="H17" s="324" t="s">
        <v>232</v>
      </c>
      <c r="I17" s="288">
        <f>VLOOKUP(F16,salaristabellen,18,FALSE)</f>
        <v>12</v>
      </c>
      <c r="J17" s="164"/>
      <c r="K17" s="37"/>
      <c r="P17" s="123" t="str">
        <f>$F$16</f>
        <v>LB</v>
      </c>
      <c r="Q17" s="94">
        <f t="shared" ref="Q17:Q36" si="0">$F$17+$F$26+V17</f>
        <v>10</v>
      </c>
      <c r="R17" s="94">
        <f t="shared" ref="R17:R36" si="1">$F$17+V17</f>
        <v>8</v>
      </c>
      <c r="S17" s="124">
        <f t="shared" ref="S17:S36" si="2">IF(Q17&gt;$I$17,VLOOKUP(P17,salaristabellen,$I$17+1,FALSE),VLOOKUP(P17,salaristabellen,Q17+1,FALSE))*12*(1+$F$29)</f>
        <v>63874.44</v>
      </c>
      <c r="T17" s="124">
        <f t="shared" ref="T17:T36" si="3">IF(R17&gt;$I$17,VLOOKUP(P17,salaristabellen,$I$17+1,FALSE),VLOOKUP(P17,salaristabellen,R17+1,FALSE))*12*(1+$F$29)</f>
        <v>58146.12</v>
      </c>
      <c r="U17" s="124">
        <f>S17-T17</f>
        <v>5728.32</v>
      </c>
      <c r="V17" s="94">
        <v>0</v>
      </c>
      <c r="W17" s="95" t="s">
        <v>5</v>
      </c>
    </row>
    <row r="18" spans="2:23" ht="12.75" x14ac:dyDescent="0.2">
      <c r="B18" s="33"/>
      <c r="C18" s="164"/>
      <c r="D18" s="164" t="s">
        <v>54</v>
      </c>
      <c r="E18" s="164"/>
      <c r="F18" s="317">
        <f>VLOOKUP(F16,salaristabellen,F17+1,FALSE)</f>
        <v>3167</v>
      </c>
      <c r="G18" s="325"/>
      <c r="H18" s="164"/>
      <c r="I18" s="164"/>
      <c r="J18" s="164"/>
      <c r="K18" s="37"/>
      <c r="P18" s="123" t="str">
        <f t="shared" ref="P18:P36" si="4">$F$16</f>
        <v>LB</v>
      </c>
      <c r="Q18" s="94">
        <f t="shared" si="0"/>
        <v>11</v>
      </c>
      <c r="R18" s="94">
        <f t="shared" si="1"/>
        <v>9</v>
      </c>
      <c r="S18" s="124">
        <f t="shared" si="2"/>
        <v>67197.600000000006</v>
      </c>
      <c r="T18" s="124">
        <f t="shared" si="3"/>
        <v>60845.04</v>
      </c>
      <c r="U18" s="124">
        <f t="shared" ref="U18:U36" si="5">S18-T18</f>
        <v>6352.5600000000049</v>
      </c>
      <c r="V18" s="94">
        <v>1</v>
      </c>
      <c r="W18" s="95" t="s">
        <v>6</v>
      </c>
    </row>
    <row r="19" spans="2:23" ht="12.75" x14ac:dyDescent="0.2">
      <c r="B19" s="33"/>
      <c r="C19" s="164"/>
      <c r="D19" s="168" t="s">
        <v>55</v>
      </c>
      <c r="E19" s="164"/>
      <c r="F19" s="301">
        <v>1</v>
      </c>
      <c r="G19" s="290"/>
      <c r="H19" s="164"/>
      <c r="I19" s="164"/>
      <c r="J19" s="164"/>
      <c r="K19" s="37"/>
      <c r="P19" s="123" t="str">
        <f t="shared" si="4"/>
        <v>LB</v>
      </c>
      <c r="Q19" s="94">
        <f t="shared" si="0"/>
        <v>12</v>
      </c>
      <c r="R19" s="94">
        <f t="shared" si="1"/>
        <v>10</v>
      </c>
      <c r="S19" s="124">
        <f t="shared" si="2"/>
        <v>70906.320000000007</v>
      </c>
      <c r="T19" s="124">
        <f t="shared" si="3"/>
        <v>63874.44</v>
      </c>
      <c r="U19" s="124">
        <f t="shared" si="5"/>
        <v>7031.8800000000047</v>
      </c>
      <c r="V19" s="94">
        <v>2</v>
      </c>
      <c r="W19" s="95" t="s">
        <v>7</v>
      </c>
    </row>
    <row r="20" spans="2:23" ht="12.75" x14ac:dyDescent="0.2">
      <c r="B20" s="33"/>
      <c r="C20" s="164"/>
      <c r="D20" s="164" t="s">
        <v>56</v>
      </c>
      <c r="E20" s="164"/>
      <c r="F20" s="320">
        <f>+F18*F19</f>
        <v>3167</v>
      </c>
      <c r="G20" s="325"/>
      <c r="H20" s="164"/>
      <c r="I20" s="164"/>
      <c r="J20" s="164"/>
      <c r="K20" s="37"/>
      <c r="P20" s="123" t="str">
        <f t="shared" si="4"/>
        <v>LB</v>
      </c>
      <c r="Q20" s="94">
        <f t="shared" si="0"/>
        <v>13</v>
      </c>
      <c r="R20" s="94">
        <f t="shared" si="1"/>
        <v>11</v>
      </c>
      <c r="S20" s="124">
        <f t="shared" si="2"/>
        <v>70906.320000000007</v>
      </c>
      <c r="T20" s="124">
        <f t="shared" si="3"/>
        <v>67197.600000000006</v>
      </c>
      <c r="U20" s="124">
        <f t="shared" si="5"/>
        <v>3708.7200000000012</v>
      </c>
      <c r="V20" s="94">
        <v>3</v>
      </c>
      <c r="W20" s="95" t="s">
        <v>8</v>
      </c>
    </row>
    <row r="21" spans="2:23" ht="12.75" x14ac:dyDescent="0.2">
      <c r="B21" s="33"/>
      <c r="C21" s="164"/>
      <c r="D21" s="164"/>
      <c r="E21" s="164"/>
      <c r="F21" s="167"/>
      <c r="G21" s="167"/>
      <c r="H21" s="164"/>
      <c r="I21" s="164"/>
      <c r="J21" s="164"/>
      <c r="K21" s="37"/>
      <c r="P21" s="123" t="str">
        <f t="shared" si="4"/>
        <v>LB</v>
      </c>
      <c r="Q21" s="94">
        <f t="shared" si="0"/>
        <v>14</v>
      </c>
      <c r="R21" s="94">
        <f t="shared" si="1"/>
        <v>12</v>
      </c>
      <c r="S21" s="124">
        <f t="shared" si="2"/>
        <v>70906.320000000007</v>
      </c>
      <c r="T21" s="124">
        <f t="shared" si="3"/>
        <v>70906.320000000007</v>
      </c>
      <c r="U21" s="124">
        <f t="shared" si="5"/>
        <v>0</v>
      </c>
      <c r="V21" s="94">
        <v>4</v>
      </c>
      <c r="W21" s="95">
        <v>1</v>
      </c>
    </row>
    <row r="22" spans="2:23" ht="12.75" x14ac:dyDescent="0.2">
      <c r="B22" s="33"/>
      <c r="C22" s="164"/>
      <c r="D22" s="168" t="s">
        <v>251</v>
      </c>
      <c r="E22" s="164"/>
      <c r="F22" s="167"/>
      <c r="G22" s="167"/>
      <c r="H22" s="164"/>
      <c r="I22" s="164"/>
      <c r="J22" s="164"/>
      <c r="K22" s="37"/>
      <c r="P22" s="123" t="str">
        <f t="shared" si="4"/>
        <v>LB</v>
      </c>
      <c r="Q22" s="94">
        <f t="shared" si="0"/>
        <v>15</v>
      </c>
      <c r="R22" s="94">
        <f t="shared" si="1"/>
        <v>13</v>
      </c>
      <c r="S22" s="124">
        <f t="shared" si="2"/>
        <v>70906.320000000007</v>
      </c>
      <c r="T22" s="124">
        <f t="shared" si="3"/>
        <v>70906.320000000007</v>
      </c>
      <c r="U22" s="124">
        <f t="shared" si="5"/>
        <v>0</v>
      </c>
      <c r="V22" s="94">
        <v>5</v>
      </c>
      <c r="W22" s="95">
        <v>2</v>
      </c>
    </row>
    <row r="23" spans="2:23" ht="12.75" x14ac:dyDescent="0.2">
      <c r="B23" s="33"/>
      <c r="C23" s="164"/>
      <c r="D23" s="164" t="s">
        <v>252</v>
      </c>
      <c r="E23" s="164"/>
      <c r="F23" s="271" t="s">
        <v>237</v>
      </c>
      <c r="G23" s="167"/>
      <c r="H23" s="164"/>
      <c r="I23" s="164"/>
      <c r="J23" s="164"/>
      <c r="K23" s="37"/>
      <c r="P23" s="123" t="str">
        <f t="shared" si="4"/>
        <v>LB</v>
      </c>
      <c r="Q23" s="94">
        <f t="shared" si="0"/>
        <v>16</v>
      </c>
      <c r="R23" s="94">
        <f t="shared" si="1"/>
        <v>14</v>
      </c>
      <c r="S23" s="124">
        <f t="shared" si="2"/>
        <v>70906.320000000007</v>
      </c>
      <c r="T23" s="124">
        <f t="shared" si="3"/>
        <v>70906.320000000007</v>
      </c>
      <c r="U23" s="124">
        <f t="shared" si="5"/>
        <v>0</v>
      </c>
      <c r="V23" s="94">
        <v>6</v>
      </c>
      <c r="W23" s="95">
        <v>3</v>
      </c>
    </row>
    <row r="24" spans="2:23" ht="12.75" x14ac:dyDescent="0.2">
      <c r="B24" s="33"/>
      <c r="C24" s="164"/>
      <c r="D24" s="164" t="s">
        <v>253</v>
      </c>
      <c r="E24" s="164"/>
      <c r="F24" s="252" t="s">
        <v>237</v>
      </c>
      <c r="G24" s="167"/>
      <c r="H24" s="164"/>
      <c r="I24" s="164"/>
      <c r="J24" s="164"/>
      <c r="K24" s="37"/>
      <c r="P24" s="123" t="str">
        <f t="shared" si="4"/>
        <v>LB</v>
      </c>
      <c r="Q24" s="94">
        <f t="shared" si="0"/>
        <v>17</v>
      </c>
      <c r="R24" s="94">
        <f t="shared" si="1"/>
        <v>15</v>
      </c>
      <c r="S24" s="124">
        <f t="shared" si="2"/>
        <v>70906.320000000007</v>
      </c>
      <c r="T24" s="124">
        <f t="shared" si="3"/>
        <v>70906.320000000007</v>
      </c>
      <c r="U24" s="124">
        <f t="shared" si="5"/>
        <v>0</v>
      </c>
      <c r="V24" s="94">
        <v>7</v>
      </c>
      <c r="W24" s="95">
        <v>4</v>
      </c>
    </row>
    <row r="25" spans="2:23" ht="12.75" x14ac:dyDescent="0.2">
      <c r="B25" s="33"/>
      <c r="C25" s="164"/>
      <c r="D25" s="164" t="s">
        <v>254</v>
      </c>
      <c r="E25" s="164"/>
      <c r="F25" s="252" t="s">
        <v>59</v>
      </c>
      <c r="G25" s="167"/>
      <c r="H25" s="164"/>
      <c r="I25" s="164"/>
      <c r="J25" s="164"/>
      <c r="K25" s="37"/>
      <c r="P25" s="123" t="str">
        <f t="shared" si="4"/>
        <v>LB</v>
      </c>
      <c r="Q25" s="94">
        <f t="shared" si="0"/>
        <v>18</v>
      </c>
      <c r="R25" s="94">
        <f t="shared" si="1"/>
        <v>16</v>
      </c>
      <c r="S25" s="124">
        <f t="shared" si="2"/>
        <v>70906.320000000007</v>
      </c>
      <c r="T25" s="124">
        <f t="shared" si="3"/>
        <v>70906.320000000007</v>
      </c>
      <c r="U25" s="124">
        <f t="shared" si="5"/>
        <v>0</v>
      </c>
      <c r="V25" s="94">
        <v>8</v>
      </c>
      <c r="W25" s="95">
        <v>5</v>
      </c>
    </row>
    <row r="26" spans="2:23" ht="12.75" x14ac:dyDescent="0.2">
      <c r="B26" s="33"/>
      <c r="C26" s="164"/>
      <c r="D26" s="164" t="s">
        <v>255</v>
      </c>
      <c r="E26" s="164"/>
      <c r="F26" s="264">
        <v>2</v>
      </c>
      <c r="G26" s="167"/>
      <c r="H26" s="164"/>
      <c r="I26" s="164"/>
      <c r="J26" s="164"/>
      <c r="K26" s="37"/>
      <c r="P26" s="123" t="str">
        <f t="shared" si="4"/>
        <v>LB</v>
      </c>
      <c r="Q26" s="94">
        <f t="shared" si="0"/>
        <v>19</v>
      </c>
      <c r="R26" s="94">
        <f t="shared" si="1"/>
        <v>17</v>
      </c>
      <c r="S26" s="124">
        <f t="shared" si="2"/>
        <v>70906.320000000007</v>
      </c>
      <c r="T26" s="124">
        <f t="shared" si="3"/>
        <v>70906.320000000007</v>
      </c>
      <c r="U26" s="124">
        <f t="shared" si="5"/>
        <v>0</v>
      </c>
      <c r="V26" s="94">
        <v>9</v>
      </c>
      <c r="W26" s="95">
        <v>6</v>
      </c>
    </row>
    <row r="27" spans="2:23" ht="12.75" x14ac:dyDescent="0.2">
      <c r="B27" s="33"/>
      <c r="C27" s="164"/>
      <c r="D27" s="164"/>
      <c r="E27" s="164"/>
      <c r="F27" s="167"/>
      <c r="G27" s="167"/>
      <c r="H27" s="164"/>
      <c r="I27" s="164"/>
      <c r="J27" s="164"/>
      <c r="K27" s="37"/>
      <c r="P27" s="123" t="str">
        <f t="shared" si="4"/>
        <v>LB</v>
      </c>
      <c r="Q27" s="94">
        <f t="shared" si="0"/>
        <v>20</v>
      </c>
      <c r="R27" s="94">
        <f t="shared" si="1"/>
        <v>18</v>
      </c>
      <c r="S27" s="124">
        <f t="shared" si="2"/>
        <v>70906.320000000007</v>
      </c>
      <c r="T27" s="124">
        <f t="shared" si="3"/>
        <v>70906.320000000007</v>
      </c>
      <c r="U27" s="124">
        <f t="shared" si="5"/>
        <v>0</v>
      </c>
      <c r="V27" s="94">
        <v>10</v>
      </c>
      <c r="W27" s="95">
        <v>7</v>
      </c>
    </row>
    <row r="28" spans="2:23" ht="12.75" x14ac:dyDescent="0.2">
      <c r="B28" s="33"/>
      <c r="C28" s="164"/>
      <c r="D28" s="164" t="s">
        <v>256</v>
      </c>
      <c r="E28" s="164"/>
      <c r="F28" s="279">
        <f>IF(F17+F26&gt;I17,"verkeerde invoer",(VLOOKUP(F16,salaristabellen,F17+F26+1,FALSE)-VLOOKUP(F16,salaristabellen,F17+1,FALSE))*F19)</f>
        <v>312</v>
      </c>
      <c r="G28" s="285"/>
      <c r="H28" s="164"/>
      <c r="I28" s="164"/>
      <c r="J28" s="164"/>
      <c r="K28" s="37"/>
      <c r="P28" s="123" t="str">
        <f t="shared" si="4"/>
        <v>LB</v>
      </c>
      <c r="Q28" s="94">
        <f t="shared" si="0"/>
        <v>21</v>
      </c>
      <c r="R28" s="94">
        <f t="shared" si="1"/>
        <v>19</v>
      </c>
      <c r="S28" s="124">
        <f t="shared" si="2"/>
        <v>70906.320000000007</v>
      </c>
      <c r="T28" s="124">
        <f t="shared" si="3"/>
        <v>70906.320000000007</v>
      </c>
      <c r="U28" s="124">
        <f t="shared" si="5"/>
        <v>0</v>
      </c>
      <c r="V28" s="94">
        <v>11</v>
      </c>
      <c r="W28" s="95">
        <v>8</v>
      </c>
    </row>
    <row r="29" spans="2:23" ht="12.75" x14ac:dyDescent="0.2">
      <c r="B29" s="33"/>
      <c r="C29" s="164"/>
      <c r="D29" s="164" t="s">
        <v>241</v>
      </c>
      <c r="E29" s="164"/>
      <c r="F29" s="260">
        <f>+tabellen!C62</f>
        <v>0.53</v>
      </c>
      <c r="G29" s="313"/>
      <c r="H29" s="164"/>
      <c r="I29" s="164"/>
      <c r="J29" s="164"/>
      <c r="K29" s="37"/>
      <c r="P29" s="123" t="str">
        <f t="shared" si="4"/>
        <v>LB</v>
      </c>
      <c r="Q29" s="94">
        <f t="shared" si="0"/>
        <v>22</v>
      </c>
      <c r="R29" s="94">
        <f t="shared" si="1"/>
        <v>20</v>
      </c>
      <c r="S29" s="124">
        <f t="shared" si="2"/>
        <v>70906.320000000007</v>
      </c>
      <c r="T29" s="124">
        <f t="shared" si="3"/>
        <v>70906.320000000007</v>
      </c>
      <c r="U29" s="124">
        <f t="shared" si="5"/>
        <v>0</v>
      </c>
      <c r="V29" s="94">
        <v>12</v>
      </c>
      <c r="W29" s="95">
        <v>9</v>
      </c>
    </row>
    <row r="30" spans="2:23" ht="12.75" x14ac:dyDescent="0.2">
      <c r="B30" s="33"/>
      <c r="C30" s="164"/>
      <c r="D30" s="164" t="s">
        <v>242</v>
      </c>
      <c r="E30" s="164"/>
      <c r="F30" s="318">
        <f>+F28*12*(1+F29)</f>
        <v>5728.32</v>
      </c>
      <c r="G30" s="325"/>
      <c r="H30" s="164"/>
      <c r="I30" s="164"/>
      <c r="J30" s="164"/>
      <c r="K30" s="37"/>
      <c r="P30" s="123" t="str">
        <f t="shared" si="4"/>
        <v>LB</v>
      </c>
      <c r="Q30" s="94">
        <f t="shared" si="0"/>
        <v>23</v>
      </c>
      <c r="R30" s="94">
        <f t="shared" si="1"/>
        <v>21</v>
      </c>
      <c r="S30" s="124">
        <f t="shared" si="2"/>
        <v>70906.320000000007</v>
      </c>
      <c r="T30" s="124">
        <f t="shared" si="3"/>
        <v>70906.320000000007</v>
      </c>
      <c r="U30" s="124">
        <f t="shared" si="5"/>
        <v>0</v>
      </c>
      <c r="V30" s="94">
        <v>13</v>
      </c>
      <c r="W30" s="95">
        <v>10</v>
      </c>
    </row>
    <row r="31" spans="2:23" ht="12.75" x14ac:dyDescent="0.2">
      <c r="B31" s="33"/>
      <c r="C31" s="164"/>
      <c r="D31" s="164" t="s">
        <v>257</v>
      </c>
      <c r="E31" s="164"/>
      <c r="F31" s="319">
        <f>IF(F26=0,0,+I17-F17)</f>
        <v>4</v>
      </c>
      <c r="G31" s="167"/>
      <c r="H31" s="164"/>
      <c r="I31" s="164"/>
      <c r="J31" s="164"/>
      <c r="K31" s="37"/>
      <c r="P31" s="123" t="str">
        <f t="shared" si="4"/>
        <v>LB</v>
      </c>
      <c r="Q31" s="94">
        <f t="shared" si="0"/>
        <v>24</v>
      </c>
      <c r="R31" s="94">
        <f t="shared" si="1"/>
        <v>22</v>
      </c>
      <c r="S31" s="124">
        <f t="shared" si="2"/>
        <v>70906.320000000007</v>
      </c>
      <c r="T31" s="124">
        <f t="shared" si="3"/>
        <v>70906.320000000007</v>
      </c>
      <c r="U31" s="124">
        <f t="shared" si="5"/>
        <v>0</v>
      </c>
      <c r="V31" s="94">
        <v>14</v>
      </c>
      <c r="W31" s="95">
        <v>11</v>
      </c>
    </row>
    <row r="32" spans="2:23" ht="12.75" x14ac:dyDescent="0.2">
      <c r="B32" s="33"/>
      <c r="C32" s="164"/>
      <c r="D32" s="164" t="s">
        <v>244</v>
      </c>
      <c r="E32" s="164"/>
      <c r="F32" s="270">
        <f>U39*F19</f>
        <v>5705.3700000000026</v>
      </c>
      <c r="G32" s="314"/>
      <c r="H32" s="195"/>
      <c r="I32" s="164"/>
      <c r="J32" s="164"/>
      <c r="K32" s="37"/>
      <c r="P32" s="123" t="str">
        <f t="shared" si="4"/>
        <v>LB</v>
      </c>
      <c r="Q32" s="94">
        <f t="shared" si="0"/>
        <v>25</v>
      </c>
      <c r="R32" s="94">
        <f t="shared" si="1"/>
        <v>23</v>
      </c>
      <c r="S32" s="124">
        <f t="shared" si="2"/>
        <v>70906.320000000007</v>
      </c>
      <c r="T32" s="124">
        <f t="shared" si="3"/>
        <v>70906.320000000007</v>
      </c>
      <c r="U32" s="124">
        <f t="shared" si="5"/>
        <v>0</v>
      </c>
      <c r="V32" s="94">
        <v>15</v>
      </c>
      <c r="W32" s="95">
        <v>12</v>
      </c>
    </row>
    <row r="33" spans="2:23" ht="12.75" x14ac:dyDescent="0.2">
      <c r="B33" s="33"/>
      <c r="C33" s="164"/>
      <c r="D33" s="164"/>
      <c r="E33" s="164"/>
      <c r="F33" s="314"/>
      <c r="G33" s="314"/>
      <c r="H33" s="195"/>
      <c r="I33" s="164"/>
      <c r="J33" s="164"/>
      <c r="K33" s="37"/>
      <c r="P33" s="123" t="str">
        <f t="shared" si="4"/>
        <v>LB</v>
      </c>
      <c r="Q33" s="94">
        <f t="shared" si="0"/>
        <v>26</v>
      </c>
      <c r="R33" s="94">
        <f t="shared" si="1"/>
        <v>24</v>
      </c>
      <c r="S33" s="124">
        <f t="shared" si="2"/>
        <v>70906.320000000007</v>
      </c>
      <c r="T33" s="124">
        <f t="shared" si="3"/>
        <v>70906.320000000007</v>
      </c>
      <c r="U33" s="124">
        <f t="shared" si="5"/>
        <v>0</v>
      </c>
      <c r="V33" s="94">
        <v>16</v>
      </c>
      <c r="W33" s="95">
        <v>13</v>
      </c>
    </row>
    <row r="34" spans="2:23" ht="12.75" x14ac:dyDescent="0.2">
      <c r="B34" s="33"/>
      <c r="C34" s="164"/>
      <c r="D34" s="168" t="s">
        <v>258</v>
      </c>
      <c r="E34" s="164"/>
      <c r="F34" s="307">
        <f>U38*F19</f>
        <v>22821.48000000001</v>
      </c>
      <c r="G34" s="315"/>
      <c r="H34" s="164"/>
      <c r="I34" s="164"/>
      <c r="J34" s="164"/>
      <c r="K34" s="37"/>
      <c r="P34" s="123" t="str">
        <f t="shared" si="4"/>
        <v>LB</v>
      </c>
      <c r="Q34" s="94">
        <f t="shared" si="0"/>
        <v>27</v>
      </c>
      <c r="R34" s="94">
        <f t="shared" si="1"/>
        <v>25</v>
      </c>
      <c r="S34" s="124">
        <f t="shared" si="2"/>
        <v>70906.320000000007</v>
      </c>
      <c r="T34" s="124">
        <f t="shared" si="3"/>
        <v>70906.320000000007</v>
      </c>
      <c r="U34" s="124">
        <f t="shared" si="5"/>
        <v>0</v>
      </c>
      <c r="V34" s="94">
        <v>17</v>
      </c>
      <c r="W34" s="95">
        <v>14</v>
      </c>
    </row>
    <row r="35" spans="2:23" ht="12.75" x14ac:dyDescent="0.2">
      <c r="B35" s="33"/>
      <c r="C35" s="164"/>
      <c r="D35" s="164"/>
      <c r="E35" s="164"/>
      <c r="F35" s="164"/>
      <c r="G35" s="164"/>
      <c r="H35" s="164"/>
      <c r="I35" s="164"/>
      <c r="J35" s="164"/>
      <c r="K35" s="37"/>
      <c r="P35" s="123" t="str">
        <f t="shared" si="4"/>
        <v>LB</v>
      </c>
      <c r="Q35" s="94">
        <f t="shared" si="0"/>
        <v>28</v>
      </c>
      <c r="R35" s="94">
        <f t="shared" si="1"/>
        <v>26</v>
      </c>
      <c r="S35" s="124">
        <f t="shared" si="2"/>
        <v>70906.320000000007</v>
      </c>
      <c r="T35" s="124">
        <f t="shared" si="3"/>
        <v>70906.320000000007</v>
      </c>
      <c r="U35" s="124">
        <f t="shared" si="5"/>
        <v>0</v>
      </c>
      <c r="V35" s="94">
        <v>18</v>
      </c>
      <c r="W35" s="95">
        <v>15</v>
      </c>
    </row>
    <row r="36" spans="2:23" ht="12.75" x14ac:dyDescent="0.2">
      <c r="B36" s="33"/>
      <c r="C36" s="34"/>
      <c r="D36" s="34"/>
      <c r="E36" s="34"/>
      <c r="F36" s="34"/>
      <c r="G36" s="34"/>
      <c r="H36" s="34"/>
      <c r="I36" s="34"/>
      <c r="J36" s="34"/>
      <c r="K36" s="37"/>
      <c r="P36" s="123" t="str">
        <f t="shared" si="4"/>
        <v>LB</v>
      </c>
      <c r="Q36" s="94">
        <f t="shared" si="0"/>
        <v>29</v>
      </c>
      <c r="R36" s="94">
        <f t="shared" si="1"/>
        <v>27</v>
      </c>
      <c r="S36" s="124">
        <f t="shared" si="2"/>
        <v>70906.320000000007</v>
      </c>
      <c r="T36" s="124">
        <f t="shared" si="3"/>
        <v>70906.320000000007</v>
      </c>
      <c r="U36" s="124">
        <f t="shared" si="5"/>
        <v>0</v>
      </c>
      <c r="V36" s="94">
        <v>19</v>
      </c>
      <c r="W36" s="95">
        <v>16</v>
      </c>
    </row>
    <row r="37" spans="2:23" ht="12.75" x14ac:dyDescent="0.2">
      <c r="B37" s="33"/>
      <c r="C37" s="164"/>
      <c r="D37" s="164"/>
      <c r="E37" s="164"/>
      <c r="F37" s="164"/>
      <c r="G37" s="164"/>
      <c r="H37" s="164"/>
      <c r="I37" s="164"/>
      <c r="J37" s="164"/>
      <c r="K37" s="37"/>
      <c r="P37" s="125"/>
      <c r="Q37" s="94"/>
      <c r="R37" s="94"/>
      <c r="S37" s="94"/>
      <c r="T37" s="94"/>
      <c r="U37" s="94"/>
      <c r="V37" s="94"/>
      <c r="W37" s="95">
        <v>17</v>
      </c>
    </row>
    <row r="38" spans="2:23" ht="12.75" x14ac:dyDescent="0.2">
      <c r="B38" s="33"/>
      <c r="C38" s="164"/>
      <c r="D38" s="168" t="s">
        <v>259</v>
      </c>
      <c r="E38" s="164"/>
      <c r="F38" s="164"/>
      <c r="G38" s="164"/>
      <c r="H38" s="164"/>
      <c r="I38" s="164"/>
      <c r="J38" s="164"/>
      <c r="K38" s="37"/>
      <c r="P38" s="125"/>
      <c r="Q38" s="94"/>
      <c r="R38" s="94"/>
      <c r="S38" s="94"/>
      <c r="T38" s="94"/>
      <c r="U38" s="124">
        <f>SUM(U17:U36)</f>
        <v>22821.48000000001</v>
      </c>
      <c r="V38" s="94"/>
      <c r="W38" s="95" t="s">
        <v>9</v>
      </c>
    </row>
    <row r="39" spans="2:23" ht="12.75" x14ac:dyDescent="0.2">
      <c r="B39" s="33"/>
      <c r="C39" s="164"/>
      <c r="D39" s="168"/>
      <c r="E39" s="164"/>
      <c r="F39" s="164"/>
      <c r="G39" s="164"/>
      <c r="H39" s="164"/>
      <c r="I39" s="164"/>
      <c r="J39" s="164"/>
      <c r="K39" s="37"/>
      <c r="P39" s="125"/>
      <c r="Q39" s="94"/>
      <c r="R39" s="94"/>
      <c r="S39" s="94"/>
      <c r="T39" s="94"/>
      <c r="U39" s="124">
        <f>IF(F31=0,0,U38/F31)</f>
        <v>5705.3700000000026</v>
      </c>
      <c r="V39" s="94"/>
      <c r="W39" s="95" t="s">
        <v>10</v>
      </c>
    </row>
    <row r="40" spans="2:23" ht="12.75" x14ac:dyDescent="0.2">
      <c r="B40" s="33"/>
      <c r="C40" s="164"/>
      <c r="D40" s="164" t="s">
        <v>260</v>
      </c>
      <c r="E40" s="164"/>
      <c r="F40" s="332" t="s">
        <v>261</v>
      </c>
      <c r="G40" s="337"/>
      <c r="H40" s="333"/>
      <c r="I40" s="238"/>
      <c r="J40" s="164"/>
      <c r="K40" s="37"/>
      <c r="P40" s="94"/>
      <c r="Q40" s="94"/>
      <c r="R40" s="94"/>
      <c r="S40" s="94"/>
      <c r="T40" s="94"/>
      <c r="U40" s="94"/>
      <c r="V40" s="94"/>
      <c r="W40" s="95" t="s">
        <v>11</v>
      </c>
    </row>
    <row r="41" spans="2:23" ht="12.75" x14ac:dyDescent="0.2">
      <c r="B41" s="33"/>
      <c r="C41" s="164"/>
      <c r="D41" s="164"/>
      <c r="E41" s="164"/>
      <c r="F41" s="219"/>
      <c r="G41" s="219"/>
      <c r="H41" s="238"/>
      <c r="I41" s="238"/>
      <c r="J41" s="164"/>
      <c r="K41" s="37"/>
      <c r="P41" s="94"/>
      <c r="Q41" s="94"/>
      <c r="R41" s="94"/>
      <c r="S41" s="94"/>
      <c r="T41" s="94"/>
      <c r="U41" s="94"/>
      <c r="V41" s="94"/>
      <c r="W41" s="95" t="s">
        <v>12</v>
      </c>
    </row>
    <row r="42" spans="2:23" ht="12.75" x14ac:dyDescent="0.2">
      <c r="B42" s="33"/>
      <c r="C42" s="164"/>
      <c r="D42" s="221" t="s">
        <v>208</v>
      </c>
      <c r="E42" s="164"/>
      <c r="F42" s="164"/>
      <c r="G42" s="164"/>
      <c r="H42" s="164"/>
      <c r="I42" s="164"/>
      <c r="J42" s="164"/>
      <c r="K42" s="37"/>
      <c r="P42" s="94"/>
      <c r="Q42" s="94"/>
      <c r="R42" s="94"/>
      <c r="S42" s="94"/>
      <c r="T42" s="94"/>
      <c r="U42" s="94"/>
      <c r="V42" s="94"/>
      <c r="W42" s="94"/>
    </row>
    <row r="43" spans="2:23" ht="12.75" x14ac:dyDescent="0.2">
      <c r="B43" s="33"/>
      <c r="C43" s="164"/>
      <c r="D43" s="164" t="s">
        <v>209</v>
      </c>
      <c r="E43" s="164"/>
      <c r="F43" s="283">
        <v>500</v>
      </c>
      <c r="G43" s="326"/>
      <c r="H43" s="164"/>
      <c r="I43" s="164"/>
      <c r="J43" s="164"/>
      <c r="K43" s="37"/>
    </row>
    <row r="44" spans="2:23" ht="12.75" x14ac:dyDescent="0.2">
      <c r="B44" s="33"/>
      <c r="C44" s="164"/>
      <c r="D44" s="164" t="s">
        <v>211</v>
      </c>
      <c r="E44" s="164"/>
      <c r="F44" s="260">
        <v>0.75</v>
      </c>
      <c r="G44" s="313"/>
      <c r="H44" s="164"/>
      <c r="I44" s="164"/>
      <c r="J44" s="164"/>
      <c r="K44" s="37"/>
    </row>
    <row r="45" spans="2:23" ht="12.75" x14ac:dyDescent="0.2">
      <c r="B45" s="33"/>
      <c r="C45" s="164"/>
      <c r="D45" s="164" t="s">
        <v>262</v>
      </c>
      <c r="E45" s="164"/>
      <c r="F45" s="321">
        <f>ROUND(+F43*F44,0)</f>
        <v>375</v>
      </c>
      <c r="G45" s="326"/>
      <c r="H45" s="164"/>
      <c r="I45" s="164"/>
      <c r="J45" s="164"/>
      <c r="K45" s="37"/>
    </row>
    <row r="46" spans="2:23" ht="12.75" x14ac:dyDescent="0.2">
      <c r="B46" s="33"/>
      <c r="C46" s="164"/>
      <c r="D46" s="164"/>
      <c r="E46" s="164"/>
      <c r="F46" s="167"/>
      <c r="G46" s="167"/>
      <c r="H46" s="164"/>
      <c r="I46" s="164"/>
      <c r="J46" s="164"/>
      <c r="K46" s="37"/>
    </row>
    <row r="47" spans="2:23" ht="12.75" x14ac:dyDescent="0.2">
      <c r="B47" s="33"/>
      <c r="C47" s="164"/>
      <c r="D47" s="164" t="s">
        <v>263</v>
      </c>
      <c r="E47" s="164"/>
      <c r="F47" s="323">
        <v>0.02</v>
      </c>
      <c r="G47" s="187"/>
      <c r="H47" s="164"/>
      <c r="I47" s="164"/>
      <c r="J47" s="195"/>
      <c r="K47" s="104"/>
    </row>
    <row r="48" spans="2:23" ht="12.75" x14ac:dyDescent="0.2">
      <c r="B48" s="33"/>
      <c r="C48" s="164"/>
      <c r="D48" s="164" t="s">
        <v>262</v>
      </c>
      <c r="E48" s="164"/>
      <c r="F48" s="261">
        <f>ROUND(+F45*F47,0)</f>
        <v>8</v>
      </c>
      <c r="G48" s="326"/>
      <c r="H48" s="164"/>
      <c r="I48" s="164"/>
      <c r="J48" s="195"/>
      <c r="K48" s="104"/>
    </row>
    <row r="49" spans="2:14" ht="12.75" x14ac:dyDescent="0.2">
      <c r="B49" s="33"/>
      <c r="C49" s="164"/>
      <c r="D49" s="164" t="s">
        <v>264</v>
      </c>
      <c r="E49" s="164"/>
      <c r="F49" s="322">
        <v>4300</v>
      </c>
      <c r="G49" s="314"/>
      <c r="H49" s="164"/>
      <c r="I49" s="164"/>
      <c r="J49" s="195"/>
      <c r="K49" s="104"/>
    </row>
    <row r="50" spans="2:14" ht="12.75" x14ac:dyDescent="0.2">
      <c r="B50" s="33"/>
      <c r="C50" s="164"/>
      <c r="D50" s="164"/>
      <c r="E50" s="164"/>
      <c r="F50" s="314"/>
      <c r="G50" s="314"/>
      <c r="H50" s="164"/>
      <c r="I50" s="164"/>
      <c r="J50" s="195"/>
      <c r="K50" s="104"/>
    </row>
    <row r="51" spans="2:14" s="103" customFormat="1" ht="12.75" x14ac:dyDescent="0.2">
      <c r="B51" s="49"/>
      <c r="C51" s="168"/>
      <c r="D51" s="168" t="s">
        <v>265</v>
      </c>
      <c r="E51" s="168"/>
      <c r="F51" s="307">
        <f>+F48*F49</f>
        <v>34400</v>
      </c>
      <c r="G51" s="315"/>
      <c r="H51" s="168"/>
      <c r="I51" s="168"/>
      <c r="J51" s="220"/>
      <c r="K51" s="105"/>
    </row>
    <row r="52" spans="2:14" ht="12.75" x14ac:dyDescent="0.2">
      <c r="B52" s="33"/>
      <c r="C52" s="164"/>
      <c r="D52" s="168"/>
      <c r="E52" s="164"/>
      <c r="F52" s="164"/>
      <c r="G52" s="164"/>
      <c r="H52" s="164"/>
      <c r="I52" s="164"/>
      <c r="J52" s="195"/>
      <c r="K52" s="104"/>
    </row>
    <row r="53" spans="2:14" ht="12.75" x14ac:dyDescent="0.2">
      <c r="B53" s="33"/>
      <c r="C53" s="34"/>
      <c r="D53" s="34"/>
      <c r="E53" s="34"/>
      <c r="F53" s="34"/>
      <c r="G53" s="34"/>
      <c r="H53" s="34"/>
      <c r="I53" s="34"/>
      <c r="J53" s="59"/>
      <c r="K53" s="104"/>
    </row>
    <row r="54" spans="2:14" thickBot="1" x14ac:dyDescent="0.25">
      <c r="B54" s="60"/>
      <c r="C54" s="61"/>
      <c r="D54" s="61"/>
      <c r="E54" s="61"/>
      <c r="F54" s="61"/>
      <c r="G54" s="61"/>
      <c r="H54" s="61"/>
      <c r="I54" s="61"/>
      <c r="J54" s="126" t="s">
        <v>103</v>
      </c>
      <c r="K54" s="107"/>
    </row>
    <row r="55" spans="2:14" ht="12.75" x14ac:dyDescent="0.2">
      <c r="J55" s="108"/>
      <c r="K55" s="100"/>
    </row>
    <row r="56" spans="2:14" ht="12.75" x14ac:dyDescent="0.2">
      <c r="J56" s="108"/>
      <c r="K56" s="100"/>
    </row>
    <row r="57" spans="2:14" ht="12.75" x14ac:dyDescent="0.2">
      <c r="J57" s="108"/>
      <c r="K57" s="100"/>
    </row>
    <row r="58" spans="2:14" ht="12.75" x14ac:dyDescent="0.2">
      <c r="J58" s="100"/>
      <c r="K58" s="100"/>
    </row>
    <row r="59" spans="2:14" ht="12.75" x14ac:dyDescent="0.2">
      <c r="J59" s="100"/>
      <c r="K59" s="100"/>
      <c r="L59" s="113"/>
      <c r="M59" s="113"/>
      <c r="N59" s="113"/>
    </row>
    <row r="60" spans="2:14" ht="12.75" x14ac:dyDescent="0.2">
      <c r="J60" s="100"/>
      <c r="K60" s="100"/>
      <c r="M60" s="113"/>
      <c r="N60" s="113"/>
    </row>
    <row r="61" spans="2:14" ht="12.75" x14ac:dyDescent="0.2">
      <c r="J61" s="100"/>
      <c r="K61" s="100"/>
      <c r="M61" s="113"/>
      <c r="N61" s="113"/>
    </row>
    <row r="62" spans="2:14" ht="12.75" x14ac:dyDescent="0.2">
      <c r="J62" s="100"/>
      <c r="K62" s="100"/>
      <c r="M62" s="113"/>
      <c r="N62" s="113"/>
    </row>
    <row r="63" spans="2:14" ht="12.75" x14ac:dyDescent="0.2">
      <c r="J63" s="100"/>
      <c r="K63" s="100"/>
      <c r="M63" s="113"/>
      <c r="N63" s="113"/>
    </row>
    <row r="64" spans="2:14" ht="12.75" x14ac:dyDescent="0.2">
      <c r="J64" s="100"/>
      <c r="K64" s="100"/>
      <c r="M64" s="113"/>
      <c r="N64" s="113"/>
    </row>
    <row r="65" spans="10:14" ht="12.75" x14ac:dyDescent="0.2">
      <c r="J65" s="100"/>
      <c r="K65" s="100"/>
      <c r="M65" s="113"/>
      <c r="N65" s="113"/>
    </row>
    <row r="66" spans="10:14" ht="12.75" x14ac:dyDescent="0.2">
      <c r="J66" s="100"/>
      <c r="K66" s="100"/>
      <c r="M66" s="113"/>
      <c r="N66" s="113"/>
    </row>
    <row r="67" spans="10:14" ht="12.75" x14ac:dyDescent="0.2">
      <c r="J67" s="100"/>
      <c r="K67" s="100"/>
      <c r="M67" s="113"/>
      <c r="N67" s="113"/>
    </row>
    <row r="68" spans="10:14" ht="12.75" x14ac:dyDescent="0.2">
      <c r="J68" s="100"/>
      <c r="K68" s="100"/>
      <c r="M68" s="113"/>
      <c r="N68" s="113"/>
    </row>
    <row r="69" spans="10:14" ht="12.75" x14ac:dyDescent="0.2">
      <c r="J69" s="100"/>
      <c r="K69" s="100"/>
      <c r="M69" s="113"/>
      <c r="N69" s="113"/>
    </row>
    <row r="70" spans="10:14" ht="12.75" x14ac:dyDescent="0.2">
      <c r="J70" s="100"/>
      <c r="K70" s="100"/>
      <c r="M70" s="113"/>
      <c r="N70" s="113"/>
    </row>
    <row r="71" spans="10:14" ht="12.75" x14ac:dyDescent="0.2">
      <c r="J71" s="100"/>
      <c r="K71" s="100"/>
      <c r="M71" s="113"/>
      <c r="N71" s="113"/>
    </row>
    <row r="72" spans="10:14" ht="12.75" x14ac:dyDescent="0.2">
      <c r="J72" s="100"/>
      <c r="K72" s="100"/>
      <c r="M72" s="113"/>
      <c r="N72" s="113"/>
    </row>
    <row r="73" spans="10:14" ht="12.75" x14ac:dyDescent="0.2">
      <c r="J73" s="100"/>
      <c r="K73" s="100"/>
      <c r="M73" s="113"/>
      <c r="N73" s="113"/>
    </row>
    <row r="74" spans="10:14" ht="12.75" x14ac:dyDescent="0.2">
      <c r="J74" s="100"/>
      <c r="K74" s="100"/>
      <c r="M74" s="113"/>
      <c r="N74" s="113"/>
    </row>
    <row r="75" spans="10:14" ht="12.75" x14ac:dyDescent="0.2">
      <c r="J75" s="100"/>
      <c r="K75" s="100"/>
      <c r="M75" s="113"/>
      <c r="N75" s="113"/>
    </row>
    <row r="76" spans="10:14" ht="12.75" x14ac:dyDescent="0.2">
      <c r="J76" s="100"/>
      <c r="K76" s="100"/>
      <c r="M76" s="113"/>
      <c r="N76" s="113"/>
    </row>
    <row r="77" spans="10:14" ht="12.75" x14ac:dyDescent="0.2">
      <c r="J77" s="100"/>
      <c r="K77" s="100"/>
      <c r="M77" s="113"/>
      <c r="N77" s="113"/>
    </row>
    <row r="78" spans="10:14" ht="12.75" x14ac:dyDescent="0.2">
      <c r="J78" s="100"/>
      <c r="K78" s="100"/>
      <c r="M78" s="113"/>
      <c r="N78" s="113"/>
    </row>
    <row r="79" spans="10:14" ht="12.75" x14ac:dyDescent="0.2">
      <c r="J79" s="100"/>
      <c r="K79" s="100"/>
      <c r="M79" s="113"/>
      <c r="N79" s="113"/>
    </row>
    <row r="80" spans="10:14" ht="12.75" x14ac:dyDescent="0.2">
      <c r="J80" s="100"/>
      <c r="K80" s="100"/>
      <c r="M80" s="113"/>
      <c r="N80" s="113"/>
    </row>
    <row r="81" spans="6:14" ht="12.75" x14ac:dyDescent="0.2">
      <c r="J81" s="100"/>
      <c r="K81" s="100"/>
      <c r="M81" s="113"/>
      <c r="N81" s="113"/>
    </row>
    <row r="82" spans="6:14" ht="12.75" x14ac:dyDescent="0.2">
      <c r="J82" s="100"/>
      <c r="K82" s="100"/>
      <c r="M82" s="113"/>
      <c r="N82" s="113"/>
    </row>
    <row r="83" spans="6:14" ht="12.75" x14ac:dyDescent="0.2">
      <c r="J83" s="100"/>
      <c r="K83" s="100"/>
      <c r="M83" s="113"/>
      <c r="N83" s="113"/>
    </row>
    <row r="84" spans="6:14" ht="12.75" x14ac:dyDescent="0.2">
      <c r="J84" s="100"/>
      <c r="K84" s="100"/>
      <c r="M84" s="113"/>
      <c r="N84" s="113"/>
    </row>
    <row r="85" spans="6:14" ht="12.75" x14ac:dyDescent="0.2">
      <c r="J85" s="100"/>
      <c r="K85" s="100"/>
      <c r="M85" s="113"/>
      <c r="N85" s="113"/>
    </row>
    <row r="86" spans="6:14" ht="12.75" x14ac:dyDescent="0.2">
      <c r="J86" s="100"/>
      <c r="K86" s="100"/>
      <c r="M86" s="113"/>
      <c r="N86" s="113"/>
    </row>
    <row r="87" spans="6:14" ht="12.75" x14ac:dyDescent="0.2">
      <c r="J87" s="100"/>
      <c r="K87" s="100"/>
      <c r="M87" s="113"/>
      <c r="N87" s="113"/>
    </row>
    <row r="88" spans="6:14" ht="12.75" x14ac:dyDescent="0.2">
      <c r="J88" s="100"/>
      <c r="K88" s="100"/>
      <c r="M88" s="113"/>
      <c r="N88" s="113"/>
    </row>
    <row r="89" spans="6:14" ht="12.75" x14ac:dyDescent="0.2">
      <c r="J89" s="100"/>
      <c r="K89" s="100"/>
      <c r="M89" s="113"/>
      <c r="N89" s="113"/>
    </row>
    <row r="90" spans="6:14" ht="12.75" x14ac:dyDescent="0.2">
      <c r="F90" s="127"/>
      <c r="G90" s="127"/>
      <c r="H90" s="127"/>
      <c r="J90" s="100"/>
      <c r="K90" s="100"/>
      <c r="M90" s="113"/>
      <c r="N90" s="113"/>
    </row>
    <row r="91" spans="6:14" ht="12.75" x14ac:dyDescent="0.2">
      <c r="F91" s="127"/>
      <c r="G91" s="127"/>
      <c r="H91" s="127"/>
      <c r="J91" s="100"/>
      <c r="K91" s="100"/>
      <c r="M91" s="113"/>
      <c r="N91" s="113"/>
    </row>
    <row r="92" spans="6:14" ht="12.75" x14ac:dyDescent="0.2">
      <c r="F92" s="127"/>
      <c r="G92" s="127"/>
      <c r="H92" s="127"/>
      <c r="J92" s="100"/>
      <c r="K92" s="100"/>
      <c r="M92" s="113"/>
      <c r="N92" s="113"/>
    </row>
    <row r="93" spans="6:14" ht="12.75" x14ac:dyDescent="0.2">
      <c r="F93" s="127"/>
      <c r="G93" s="127"/>
      <c r="H93" s="127"/>
      <c r="J93" s="100"/>
      <c r="K93" s="100"/>
      <c r="M93" s="113"/>
      <c r="N93" s="113"/>
    </row>
    <row r="94" spans="6:14" ht="12.75" x14ac:dyDescent="0.2">
      <c r="F94" s="127"/>
      <c r="G94" s="127"/>
      <c r="H94" s="127"/>
      <c r="J94" s="100"/>
      <c r="K94" s="100"/>
      <c r="M94" s="113"/>
      <c r="N94" s="113"/>
    </row>
    <row r="95" spans="6:14" ht="12.75" x14ac:dyDescent="0.2">
      <c r="F95" s="127"/>
      <c r="G95" s="127"/>
      <c r="H95" s="127"/>
      <c r="J95" s="100"/>
      <c r="K95" s="100"/>
      <c r="M95" s="113"/>
      <c r="N95" s="113"/>
    </row>
    <row r="96" spans="6:14" ht="12.75" x14ac:dyDescent="0.2">
      <c r="F96" s="127"/>
      <c r="G96" s="127"/>
      <c r="H96" s="127"/>
      <c r="J96" s="100"/>
      <c r="K96" s="100"/>
      <c r="M96" s="113"/>
      <c r="N96" s="113"/>
    </row>
    <row r="97" spans="6:14" ht="12.75" x14ac:dyDescent="0.2">
      <c r="F97" s="127"/>
      <c r="G97" s="127"/>
      <c r="H97" s="127"/>
      <c r="J97" s="100"/>
      <c r="K97" s="100"/>
      <c r="M97" s="113"/>
      <c r="N97" s="113"/>
    </row>
    <row r="98" spans="6:14" ht="12.75" x14ac:dyDescent="0.2">
      <c r="F98" s="127"/>
      <c r="G98" s="127"/>
      <c r="H98" s="127"/>
      <c r="J98" s="100"/>
      <c r="K98" s="100"/>
      <c r="M98" s="113"/>
      <c r="N98" s="113"/>
    </row>
    <row r="99" spans="6:14" ht="12.75" x14ac:dyDescent="0.2">
      <c r="F99" s="128"/>
      <c r="G99" s="128"/>
      <c r="H99" s="115"/>
      <c r="J99" s="100"/>
      <c r="K99" s="100"/>
      <c r="M99" s="113"/>
      <c r="N99" s="113"/>
    </row>
    <row r="100" spans="6:14" ht="12.75" x14ac:dyDescent="0.2">
      <c r="F100" s="128"/>
      <c r="G100" s="128"/>
      <c r="H100" s="115"/>
      <c r="J100" s="100"/>
      <c r="K100" s="100"/>
      <c r="M100" s="113"/>
      <c r="N100" s="113"/>
    </row>
    <row r="101" spans="6:14" ht="12.75" x14ac:dyDescent="0.2">
      <c r="F101" s="128"/>
      <c r="G101" s="128"/>
      <c r="H101" s="115"/>
      <c r="J101" s="100"/>
      <c r="K101" s="100"/>
      <c r="M101" s="113"/>
      <c r="N101" s="113"/>
    </row>
    <row r="102" spans="6:14" ht="12.75" x14ac:dyDescent="0.2">
      <c r="F102" s="128"/>
      <c r="G102" s="128"/>
      <c r="H102" s="115"/>
      <c r="J102" s="100"/>
      <c r="K102" s="100"/>
      <c r="M102" s="113"/>
      <c r="N102" s="113"/>
    </row>
    <row r="103" spans="6:14" ht="12.75" x14ac:dyDescent="0.2">
      <c r="F103" s="129"/>
      <c r="G103" s="129"/>
      <c r="H103" s="100"/>
      <c r="J103" s="100"/>
      <c r="K103" s="100"/>
    </row>
    <row r="104" spans="6:14" ht="12.75" x14ac:dyDescent="0.2">
      <c r="F104" s="128"/>
      <c r="G104" s="128"/>
      <c r="H104" s="100"/>
      <c r="J104" s="100"/>
      <c r="K104" s="100"/>
    </row>
    <row r="105" spans="6:14" ht="12.75" x14ac:dyDescent="0.2">
      <c r="F105" s="130"/>
      <c r="G105" s="130"/>
      <c r="H105" s="127"/>
      <c r="J105" s="100"/>
      <c r="K105" s="100"/>
    </row>
    <row r="106" spans="6:14" ht="12.75" x14ac:dyDescent="0.2">
      <c r="F106" s="127"/>
      <c r="G106" s="127"/>
      <c r="H106" s="127"/>
      <c r="J106" s="100"/>
      <c r="K106" s="100"/>
    </row>
    <row r="107" spans="6:14" ht="12.75" x14ac:dyDescent="0.2">
      <c r="F107" s="127"/>
      <c r="G107" s="127"/>
      <c r="H107" s="127"/>
      <c r="J107" s="100"/>
      <c r="K107" s="100"/>
    </row>
    <row r="108" spans="6:14" ht="12.75" x14ac:dyDescent="0.2">
      <c r="F108" s="127"/>
      <c r="G108" s="127"/>
      <c r="H108" s="127"/>
    </row>
    <row r="109" spans="6:14" ht="12.75" x14ac:dyDescent="0.2">
      <c r="F109" s="127"/>
      <c r="G109" s="127"/>
      <c r="H109" s="127"/>
    </row>
    <row r="110" spans="6:14" ht="12.75" x14ac:dyDescent="0.2"/>
    <row r="111" spans="6:14" ht="12.75" x14ac:dyDescent="0.2"/>
    <row r="112" spans="6:14" ht="12.75" x14ac:dyDescent="0.2"/>
    <row r="113" spans="6:8" ht="12.75" x14ac:dyDescent="0.2"/>
    <row r="114" spans="6:8" ht="12.75" x14ac:dyDescent="0.2"/>
    <row r="115" spans="6:8" ht="12.75" x14ac:dyDescent="0.2"/>
    <row r="120" spans="6:8" ht="12.75" x14ac:dyDescent="0.2">
      <c r="F120" s="127"/>
      <c r="G120" s="127"/>
      <c r="H120" s="127"/>
    </row>
    <row r="121" spans="6:8" ht="12.75" x14ac:dyDescent="0.2">
      <c r="F121" s="127"/>
      <c r="G121" s="127"/>
      <c r="H121" s="127"/>
    </row>
    <row r="122" spans="6:8" ht="12.75" x14ac:dyDescent="0.2">
      <c r="F122" s="127"/>
      <c r="G122" s="127"/>
      <c r="H122" s="127"/>
    </row>
    <row r="123" spans="6:8" ht="12.75" x14ac:dyDescent="0.2">
      <c r="F123" s="127"/>
      <c r="G123" s="127"/>
      <c r="H123" s="127"/>
    </row>
    <row r="124" spans="6:8" ht="12.75" x14ac:dyDescent="0.2">
      <c r="F124" s="127"/>
      <c r="G124" s="127"/>
      <c r="H124" s="127"/>
    </row>
    <row r="125" spans="6:8" ht="12.75" x14ac:dyDescent="0.2">
      <c r="F125" s="127"/>
      <c r="G125" s="127"/>
      <c r="H125" s="127"/>
    </row>
    <row r="126" spans="6:8" ht="12.75" x14ac:dyDescent="0.2">
      <c r="F126" s="127"/>
      <c r="G126" s="127"/>
      <c r="H126" s="127"/>
    </row>
    <row r="127" spans="6:8" ht="12.75" x14ac:dyDescent="0.2">
      <c r="F127" s="127"/>
      <c r="G127" s="127"/>
      <c r="H127" s="127"/>
    </row>
    <row r="128" spans="6:8" ht="12.75" x14ac:dyDescent="0.2">
      <c r="F128" s="127"/>
      <c r="G128" s="127"/>
      <c r="H128" s="127"/>
    </row>
    <row r="129" spans="6:8" ht="12.75" x14ac:dyDescent="0.2">
      <c r="F129" s="127"/>
      <c r="G129" s="127"/>
      <c r="H129" s="127"/>
    </row>
    <row r="130" spans="6:8" ht="12.75" x14ac:dyDescent="0.2">
      <c r="F130" s="127"/>
      <c r="G130" s="127"/>
      <c r="H130" s="127"/>
    </row>
    <row r="131" spans="6:8" ht="12.75" x14ac:dyDescent="0.2">
      <c r="F131" s="127"/>
      <c r="G131" s="127"/>
      <c r="H131" s="127"/>
    </row>
    <row r="132" spans="6:8" ht="12.75" x14ac:dyDescent="0.2">
      <c r="F132" s="127"/>
      <c r="G132" s="127"/>
      <c r="H132" s="127"/>
    </row>
    <row r="133" spans="6:8" ht="12.75" x14ac:dyDescent="0.2">
      <c r="F133" s="127"/>
      <c r="G133" s="127"/>
      <c r="H133" s="127"/>
    </row>
    <row r="134" spans="6:8" ht="12.75" x14ac:dyDescent="0.2">
      <c r="F134" s="127"/>
      <c r="G134" s="127"/>
      <c r="H134" s="127"/>
    </row>
    <row r="135" spans="6:8" ht="12.75" x14ac:dyDescent="0.2">
      <c r="F135" s="127"/>
      <c r="G135" s="127"/>
      <c r="H135" s="127"/>
    </row>
    <row r="136" spans="6:8" ht="12.75" x14ac:dyDescent="0.2">
      <c r="F136" s="127"/>
      <c r="G136" s="127"/>
      <c r="H136" s="127"/>
    </row>
    <row r="137" spans="6:8" ht="12.75" x14ac:dyDescent="0.2">
      <c r="F137" s="127"/>
      <c r="G137" s="127"/>
      <c r="H137" s="127"/>
    </row>
    <row r="138" spans="6:8" ht="12.75" x14ac:dyDescent="0.2">
      <c r="F138" s="127"/>
      <c r="G138" s="127"/>
      <c r="H138" s="127"/>
    </row>
    <row r="139" spans="6:8" ht="12.75" x14ac:dyDescent="0.2">
      <c r="F139" s="127"/>
      <c r="G139" s="127"/>
      <c r="H139" s="127"/>
    </row>
  </sheetData>
  <sheetProtection algorithmName="SHA-512" hashValue="lhYWGRD+9OW22WLgcO1I1GZvrEmWqon2GzvQeRDg6bzkU0H/xnjIm78GTHMfj85JJDmbnnKBTO//3/mgVwKFuQ==" saltValue="33u2uLQa5z/xi58MG97BrQ==" spinCount="100000" sheet="1" objects="1" scenarios="1"/>
  <mergeCells count="2">
    <mergeCell ref="F10:H10"/>
    <mergeCell ref="F40:H40"/>
  </mergeCells>
  <dataValidations disablePrompts="1" count="3">
    <dataValidation type="list" allowBlank="1" showInputMessage="1" showErrorMessage="1" sqref="F23:F25">
      <formula1>"ja,nee"</formula1>
    </dataValidation>
    <dataValidation type="list" allowBlank="1" showInputMessage="1" showErrorMessage="1" sqref="G23:G25">
      <formula1>"ja, nee"</formula1>
    </dataValidation>
    <dataValidation type="list" allowBlank="1" showInputMessage="1" showErrorMessage="1" sqref="F16:G16">
      <formula1>$W$17:$W$41</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89"/>
  <sheetViews>
    <sheetView zoomScale="84" zoomScaleNormal="84" workbookViewId="0"/>
  </sheetViews>
  <sheetFormatPr defaultRowHeight="12.75" x14ac:dyDescent="0.2"/>
  <cols>
    <col min="1" max="1" width="33.7109375" style="1" customWidth="1"/>
    <col min="2" max="20" width="10.7109375" style="1" customWidth="1"/>
    <col min="21" max="16384" width="9.140625" style="1"/>
  </cols>
  <sheetData>
    <row r="2" spans="1:20" x14ac:dyDescent="0.2">
      <c r="A2" s="1" t="s">
        <v>0</v>
      </c>
      <c r="B2" s="2">
        <v>2016</v>
      </c>
      <c r="C2" s="3" t="s">
        <v>315</v>
      </c>
    </row>
    <row r="3" spans="1:20" x14ac:dyDescent="0.2">
      <c r="A3" s="1" t="s">
        <v>1</v>
      </c>
      <c r="B3" s="2" t="s">
        <v>295</v>
      </c>
    </row>
    <row r="5" spans="1:20" x14ac:dyDescent="0.2">
      <c r="A5" s="4" t="s">
        <v>2</v>
      </c>
      <c r="B5" s="5">
        <v>42370</v>
      </c>
      <c r="E5" s="6"/>
      <c r="O5" s="7"/>
      <c r="P5" s="7"/>
      <c r="Q5" s="7"/>
      <c r="R5" s="7"/>
      <c r="S5" s="7"/>
    </row>
    <row r="6" spans="1:20" x14ac:dyDescent="0.2">
      <c r="A6" s="1" t="s">
        <v>3</v>
      </c>
      <c r="B6" s="8">
        <v>1</v>
      </c>
      <c r="C6" s="8">
        <v>2</v>
      </c>
      <c r="D6" s="8">
        <v>3</v>
      </c>
      <c r="E6" s="8">
        <v>4</v>
      </c>
      <c r="F6" s="8">
        <v>5</v>
      </c>
      <c r="G6" s="8">
        <v>6</v>
      </c>
      <c r="H6" s="8">
        <v>7</v>
      </c>
      <c r="I6" s="8">
        <v>8</v>
      </c>
      <c r="J6" s="8">
        <v>9</v>
      </c>
      <c r="K6" s="8">
        <v>10</v>
      </c>
      <c r="L6" s="8">
        <v>11</v>
      </c>
      <c r="M6" s="8">
        <v>12</v>
      </c>
      <c r="N6" s="8">
        <v>13</v>
      </c>
      <c r="O6" s="8">
        <v>14</v>
      </c>
      <c r="P6" s="8">
        <v>15</v>
      </c>
      <c r="Q6" s="8">
        <v>16</v>
      </c>
      <c r="R6" s="8" t="s">
        <v>4</v>
      </c>
      <c r="S6" s="8"/>
      <c r="T6" s="8"/>
    </row>
    <row r="7" spans="1:20" x14ac:dyDescent="0.2">
      <c r="A7" s="9" t="s">
        <v>5</v>
      </c>
      <c r="B7" s="133">
        <v>2525</v>
      </c>
      <c r="C7" s="133">
        <v>2587</v>
      </c>
      <c r="D7" s="133">
        <v>2666</v>
      </c>
      <c r="E7" s="133">
        <v>2744</v>
      </c>
      <c r="F7" s="133">
        <v>2824</v>
      </c>
      <c r="G7" s="133">
        <v>2922</v>
      </c>
      <c r="H7" s="133">
        <v>3037</v>
      </c>
      <c r="I7" s="133">
        <v>3167</v>
      </c>
      <c r="J7" s="133">
        <v>3314</v>
      </c>
      <c r="K7" s="133">
        <v>3479</v>
      </c>
      <c r="L7" s="133">
        <v>3660</v>
      </c>
      <c r="M7" s="133">
        <v>3862</v>
      </c>
      <c r="N7" s="133"/>
      <c r="O7" s="139"/>
      <c r="P7" s="139"/>
      <c r="Q7" s="139"/>
      <c r="R7" s="6">
        <f>COUNTA(B7:Q7)</f>
        <v>12</v>
      </c>
      <c r="S7" s="139"/>
      <c r="T7" s="6"/>
    </row>
    <row r="8" spans="1:20" x14ac:dyDescent="0.2">
      <c r="A8" s="9" t="s">
        <v>6</v>
      </c>
      <c r="B8" s="133">
        <v>2541</v>
      </c>
      <c r="C8" s="133">
        <v>2663</v>
      </c>
      <c r="D8" s="133">
        <v>2802</v>
      </c>
      <c r="E8" s="133">
        <v>2942</v>
      </c>
      <c r="F8" s="133">
        <v>3080</v>
      </c>
      <c r="G8" s="133">
        <v>3235</v>
      </c>
      <c r="H8" s="133">
        <v>3406</v>
      </c>
      <c r="I8" s="133">
        <v>3593</v>
      </c>
      <c r="J8" s="133">
        <v>3797</v>
      </c>
      <c r="K8" s="133">
        <v>4017</v>
      </c>
      <c r="L8" s="133">
        <v>4252</v>
      </c>
      <c r="M8" s="133">
        <v>4504</v>
      </c>
      <c r="N8" s="133"/>
      <c r="O8" s="139"/>
      <c r="P8" s="139"/>
      <c r="Q8" s="139"/>
      <c r="R8" s="6">
        <f t="shared" ref="R8:R31" si="0">COUNTA(B8:Q8)</f>
        <v>12</v>
      </c>
      <c r="S8" s="139"/>
      <c r="T8" s="6"/>
    </row>
    <row r="9" spans="1:20" x14ac:dyDescent="0.2">
      <c r="A9" s="9" t="s">
        <v>7</v>
      </c>
      <c r="B9" s="133">
        <v>2551</v>
      </c>
      <c r="C9" s="133">
        <v>2703</v>
      </c>
      <c r="D9" s="133">
        <v>2880</v>
      </c>
      <c r="E9" s="133">
        <v>3056</v>
      </c>
      <c r="F9" s="133">
        <v>3233</v>
      </c>
      <c r="G9" s="133">
        <v>3432</v>
      </c>
      <c r="H9" s="133">
        <v>3654</v>
      </c>
      <c r="I9" s="133">
        <v>3902</v>
      </c>
      <c r="J9" s="133">
        <v>4172</v>
      </c>
      <c r="K9" s="133">
        <v>4466</v>
      </c>
      <c r="L9" s="133">
        <v>4783</v>
      </c>
      <c r="M9" s="133">
        <v>5125</v>
      </c>
      <c r="N9" s="133"/>
      <c r="O9" s="139"/>
      <c r="P9" s="139"/>
      <c r="Q9" s="139"/>
      <c r="R9" s="6">
        <f t="shared" si="0"/>
        <v>12</v>
      </c>
      <c r="S9" s="139"/>
      <c r="T9" s="6"/>
    </row>
    <row r="10" spans="1:20" x14ac:dyDescent="0.2">
      <c r="A10" s="9" t="s">
        <v>8</v>
      </c>
      <c r="B10" s="133">
        <v>3281</v>
      </c>
      <c r="C10" s="133">
        <v>3404</v>
      </c>
      <c r="D10" s="133">
        <v>3514</v>
      </c>
      <c r="E10" s="133">
        <v>3736</v>
      </c>
      <c r="F10" s="133">
        <v>3983</v>
      </c>
      <c r="G10" s="133">
        <v>4208</v>
      </c>
      <c r="H10" s="133">
        <v>4432</v>
      </c>
      <c r="I10" s="133">
        <v>4657</v>
      </c>
      <c r="J10" s="133">
        <v>4882</v>
      </c>
      <c r="K10" s="133">
        <v>5106</v>
      </c>
      <c r="L10" s="133">
        <v>5331</v>
      </c>
      <c r="M10" s="133">
        <v>5558</v>
      </c>
      <c r="N10" s="133"/>
      <c r="O10" s="139"/>
      <c r="P10" s="139"/>
      <c r="Q10" s="139"/>
      <c r="R10" s="6">
        <f t="shared" si="0"/>
        <v>12</v>
      </c>
      <c r="S10" s="139"/>
      <c r="T10" s="6"/>
    </row>
    <row r="11" spans="1:20" x14ac:dyDescent="0.2">
      <c r="A11" s="1">
        <v>1</v>
      </c>
      <c r="B11" s="139">
        <v>1562</v>
      </c>
      <c r="C11" s="139">
        <v>1625</v>
      </c>
      <c r="D11" s="139">
        <v>1686</v>
      </c>
      <c r="E11" s="139">
        <v>1715</v>
      </c>
      <c r="F11" s="139">
        <v>1748</v>
      </c>
      <c r="G11" s="139">
        <v>1780</v>
      </c>
      <c r="H11" s="139">
        <v>1823</v>
      </c>
      <c r="I11" s="139"/>
      <c r="J11" s="139"/>
      <c r="K11" s="139"/>
      <c r="L11" s="139"/>
      <c r="M11" s="139"/>
      <c r="N11" s="139"/>
      <c r="O11" s="139"/>
      <c r="P11" s="139"/>
      <c r="Q11" s="139"/>
      <c r="R11" s="6">
        <f t="shared" si="0"/>
        <v>7</v>
      </c>
      <c r="S11" s="139"/>
      <c r="T11" s="6"/>
    </row>
    <row r="12" spans="1:20" x14ac:dyDescent="0.2">
      <c r="A12" s="1">
        <v>2</v>
      </c>
      <c r="B12" s="139">
        <v>1596</v>
      </c>
      <c r="C12" s="139">
        <v>1657</v>
      </c>
      <c r="D12" s="139">
        <v>1715</v>
      </c>
      <c r="E12" s="139">
        <v>1780</v>
      </c>
      <c r="F12" s="139">
        <v>1823</v>
      </c>
      <c r="G12" s="139">
        <v>1874</v>
      </c>
      <c r="H12" s="139">
        <v>1935</v>
      </c>
      <c r="I12" s="139">
        <v>1991</v>
      </c>
      <c r="J12" s="139"/>
      <c r="K12" s="139"/>
      <c r="L12" s="139"/>
      <c r="M12" s="139"/>
      <c r="N12" s="139"/>
      <c r="O12" s="139"/>
      <c r="P12" s="139"/>
      <c r="Q12" s="139"/>
      <c r="R12" s="6">
        <f t="shared" si="0"/>
        <v>8</v>
      </c>
      <c r="S12" s="139"/>
      <c r="T12" s="6"/>
    </row>
    <row r="13" spans="1:20" x14ac:dyDescent="0.2">
      <c r="A13" s="1">
        <v>3</v>
      </c>
      <c r="B13" s="139">
        <v>1596</v>
      </c>
      <c r="C13" s="139">
        <v>1715</v>
      </c>
      <c r="D13" s="139">
        <v>1780</v>
      </c>
      <c r="E13" s="139">
        <v>1874</v>
      </c>
      <c r="F13" s="139">
        <v>1935</v>
      </c>
      <c r="G13" s="139">
        <v>1991</v>
      </c>
      <c r="H13" s="139">
        <v>2048</v>
      </c>
      <c r="I13" s="139">
        <v>2103</v>
      </c>
      <c r="J13" s="139">
        <v>2158</v>
      </c>
      <c r="K13" s="139"/>
      <c r="L13" s="139"/>
      <c r="M13" s="139"/>
      <c r="N13" s="139"/>
      <c r="O13" s="139"/>
      <c r="P13" s="139"/>
      <c r="Q13" s="139"/>
      <c r="R13" s="6">
        <f t="shared" si="0"/>
        <v>9</v>
      </c>
      <c r="S13" s="139"/>
      <c r="T13" s="6"/>
    </row>
    <row r="14" spans="1:20" x14ac:dyDescent="0.2">
      <c r="A14" s="1">
        <v>4</v>
      </c>
      <c r="B14" s="139">
        <v>1625</v>
      </c>
      <c r="C14" s="139">
        <v>1686</v>
      </c>
      <c r="D14" s="139">
        <v>1748</v>
      </c>
      <c r="E14" s="139">
        <v>1823</v>
      </c>
      <c r="F14" s="139">
        <v>1935</v>
      </c>
      <c r="G14" s="139">
        <v>1991</v>
      </c>
      <c r="H14" s="139">
        <v>2048</v>
      </c>
      <c r="I14" s="139">
        <v>2103</v>
      </c>
      <c r="J14" s="139">
        <v>2158</v>
      </c>
      <c r="K14" s="139">
        <v>2210</v>
      </c>
      <c r="L14" s="139">
        <v>2263</v>
      </c>
      <c r="M14" s="139"/>
      <c r="N14" s="139"/>
      <c r="O14" s="139"/>
      <c r="P14" s="139"/>
      <c r="Q14" s="139"/>
      <c r="R14" s="6">
        <f t="shared" si="0"/>
        <v>11</v>
      </c>
      <c r="S14" s="139"/>
      <c r="T14" s="6"/>
    </row>
    <row r="15" spans="1:20" x14ac:dyDescent="0.2">
      <c r="A15" s="1">
        <v>5</v>
      </c>
      <c r="B15" s="139">
        <v>1657</v>
      </c>
      <c r="C15" s="139">
        <v>1686</v>
      </c>
      <c r="D15" s="139">
        <v>1780</v>
      </c>
      <c r="E15" s="139">
        <v>1874</v>
      </c>
      <c r="F15" s="139">
        <v>1991</v>
      </c>
      <c r="G15" s="139">
        <v>2048</v>
      </c>
      <c r="H15" s="139">
        <v>2103</v>
      </c>
      <c r="I15" s="139">
        <v>2158</v>
      </c>
      <c r="J15" s="139">
        <v>2210</v>
      </c>
      <c r="K15" s="139">
        <v>2263</v>
      </c>
      <c r="L15" s="139">
        <v>2317</v>
      </c>
      <c r="M15" s="139">
        <v>2378</v>
      </c>
      <c r="N15" s="139"/>
      <c r="O15" s="139"/>
      <c r="P15" s="139"/>
      <c r="Q15" s="139"/>
      <c r="R15" s="6">
        <f t="shared" si="0"/>
        <v>12</v>
      </c>
      <c r="S15" s="139"/>
      <c r="T15" s="6"/>
    </row>
    <row r="16" spans="1:20" x14ac:dyDescent="0.2">
      <c r="A16" s="1">
        <v>6</v>
      </c>
      <c r="B16" s="139">
        <v>1715</v>
      </c>
      <c r="C16" s="139">
        <v>1780</v>
      </c>
      <c r="D16" s="139">
        <v>1991</v>
      </c>
      <c r="E16" s="139">
        <v>2103</v>
      </c>
      <c r="F16" s="139">
        <v>2158</v>
      </c>
      <c r="G16" s="139">
        <v>2210</v>
      </c>
      <c r="H16" s="139">
        <v>2263</v>
      </c>
      <c r="I16" s="139">
        <v>2317</v>
      </c>
      <c r="J16" s="139">
        <v>2378</v>
      </c>
      <c r="K16" s="139">
        <v>2436</v>
      </c>
      <c r="L16" s="139">
        <v>2491</v>
      </c>
      <c r="M16" s="139"/>
      <c r="N16" s="139"/>
      <c r="O16" s="139"/>
      <c r="P16" s="139"/>
      <c r="Q16" s="139"/>
      <c r="R16" s="6">
        <f t="shared" si="0"/>
        <v>11</v>
      </c>
      <c r="S16" s="139"/>
      <c r="T16" s="6"/>
    </row>
    <row r="17" spans="1:20" x14ac:dyDescent="0.2">
      <c r="A17" s="1">
        <v>7</v>
      </c>
      <c r="B17" s="139">
        <v>1823</v>
      </c>
      <c r="C17" s="139">
        <v>1874</v>
      </c>
      <c r="D17" s="139">
        <v>1991</v>
      </c>
      <c r="E17" s="139">
        <v>2210</v>
      </c>
      <c r="F17" s="139">
        <v>2317</v>
      </c>
      <c r="G17" s="139">
        <v>2378</v>
      </c>
      <c r="H17" s="139">
        <v>2436</v>
      </c>
      <c r="I17" s="139">
        <v>2491</v>
      </c>
      <c r="J17" s="139">
        <v>2551</v>
      </c>
      <c r="K17" s="139">
        <v>2613</v>
      </c>
      <c r="L17" s="139">
        <v>2675</v>
      </c>
      <c r="M17" s="139">
        <v>2747</v>
      </c>
      <c r="N17" s="139"/>
      <c r="O17" s="139"/>
      <c r="P17" s="139"/>
      <c r="Q17" s="139"/>
      <c r="R17" s="6">
        <f t="shared" si="0"/>
        <v>12</v>
      </c>
      <c r="S17" s="139"/>
      <c r="T17" s="6"/>
    </row>
    <row r="18" spans="1:20" x14ac:dyDescent="0.2">
      <c r="A18" s="1">
        <v>8</v>
      </c>
      <c r="B18" s="139">
        <v>2048</v>
      </c>
      <c r="C18" s="139">
        <v>2103</v>
      </c>
      <c r="D18" s="139">
        <v>2210</v>
      </c>
      <c r="E18" s="139">
        <v>2436</v>
      </c>
      <c r="F18" s="139">
        <v>2551</v>
      </c>
      <c r="G18" s="139">
        <v>2675</v>
      </c>
      <c r="H18" s="139">
        <v>2747</v>
      </c>
      <c r="I18" s="139">
        <v>2812</v>
      </c>
      <c r="J18" s="139">
        <v>2870</v>
      </c>
      <c r="K18" s="139">
        <v>2933</v>
      </c>
      <c r="L18" s="139">
        <v>2995</v>
      </c>
      <c r="M18" s="139">
        <v>3053</v>
      </c>
      <c r="N18" s="139">
        <v>3108</v>
      </c>
      <c r="O18" s="139"/>
      <c r="P18" s="139"/>
      <c r="Q18" s="139"/>
      <c r="R18" s="6">
        <f t="shared" si="0"/>
        <v>13</v>
      </c>
      <c r="S18" s="139"/>
      <c r="T18" s="6"/>
    </row>
    <row r="19" spans="1:20" x14ac:dyDescent="0.2">
      <c r="A19" s="1">
        <v>9</v>
      </c>
      <c r="B19" s="139">
        <v>2317</v>
      </c>
      <c r="C19" s="139">
        <v>2436</v>
      </c>
      <c r="D19" s="139">
        <v>2675</v>
      </c>
      <c r="E19" s="139">
        <v>2813</v>
      </c>
      <c r="F19" s="139">
        <v>2933</v>
      </c>
      <c r="G19" s="139">
        <v>3053</v>
      </c>
      <c r="H19" s="139">
        <v>3168</v>
      </c>
      <c r="I19" s="139">
        <v>3281</v>
      </c>
      <c r="J19" s="139">
        <v>3404</v>
      </c>
      <c r="K19" s="139">
        <v>3514</v>
      </c>
      <c r="L19" s="139"/>
      <c r="M19" s="139"/>
      <c r="N19" s="139"/>
      <c r="O19" s="139"/>
      <c r="P19" s="139"/>
      <c r="Q19" s="139"/>
      <c r="R19" s="6">
        <f t="shared" si="0"/>
        <v>10</v>
      </c>
      <c r="S19" s="139"/>
      <c r="T19" s="6"/>
    </row>
    <row r="20" spans="1:20" x14ac:dyDescent="0.2">
      <c r="A20" s="1">
        <v>10</v>
      </c>
      <c r="B20" s="139">
        <v>2317</v>
      </c>
      <c r="C20" s="139">
        <v>2551</v>
      </c>
      <c r="D20" s="139">
        <v>2675</v>
      </c>
      <c r="E20" s="139">
        <v>2812</v>
      </c>
      <c r="F20" s="139">
        <v>2933</v>
      </c>
      <c r="G20" s="139">
        <v>3053</v>
      </c>
      <c r="H20" s="139">
        <v>3168</v>
      </c>
      <c r="I20" s="139">
        <v>3281</v>
      </c>
      <c r="J20" s="139">
        <v>3404</v>
      </c>
      <c r="K20" s="139">
        <v>3514</v>
      </c>
      <c r="L20" s="139">
        <v>3626</v>
      </c>
      <c r="M20" s="139">
        <v>3736</v>
      </c>
      <c r="N20" s="139">
        <v>3862</v>
      </c>
      <c r="O20" s="139"/>
      <c r="P20" s="139"/>
      <c r="Q20" s="139"/>
      <c r="R20" s="6">
        <f t="shared" si="0"/>
        <v>13</v>
      </c>
      <c r="S20" s="139"/>
      <c r="T20" s="6"/>
    </row>
    <row r="21" spans="1:20" x14ac:dyDescent="0.2">
      <c r="A21" s="1">
        <v>11</v>
      </c>
      <c r="B21" s="139">
        <v>2436</v>
      </c>
      <c r="C21" s="139">
        <v>2551</v>
      </c>
      <c r="D21" s="139">
        <v>2678</v>
      </c>
      <c r="E21" s="139">
        <v>2815</v>
      </c>
      <c r="F21" s="139">
        <v>2942</v>
      </c>
      <c r="G21" s="139">
        <v>3070</v>
      </c>
      <c r="H21" s="139">
        <v>3199</v>
      </c>
      <c r="I21" s="139">
        <v>3404</v>
      </c>
      <c r="J21" s="139">
        <v>3542</v>
      </c>
      <c r="K21" s="139">
        <v>3679</v>
      </c>
      <c r="L21" s="139">
        <v>3816</v>
      </c>
      <c r="M21" s="139">
        <v>3955</v>
      </c>
      <c r="N21" s="139">
        <v>4092</v>
      </c>
      <c r="O21" s="139">
        <v>4230</v>
      </c>
      <c r="P21" s="139">
        <v>4368</v>
      </c>
      <c r="Q21" s="139">
        <v>4504</v>
      </c>
      <c r="R21" s="6">
        <f t="shared" si="0"/>
        <v>16</v>
      </c>
      <c r="S21" s="139"/>
      <c r="T21" s="6"/>
    </row>
    <row r="22" spans="1:20" x14ac:dyDescent="0.2">
      <c r="A22" s="1">
        <v>12</v>
      </c>
      <c r="B22" s="139">
        <v>3281</v>
      </c>
      <c r="C22" s="139">
        <v>3404</v>
      </c>
      <c r="D22" s="139">
        <v>3514</v>
      </c>
      <c r="E22" s="139">
        <v>3626</v>
      </c>
      <c r="F22" s="139">
        <v>3736</v>
      </c>
      <c r="G22" s="139">
        <v>3862</v>
      </c>
      <c r="H22" s="139">
        <v>4104</v>
      </c>
      <c r="I22" s="139">
        <v>4217</v>
      </c>
      <c r="J22" s="139">
        <v>4334</v>
      </c>
      <c r="K22" s="139">
        <v>4445</v>
      </c>
      <c r="L22" s="139">
        <v>4564</v>
      </c>
      <c r="M22" s="139">
        <v>4680</v>
      </c>
      <c r="N22" s="139">
        <v>4792</v>
      </c>
      <c r="O22" s="139">
        <v>4907</v>
      </c>
      <c r="P22" s="139">
        <v>5052</v>
      </c>
      <c r="Q22" s="139">
        <v>5125</v>
      </c>
      <c r="R22" s="6">
        <f t="shared" si="0"/>
        <v>16</v>
      </c>
      <c r="S22" s="139"/>
      <c r="T22" s="6"/>
    </row>
    <row r="23" spans="1:20" x14ac:dyDescent="0.2">
      <c r="A23" s="1">
        <v>13</v>
      </c>
      <c r="B23" s="139">
        <v>3983</v>
      </c>
      <c r="C23" s="139">
        <v>4104</v>
      </c>
      <c r="D23" s="139">
        <v>4217</v>
      </c>
      <c r="E23" s="139">
        <v>4334</v>
      </c>
      <c r="F23" s="139">
        <v>4445</v>
      </c>
      <c r="G23" s="139">
        <v>4680</v>
      </c>
      <c r="H23" s="139">
        <v>4792</v>
      </c>
      <c r="I23" s="139">
        <v>4907</v>
      </c>
      <c r="J23" s="139">
        <v>5052</v>
      </c>
      <c r="K23" s="139">
        <v>5197</v>
      </c>
      <c r="L23" s="139">
        <v>5342</v>
      </c>
      <c r="M23" s="139">
        <v>5488</v>
      </c>
      <c r="N23" s="139">
        <v>5558</v>
      </c>
      <c r="O23" s="139"/>
      <c r="P23" s="139"/>
      <c r="Q23" s="139"/>
      <c r="R23" s="6">
        <f t="shared" si="0"/>
        <v>13</v>
      </c>
      <c r="S23" s="139"/>
      <c r="T23" s="6"/>
    </row>
    <row r="24" spans="1:20" x14ac:dyDescent="0.2">
      <c r="A24" s="1">
        <v>14</v>
      </c>
      <c r="B24" s="139">
        <v>4564</v>
      </c>
      <c r="C24" s="139">
        <v>4680</v>
      </c>
      <c r="D24" s="139">
        <v>4907</v>
      </c>
      <c r="E24" s="139">
        <v>5052</v>
      </c>
      <c r="F24" s="139">
        <v>5197</v>
      </c>
      <c r="G24" s="139">
        <v>5342</v>
      </c>
      <c r="H24" s="139">
        <v>5488</v>
      </c>
      <c r="I24" s="139">
        <v>5634</v>
      </c>
      <c r="J24" s="139">
        <v>5787</v>
      </c>
      <c r="K24" s="139">
        <v>5945</v>
      </c>
      <c r="L24" s="139">
        <v>6107</v>
      </c>
      <c r="M24" s="139"/>
      <c r="N24" s="139"/>
      <c r="O24" s="139"/>
      <c r="P24" s="139"/>
      <c r="Q24" s="139"/>
      <c r="R24" s="6">
        <f t="shared" si="0"/>
        <v>11</v>
      </c>
      <c r="S24" s="139"/>
      <c r="T24" s="6"/>
    </row>
    <row r="25" spans="1:20" x14ac:dyDescent="0.2">
      <c r="A25" s="1">
        <v>15</v>
      </c>
      <c r="B25" s="139">
        <v>4792</v>
      </c>
      <c r="C25" s="139">
        <v>4907</v>
      </c>
      <c r="D25" s="139">
        <v>5052</v>
      </c>
      <c r="E25" s="139">
        <v>5342</v>
      </c>
      <c r="F25" s="139">
        <v>5488</v>
      </c>
      <c r="G25" s="139">
        <v>5634</v>
      </c>
      <c r="H25" s="139">
        <v>5787</v>
      </c>
      <c r="I25" s="139">
        <v>5945</v>
      </c>
      <c r="J25" s="139">
        <v>6107</v>
      </c>
      <c r="K25" s="139">
        <v>6301</v>
      </c>
      <c r="L25" s="139">
        <v>6503</v>
      </c>
      <c r="M25" s="139">
        <v>6708</v>
      </c>
      <c r="N25" s="139"/>
      <c r="O25" s="139"/>
      <c r="P25" s="139"/>
      <c r="Q25" s="139"/>
      <c r="R25" s="6">
        <f t="shared" si="0"/>
        <v>12</v>
      </c>
      <c r="S25" s="139"/>
      <c r="T25" s="6"/>
    </row>
    <row r="26" spans="1:20" x14ac:dyDescent="0.2">
      <c r="A26" s="1">
        <v>16</v>
      </c>
      <c r="B26" s="139">
        <v>5197</v>
      </c>
      <c r="C26" s="139">
        <v>5342</v>
      </c>
      <c r="D26" s="139">
        <v>5488</v>
      </c>
      <c r="E26" s="139">
        <v>5787</v>
      </c>
      <c r="F26" s="139">
        <v>5945</v>
      </c>
      <c r="G26" s="139">
        <v>6107</v>
      </c>
      <c r="H26" s="139">
        <v>6301</v>
      </c>
      <c r="I26" s="139">
        <v>6503</v>
      </c>
      <c r="J26" s="139">
        <v>6708</v>
      </c>
      <c r="K26" s="139">
        <v>6924</v>
      </c>
      <c r="L26" s="139">
        <v>7143</v>
      </c>
      <c r="M26" s="139">
        <v>7371</v>
      </c>
      <c r="N26" s="139"/>
      <c r="O26" s="139"/>
      <c r="P26" s="139"/>
      <c r="Q26" s="139"/>
      <c r="R26" s="6">
        <f t="shared" si="0"/>
        <v>12</v>
      </c>
      <c r="S26" s="139"/>
      <c r="T26" s="6"/>
    </row>
    <row r="27" spans="1:20" x14ac:dyDescent="0.2">
      <c r="A27" s="1">
        <v>17</v>
      </c>
      <c r="B27" s="139">
        <v>5634</v>
      </c>
      <c r="C27" s="139">
        <v>5787</v>
      </c>
      <c r="D27" s="139">
        <v>5945</v>
      </c>
      <c r="E27" s="139">
        <v>6301</v>
      </c>
      <c r="F27" s="139">
        <v>6503</v>
      </c>
      <c r="G27" s="139">
        <v>6708</v>
      </c>
      <c r="H27" s="139">
        <v>6924</v>
      </c>
      <c r="I27" s="139">
        <v>7143</v>
      </c>
      <c r="J27" s="139">
        <v>7371</v>
      </c>
      <c r="K27" s="139">
        <v>7608</v>
      </c>
      <c r="L27" s="139">
        <v>7850</v>
      </c>
      <c r="M27" s="139">
        <v>8100</v>
      </c>
      <c r="N27" s="139"/>
      <c r="O27" s="139"/>
      <c r="P27" s="139"/>
      <c r="Q27" s="139"/>
      <c r="R27" s="6">
        <f t="shared" si="0"/>
        <v>12</v>
      </c>
      <c r="S27" s="139"/>
      <c r="T27" s="6"/>
    </row>
    <row r="28" spans="1:20" x14ac:dyDescent="0.2">
      <c r="A28" s="1" t="s">
        <v>9</v>
      </c>
      <c r="B28" s="134">
        <v>1524.6</v>
      </c>
      <c r="C28" s="134">
        <f>(B28+B11)/2</f>
        <v>1543.3</v>
      </c>
      <c r="D28" s="139">
        <v>1562</v>
      </c>
      <c r="E28" s="139">
        <v>1625</v>
      </c>
      <c r="F28" s="139">
        <v>1686</v>
      </c>
      <c r="G28" s="139">
        <v>1715</v>
      </c>
      <c r="H28" s="139">
        <v>1748</v>
      </c>
      <c r="I28" s="139">
        <v>1780</v>
      </c>
      <c r="J28" s="139">
        <v>1823</v>
      </c>
      <c r="K28" s="10"/>
      <c r="L28" s="10"/>
      <c r="M28" s="10"/>
      <c r="N28" s="10"/>
      <c r="O28" s="10"/>
      <c r="P28" s="10"/>
      <c r="Q28" s="10"/>
      <c r="R28" s="6">
        <f t="shared" si="0"/>
        <v>9</v>
      </c>
      <c r="S28" s="10"/>
      <c r="T28" s="6"/>
    </row>
    <row r="29" spans="1:20" x14ac:dyDescent="0.2">
      <c r="A29" s="1" t="s">
        <v>10</v>
      </c>
      <c r="B29" s="139">
        <v>1596</v>
      </c>
      <c r="C29" s="139">
        <v>1657</v>
      </c>
      <c r="D29" s="139">
        <v>1715</v>
      </c>
      <c r="E29" s="139">
        <v>1780</v>
      </c>
      <c r="F29" s="139">
        <v>1823</v>
      </c>
      <c r="G29" s="139">
        <v>1874</v>
      </c>
      <c r="H29" s="139">
        <v>1935</v>
      </c>
      <c r="I29" s="139">
        <v>1991</v>
      </c>
      <c r="J29" s="139"/>
      <c r="K29" s="10"/>
      <c r="L29" s="10"/>
      <c r="M29" s="10"/>
      <c r="N29" s="10"/>
      <c r="O29" s="10"/>
      <c r="P29" s="10"/>
      <c r="Q29" s="10"/>
      <c r="R29" s="6">
        <f t="shared" si="0"/>
        <v>8</v>
      </c>
      <c r="S29" s="10"/>
      <c r="T29" s="6"/>
    </row>
    <row r="30" spans="1:20" x14ac:dyDescent="0.2">
      <c r="A30" s="1" t="s">
        <v>11</v>
      </c>
      <c r="B30" s="139">
        <v>1596</v>
      </c>
      <c r="C30" s="139">
        <v>1715</v>
      </c>
      <c r="D30" s="139">
        <v>1780</v>
      </c>
      <c r="E30" s="139">
        <v>1874</v>
      </c>
      <c r="F30" s="139">
        <v>1935</v>
      </c>
      <c r="G30" s="139">
        <v>1991</v>
      </c>
      <c r="H30" s="139">
        <v>2048</v>
      </c>
      <c r="I30" s="139"/>
      <c r="J30" s="139"/>
      <c r="K30" s="10"/>
      <c r="L30" s="10"/>
      <c r="M30" s="10"/>
      <c r="N30" s="10"/>
      <c r="O30" s="10"/>
      <c r="P30" s="10"/>
      <c r="Q30" s="10"/>
      <c r="R30" s="6">
        <f t="shared" si="0"/>
        <v>7</v>
      </c>
      <c r="S30" s="10"/>
      <c r="T30" s="6"/>
    </row>
    <row r="31" spans="1:20" x14ac:dyDescent="0.2">
      <c r="A31" s="1" t="s">
        <v>12</v>
      </c>
      <c r="B31" s="139">
        <v>1275.57</v>
      </c>
      <c r="C31" s="139"/>
      <c r="D31" s="139"/>
      <c r="E31" s="139"/>
      <c r="F31" s="139"/>
      <c r="G31" s="139"/>
      <c r="H31" s="139"/>
      <c r="I31" s="139"/>
      <c r="J31" s="139"/>
      <c r="K31" s="10"/>
      <c r="L31" s="10"/>
      <c r="M31" s="10"/>
      <c r="N31" s="10"/>
      <c r="O31" s="10"/>
      <c r="P31" s="10"/>
      <c r="Q31" s="10"/>
      <c r="R31" s="6">
        <f t="shared" si="0"/>
        <v>1</v>
      </c>
      <c r="S31" s="10"/>
      <c r="T31" s="6"/>
    </row>
    <row r="34" spans="1:8" x14ac:dyDescent="0.2">
      <c r="A34" s="4" t="s">
        <v>13</v>
      </c>
    </row>
    <row r="35" spans="1:8" x14ac:dyDescent="0.2">
      <c r="A35" s="4"/>
      <c r="B35" s="4"/>
      <c r="C35" s="1" t="s">
        <v>14</v>
      </c>
      <c r="D35" s="1" t="s">
        <v>15</v>
      </c>
      <c r="E35" s="1" t="s">
        <v>16</v>
      </c>
      <c r="F35" s="1" t="s">
        <v>17</v>
      </c>
      <c r="G35" s="1" t="s">
        <v>18</v>
      </c>
      <c r="H35" s="1" t="s">
        <v>19</v>
      </c>
    </row>
    <row r="36" spans="1:8" x14ac:dyDescent="0.2">
      <c r="A36" s="1" t="s">
        <v>20</v>
      </c>
      <c r="B36" s="6">
        <v>1</v>
      </c>
      <c r="C36" s="11">
        <f>(12.46+0.21)%</f>
        <v>0.12670000000000001</v>
      </c>
      <c r="D36" s="11">
        <f>(5.34+0.09)%</f>
        <v>5.4299999999999994E-2</v>
      </c>
      <c r="E36" s="12">
        <v>13000</v>
      </c>
      <c r="F36" s="13">
        <f>+E36/12</f>
        <v>1083.3333333333333</v>
      </c>
    </row>
    <row r="37" spans="1:8" x14ac:dyDescent="0.2">
      <c r="A37" s="1" t="s">
        <v>21</v>
      </c>
      <c r="B37" s="6">
        <v>2</v>
      </c>
      <c r="C37" s="11">
        <v>3.0000000000000001E-3</v>
      </c>
      <c r="D37" s="11">
        <v>1E-3</v>
      </c>
      <c r="E37" s="12">
        <v>13000</v>
      </c>
      <c r="F37" s="13">
        <f>+E37/12</f>
        <v>1083.3333333333333</v>
      </c>
    </row>
    <row r="38" spans="1:8" x14ac:dyDescent="0.2">
      <c r="A38" s="1" t="s">
        <v>22</v>
      </c>
      <c r="B38" s="6">
        <v>3</v>
      </c>
      <c r="C38" s="14">
        <v>2.3E-2</v>
      </c>
      <c r="D38" s="14">
        <v>0</v>
      </c>
      <c r="E38" s="15"/>
      <c r="F38" s="15"/>
    </row>
    <row r="39" spans="1:8" x14ac:dyDescent="0.2">
      <c r="A39" s="6" t="s">
        <v>270</v>
      </c>
      <c r="B39" s="1">
        <v>4</v>
      </c>
      <c r="C39" s="14">
        <v>6.3799999999999996E-2</v>
      </c>
      <c r="D39" s="16"/>
      <c r="E39" s="16"/>
      <c r="F39" s="16"/>
      <c r="G39" s="13">
        <v>52763</v>
      </c>
      <c r="H39" s="13">
        <f t="shared" ref="H39:H43" si="1">+G39/12</f>
        <v>4396.916666666667</v>
      </c>
    </row>
    <row r="40" spans="1:8" x14ac:dyDescent="0.2">
      <c r="A40" s="6" t="s">
        <v>285</v>
      </c>
      <c r="B40" s="1">
        <v>5</v>
      </c>
      <c r="C40" s="14">
        <v>9.2999999999999992E-3</v>
      </c>
      <c r="D40" s="136"/>
      <c r="E40" s="16"/>
      <c r="F40" s="16"/>
      <c r="G40" s="13">
        <f>+G39</f>
        <v>52763</v>
      </c>
      <c r="H40" s="13">
        <f t="shared" si="1"/>
        <v>4396.916666666667</v>
      </c>
    </row>
    <row r="41" spans="1:8" x14ac:dyDescent="0.2">
      <c r="A41" s="1" t="s">
        <v>23</v>
      </c>
      <c r="B41" s="1">
        <v>7</v>
      </c>
      <c r="C41" s="16"/>
      <c r="D41" s="14">
        <v>0</v>
      </c>
      <c r="E41" s="12">
        <v>0</v>
      </c>
      <c r="F41" s="13">
        <v>0</v>
      </c>
      <c r="G41" s="13">
        <v>0</v>
      </c>
      <c r="H41" s="13">
        <v>0</v>
      </c>
    </row>
    <row r="42" spans="1:8" x14ac:dyDescent="0.2">
      <c r="A42" s="1" t="s">
        <v>24</v>
      </c>
      <c r="B42" s="1">
        <v>8</v>
      </c>
      <c r="C42" s="14">
        <v>6.7500000000000004E-2</v>
      </c>
      <c r="E42" s="15"/>
      <c r="F42" s="15"/>
      <c r="G42" s="13">
        <f>+G39</f>
        <v>52763</v>
      </c>
      <c r="H42" s="13">
        <f>+G42/12</f>
        <v>4396.916666666667</v>
      </c>
    </row>
    <row r="43" spans="1:8" x14ac:dyDescent="0.2">
      <c r="A43" s="6" t="s">
        <v>25</v>
      </c>
      <c r="B43" s="1">
        <v>9</v>
      </c>
      <c r="C43" s="14">
        <f>0.78%</f>
        <v>7.8000000000000005E-3</v>
      </c>
      <c r="D43" s="16"/>
      <c r="E43" s="16"/>
      <c r="F43" s="16"/>
      <c r="G43" s="13">
        <f>+G39</f>
        <v>52763</v>
      </c>
      <c r="H43" s="13">
        <f t="shared" si="1"/>
        <v>4396.916666666667</v>
      </c>
    </row>
    <row r="44" spans="1:8" x14ac:dyDescent="0.2">
      <c r="A44" s="1" t="s">
        <v>26</v>
      </c>
      <c r="B44" s="1">
        <v>10</v>
      </c>
      <c r="C44" s="14">
        <v>0</v>
      </c>
      <c r="D44" s="16"/>
      <c r="E44" s="16"/>
      <c r="F44" s="16"/>
      <c r="G44" s="15"/>
      <c r="H44" s="15"/>
    </row>
    <row r="45" spans="1:8" x14ac:dyDescent="0.2">
      <c r="A45" s="1" t="s">
        <v>27</v>
      </c>
      <c r="B45" s="1">
        <v>11</v>
      </c>
      <c r="C45" s="14">
        <v>0</v>
      </c>
      <c r="D45" s="16"/>
      <c r="E45" s="16"/>
      <c r="F45" s="16"/>
      <c r="G45" s="15"/>
      <c r="H45" s="15"/>
    </row>
    <row r="46" spans="1:8" x14ac:dyDescent="0.2">
      <c r="B46" s="1" t="s">
        <v>28</v>
      </c>
      <c r="C46" s="17">
        <f>SUM(C36:C45)</f>
        <v>0.30109999999999998</v>
      </c>
      <c r="D46" s="17">
        <f>SUM(D36:D45)</f>
        <v>5.5299999999999995E-2</v>
      </c>
      <c r="E46" s="17">
        <f>SUM(C46:D46)</f>
        <v>0.35639999999999999</v>
      </c>
    </row>
    <row r="48" spans="1:8" x14ac:dyDescent="0.2">
      <c r="A48" s="4" t="s">
        <v>29</v>
      </c>
      <c r="B48" s="1" t="s">
        <v>5</v>
      </c>
      <c r="C48" s="18">
        <v>26.78</v>
      </c>
    </row>
    <row r="49" spans="1:4" x14ac:dyDescent="0.2">
      <c r="B49" s="1" t="s">
        <v>6</v>
      </c>
      <c r="C49" s="18">
        <v>48.93</v>
      </c>
    </row>
    <row r="50" spans="1:4" x14ac:dyDescent="0.2">
      <c r="B50" s="1" t="s">
        <v>7</v>
      </c>
      <c r="C50" s="18">
        <v>24.21</v>
      </c>
    </row>
    <row r="51" spans="1:4" x14ac:dyDescent="0.2">
      <c r="C51" s="19"/>
      <c r="D51" s="1" t="s">
        <v>19</v>
      </c>
    </row>
    <row r="52" spans="1:4" x14ac:dyDescent="0.2">
      <c r="A52" s="4" t="s">
        <v>30</v>
      </c>
      <c r="B52" s="1" t="s">
        <v>31</v>
      </c>
      <c r="C52" s="18">
        <v>1388.12</v>
      </c>
      <c r="D52" s="1">
        <f>ROUND(+C52/12,2)</f>
        <v>115.68</v>
      </c>
    </row>
    <row r="53" spans="1:4" x14ac:dyDescent="0.2">
      <c r="B53" s="1" t="s">
        <v>32</v>
      </c>
      <c r="C53" s="18">
        <v>230.27</v>
      </c>
      <c r="D53" s="1">
        <f>ROUND(+C53/12,2)</f>
        <v>19.190000000000001</v>
      </c>
    </row>
    <row r="54" spans="1:4" x14ac:dyDescent="0.2">
      <c r="B54" s="1" t="s">
        <v>33</v>
      </c>
      <c r="C54" s="18">
        <v>230.27</v>
      </c>
      <c r="D54" s="1">
        <f>ROUND(+C54/12,2)</f>
        <v>19.190000000000001</v>
      </c>
    </row>
    <row r="55" spans="1:4" x14ac:dyDescent="0.2">
      <c r="B55" s="1" t="s">
        <v>34</v>
      </c>
      <c r="C55" s="18">
        <v>0</v>
      </c>
      <c r="D55" s="1">
        <f>ROUND(+C55/12,2)</f>
        <v>0</v>
      </c>
    </row>
    <row r="57" spans="1:4" x14ac:dyDescent="0.2">
      <c r="A57" s="142" t="s">
        <v>300</v>
      </c>
      <c r="B57" s="140"/>
      <c r="C57" s="141">
        <v>200</v>
      </c>
    </row>
    <row r="58" spans="1:4" x14ac:dyDescent="0.2">
      <c r="A58" s="328" t="s">
        <v>301</v>
      </c>
      <c r="B58" s="329"/>
      <c r="C58" s="141">
        <v>500</v>
      </c>
    </row>
    <row r="60" spans="1:4" x14ac:dyDescent="0.2">
      <c r="A60" s="4" t="s">
        <v>35</v>
      </c>
      <c r="C60" s="20">
        <v>33.21</v>
      </c>
      <c r="D60" s="21"/>
    </row>
    <row r="62" spans="1:4" x14ac:dyDescent="0.2">
      <c r="A62" s="4" t="s">
        <v>267</v>
      </c>
      <c r="C62" s="135">
        <v>0.53</v>
      </c>
    </row>
    <row r="65" spans="1:7" x14ac:dyDescent="0.2">
      <c r="A65" s="4" t="s">
        <v>36</v>
      </c>
      <c r="B65" s="4"/>
      <c r="D65" s="18">
        <v>159.94999999999999</v>
      </c>
      <c r="E65" s="1" t="s">
        <v>37</v>
      </c>
    </row>
    <row r="66" spans="1:7" x14ac:dyDescent="0.2">
      <c r="A66" s="4" t="s">
        <v>38</v>
      </c>
      <c r="B66" s="4"/>
      <c r="D66" s="14">
        <v>7.3999999999999996E-2</v>
      </c>
    </row>
    <row r="67" spans="1:7" x14ac:dyDescent="0.2">
      <c r="A67" s="1" t="s">
        <v>39</v>
      </c>
      <c r="B67" s="4"/>
      <c r="C67" s="1">
        <v>0</v>
      </c>
      <c r="D67" s="18">
        <v>0</v>
      </c>
    </row>
    <row r="68" spans="1:7" x14ac:dyDescent="0.2">
      <c r="B68" s="4"/>
      <c r="C68" s="1">
        <v>1</v>
      </c>
      <c r="D68" s="18">
        <v>1200</v>
      </c>
    </row>
    <row r="69" spans="1:7" x14ac:dyDescent="0.2">
      <c r="B69" s="4"/>
      <c r="C69" s="1">
        <v>9</v>
      </c>
      <c r="D69" s="18">
        <v>0</v>
      </c>
    </row>
    <row r="70" spans="1:7" x14ac:dyDescent="0.2">
      <c r="B70" s="4"/>
      <c r="D70" s="19"/>
    </row>
    <row r="71" spans="1:7" x14ac:dyDescent="0.2">
      <c r="A71" s="137" t="s">
        <v>307</v>
      </c>
    </row>
    <row r="72" spans="1:7" x14ac:dyDescent="0.2">
      <c r="A72" s="137" t="s">
        <v>308</v>
      </c>
    </row>
    <row r="73" spans="1:7" x14ac:dyDescent="0.2">
      <c r="A73" s="22" t="s">
        <v>271</v>
      </c>
    </row>
    <row r="74" spans="1:7" x14ac:dyDescent="0.2">
      <c r="A74" s="22"/>
    </row>
    <row r="75" spans="1:7" x14ac:dyDescent="0.2">
      <c r="A75" s="4" t="s">
        <v>40</v>
      </c>
      <c r="G75" s="23"/>
    </row>
    <row r="76" spans="1:7" x14ac:dyDescent="0.2">
      <c r="A76" s="4" t="s">
        <v>41</v>
      </c>
      <c r="B76" s="1" t="s">
        <v>42</v>
      </c>
      <c r="C76" s="1" t="s">
        <v>43</v>
      </c>
    </row>
    <row r="77" spans="1:7" x14ac:dyDescent="0.2">
      <c r="A77" s="1">
        <v>1</v>
      </c>
      <c r="B77" s="138">
        <v>19922</v>
      </c>
      <c r="C77" s="17">
        <v>0.36549999999999999</v>
      </c>
    </row>
    <row r="78" spans="1:7" x14ac:dyDescent="0.2">
      <c r="A78" s="1">
        <v>2</v>
      </c>
      <c r="B78" s="138">
        <v>33715</v>
      </c>
      <c r="C78" s="17">
        <v>0.40200000000000002</v>
      </c>
    </row>
    <row r="79" spans="1:7" x14ac:dyDescent="0.2">
      <c r="A79" s="1">
        <v>3</v>
      </c>
      <c r="B79" s="138">
        <v>66421</v>
      </c>
      <c r="C79" s="17">
        <v>0.40200000000000002</v>
      </c>
    </row>
    <row r="80" spans="1:7" x14ac:dyDescent="0.2">
      <c r="A80" s="1">
        <v>4</v>
      </c>
      <c r="B80" s="138">
        <v>999999</v>
      </c>
      <c r="C80" s="17">
        <v>0.52</v>
      </c>
    </row>
    <row r="82" spans="1:5" x14ac:dyDescent="0.2">
      <c r="A82" s="4" t="s">
        <v>272</v>
      </c>
    </row>
    <row r="83" spans="1:5" x14ac:dyDescent="0.2">
      <c r="A83" s="1" t="s">
        <v>273</v>
      </c>
      <c r="B83" s="138">
        <v>2242</v>
      </c>
    </row>
    <row r="84" spans="1:5" x14ac:dyDescent="0.2">
      <c r="A84" s="136"/>
      <c r="B84" s="136"/>
      <c r="C84" s="136"/>
      <c r="D84" s="136"/>
      <c r="E84" s="6"/>
    </row>
    <row r="85" spans="1:5" x14ac:dyDescent="0.2">
      <c r="A85"/>
      <c r="B85"/>
      <c r="C85"/>
      <c r="D85"/>
      <c r="E85" s="6"/>
    </row>
    <row r="86" spans="1:5" x14ac:dyDescent="0.2">
      <c r="A86"/>
      <c r="B86"/>
      <c r="C86"/>
      <c r="D86"/>
      <c r="E86" s="6"/>
    </row>
    <row r="87" spans="1:5" x14ac:dyDescent="0.2">
      <c r="A87"/>
      <c r="B87"/>
      <c r="C87"/>
      <c r="D87"/>
      <c r="E87" s="6"/>
    </row>
    <row r="88" spans="1:5" x14ac:dyDescent="0.2">
      <c r="A88"/>
      <c r="B88"/>
      <c r="C88"/>
      <c r="D88"/>
      <c r="E88" s="6"/>
    </row>
    <row r="89" spans="1:5" x14ac:dyDescent="0.2">
      <c r="C89" s="24"/>
    </row>
  </sheetData>
  <sheetProtection algorithmName="SHA-512" hashValue="LYrFPf6o5WPJmPTthmvkpiTOdvx3lYXMePHuWgDVc3nx0M80PL4NPlQlB71av2DhHDaETfDd1FZt7dUza4cbOA==" saltValue="E4WB/15oVi9ybUKxLJTTSQ==" spinCount="100000" sheet="1" objects="1" scenarios="1"/>
  <printOptions gridLines="1"/>
  <pageMargins left="0.70866141732283472" right="0.70866141732283472" top="0.74803149606299213" bottom="0.74803149606299213" header="0.31496062992125984" footer="0.31496062992125984"/>
  <pageSetup paperSize="9" scale="64" orientation="portrait" r:id="rId1"/>
  <headerFooter>
    <oddFooter>&amp;L&amp;F&amp;CPagina &amp;P&amp;R&amp;A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10</vt:i4>
      </vt:variant>
    </vt:vector>
  </HeadingPairs>
  <TitlesOfParts>
    <vt:vector size="16" baseType="lpstr">
      <vt:lpstr>Toelichting</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bindingstoelage</vt:lpstr>
      <vt:lpstr>eindejaarsuitkering_OOP</vt:lpstr>
      <vt:lpstr>salaristabellen</vt:lpstr>
      <vt:lpstr>uitlooptoeslag</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2016-01-18T21:28:17Z</cp:lastPrinted>
  <dcterms:created xsi:type="dcterms:W3CDTF">2013-01-15T12:00:14Z</dcterms:created>
  <dcterms:modified xsi:type="dcterms:W3CDTF">2016-01-18T21:49:53Z</dcterms:modified>
</cp:coreProperties>
</file>