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lubbe\Documents\Instrumenten\toolbox 2022\vo\"/>
    </mc:Choice>
  </mc:AlternateContent>
  <xr:revisionPtr revIDLastSave="0" documentId="8_{9230D8FD-5E3F-464D-96F1-AC836DFE4BE6}" xr6:coauthVersionLast="47" xr6:coauthVersionMax="47" xr10:uidLastSave="{00000000-0000-0000-0000-000000000000}"/>
  <bookViews>
    <workbookView xWindow="-120" yWindow="-120" windowWidth="19440" windowHeight="15000" tabRatio="777" activeTab="1" xr2:uid="{00000000-000D-0000-FFFF-FFFF00000000}"/>
  </bookViews>
  <sheets>
    <sheet name="Toelichting" sheetId="1" r:id="rId1"/>
    <sheet name="wgl" sheetId="3" r:id="rId2"/>
    <sheet name="wgl tot" sheetId="10" r:id="rId3"/>
    <sheet name="Blad1" sheetId="9" state="hidden" r:id="rId4"/>
    <sheet name="Ouderschapsverlof" sheetId="4" r:id="rId5"/>
    <sheet name="Functiedifferentiatie" sheetId="5" r:id="rId6"/>
    <sheet name="Extra periodieken" sheetId="6" r:id="rId7"/>
    <sheet name="tabellen" sheetId="7" r:id="rId8"/>
    <sheet name="saltab" sheetId="8" r:id="rId9"/>
  </sheets>
  <definedNames>
    <definedName name="_ftn1" localSheetId="3">Blad1!#REF!</definedName>
    <definedName name="_ftnref1" localSheetId="3">Blad1!$B$7</definedName>
    <definedName name="_xlnm.Print_Area" localSheetId="6">'Extra periodieken'!$B$2:$K$54</definedName>
    <definedName name="_xlnm.Print_Area" localSheetId="5">Functiedifferentiatie!$B$2:$K$50</definedName>
    <definedName name="_xlnm.Print_Area" localSheetId="4">Ouderschapsverlof!$B$2:$L$58</definedName>
    <definedName name="_xlnm.Print_Area" localSheetId="7">tabellen!$A$1:$J$50</definedName>
    <definedName name="_xlnm.Print_Area" localSheetId="0">Toelichting!$B$2:$S$162</definedName>
    <definedName name="_xlnm.Print_Area" localSheetId="1">wgl!$B$2:$T$68</definedName>
    <definedName name="_xlnm.Print_Area" localSheetId="2">'wgl tot'!$A$1:$AT$88</definedName>
    <definedName name="bindingstoelage">tabellen!$B$22:$D$25</definedName>
    <definedName name="eindejaarsuitkering_OOP">tabellen!$C$34:$D$36</definedName>
    <definedName name="saltab2019juni">saltab!#REF!</definedName>
    <definedName name="saltab2019okt">saltab!$B$6:$S$30</definedName>
    <definedName name="saltab2020aug">saltab!$B$88:$S$112</definedName>
    <definedName name="uitlooptoeslag">tabellen!$B$18:$C$20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3" l="1"/>
  <c r="J29" i="3"/>
  <c r="F28" i="6"/>
  <c r="I6" i="3"/>
  <c r="G22" i="3"/>
  <c r="G21" i="3"/>
  <c r="F18" i="6" l="1"/>
  <c r="F31" i="5"/>
  <c r="F17" i="5"/>
  <c r="H15" i="4"/>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12" i="10"/>
  <c r="I16" i="3"/>
  <c r="AB14" i="10" l="1"/>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S112" i="8" l="1"/>
  <c r="S111" i="8"/>
  <c r="S110" i="8"/>
  <c r="S109" i="8"/>
  <c r="S108" i="8"/>
  <c r="S107" i="8"/>
  <c r="S106" i="8"/>
  <c r="S105" i="8"/>
  <c r="S104" i="8"/>
  <c r="S103" i="8"/>
  <c r="S102" i="8"/>
  <c r="S101" i="8"/>
  <c r="S100" i="8"/>
  <c r="S99" i="8"/>
  <c r="I30" i="5" s="1"/>
  <c r="S98" i="8"/>
  <c r="I16" i="5" s="1"/>
  <c r="S97" i="8"/>
  <c r="S96" i="8"/>
  <c r="S95" i="8"/>
  <c r="S94" i="8"/>
  <c r="S93" i="8"/>
  <c r="S92" i="8"/>
  <c r="S91" i="8"/>
  <c r="S90" i="8"/>
  <c r="S89" i="8"/>
  <c r="J14" i="4" s="1"/>
  <c r="S88" i="8"/>
  <c r="I17" i="6" s="1"/>
  <c r="S58" i="8"/>
  <c r="S57" i="8"/>
  <c r="S56" i="8"/>
  <c r="S55" i="8"/>
  <c r="S49" i="8"/>
  <c r="S48" i="8"/>
  <c r="S47" i="8"/>
  <c r="S46" i="8"/>
  <c r="S45" i="8"/>
  <c r="S44" i="8"/>
  <c r="S43" i="8"/>
  <c r="S42" i="8"/>
  <c r="S41" i="8"/>
  <c r="S40" i="8"/>
  <c r="S39" i="8"/>
  <c r="S38" i="8"/>
  <c r="S37" i="8"/>
  <c r="S36" i="8"/>
  <c r="S35" i="8"/>
  <c r="S34" i="8"/>
  <c r="S30" i="8"/>
  <c r="S29" i="8"/>
  <c r="S28" i="8"/>
  <c r="S27" i="8"/>
  <c r="S26" i="8"/>
  <c r="S25" i="8"/>
  <c r="S24" i="8"/>
  <c r="S23" i="8"/>
  <c r="S22" i="8"/>
  <c r="S21" i="8"/>
  <c r="S20" i="8"/>
  <c r="S19" i="8"/>
  <c r="S18" i="8"/>
  <c r="S17" i="8"/>
  <c r="S16" i="8"/>
  <c r="S15" i="8"/>
  <c r="S14" i="8"/>
  <c r="S13" i="8"/>
  <c r="S12" i="8"/>
  <c r="S11" i="8"/>
  <c r="S10" i="8"/>
  <c r="S9" i="8"/>
  <c r="S8" i="8"/>
  <c r="S7" i="8"/>
  <c r="S6" i="8"/>
  <c r="T15" i="10" l="1"/>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14" i="10"/>
  <c r="BD13" i="10"/>
  <c r="BD14" i="10"/>
  <c r="BD15" i="10"/>
  <c r="BD16" i="10"/>
  <c r="BD17" i="10"/>
  <c r="BD18" i="10"/>
  <c r="BD19" i="10"/>
  <c r="BD20" i="10"/>
  <c r="BD21" i="10"/>
  <c r="BD22" i="10"/>
  <c r="BD23" i="10"/>
  <c r="BD24" i="10"/>
  <c r="BD25" i="10"/>
  <c r="BD26" i="10"/>
  <c r="BD27" i="10"/>
  <c r="BD28" i="10"/>
  <c r="BD29" i="10"/>
  <c r="BD30" i="10"/>
  <c r="BD31" i="10"/>
  <c r="BD32" i="10"/>
  <c r="BD33" i="10"/>
  <c r="BD34" i="10"/>
  <c r="BD35" i="10"/>
  <c r="BD36" i="10"/>
  <c r="BD37" i="10"/>
  <c r="BD38" i="10"/>
  <c r="BD39" i="10"/>
  <c r="BD40" i="10"/>
  <c r="BD41" i="10"/>
  <c r="BD42" i="10"/>
  <c r="BD43" i="10"/>
  <c r="BD44" i="10"/>
  <c r="BD45" i="10"/>
  <c r="BD46" i="10"/>
  <c r="BD47" i="10"/>
  <c r="BD48" i="10"/>
  <c r="BD49" i="10"/>
  <c r="BD50" i="10"/>
  <c r="BD51" i="10"/>
  <c r="BD52" i="10"/>
  <c r="BD53" i="10"/>
  <c r="BD54" i="10"/>
  <c r="BD55" i="10"/>
  <c r="BD56" i="10"/>
  <c r="BD57" i="10"/>
  <c r="BD58" i="10"/>
  <c r="BD59" i="10"/>
  <c r="BD60" i="10"/>
  <c r="BD61" i="10"/>
  <c r="BD62" i="10"/>
  <c r="BD63" i="10"/>
  <c r="BD64" i="10"/>
  <c r="BD65" i="10"/>
  <c r="BD66" i="10"/>
  <c r="BD67" i="10"/>
  <c r="BD68" i="10"/>
  <c r="BD69" i="10"/>
  <c r="BD70" i="10"/>
  <c r="BD71" i="10"/>
  <c r="BD72" i="10"/>
  <c r="BD73" i="10"/>
  <c r="BD74" i="10"/>
  <c r="BD75" i="10"/>
  <c r="BD76" i="10"/>
  <c r="BD77" i="10"/>
  <c r="BD78" i="10"/>
  <c r="BD79" i="10"/>
  <c r="BD80" i="10"/>
  <c r="BD81" i="10"/>
  <c r="BD82" i="10"/>
  <c r="BD83" i="10"/>
  <c r="BD84" i="10"/>
  <c r="BD85" i="10"/>
  <c r="BD86" i="10"/>
  <c r="BD12" i="10"/>
  <c r="AI14" i="10"/>
  <c r="AI15" i="10"/>
  <c r="AI16" i="10"/>
  <c r="AI17" i="10"/>
  <c r="AI18" i="10"/>
  <c r="AI19" i="10"/>
  <c r="AI20" i="10"/>
  <c r="AI21" i="10"/>
  <c r="AI22" i="10"/>
  <c r="AI23" i="10"/>
  <c r="AI24" i="10"/>
  <c r="AI25" i="10"/>
  <c r="AI26" i="10"/>
  <c r="AI27" i="10"/>
  <c r="AI28" i="10"/>
  <c r="AI29"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64" i="10"/>
  <c r="AI65" i="10"/>
  <c r="AI66" i="10"/>
  <c r="AI67" i="10"/>
  <c r="AI68" i="10"/>
  <c r="AI69" i="10"/>
  <c r="AI70" i="10"/>
  <c r="AI71" i="10"/>
  <c r="AI72" i="10"/>
  <c r="AI73" i="10"/>
  <c r="AI74" i="10"/>
  <c r="AI75" i="10"/>
  <c r="AI76" i="10"/>
  <c r="AI77" i="10"/>
  <c r="AI78" i="10"/>
  <c r="AI79" i="10"/>
  <c r="AI80" i="10"/>
  <c r="AI81" i="10"/>
  <c r="AI82" i="10"/>
  <c r="AI83" i="10"/>
  <c r="AI84" i="10"/>
  <c r="AI85" i="10"/>
  <c r="AI86" i="10"/>
  <c r="AH14" i="10"/>
  <c r="AH15" i="10"/>
  <c r="AH16" i="10"/>
  <c r="AH17" i="10"/>
  <c r="AH18" i="10"/>
  <c r="AH19" i="10"/>
  <c r="AH20" i="10"/>
  <c r="AH21" i="10"/>
  <c r="AH22" i="10"/>
  <c r="AH23" i="10"/>
  <c r="AH24" i="10"/>
  <c r="AH25" i="10"/>
  <c r="AH26" i="10"/>
  <c r="AH27" i="10"/>
  <c r="AH28" i="10"/>
  <c r="AH29" i="10"/>
  <c r="AH30" i="10"/>
  <c r="AH31" i="10"/>
  <c r="AH32" i="10"/>
  <c r="AH33" i="10"/>
  <c r="AH34" i="10"/>
  <c r="AH35" i="10"/>
  <c r="AH36" i="10"/>
  <c r="AH37" i="10"/>
  <c r="AH38" i="10"/>
  <c r="AH39" i="10"/>
  <c r="AH40" i="10"/>
  <c r="AH41" i="10"/>
  <c r="AH42" i="10"/>
  <c r="AH43" i="10"/>
  <c r="AH44" i="10"/>
  <c r="AH45" i="10"/>
  <c r="AH46" i="10"/>
  <c r="AH47" i="10"/>
  <c r="AH48" i="10"/>
  <c r="AH49" i="10"/>
  <c r="AH50" i="10"/>
  <c r="AH51" i="10"/>
  <c r="AH52" i="10"/>
  <c r="AH53" i="10"/>
  <c r="AH54" i="10"/>
  <c r="AH55" i="10"/>
  <c r="AH56" i="10"/>
  <c r="AH57" i="10"/>
  <c r="AH58" i="10"/>
  <c r="AH59" i="10"/>
  <c r="AH60" i="10"/>
  <c r="AH61" i="10"/>
  <c r="AH62" i="10"/>
  <c r="AH63" i="10"/>
  <c r="AH64" i="10"/>
  <c r="AH65" i="10"/>
  <c r="AH66" i="10"/>
  <c r="AH67" i="10"/>
  <c r="AH68" i="10"/>
  <c r="AH69" i="10"/>
  <c r="AH70" i="10"/>
  <c r="AH71" i="10"/>
  <c r="AH72" i="10"/>
  <c r="AH73" i="10"/>
  <c r="AH74" i="10"/>
  <c r="AH75" i="10"/>
  <c r="AH76" i="10"/>
  <c r="AH77" i="10"/>
  <c r="AH78" i="10"/>
  <c r="AH79" i="10"/>
  <c r="AH80" i="10"/>
  <c r="AH81" i="10"/>
  <c r="AH82" i="10"/>
  <c r="AH83" i="10"/>
  <c r="AH84" i="10"/>
  <c r="AH85" i="10"/>
  <c r="AH86" i="10"/>
  <c r="AF14" i="10"/>
  <c r="AF15" i="10"/>
  <c r="AF16" i="10"/>
  <c r="AF17" i="10"/>
  <c r="AF18" i="10"/>
  <c r="AF19" i="10"/>
  <c r="AF20" i="10"/>
  <c r="AF21" i="10"/>
  <c r="AF22" i="10"/>
  <c r="AF23" i="10"/>
  <c r="AF24" i="10"/>
  <c r="AF25" i="10"/>
  <c r="AF26" i="10"/>
  <c r="AF27" i="10"/>
  <c r="AF28" i="10"/>
  <c r="AF29"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64" i="10"/>
  <c r="AF65" i="10"/>
  <c r="AF66" i="10"/>
  <c r="AF67" i="10"/>
  <c r="AF68" i="10"/>
  <c r="AF69" i="10"/>
  <c r="AF70" i="10"/>
  <c r="AF71" i="10"/>
  <c r="AF72" i="10"/>
  <c r="AF73" i="10"/>
  <c r="AF74" i="10"/>
  <c r="AF75" i="10"/>
  <c r="AF76" i="10"/>
  <c r="AF77" i="10"/>
  <c r="AF78" i="10"/>
  <c r="AF79" i="10"/>
  <c r="AF80" i="10"/>
  <c r="AF81" i="10"/>
  <c r="AF82" i="10"/>
  <c r="AF83" i="10"/>
  <c r="AF84" i="10"/>
  <c r="AF85" i="10"/>
  <c r="AF86" i="10"/>
  <c r="AE14"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6" i="10"/>
  <c r="AE67" i="10"/>
  <c r="AE68" i="10"/>
  <c r="AE69" i="10"/>
  <c r="AE70" i="10"/>
  <c r="AE71" i="10"/>
  <c r="AE72" i="10"/>
  <c r="AE73" i="10"/>
  <c r="AE74" i="10"/>
  <c r="AE75" i="10"/>
  <c r="AE76" i="10"/>
  <c r="AE77" i="10"/>
  <c r="AE78" i="10"/>
  <c r="AE79" i="10"/>
  <c r="AE80" i="10"/>
  <c r="AE81" i="10"/>
  <c r="AE82" i="10"/>
  <c r="AE83" i="10"/>
  <c r="AE84" i="10"/>
  <c r="AE85" i="10"/>
  <c r="AE86"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64" i="10"/>
  <c r="AD65" i="10"/>
  <c r="AD66" i="10"/>
  <c r="AD67" i="10"/>
  <c r="AD68" i="10"/>
  <c r="AD69" i="10"/>
  <c r="AD70" i="10"/>
  <c r="AD71" i="10"/>
  <c r="AD72" i="10"/>
  <c r="AD73" i="10"/>
  <c r="AD74" i="10"/>
  <c r="AD75" i="10"/>
  <c r="AD76" i="10"/>
  <c r="AD77" i="10"/>
  <c r="AD78" i="10"/>
  <c r="AD79" i="10"/>
  <c r="AD80" i="10"/>
  <c r="AD81" i="10"/>
  <c r="AD82" i="10"/>
  <c r="AD83" i="10"/>
  <c r="AD84" i="10"/>
  <c r="AD85" i="10"/>
  <c r="AD86" i="10"/>
  <c r="AA14" i="10"/>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70" i="10"/>
  <c r="AA71" i="10"/>
  <c r="AA72" i="10"/>
  <c r="AA73" i="10"/>
  <c r="AA74" i="10"/>
  <c r="AA75" i="10"/>
  <c r="AA76" i="10"/>
  <c r="AA77" i="10"/>
  <c r="AA78" i="10"/>
  <c r="AA79" i="10"/>
  <c r="AA80" i="10"/>
  <c r="AA81" i="10"/>
  <c r="AA82" i="10"/>
  <c r="AA83" i="10"/>
  <c r="AA84" i="10"/>
  <c r="AA85" i="10"/>
  <c r="AA86" i="10"/>
  <c r="AZ13" i="10" l="1"/>
  <c r="BE13" i="10" s="1"/>
  <c r="AZ14" i="10"/>
  <c r="BE14" i="10" s="1"/>
  <c r="AZ15" i="10"/>
  <c r="BE15" i="10" s="1"/>
  <c r="AZ16" i="10"/>
  <c r="BE16" i="10" s="1"/>
  <c r="S16" i="10" s="1"/>
  <c r="AZ17" i="10"/>
  <c r="BE17" i="10" s="1"/>
  <c r="AZ18" i="10"/>
  <c r="BE18" i="10" s="1"/>
  <c r="AZ19" i="10"/>
  <c r="BE19" i="10" s="1"/>
  <c r="AZ20" i="10"/>
  <c r="BE20" i="10" s="1"/>
  <c r="S20" i="10" s="1"/>
  <c r="AZ21" i="10"/>
  <c r="BE21" i="10" s="1"/>
  <c r="AZ22" i="10"/>
  <c r="BE22" i="10" s="1"/>
  <c r="AZ23" i="10"/>
  <c r="BE23" i="10" s="1"/>
  <c r="AZ24" i="10"/>
  <c r="BE24" i="10" s="1"/>
  <c r="S24" i="10" s="1"/>
  <c r="AZ25" i="10"/>
  <c r="BE25" i="10" s="1"/>
  <c r="AZ26" i="10"/>
  <c r="BE26" i="10" s="1"/>
  <c r="AZ27" i="10"/>
  <c r="BE27" i="10" s="1"/>
  <c r="S27" i="10" s="1"/>
  <c r="AZ28" i="10"/>
  <c r="BE28" i="10" s="1"/>
  <c r="S28" i="10" s="1"/>
  <c r="AZ29" i="10"/>
  <c r="BE29" i="10" s="1"/>
  <c r="AZ30" i="10"/>
  <c r="BE30" i="10" s="1"/>
  <c r="AZ31" i="10"/>
  <c r="BE31" i="10" s="1"/>
  <c r="S31" i="10" s="1"/>
  <c r="AZ32" i="10"/>
  <c r="BE32" i="10" s="1"/>
  <c r="S32" i="10" s="1"/>
  <c r="AZ33" i="10"/>
  <c r="BE33" i="10" s="1"/>
  <c r="AZ34" i="10"/>
  <c r="BE34" i="10" s="1"/>
  <c r="AZ35" i="10"/>
  <c r="BE35" i="10" s="1"/>
  <c r="S35" i="10" s="1"/>
  <c r="AZ36" i="10"/>
  <c r="BE36" i="10" s="1"/>
  <c r="S36" i="10" s="1"/>
  <c r="AZ37" i="10"/>
  <c r="BE37" i="10" s="1"/>
  <c r="AZ38" i="10"/>
  <c r="BE38" i="10" s="1"/>
  <c r="AZ39" i="10"/>
  <c r="BE39" i="10" s="1"/>
  <c r="S39" i="10" s="1"/>
  <c r="AZ40" i="10"/>
  <c r="BE40" i="10" s="1"/>
  <c r="S40" i="10" s="1"/>
  <c r="AZ41" i="10"/>
  <c r="BE41" i="10" s="1"/>
  <c r="AZ42" i="10"/>
  <c r="BE42" i="10" s="1"/>
  <c r="AZ43" i="10"/>
  <c r="BE43" i="10" s="1"/>
  <c r="S43" i="10" s="1"/>
  <c r="AZ44" i="10"/>
  <c r="BE44" i="10" s="1"/>
  <c r="S44" i="10" s="1"/>
  <c r="AZ45" i="10"/>
  <c r="BE45" i="10" s="1"/>
  <c r="AZ46" i="10"/>
  <c r="BE46" i="10" s="1"/>
  <c r="AZ47" i="10"/>
  <c r="BE47" i="10" s="1"/>
  <c r="S47" i="10" s="1"/>
  <c r="AZ48" i="10"/>
  <c r="BE48" i="10" s="1"/>
  <c r="S48" i="10" s="1"/>
  <c r="AZ49" i="10"/>
  <c r="BE49" i="10" s="1"/>
  <c r="AZ50" i="10"/>
  <c r="BE50" i="10" s="1"/>
  <c r="AZ51" i="10"/>
  <c r="BE51" i="10" s="1"/>
  <c r="S51" i="10" s="1"/>
  <c r="AZ52" i="10"/>
  <c r="BE52" i="10" s="1"/>
  <c r="S52" i="10" s="1"/>
  <c r="AZ53" i="10"/>
  <c r="BE53" i="10" s="1"/>
  <c r="AZ54" i="10"/>
  <c r="BE54" i="10" s="1"/>
  <c r="AZ55" i="10"/>
  <c r="BE55" i="10" s="1"/>
  <c r="AZ56" i="10"/>
  <c r="BE56" i="10" s="1"/>
  <c r="S56" i="10" s="1"/>
  <c r="AZ57" i="10"/>
  <c r="BE57" i="10" s="1"/>
  <c r="AZ58" i="10"/>
  <c r="BE58" i="10" s="1"/>
  <c r="AZ59" i="10"/>
  <c r="BE59" i="10" s="1"/>
  <c r="AZ60" i="10"/>
  <c r="BE60" i="10" s="1"/>
  <c r="S60" i="10" s="1"/>
  <c r="AZ61" i="10"/>
  <c r="BE61" i="10" s="1"/>
  <c r="AZ62" i="10"/>
  <c r="BE62" i="10" s="1"/>
  <c r="AZ63" i="10"/>
  <c r="BE63" i="10" s="1"/>
  <c r="AZ64" i="10"/>
  <c r="BE64" i="10" s="1"/>
  <c r="S64" i="10" s="1"/>
  <c r="AZ65" i="10"/>
  <c r="BE65" i="10" s="1"/>
  <c r="AZ66" i="10"/>
  <c r="BE66" i="10" s="1"/>
  <c r="AZ67" i="10"/>
  <c r="BE67" i="10" s="1"/>
  <c r="S67" i="10" s="1"/>
  <c r="AZ68" i="10"/>
  <c r="BE68" i="10" s="1"/>
  <c r="S68" i="10" s="1"/>
  <c r="AZ69" i="10"/>
  <c r="BE69" i="10" s="1"/>
  <c r="AZ70" i="10"/>
  <c r="BE70" i="10" s="1"/>
  <c r="AZ71" i="10"/>
  <c r="BE71" i="10" s="1"/>
  <c r="S71" i="10" s="1"/>
  <c r="AZ72" i="10"/>
  <c r="BE72" i="10" s="1"/>
  <c r="S72" i="10" s="1"/>
  <c r="AZ73" i="10"/>
  <c r="BE73" i="10" s="1"/>
  <c r="AZ74" i="10"/>
  <c r="BE74" i="10" s="1"/>
  <c r="AZ75" i="10"/>
  <c r="BE75" i="10" s="1"/>
  <c r="AZ76" i="10"/>
  <c r="BE76" i="10" s="1"/>
  <c r="S76" i="10" s="1"/>
  <c r="AZ77" i="10"/>
  <c r="BE77" i="10" s="1"/>
  <c r="AZ78" i="10"/>
  <c r="BE78" i="10" s="1"/>
  <c r="AZ79" i="10"/>
  <c r="BE79" i="10" s="1"/>
  <c r="S79" i="10" s="1"/>
  <c r="AZ80" i="10"/>
  <c r="BE80" i="10" s="1"/>
  <c r="S80" i="10" s="1"/>
  <c r="AZ81" i="10"/>
  <c r="BE81" i="10" s="1"/>
  <c r="AZ82" i="10"/>
  <c r="BE82" i="10" s="1"/>
  <c r="AZ83" i="10"/>
  <c r="BE83" i="10" s="1"/>
  <c r="S83" i="10" s="1"/>
  <c r="AZ84" i="10"/>
  <c r="BE84" i="10" s="1"/>
  <c r="S84" i="10" s="1"/>
  <c r="AZ85" i="10"/>
  <c r="BE85" i="10" s="1"/>
  <c r="AZ86" i="10"/>
  <c r="BE86" i="10" s="1"/>
  <c r="AZ12" i="10"/>
  <c r="BE12" i="10" s="1"/>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BA13" i="10"/>
  <c r="S13" i="10" s="1"/>
  <c r="N13" i="10"/>
  <c r="N14" i="10"/>
  <c r="N16" i="10"/>
  <c r="N18" i="10"/>
  <c r="N22" i="10"/>
  <c r="N26" i="10"/>
  <c r="N29" i="10"/>
  <c r="N30" i="10"/>
  <c r="N31" i="10"/>
  <c r="N32" i="10"/>
  <c r="N33" i="10"/>
  <c r="N34" i="10"/>
  <c r="N35" i="10"/>
  <c r="N37" i="10"/>
  <c r="N38" i="10"/>
  <c r="N39" i="10"/>
  <c r="N40" i="10"/>
  <c r="N42" i="10"/>
  <c r="N46" i="10"/>
  <c r="N47" i="10"/>
  <c r="N48" i="10"/>
  <c r="N50" i="10"/>
  <c r="N52" i="10"/>
  <c r="N54" i="10"/>
  <c r="N58" i="10"/>
  <c r="N60" i="10"/>
  <c r="N62" i="10"/>
  <c r="N64" i="10"/>
  <c r="N65" i="10"/>
  <c r="N66" i="10"/>
  <c r="N70" i="10"/>
  <c r="N71" i="10"/>
  <c r="N72" i="10"/>
  <c r="N74" i="10"/>
  <c r="N76" i="10"/>
  <c r="N78" i="10"/>
  <c r="N80" i="10"/>
  <c r="N82" i="10"/>
  <c r="N84" i="10"/>
  <c r="N86" i="10"/>
  <c r="N12" i="10"/>
  <c r="C4" i="10"/>
  <c r="BP86" i="10"/>
  <c r="BN86" i="10"/>
  <c r="BM86" i="10"/>
  <c r="BL86" i="10"/>
  <c r="S86" i="10"/>
  <c r="BC86" i="10"/>
  <c r="BA86" i="10"/>
  <c r="BP85" i="10"/>
  <c r="BN85" i="10"/>
  <c r="BM85" i="10"/>
  <c r="BL85" i="10"/>
  <c r="S85" i="10"/>
  <c r="BC85" i="10"/>
  <c r="BA85" i="10"/>
  <c r="BP84" i="10"/>
  <c r="BN84" i="10"/>
  <c r="BM84" i="10"/>
  <c r="BL84" i="10"/>
  <c r="BC84" i="10"/>
  <c r="BA84" i="10"/>
  <c r="BP83" i="10"/>
  <c r="BN83" i="10"/>
  <c r="BM83" i="10"/>
  <c r="BL83" i="10"/>
  <c r="BC83" i="10"/>
  <c r="BA83" i="10"/>
  <c r="BP82" i="10"/>
  <c r="BN82" i="10"/>
  <c r="BM82" i="10"/>
  <c r="BL82" i="10"/>
  <c r="S82" i="10"/>
  <c r="BC82" i="10"/>
  <c r="BA82" i="10"/>
  <c r="BP81" i="10"/>
  <c r="BN81" i="10"/>
  <c r="BM81" i="10"/>
  <c r="BL81" i="10"/>
  <c r="S81" i="10"/>
  <c r="BC81" i="10"/>
  <c r="BA81" i="10"/>
  <c r="BP80" i="10"/>
  <c r="BN80" i="10"/>
  <c r="BM80" i="10"/>
  <c r="BL80" i="10"/>
  <c r="BC80" i="10"/>
  <c r="BA80" i="10"/>
  <c r="BP79" i="10"/>
  <c r="BN79" i="10"/>
  <c r="BM79" i="10"/>
  <c r="BL79" i="10"/>
  <c r="BC79" i="10"/>
  <c r="BA79" i="10"/>
  <c r="N79" i="10"/>
  <c r="BP78" i="10"/>
  <c r="BN78" i="10"/>
  <c r="BM78" i="10"/>
  <c r="BL78" i="10"/>
  <c r="S78" i="10"/>
  <c r="BC78" i="10"/>
  <c r="BA78" i="10"/>
  <c r="BP77" i="10"/>
  <c r="BN77" i="10"/>
  <c r="BM77" i="10"/>
  <c r="BL77" i="10"/>
  <c r="S77" i="10"/>
  <c r="BC77" i="10"/>
  <c r="BA77" i="10"/>
  <c r="N77" i="10"/>
  <c r="BP76" i="10"/>
  <c r="BN76" i="10"/>
  <c r="BM76" i="10"/>
  <c r="BL76" i="10"/>
  <c r="BC76" i="10"/>
  <c r="BA76" i="10"/>
  <c r="BP75" i="10"/>
  <c r="BN75" i="10"/>
  <c r="BM75" i="10"/>
  <c r="BL75" i="10"/>
  <c r="S75" i="10"/>
  <c r="BC75" i="10"/>
  <c r="BA75" i="10"/>
  <c r="BP74" i="10"/>
  <c r="BN74" i="10"/>
  <c r="BM74" i="10"/>
  <c r="BL74" i="10"/>
  <c r="S74" i="10"/>
  <c r="BC74" i="10"/>
  <c r="BA74" i="10"/>
  <c r="BP73" i="10"/>
  <c r="BN73" i="10"/>
  <c r="BM73" i="10"/>
  <c r="BL73" i="10"/>
  <c r="S73" i="10"/>
  <c r="BC73" i="10"/>
  <c r="BA73" i="10"/>
  <c r="BP72" i="10"/>
  <c r="BN72" i="10"/>
  <c r="BM72" i="10"/>
  <c r="BL72" i="10"/>
  <c r="BC72" i="10"/>
  <c r="BA72" i="10"/>
  <c r="BP71" i="10"/>
  <c r="BN71" i="10"/>
  <c r="BM71" i="10"/>
  <c r="BL71" i="10"/>
  <c r="BC71" i="10"/>
  <c r="BA71" i="10"/>
  <c r="BP70" i="10"/>
  <c r="BN70" i="10"/>
  <c r="BM70" i="10"/>
  <c r="BL70" i="10"/>
  <c r="S70" i="10"/>
  <c r="BC70" i="10"/>
  <c r="BA70" i="10"/>
  <c r="BP69" i="10"/>
  <c r="BN69" i="10"/>
  <c r="BM69" i="10"/>
  <c r="BL69" i="10"/>
  <c r="S69" i="10"/>
  <c r="BC69" i="10"/>
  <c r="BA69" i="10"/>
  <c r="BP68" i="10"/>
  <c r="BN68" i="10"/>
  <c r="BM68" i="10"/>
  <c r="BL68" i="10"/>
  <c r="BC68" i="10"/>
  <c r="BA68" i="10"/>
  <c r="N68" i="10"/>
  <c r="BP67" i="10"/>
  <c r="BN67" i="10"/>
  <c r="BM67" i="10"/>
  <c r="BL67" i="10"/>
  <c r="BC67" i="10"/>
  <c r="BA67" i="10"/>
  <c r="N67" i="10"/>
  <c r="BP66" i="10"/>
  <c r="BN66" i="10"/>
  <c r="BM66" i="10"/>
  <c r="BL66" i="10"/>
  <c r="S66" i="10"/>
  <c r="BC66" i="10"/>
  <c r="BA66" i="10"/>
  <c r="BP65" i="10"/>
  <c r="BN65" i="10"/>
  <c r="BM65" i="10"/>
  <c r="BL65" i="10"/>
  <c r="S65" i="10"/>
  <c r="BC65" i="10"/>
  <c r="BA65" i="10"/>
  <c r="BP64" i="10"/>
  <c r="BN64" i="10"/>
  <c r="BM64" i="10"/>
  <c r="BL64" i="10"/>
  <c r="BC64" i="10"/>
  <c r="BA64" i="10"/>
  <c r="BP63" i="10"/>
  <c r="BN63" i="10"/>
  <c r="BM63" i="10"/>
  <c r="BL63" i="10"/>
  <c r="S63" i="10"/>
  <c r="BC63" i="10"/>
  <c r="BA63" i="10"/>
  <c r="N63" i="10"/>
  <c r="BP62" i="10"/>
  <c r="BN62" i="10"/>
  <c r="BM62" i="10"/>
  <c r="BL62" i="10"/>
  <c r="S62" i="10"/>
  <c r="BC62" i="10"/>
  <c r="BA62" i="10"/>
  <c r="BP61" i="10"/>
  <c r="BN61" i="10"/>
  <c r="BM61" i="10"/>
  <c r="BL61" i="10"/>
  <c r="S61" i="10"/>
  <c r="BC61" i="10"/>
  <c r="BA61" i="10"/>
  <c r="BP60" i="10"/>
  <c r="BN60" i="10"/>
  <c r="BM60" i="10"/>
  <c r="BL60" i="10"/>
  <c r="BC60" i="10"/>
  <c r="BA60" i="10"/>
  <c r="BP59" i="10"/>
  <c r="BN59" i="10"/>
  <c r="BM59" i="10"/>
  <c r="BL59" i="10"/>
  <c r="S59" i="10"/>
  <c r="BC59" i="10"/>
  <c r="BA59" i="10"/>
  <c r="BP58" i="10"/>
  <c r="BN58" i="10"/>
  <c r="BM58" i="10"/>
  <c r="BL58" i="10"/>
  <c r="S58" i="10"/>
  <c r="BC58" i="10"/>
  <c r="BA58" i="10"/>
  <c r="BP57" i="10"/>
  <c r="BN57" i="10"/>
  <c r="BM57" i="10"/>
  <c r="BL57" i="10"/>
  <c r="S57" i="10"/>
  <c r="BC57" i="10"/>
  <c r="BA57" i="10"/>
  <c r="BP56" i="10"/>
  <c r="BN56" i="10"/>
  <c r="BM56" i="10"/>
  <c r="BL56" i="10"/>
  <c r="BC56" i="10"/>
  <c r="BA56" i="10"/>
  <c r="N56" i="10"/>
  <c r="BP55" i="10"/>
  <c r="BN55" i="10"/>
  <c r="BM55" i="10"/>
  <c r="BL55" i="10"/>
  <c r="S55" i="10"/>
  <c r="BC55" i="10"/>
  <c r="BA55" i="10"/>
  <c r="BP54" i="10"/>
  <c r="BN54" i="10"/>
  <c r="BM54" i="10"/>
  <c r="BL54" i="10"/>
  <c r="S54" i="10"/>
  <c r="BC54" i="10"/>
  <c r="BA54" i="10"/>
  <c r="BP53" i="10"/>
  <c r="BN53" i="10"/>
  <c r="BM53" i="10"/>
  <c r="BL53" i="10"/>
  <c r="S53" i="10"/>
  <c r="BC53" i="10"/>
  <c r="BA53" i="10"/>
  <c r="BP52" i="10"/>
  <c r="BN52" i="10"/>
  <c r="BM52" i="10"/>
  <c r="BL52" i="10"/>
  <c r="BC52" i="10"/>
  <c r="BA52" i="10"/>
  <c r="BP51" i="10"/>
  <c r="BN51" i="10"/>
  <c r="BM51" i="10"/>
  <c r="BL51" i="10"/>
  <c r="BC51" i="10"/>
  <c r="BA51" i="10"/>
  <c r="N51" i="10"/>
  <c r="BP50" i="10"/>
  <c r="BN50" i="10"/>
  <c r="BM50" i="10"/>
  <c r="BL50" i="10"/>
  <c r="S50" i="10"/>
  <c r="BC50" i="10"/>
  <c r="BA50" i="10"/>
  <c r="BP49" i="10"/>
  <c r="BN49" i="10"/>
  <c r="BM49" i="10"/>
  <c r="BL49" i="10"/>
  <c r="S49" i="10"/>
  <c r="BC49" i="10"/>
  <c r="BA49" i="10"/>
  <c r="BP48" i="10"/>
  <c r="BN48" i="10"/>
  <c r="BM48" i="10"/>
  <c r="BL48" i="10"/>
  <c r="BC48" i="10"/>
  <c r="BA48" i="10"/>
  <c r="BP47" i="10"/>
  <c r="BN47" i="10"/>
  <c r="BM47" i="10"/>
  <c r="BL47" i="10"/>
  <c r="BC47" i="10"/>
  <c r="BA47" i="10"/>
  <c r="BP46" i="10"/>
  <c r="BN46" i="10"/>
  <c r="BM46" i="10"/>
  <c r="BL46" i="10"/>
  <c r="S46" i="10"/>
  <c r="BC46" i="10"/>
  <c r="BA46" i="10"/>
  <c r="BP45" i="10"/>
  <c r="BN45" i="10"/>
  <c r="BM45" i="10"/>
  <c r="BL45" i="10"/>
  <c r="S45" i="10"/>
  <c r="BC45" i="10"/>
  <c r="BA45" i="10"/>
  <c r="BP44" i="10"/>
  <c r="BN44" i="10"/>
  <c r="BM44" i="10"/>
  <c r="BL44" i="10"/>
  <c r="BC44" i="10"/>
  <c r="BA44" i="10"/>
  <c r="N44" i="10"/>
  <c r="BP43" i="10"/>
  <c r="BN43" i="10"/>
  <c r="BM43" i="10"/>
  <c r="BL43" i="10"/>
  <c r="BC43" i="10"/>
  <c r="BA43" i="10"/>
  <c r="BP42" i="10"/>
  <c r="BN42" i="10"/>
  <c r="BM42" i="10"/>
  <c r="BL42" i="10"/>
  <c r="S42" i="10"/>
  <c r="BC42" i="10"/>
  <c r="BA42" i="10"/>
  <c r="BP41" i="10"/>
  <c r="BN41" i="10"/>
  <c r="BM41" i="10"/>
  <c r="BL41" i="10"/>
  <c r="S41" i="10"/>
  <c r="BC41" i="10"/>
  <c r="BA41" i="10"/>
  <c r="BP40" i="10"/>
  <c r="BN40" i="10"/>
  <c r="BM40" i="10"/>
  <c r="BL40" i="10"/>
  <c r="BC40" i="10"/>
  <c r="BA40" i="10"/>
  <c r="BP39" i="10"/>
  <c r="BN39" i="10"/>
  <c r="BM39" i="10"/>
  <c r="BL39" i="10"/>
  <c r="BC39" i="10"/>
  <c r="BA39" i="10"/>
  <c r="BP38" i="10"/>
  <c r="BN38" i="10"/>
  <c r="BM38" i="10"/>
  <c r="BL38" i="10"/>
  <c r="S38" i="10"/>
  <c r="BC38" i="10"/>
  <c r="BA38" i="10"/>
  <c r="BP37" i="10"/>
  <c r="BN37" i="10"/>
  <c r="BM37" i="10"/>
  <c r="BL37" i="10"/>
  <c r="S37" i="10"/>
  <c r="BC37" i="10"/>
  <c r="BA37" i="10"/>
  <c r="BP36" i="10"/>
  <c r="BN36" i="10"/>
  <c r="BM36" i="10"/>
  <c r="BL36" i="10"/>
  <c r="BC36" i="10"/>
  <c r="BA36" i="10"/>
  <c r="N36" i="10"/>
  <c r="BP35" i="10"/>
  <c r="BN35" i="10"/>
  <c r="BM35" i="10"/>
  <c r="BL35" i="10"/>
  <c r="BC35" i="10"/>
  <c r="BA35" i="10"/>
  <c r="BP34" i="10"/>
  <c r="BN34" i="10"/>
  <c r="BM34" i="10"/>
  <c r="BL34" i="10"/>
  <c r="S34" i="10"/>
  <c r="BC34" i="10"/>
  <c r="BA34" i="10"/>
  <c r="BP33" i="10"/>
  <c r="BN33" i="10"/>
  <c r="BM33" i="10"/>
  <c r="BL33" i="10"/>
  <c r="S33" i="10"/>
  <c r="BC33" i="10"/>
  <c r="BA33" i="10"/>
  <c r="BP32" i="10"/>
  <c r="BN32" i="10"/>
  <c r="BM32" i="10"/>
  <c r="BL32" i="10"/>
  <c r="BC32" i="10"/>
  <c r="BA32" i="10"/>
  <c r="BP31" i="10"/>
  <c r="BN31" i="10"/>
  <c r="BM31" i="10"/>
  <c r="BL31" i="10"/>
  <c r="BC31" i="10"/>
  <c r="BA31" i="10"/>
  <c r="BP30" i="10"/>
  <c r="BN30" i="10"/>
  <c r="BM30" i="10"/>
  <c r="BL30" i="10"/>
  <c r="S30" i="10"/>
  <c r="BC30" i="10"/>
  <c r="BA30" i="10"/>
  <c r="BP29" i="10"/>
  <c r="BN29" i="10"/>
  <c r="BM29" i="10"/>
  <c r="BL29" i="10"/>
  <c r="S29" i="10"/>
  <c r="BC29" i="10"/>
  <c r="BA29" i="10"/>
  <c r="BP28" i="10"/>
  <c r="BN28" i="10"/>
  <c r="BM28" i="10"/>
  <c r="BL28" i="10"/>
  <c r="BC28" i="10"/>
  <c r="BA28" i="10"/>
  <c r="N28" i="10"/>
  <c r="BP27" i="10"/>
  <c r="BN27" i="10"/>
  <c r="BM27" i="10"/>
  <c r="BL27" i="10"/>
  <c r="BC27" i="10"/>
  <c r="BA27" i="10"/>
  <c r="BP26" i="10"/>
  <c r="BN26" i="10"/>
  <c r="BM26" i="10"/>
  <c r="BL26" i="10"/>
  <c r="S26" i="10"/>
  <c r="BC26" i="10"/>
  <c r="BA26" i="10"/>
  <c r="BP25" i="10"/>
  <c r="BN25" i="10"/>
  <c r="BM25" i="10"/>
  <c r="BL25" i="10"/>
  <c r="S25" i="10"/>
  <c r="BC25" i="10"/>
  <c r="BA25" i="10"/>
  <c r="N25" i="10"/>
  <c r="BP24" i="10"/>
  <c r="BN24" i="10"/>
  <c r="BM24" i="10"/>
  <c r="BL24" i="10"/>
  <c r="BC24" i="10"/>
  <c r="BA24" i="10"/>
  <c r="N24" i="10"/>
  <c r="BP23" i="10"/>
  <c r="BN23" i="10"/>
  <c r="BM23" i="10"/>
  <c r="BL23" i="10"/>
  <c r="S23" i="10"/>
  <c r="BC23" i="10"/>
  <c r="BA23" i="10"/>
  <c r="N23" i="10"/>
  <c r="BP22" i="10"/>
  <c r="BN22" i="10"/>
  <c r="BM22" i="10"/>
  <c r="BL22" i="10"/>
  <c r="S22" i="10"/>
  <c r="BC22" i="10"/>
  <c r="BA22" i="10"/>
  <c r="BP21" i="10"/>
  <c r="BN21" i="10"/>
  <c r="BM21" i="10"/>
  <c r="BL21" i="10"/>
  <c r="S21" i="10"/>
  <c r="BC21" i="10"/>
  <c r="BA21" i="10"/>
  <c r="BP20" i="10"/>
  <c r="BN20" i="10"/>
  <c r="BM20" i="10"/>
  <c r="BL20" i="10"/>
  <c r="BC20" i="10"/>
  <c r="BA20" i="10"/>
  <c r="N20" i="10"/>
  <c r="BP19" i="10"/>
  <c r="BN19" i="10"/>
  <c r="BM19" i="10"/>
  <c r="BL19" i="10"/>
  <c r="S19" i="10"/>
  <c r="BC19" i="10"/>
  <c r="BA19" i="10"/>
  <c r="BP18" i="10"/>
  <c r="BN18" i="10"/>
  <c r="BM18" i="10"/>
  <c r="BL18" i="10"/>
  <c r="S18" i="10"/>
  <c r="BC18" i="10"/>
  <c r="BA18" i="10"/>
  <c r="BP17" i="10"/>
  <c r="BN17" i="10"/>
  <c r="BM17" i="10"/>
  <c r="BL17" i="10"/>
  <c r="S17" i="10"/>
  <c r="BC17" i="10"/>
  <c r="BA17" i="10"/>
  <c r="BP16" i="10"/>
  <c r="BN16" i="10"/>
  <c r="BM16" i="10"/>
  <c r="BL16" i="10"/>
  <c r="BC16" i="10"/>
  <c r="BA16" i="10"/>
  <c r="BP15" i="10"/>
  <c r="BN15" i="10"/>
  <c r="BM15" i="10"/>
  <c r="BL15" i="10"/>
  <c r="S15" i="10"/>
  <c r="BC15" i="10"/>
  <c r="BA15" i="10"/>
  <c r="N15" i="10"/>
  <c r="BP14" i="10"/>
  <c r="BN14" i="10"/>
  <c r="BM14" i="10"/>
  <c r="BL14" i="10"/>
  <c r="S14" i="10"/>
  <c r="BC14" i="10"/>
  <c r="BA14" i="10"/>
  <c r="BP13" i="10"/>
  <c r="BN13" i="10"/>
  <c r="BM13" i="10"/>
  <c r="BL13" i="10"/>
  <c r="BC13" i="10"/>
  <c r="BP12" i="10"/>
  <c r="BN12" i="10"/>
  <c r="BM12" i="10"/>
  <c r="BL12" i="10"/>
  <c r="S12" i="10"/>
  <c r="BA12" i="10"/>
  <c r="R12" i="10" s="1"/>
  <c r="AW9" i="10"/>
  <c r="P12" i="10" l="1"/>
  <c r="BO43" i="10"/>
  <c r="AY12" i="10"/>
  <c r="AY13" i="10"/>
  <c r="AY17" i="10"/>
  <c r="AY21" i="10"/>
  <c r="AY25" i="10"/>
  <c r="AY29" i="10"/>
  <c r="AY33" i="10"/>
  <c r="AY37" i="10"/>
  <c r="AY41" i="10"/>
  <c r="AY45" i="10"/>
  <c r="AY49" i="10"/>
  <c r="AY53" i="10"/>
  <c r="AY57" i="10"/>
  <c r="AY61" i="10"/>
  <c r="AY65" i="10"/>
  <c r="AY69" i="10"/>
  <c r="AY73" i="10"/>
  <c r="AY77" i="10"/>
  <c r="AY81" i="10"/>
  <c r="AY85" i="10"/>
  <c r="AY24" i="10"/>
  <c r="AY44" i="10"/>
  <c r="AY56" i="10"/>
  <c r="AY64" i="10"/>
  <c r="AY68" i="10"/>
  <c r="AY72" i="10"/>
  <c r="AY80" i="10"/>
  <c r="AY14" i="10"/>
  <c r="AY18" i="10"/>
  <c r="AY22" i="10"/>
  <c r="AY26" i="10"/>
  <c r="AY30" i="10"/>
  <c r="AY34" i="10"/>
  <c r="AY38" i="10"/>
  <c r="AY42" i="10"/>
  <c r="AY46" i="10"/>
  <c r="AY50" i="10"/>
  <c r="AY54" i="10"/>
  <c r="AY58" i="10"/>
  <c r="AY62" i="10"/>
  <c r="AY66" i="10"/>
  <c r="AY70" i="10"/>
  <c r="AY74" i="10"/>
  <c r="AY78" i="10"/>
  <c r="AY82" i="10"/>
  <c r="AY86" i="10"/>
  <c r="AY20" i="10"/>
  <c r="AY36" i="10"/>
  <c r="AY48" i="10"/>
  <c r="AY60" i="10"/>
  <c r="AY84" i="10"/>
  <c r="AY15" i="10"/>
  <c r="AY19" i="10"/>
  <c r="AY23" i="10"/>
  <c r="AY27" i="10"/>
  <c r="AY31" i="10"/>
  <c r="AY35" i="10"/>
  <c r="AY39" i="10"/>
  <c r="AY43" i="10"/>
  <c r="AY47" i="10"/>
  <c r="AY51" i="10"/>
  <c r="AY55" i="10"/>
  <c r="AY59" i="10"/>
  <c r="AY63" i="10"/>
  <c r="AY67" i="10"/>
  <c r="AY71" i="10"/>
  <c r="AY75" i="10"/>
  <c r="AY79" i="10"/>
  <c r="AY83" i="10"/>
  <c r="AY16" i="10"/>
  <c r="AY28" i="10"/>
  <c r="AY32" i="10"/>
  <c r="AY40" i="10"/>
  <c r="AY52" i="10"/>
  <c r="AY76" i="10"/>
  <c r="AX12" i="10"/>
  <c r="AX13" i="10"/>
  <c r="AX17" i="10"/>
  <c r="AX21" i="10"/>
  <c r="AX25" i="10"/>
  <c r="AX29" i="10"/>
  <c r="AX33" i="10"/>
  <c r="AX37" i="10"/>
  <c r="AX41" i="10"/>
  <c r="AX45" i="10"/>
  <c r="AX49" i="10"/>
  <c r="AX53" i="10"/>
  <c r="AX57" i="10"/>
  <c r="AX61" i="10"/>
  <c r="AX65" i="10"/>
  <c r="AX69" i="10"/>
  <c r="AX73" i="10"/>
  <c r="AX77" i="10"/>
  <c r="AX81" i="10"/>
  <c r="AX85" i="10"/>
  <c r="AX18" i="10"/>
  <c r="AX58" i="10"/>
  <c r="AX66" i="10"/>
  <c r="AX78" i="10"/>
  <c r="AX86" i="10"/>
  <c r="AX14" i="10"/>
  <c r="AX22" i="10"/>
  <c r="AX26" i="10"/>
  <c r="AX30" i="10"/>
  <c r="AX34" i="10"/>
  <c r="AX38" i="10"/>
  <c r="AX42" i="10"/>
  <c r="AX46" i="10"/>
  <c r="AX50" i="10"/>
  <c r="AX54" i="10"/>
  <c r="AX62" i="10"/>
  <c r="AX70" i="10"/>
  <c r="AX82" i="10"/>
  <c r="AX15" i="10"/>
  <c r="AX19" i="10"/>
  <c r="AX23" i="10"/>
  <c r="AX27" i="10"/>
  <c r="AX31" i="10"/>
  <c r="AX35" i="10"/>
  <c r="AX39" i="10"/>
  <c r="AX43" i="10"/>
  <c r="AX47" i="10"/>
  <c r="AX51" i="10"/>
  <c r="AX55" i="10"/>
  <c r="AX59" i="10"/>
  <c r="AX63" i="10"/>
  <c r="AX67" i="10"/>
  <c r="AX71" i="10"/>
  <c r="AX75" i="10"/>
  <c r="AX79" i="10"/>
  <c r="AX83" i="10"/>
  <c r="AX16" i="10"/>
  <c r="AX20" i="10"/>
  <c r="AX24" i="10"/>
  <c r="AX28" i="10"/>
  <c r="AX32" i="10"/>
  <c r="AX36" i="10"/>
  <c r="AX40" i="10"/>
  <c r="AX44" i="10"/>
  <c r="AX48" i="10"/>
  <c r="AX52" i="10"/>
  <c r="AX56" i="10"/>
  <c r="AX60" i="10"/>
  <c r="AX64" i="10"/>
  <c r="AX68" i="10"/>
  <c r="AX72" i="10"/>
  <c r="AX76" i="10"/>
  <c r="AX80" i="10"/>
  <c r="AX84" i="10"/>
  <c r="AX74" i="10"/>
  <c r="AW12" i="10"/>
  <c r="AW13" i="10"/>
  <c r="AW17" i="10"/>
  <c r="AW21" i="10"/>
  <c r="AW25" i="10"/>
  <c r="AW29" i="10"/>
  <c r="AW33" i="10"/>
  <c r="AW37" i="10"/>
  <c r="AW41" i="10"/>
  <c r="AW45" i="10"/>
  <c r="AW49" i="10"/>
  <c r="AW53" i="10"/>
  <c r="AW57" i="10"/>
  <c r="AW61" i="10"/>
  <c r="AW65" i="10"/>
  <c r="AW69" i="10"/>
  <c r="AW73" i="10"/>
  <c r="AW77" i="10"/>
  <c r="AW81" i="10"/>
  <c r="AW85" i="10"/>
  <c r="AW18" i="10"/>
  <c r="AW58" i="10"/>
  <c r="AW70" i="10"/>
  <c r="AW82" i="10"/>
  <c r="AW14" i="10"/>
  <c r="AW26" i="10"/>
  <c r="AW30" i="10"/>
  <c r="AW34" i="10"/>
  <c r="AW38" i="10"/>
  <c r="AW42" i="10"/>
  <c r="AW46" i="10"/>
  <c r="AW50" i="10"/>
  <c r="AW62" i="10"/>
  <c r="AW78" i="10"/>
  <c r="AW15" i="10"/>
  <c r="AW19" i="10"/>
  <c r="AW23" i="10"/>
  <c r="AW27" i="10"/>
  <c r="AW31" i="10"/>
  <c r="AW35" i="10"/>
  <c r="AW39" i="10"/>
  <c r="AW43" i="10"/>
  <c r="AW47" i="10"/>
  <c r="AW51" i="10"/>
  <c r="AW55" i="10"/>
  <c r="AW59" i="10"/>
  <c r="AW63" i="10"/>
  <c r="AW67" i="10"/>
  <c r="AW71" i="10"/>
  <c r="AW75" i="10"/>
  <c r="AW79" i="10"/>
  <c r="AW83" i="10"/>
  <c r="AW16" i="10"/>
  <c r="AW20" i="10"/>
  <c r="AW24" i="10"/>
  <c r="AW28" i="10"/>
  <c r="AW32" i="10"/>
  <c r="AW36" i="10"/>
  <c r="AW40" i="10"/>
  <c r="AW44" i="10"/>
  <c r="AW48" i="10"/>
  <c r="AW52" i="10"/>
  <c r="AW56" i="10"/>
  <c r="AW60" i="10"/>
  <c r="AW64" i="10"/>
  <c r="AW68" i="10"/>
  <c r="AW72" i="10"/>
  <c r="AW76" i="10"/>
  <c r="AW80" i="10"/>
  <c r="AW84" i="10"/>
  <c r="AW22" i="10"/>
  <c r="AW54" i="10"/>
  <c r="AW66" i="10"/>
  <c r="AW74" i="10"/>
  <c r="AW86" i="10"/>
  <c r="BO46" i="10"/>
  <c r="BO79" i="10"/>
  <c r="BO55" i="10"/>
  <c r="BO58" i="10"/>
  <c r="BO29" i="10"/>
  <c r="BO45" i="10"/>
  <c r="BO54" i="10"/>
  <c r="BO75" i="10"/>
  <c r="Q85" i="10"/>
  <c r="P85" i="10" s="1"/>
  <c r="Q81" i="10"/>
  <c r="P81" i="10" s="1"/>
  <c r="Q77" i="10"/>
  <c r="Q73" i="10"/>
  <c r="P73" i="10" s="1"/>
  <c r="Q69" i="10"/>
  <c r="P69" i="10" s="1"/>
  <c r="V69" i="10" s="1"/>
  <c r="Q61" i="10"/>
  <c r="P61" i="10" s="1"/>
  <c r="Q49" i="10"/>
  <c r="P49" i="10" s="1"/>
  <c r="Q45" i="10"/>
  <c r="P45" i="10" s="1"/>
  <c r="Q41" i="10"/>
  <c r="P41" i="10" s="1"/>
  <c r="V41" i="10" s="1"/>
  <c r="Q37" i="10"/>
  <c r="Q33" i="10"/>
  <c r="Q29" i="10"/>
  <c r="Q25" i="10"/>
  <c r="Q84" i="10"/>
  <c r="Q68" i="10"/>
  <c r="P68" i="10" s="1"/>
  <c r="V68" i="10" s="1"/>
  <c r="Q60" i="10"/>
  <c r="Q52" i="10"/>
  <c r="Q44" i="10"/>
  <c r="Q20" i="10"/>
  <c r="BO21" i="10"/>
  <c r="BO28" i="10"/>
  <c r="BO39" i="10"/>
  <c r="BO42" i="10"/>
  <c r="Q57" i="10"/>
  <c r="P57" i="10" s="1"/>
  <c r="BO22" i="10"/>
  <c r="BO40" i="10"/>
  <c r="N41" i="10"/>
  <c r="BO47" i="10"/>
  <c r="N49" i="10"/>
  <c r="U49" i="10" s="1"/>
  <c r="BO57" i="10"/>
  <c r="BO67" i="10"/>
  <c r="N69" i="10"/>
  <c r="BO71" i="10"/>
  <c r="N73" i="10"/>
  <c r="N81" i="10"/>
  <c r="BO82" i="10"/>
  <c r="Q53" i="10"/>
  <c r="P53" i="10" s="1"/>
  <c r="V53" i="10" s="1"/>
  <c r="Q13" i="10"/>
  <c r="Q28" i="10"/>
  <c r="BO14" i="10"/>
  <c r="BO24" i="10"/>
  <c r="BO32" i="10"/>
  <c r="BO44" i="10"/>
  <c r="N45" i="10"/>
  <c r="U45" i="10" s="1"/>
  <c r="BO51" i="10"/>
  <c r="N53" i="10"/>
  <c r="BO59" i="10"/>
  <c r="N61" i="10"/>
  <c r="BO63" i="10"/>
  <c r="BO64" i="10"/>
  <c r="Q83" i="10"/>
  <c r="P83" i="10" s="1"/>
  <c r="Q79" i="10"/>
  <c r="Q75" i="10"/>
  <c r="P75" i="10" s="1"/>
  <c r="V75" i="10" s="1"/>
  <c r="Q67" i="10"/>
  <c r="Q63" i="10"/>
  <c r="Q59" i="10"/>
  <c r="P59" i="10" s="1"/>
  <c r="Q55" i="10"/>
  <c r="P55" i="10" s="1"/>
  <c r="V55" i="10" s="1"/>
  <c r="Q51" i="10"/>
  <c r="Q43" i="10"/>
  <c r="P43" i="10" s="1"/>
  <c r="Q27" i="10"/>
  <c r="P27" i="10" s="1"/>
  <c r="Q23" i="10"/>
  <c r="Q19" i="10"/>
  <c r="P19" i="10" s="1"/>
  <c r="Q15" i="10"/>
  <c r="Q65" i="10"/>
  <c r="Q21" i="10"/>
  <c r="P21" i="10" s="1"/>
  <c r="V21" i="10" s="1"/>
  <c r="Q17" i="10"/>
  <c r="P17" i="10" s="1"/>
  <c r="Q76" i="10"/>
  <c r="Q36" i="10"/>
  <c r="N17" i="10"/>
  <c r="U17" i="10" s="1"/>
  <c r="N21" i="10"/>
  <c r="BO35" i="10"/>
  <c r="BO38" i="10"/>
  <c r="BO41" i="10"/>
  <c r="BO56" i="10"/>
  <c r="N57" i="10"/>
  <c r="BO83" i="10"/>
  <c r="N85" i="10"/>
  <c r="U85" i="10" s="1"/>
  <c r="Q12" i="10"/>
  <c r="Q39" i="10"/>
  <c r="Q31" i="10"/>
  <c r="BO17" i="10"/>
  <c r="N19" i="10"/>
  <c r="U19" i="10" s="1"/>
  <c r="BO27" i="10"/>
  <c r="BO34" i="10"/>
  <c r="BO61" i="10"/>
  <c r="BO65" i="10"/>
  <c r="BO70" i="10"/>
  <c r="N75" i="10"/>
  <c r="Q86" i="10"/>
  <c r="Q78" i="10"/>
  <c r="Q70" i="10"/>
  <c r="Q62" i="10"/>
  <c r="Q54" i="10"/>
  <c r="Q46" i="10"/>
  <c r="Q38" i="10"/>
  <c r="Q30" i="10"/>
  <c r="Q22" i="10"/>
  <c r="Q14" i="10"/>
  <c r="Q71" i="10"/>
  <c r="Q47" i="10"/>
  <c r="BO12" i="10"/>
  <c r="BO13" i="10"/>
  <c r="BO16" i="10"/>
  <c r="BO18" i="10"/>
  <c r="BO23" i="10"/>
  <c r="BO25" i="10"/>
  <c r="N27" i="10"/>
  <c r="BO30" i="10"/>
  <c r="N43" i="10"/>
  <c r="U43" i="10" s="1"/>
  <c r="BO50" i="10"/>
  <c r="N55" i="10"/>
  <c r="N59" i="10"/>
  <c r="U59" i="10" s="1"/>
  <c r="BO78" i="10"/>
  <c r="N83" i="10"/>
  <c r="U83" i="10" s="1"/>
  <c r="BO86" i="10"/>
  <c r="Q80" i="10"/>
  <c r="Q72" i="10"/>
  <c r="Q64" i="10"/>
  <c r="Q56" i="10"/>
  <c r="Q48" i="10"/>
  <c r="Q40" i="10"/>
  <c r="Q35" i="10"/>
  <c r="Q32" i="10"/>
  <c r="Q24" i="10"/>
  <c r="Q16" i="10"/>
  <c r="BO15" i="10"/>
  <c r="BO20" i="10"/>
  <c r="BO26" i="10"/>
  <c r="BO60" i="10"/>
  <c r="BO74" i="10"/>
  <c r="Q82" i="10"/>
  <c r="Q74" i="10"/>
  <c r="Q66" i="10"/>
  <c r="Q58" i="10"/>
  <c r="Q50" i="10"/>
  <c r="Q42" i="10"/>
  <c r="Q34" i="10"/>
  <c r="Q26" i="10"/>
  <c r="Q18" i="10"/>
  <c r="BO19" i="10"/>
  <c r="BO31" i="10"/>
  <c r="BO36" i="10"/>
  <c r="BO37" i="10"/>
  <c r="BO52" i="10"/>
  <c r="BO53" i="10"/>
  <c r="BO66" i="10"/>
  <c r="BO33" i="10"/>
  <c r="BO48" i="10"/>
  <c r="BO49" i="10"/>
  <c r="BO62" i="10"/>
  <c r="BO68" i="10"/>
  <c r="BO69" i="10"/>
  <c r="BO72" i="10"/>
  <c r="BO73" i="10"/>
  <c r="BO76" i="10"/>
  <c r="BO77" i="10"/>
  <c r="BO80" i="10"/>
  <c r="BO81" i="10"/>
  <c r="BO84" i="10"/>
  <c r="BO85" i="10"/>
  <c r="U27" i="10" l="1"/>
  <c r="U57" i="10"/>
  <c r="U73" i="10"/>
  <c r="U75" i="10"/>
  <c r="U61" i="10"/>
  <c r="U69" i="10"/>
  <c r="U68" i="10"/>
  <c r="U55" i="10"/>
  <c r="U81" i="10"/>
  <c r="U41" i="10"/>
  <c r="U21" i="10"/>
  <c r="U53" i="10"/>
  <c r="V61" i="10"/>
  <c r="V27" i="10"/>
  <c r="V59" i="10"/>
  <c r="X59" i="10" s="1"/>
  <c r="V57" i="10"/>
  <c r="X57" i="10" s="1"/>
  <c r="V45" i="10"/>
  <c r="V73" i="10"/>
  <c r="X73" i="10" s="1"/>
  <c r="V43" i="10"/>
  <c r="X43" i="10" s="1"/>
  <c r="V83" i="10"/>
  <c r="X83" i="10" s="1"/>
  <c r="V49" i="10"/>
  <c r="V85" i="10"/>
  <c r="V17" i="10"/>
  <c r="X17" i="10" s="1"/>
  <c r="V19" i="10"/>
  <c r="V81" i="10"/>
  <c r="X81" i="10" s="1"/>
  <c r="P34" i="10"/>
  <c r="U34" i="10" s="1"/>
  <c r="P16" i="10"/>
  <c r="P54" i="10"/>
  <c r="P13" i="10"/>
  <c r="P84" i="10"/>
  <c r="P37" i="10"/>
  <c r="P80" i="10"/>
  <c r="P47" i="10"/>
  <c r="P30" i="10"/>
  <c r="U30" i="10" s="1"/>
  <c r="P62" i="10"/>
  <c r="P31" i="10"/>
  <c r="P23" i="10"/>
  <c r="P52" i="10"/>
  <c r="P25" i="10"/>
  <c r="P40" i="10"/>
  <c r="P67" i="10"/>
  <c r="P44" i="10"/>
  <c r="P74" i="10"/>
  <c r="P48" i="10"/>
  <c r="P50" i="10"/>
  <c r="P32" i="10"/>
  <c r="P71" i="10"/>
  <c r="P38" i="10"/>
  <c r="P70" i="10"/>
  <c r="U70" i="10" s="1"/>
  <c r="P39" i="10"/>
  <c r="P36" i="10"/>
  <c r="P65" i="10"/>
  <c r="P79" i="10"/>
  <c r="U79" i="10" s="1"/>
  <c r="P60" i="10"/>
  <c r="P29" i="10"/>
  <c r="P66" i="10"/>
  <c r="P72" i="10"/>
  <c r="U72" i="10" s="1"/>
  <c r="P22" i="10"/>
  <c r="P86" i="10"/>
  <c r="P51" i="10"/>
  <c r="P42" i="10"/>
  <c r="P24" i="10"/>
  <c r="P18" i="10"/>
  <c r="U18" i="10" s="1"/>
  <c r="P82" i="10"/>
  <c r="P56" i="10"/>
  <c r="U56" i="10" s="1"/>
  <c r="P26" i="10"/>
  <c r="P58" i="10"/>
  <c r="P35" i="10"/>
  <c r="P64" i="10"/>
  <c r="P14" i="10"/>
  <c r="P46" i="10"/>
  <c r="P78" i="10"/>
  <c r="P76" i="10"/>
  <c r="U76" i="10" s="1"/>
  <c r="P15" i="10"/>
  <c r="U15" i="10" s="1"/>
  <c r="P63" i="10"/>
  <c r="P28" i="10"/>
  <c r="P20" i="10"/>
  <c r="P33" i="10"/>
  <c r="P77" i="10"/>
  <c r="U77" i="10" s="1"/>
  <c r="X55" i="10"/>
  <c r="X69" i="10"/>
  <c r="X41" i="10"/>
  <c r="X53" i="10"/>
  <c r="X85" i="10"/>
  <c r="X61" i="10"/>
  <c r="N11" i="10"/>
  <c r="X68" i="10"/>
  <c r="X75" i="10"/>
  <c r="V46" i="10" l="1"/>
  <c r="U46" i="10"/>
  <c r="V86" i="10"/>
  <c r="U86" i="10"/>
  <c r="V36" i="10"/>
  <c r="U36" i="10"/>
  <c r="V26" i="10"/>
  <c r="U26" i="10"/>
  <c r="V22" i="10"/>
  <c r="U22" i="10"/>
  <c r="V39" i="10"/>
  <c r="U39" i="10"/>
  <c r="V44" i="10"/>
  <c r="U44" i="10"/>
  <c r="V84" i="10"/>
  <c r="U84" i="10"/>
  <c r="V20" i="10"/>
  <c r="U20" i="10"/>
  <c r="V64" i="10"/>
  <c r="U64" i="10"/>
  <c r="V42" i="10"/>
  <c r="U42" i="10"/>
  <c r="V50" i="10"/>
  <c r="U50" i="10"/>
  <c r="V67" i="10"/>
  <c r="U67" i="10"/>
  <c r="V23" i="10"/>
  <c r="U23" i="10"/>
  <c r="V47" i="10"/>
  <c r="U47" i="10"/>
  <c r="V63" i="10"/>
  <c r="X63" i="10" s="1"/>
  <c r="U63" i="10"/>
  <c r="V58" i="10"/>
  <c r="U58" i="10"/>
  <c r="V29" i="10"/>
  <c r="X29" i="10" s="1"/>
  <c r="U29" i="10"/>
  <c r="V74" i="10"/>
  <c r="U74" i="10"/>
  <c r="V25" i="10"/>
  <c r="U25" i="10"/>
  <c r="V37" i="10"/>
  <c r="U37" i="10"/>
  <c r="V33" i="10"/>
  <c r="U33" i="10"/>
  <c r="V14" i="10"/>
  <c r="X14" i="10" s="1"/>
  <c r="U14" i="10"/>
  <c r="V24" i="10"/>
  <c r="U24" i="10"/>
  <c r="V60" i="10"/>
  <c r="X60" i="10" s="1"/>
  <c r="U60" i="10"/>
  <c r="V32" i="10"/>
  <c r="U32" i="10"/>
  <c r="V52" i="10"/>
  <c r="U52" i="10"/>
  <c r="V28" i="10"/>
  <c r="U28" i="10"/>
  <c r="V78" i="10"/>
  <c r="X78" i="10" s="1"/>
  <c r="U78" i="10"/>
  <c r="V35" i="10"/>
  <c r="X35" i="10" s="1"/>
  <c r="U35" i="10"/>
  <c r="V82" i="10"/>
  <c r="U82" i="10"/>
  <c r="V51" i="10"/>
  <c r="X51" i="10" s="1"/>
  <c r="U51" i="10"/>
  <c r="V66" i="10"/>
  <c r="X66" i="10" s="1"/>
  <c r="U66" i="10"/>
  <c r="V65" i="10"/>
  <c r="X65" i="10" s="1"/>
  <c r="U65" i="10"/>
  <c r="V38" i="10"/>
  <c r="X38" i="10" s="1"/>
  <c r="U38" i="10"/>
  <c r="V48" i="10"/>
  <c r="X48" i="10" s="1"/>
  <c r="U48" i="10"/>
  <c r="V40" i="10"/>
  <c r="U40" i="10"/>
  <c r="V31" i="10"/>
  <c r="X31" i="10" s="1"/>
  <c r="U31" i="10"/>
  <c r="V80" i="10"/>
  <c r="U80" i="10"/>
  <c r="V54" i="10"/>
  <c r="X54" i="10" s="1"/>
  <c r="U54" i="10"/>
  <c r="V71" i="10"/>
  <c r="U71" i="10"/>
  <c r="V62" i="10"/>
  <c r="X62" i="10" s="1"/>
  <c r="U62" i="10"/>
  <c r="V16" i="10"/>
  <c r="X16" i="10" s="1"/>
  <c r="U16" i="10"/>
  <c r="V70" i="10"/>
  <c r="X70" i="10" s="1"/>
  <c r="V56" i="10"/>
  <c r="X56" i="10" s="1"/>
  <c r="V77" i="10"/>
  <c r="X77" i="10" s="1"/>
  <c r="V72" i="10"/>
  <c r="X72" i="10" s="1"/>
  <c r="V79" i="10"/>
  <c r="X79" i="10" s="1"/>
  <c r="V15" i="10"/>
  <c r="X15" i="10" s="1"/>
  <c r="V18" i="10"/>
  <c r="X18" i="10" s="1"/>
  <c r="V30" i="10"/>
  <c r="X30" i="10" s="1"/>
  <c r="V76" i="10"/>
  <c r="X76" i="10" s="1"/>
  <c r="V34" i="10"/>
  <c r="X34" i="10" s="1"/>
  <c r="X32" i="10"/>
  <c r="X52" i="10"/>
  <c r="X26" i="10"/>
  <c r="X33" i="10"/>
  <c r="X39" i="10"/>
  <c r="AD14" i="10"/>
  <c r="X44" i="10"/>
  <c r="X22" i="10"/>
  <c r="X40" i="10"/>
  <c r="X47" i="10"/>
  <c r="X58" i="10"/>
  <c r="X86" i="10"/>
  <c r="X36" i="10"/>
  <c r="X20" i="10"/>
  <c r="X42" i="10"/>
  <c r="X23" i="10"/>
  <c r="X71" i="10"/>
  <c r="X25" i="10"/>
  <c r="X37" i="10"/>
  <c r="X19" i="10"/>
  <c r="X28" i="10"/>
  <c r="X64" i="10"/>
  <c r="X45" i="10"/>
  <c r="X21" i="10"/>
  <c r="X67" i="10"/>
  <c r="AD15" i="10"/>
  <c r="X46" i="10"/>
  <c r="X82" i="10"/>
  <c r="X50" i="10"/>
  <c r="X49" i="10"/>
  <c r="X80" i="10"/>
  <c r="X84" i="10"/>
  <c r="X24" i="10"/>
  <c r="X74" i="10"/>
  <c r="X27" i="10"/>
  <c r="AD13" i="10" l="1"/>
  <c r="AI13" i="10"/>
  <c r="AH13" i="10"/>
  <c r="G15" i="3" l="1"/>
  <c r="J15" i="3" s="1"/>
  <c r="J26" i="3"/>
  <c r="I26" i="3" s="1"/>
  <c r="I24" i="3"/>
  <c r="J24" i="3" s="1"/>
  <c r="H38" i="4" l="1"/>
  <c r="F42" i="5"/>
  <c r="F29" i="6"/>
  <c r="S26" i="6" l="1"/>
  <c r="S18" i="6"/>
  <c r="T21" i="6"/>
  <c r="S30" i="6"/>
  <c r="S22" i="6"/>
  <c r="T25" i="6"/>
  <c r="W29" i="5"/>
  <c r="V31" i="5"/>
  <c r="W17" i="5"/>
  <c r="W23" i="5"/>
  <c r="W21" i="5"/>
  <c r="W19" i="5"/>
  <c r="H4" i="3"/>
  <c r="G4" i="3"/>
  <c r="F45" i="6"/>
  <c r="F48" i="6" s="1"/>
  <c r="F51" i="6" s="1"/>
  <c r="R36" i="6"/>
  <c r="T36" i="6" s="1"/>
  <c r="Q36" i="6"/>
  <c r="P36" i="6"/>
  <c r="S36" i="6" s="1"/>
  <c r="R35" i="6"/>
  <c r="T35" i="6" s="1"/>
  <c r="Q35" i="6"/>
  <c r="S35" i="6" s="1"/>
  <c r="P35" i="6"/>
  <c r="R34" i="6"/>
  <c r="T34" i="6" s="1"/>
  <c r="Q34" i="6"/>
  <c r="S34" i="6" s="1"/>
  <c r="P34" i="6"/>
  <c r="R33" i="6"/>
  <c r="T33" i="6" s="1"/>
  <c r="Q33" i="6"/>
  <c r="S33" i="6" s="1"/>
  <c r="P33" i="6"/>
  <c r="R32" i="6"/>
  <c r="T32" i="6" s="1"/>
  <c r="Q32" i="6"/>
  <c r="P32" i="6"/>
  <c r="S32" i="6" s="1"/>
  <c r="R31" i="6"/>
  <c r="T31" i="6" s="1"/>
  <c r="Q31" i="6"/>
  <c r="S31" i="6" s="1"/>
  <c r="P31" i="6"/>
  <c r="R30" i="6"/>
  <c r="T30" i="6" s="1"/>
  <c r="Q30" i="6"/>
  <c r="P30" i="6"/>
  <c r="R29" i="6"/>
  <c r="T29" i="6" s="1"/>
  <c r="Q29" i="6"/>
  <c r="S29" i="6" s="1"/>
  <c r="P29" i="6"/>
  <c r="R28" i="6"/>
  <c r="T28" i="6" s="1"/>
  <c r="Q28" i="6"/>
  <c r="S28" i="6" s="1"/>
  <c r="P28" i="6"/>
  <c r="R27" i="6"/>
  <c r="T27" i="6" s="1"/>
  <c r="Q27" i="6"/>
  <c r="S27" i="6" s="1"/>
  <c r="P27" i="6"/>
  <c r="R26" i="6"/>
  <c r="T26" i="6" s="1"/>
  <c r="Q26" i="6"/>
  <c r="P26" i="6"/>
  <c r="R25" i="6"/>
  <c r="Q25" i="6"/>
  <c r="S25" i="6" s="1"/>
  <c r="P25" i="6"/>
  <c r="R24" i="6"/>
  <c r="Q24" i="6"/>
  <c r="S24" i="6" s="1"/>
  <c r="P24" i="6"/>
  <c r="T24" i="6" s="1"/>
  <c r="R23" i="6"/>
  <c r="T23" i="6" s="1"/>
  <c r="Q23" i="6"/>
  <c r="P23" i="6"/>
  <c r="S23" i="6" s="1"/>
  <c r="R22" i="6"/>
  <c r="T22" i="6" s="1"/>
  <c r="Q22" i="6"/>
  <c r="P22" i="6"/>
  <c r="R21" i="6"/>
  <c r="Q21" i="6"/>
  <c r="S21" i="6" s="1"/>
  <c r="P21" i="6"/>
  <c r="R20" i="6"/>
  <c r="Q20" i="6"/>
  <c r="S20" i="6" s="1"/>
  <c r="P20" i="6"/>
  <c r="T20" i="6" s="1"/>
  <c r="R19" i="6"/>
  <c r="T19" i="6" s="1"/>
  <c r="Q19" i="6"/>
  <c r="P19" i="6"/>
  <c r="S19" i="6" s="1"/>
  <c r="R18" i="6"/>
  <c r="T18" i="6" s="1"/>
  <c r="Q18" i="6"/>
  <c r="P18" i="6"/>
  <c r="F20" i="6"/>
  <c r="R17" i="6"/>
  <c r="T17" i="6" s="1"/>
  <c r="Q17" i="6"/>
  <c r="S17" i="6" s="1"/>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V21" i="5" s="1"/>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V30" i="5" s="1"/>
  <c r="T29" i="5"/>
  <c r="S29" i="5"/>
  <c r="Q29" i="5"/>
  <c r="P29" i="5"/>
  <c r="T28" i="5"/>
  <c r="S28" i="5"/>
  <c r="Q28" i="5"/>
  <c r="P28" i="5"/>
  <c r="V28" i="5" s="1"/>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1" i="4"/>
  <c r="H53" i="4" s="1"/>
  <c r="H55" i="4" s="1"/>
  <c r="H31" i="4"/>
  <c r="I28" i="4"/>
  <c r="I25" i="4"/>
  <c r="H25" i="4"/>
  <c r="H27" i="4" s="1"/>
  <c r="H17" i="4"/>
  <c r="I18" i="3"/>
  <c r="J14" i="3"/>
  <c r="G25" i="3" s="1"/>
  <c r="I25" i="3" s="1"/>
  <c r="J25" i="3" s="1"/>
  <c r="J12" i="3"/>
  <c r="D25" i="7"/>
  <c r="T13" i="10" s="1"/>
  <c r="D24" i="7"/>
  <c r="F18" i="5" s="1"/>
  <c r="D23" i="7"/>
  <c r="D22" i="7"/>
  <c r="T12" i="10" s="1"/>
  <c r="U12" i="10" s="1"/>
  <c r="G13" i="7"/>
  <c r="C16" i="7"/>
  <c r="G12" i="7"/>
  <c r="H12" i="7" s="1"/>
  <c r="G11" i="7"/>
  <c r="H11" i="7" s="1"/>
  <c r="H10" i="7"/>
  <c r="D16" i="7"/>
  <c r="F8" i="7"/>
  <c r="F7" i="7"/>
  <c r="V13" i="10" l="1"/>
  <c r="X13" i="10" s="1"/>
  <c r="U13" i="10"/>
  <c r="V19" i="5"/>
  <c r="V22" i="5"/>
  <c r="W20" i="5"/>
  <c r="W22" i="5"/>
  <c r="W24" i="5"/>
  <c r="W18" i="5"/>
  <c r="W16" i="5"/>
  <c r="V20" i="5"/>
  <c r="V24" i="5"/>
  <c r="V17" i="5"/>
  <c r="V32" i="5"/>
  <c r="V34" i="5"/>
  <c r="V36" i="5"/>
  <c r="V38" i="5"/>
  <c r="V40" i="5"/>
  <c r="V42" i="5"/>
  <c r="V44" i="5"/>
  <c r="V46" i="5"/>
  <c r="V48" i="5"/>
  <c r="V50" i="5"/>
  <c r="V52" i="5"/>
  <c r="V54" i="5"/>
  <c r="V56" i="5"/>
  <c r="V58" i="5"/>
  <c r="V60" i="5"/>
  <c r="W32" i="5"/>
  <c r="W34" i="5"/>
  <c r="W36" i="5"/>
  <c r="W38" i="5"/>
  <c r="W40" i="5"/>
  <c r="W42" i="5"/>
  <c r="W44" i="5"/>
  <c r="W46" i="5"/>
  <c r="W48" i="5"/>
  <c r="W50" i="5"/>
  <c r="W52" i="5"/>
  <c r="W54" i="5"/>
  <c r="W56" i="5"/>
  <c r="W58" i="5"/>
  <c r="W60" i="5"/>
  <c r="V33" i="5"/>
  <c r="V35" i="5"/>
  <c r="V37" i="5"/>
  <c r="V39" i="5"/>
  <c r="V41" i="5"/>
  <c r="V43" i="5"/>
  <c r="V45" i="5"/>
  <c r="V47" i="5"/>
  <c r="V49" i="5"/>
  <c r="V51" i="5"/>
  <c r="V53" i="5"/>
  <c r="V55" i="5"/>
  <c r="V57" i="5"/>
  <c r="V59" i="5"/>
  <c r="W33" i="5"/>
  <c r="W35" i="5"/>
  <c r="W37" i="5"/>
  <c r="W39" i="5"/>
  <c r="W41" i="5"/>
  <c r="W43" i="5"/>
  <c r="W45" i="5"/>
  <c r="W47" i="5"/>
  <c r="W49" i="5"/>
  <c r="W51" i="5"/>
  <c r="W53" i="5"/>
  <c r="W55" i="5"/>
  <c r="W57" i="5"/>
  <c r="W59" i="5"/>
  <c r="V26" i="5"/>
  <c r="V29" i="5"/>
  <c r="Y29" i="5" s="1"/>
  <c r="V23" i="5"/>
  <c r="Y23" i="5" s="1"/>
  <c r="V25" i="5"/>
  <c r="W27" i="5"/>
  <c r="W25" i="5"/>
  <c r="W28" i="5"/>
  <c r="W30" i="5"/>
  <c r="Y30" i="5" s="1"/>
  <c r="W15" i="5"/>
  <c r="W26" i="5"/>
  <c r="W31" i="5"/>
  <c r="V15" i="5"/>
  <c r="V18" i="5"/>
  <c r="V27" i="5"/>
  <c r="Y27" i="5" s="1"/>
  <c r="V16" i="5"/>
  <c r="H13" i="7"/>
  <c r="AF13" i="10"/>
  <c r="BJ13" i="10"/>
  <c r="BJ17" i="10"/>
  <c r="BK17" i="10" s="1"/>
  <c r="BJ21" i="10"/>
  <c r="BK21" i="10" s="1"/>
  <c r="BJ25" i="10"/>
  <c r="BK25" i="10" s="1"/>
  <c r="BJ29" i="10"/>
  <c r="BK29" i="10" s="1"/>
  <c r="BJ33" i="10"/>
  <c r="BK33" i="10" s="1"/>
  <c r="BJ37" i="10"/>
  <c r="BK37" i="10" s="1"/>
  <c r="BJ41" i="10"/>
  <c r="BK41" i="10" s="1"/>
  <c r="BJ45" i="10"/>
  <c r="BK45" i="10" s="1"/>
  <c r="BJ49" i="10"/>
  <c r="BK49" i="10" s="1"/>
  <c r="BJ53" i="10"/>
  <c r="BK53" i="10" s="1"/>
  <c r="BJ57" i="10"/>
  <c r="BK57" i="10" s="1"/>
  <c r="BJ61" i="10"/>
  <c r="BK61" i="10" s="1"/>
  <c r="BJ65" i="10"/>
  <c r="BK65" i="10" s="1"/>
  <c r="BJ69" i="10"/>
  <c r="BK69" i="10" s="1"/>
  <c r="BJ73" i="10"/>
  <c r="BK73" i="10" s="1"/>
  <c r="BJ77" i="10"/>
  <c r="BK77" i="10" s="1"/>
  <c r="BJ81" i="10"/>
  <c r="BK81" i="10" s="1"/>
  <c r="BJ85" i="10"/>
  <c r="BK85" i="10" s="1"/>
  <c r="BJ14" i="10"/>
  <c r="BK14" i="10" s="1"/>
  <c r="BJ18" i="10"/>
  <c r="BK18" i="10" s="1"/>
  <c r="BJ22" i="10"/>
  <c r="BK22" i="10" s="1"/>
  <c r="BJ26" i="10"/>
  <c r="BK26" i="10" s="1"/>
  <c r="BJ30" i="10"/>
  <c r="BK30" i="10" s="1"/>
  <c r="BJ34" i="10"/>
  <c r="BK34" i="10" s="1"/>
  <c r="BJ38" i="10"/>
  <c r="BK38" i="10" s="1"/>
  <c r="BJ42" i="10"/>
  <c r="BK42" i="10" s="1"/>
  <c r="BJ46" i="10"/>
  <c r="BK46" i="10" s="1"/>
  <c r="BJ50" i="10"/>
  <c r="BK50" i="10" s="1"/>
  <c r="BJ54" i="10"/>
  <c r="BK54" i="10" s="1"/>
  <c r="BJ58" i="10"/>
  <c r="BK58" i="10" s="1"/>
  <c r="BJ62" i="10"/>
  <c r="BK62" i="10" s="1"/>
  <c r="BJ66" i="10"/>
  <c r="BK66" i="10" s="1"/>
  <c r="BJ70" i="10"/>
  <c r="BK70" i="10" s="1"/>
  <c r="BJ74" i="10"/>
  <c r="BK74" i="10" s="1"/>
  <c r="BJ78" i="10"/>
  <c r="BK78" i="10" s="1"/>
  <c r="BJ82" i="10"/>
  <c r="BK82" i="10" s="1"/>
  <c r="BJ86" i="10"/>
  <c r="BK86" i="10" s="1"/>
  <c r="BJ15" i="10"/>
  <c r="BK15" i="10" s="1"/>
  <c r="BJ19" i="10"/>
  <c r="BK19" i="10" s="1"/>
  <c r="BJ23" i="10"/>
  <c r="BK23" i="10" s="1"/>
  <c r="BJ27" i="10"/>
  <c r="BK27" i="10" s="1"/>
  <c r="BJ31" i="10"/>
  <c r="BK31" i="10" s="1"/>
  <c r="BJ35" i="10"/>
  <c r="BK35" i="10" s="1"/>
  <c r="BJ39" i="10"/>
  <c r="BK39" i="10" s="1"/>
  <c r="BJ43" i="10"/>
  <c r="BK43" i="10" s="1"/>
  <c r="BJ47" i="10"/>
  <c r="BK47" i="10" s="1"/>
  <c r="BJ51" i="10"/>
  <c r="BK51" i="10" s="1"/>
  <c r="BJ55" i="10"/>
  <c r="BK55" i="10" s="1"/>
  <c r="BJ59" i="10"/>
  <c r="BK59" i="10" s="1"/>
  <c r="BJ63" i="10"/>
  <c r="BK63" i="10" s="1"/>
  <c r="BJ67" i="10"/>
  <c r="BK67" i="10" s="1"/>
  <c r="BJ71" i="10"/>
  <c r="BK71" i="10" s="1"/>
  <c r="BJ75" i="10"/>
  <c r="BK75" i="10" s="1"/>
  <c r="BJ79" i="10"/>
  <c r="BK79" i="10" s="1"/>
  <c r="BJ83" i="10"/>
  <c r="BK83" i="10" s="1"/>
  <c r="BJ16" i="10"/>
  <c r="BK16" i="10" s="1"/>
  <c r="BJ20" i="10"/>
  <c r="BK20" i="10" s="1"/>
  <c r="BJ24" i="10"/>
  <c r="BK24" i="10" s="1"/>
  <c r="BJ28" i="10"/>
  <c r="BK28" i="10" s="1"/>
  <c r="BJ32" i="10"/>
  <c r="BK32" i="10" s="1"/>
  <c r="BJ36" i="10"/>
  <c r="BK36" i="10" s="1"/>
  <c r="BJ40" i="10"/>
  <c r="BK40" i="10" s="1"/>
  <c r="BJ44" i="10"/>
  <c r="BK44" i="10" s="1"/>
  <c r="BJ48" i="10"/>
  <c r="BK48" i="10" s="1"/>
  <c r="BJ52" i="10"/>
  <c r="BK52" i="10" s="1"/>
  <c r="BJ56" i="10"/>
  <c r="BK56" i="10" s="1"/>
  <c r="BJ60" i="10"/>
  <c r="BK60" i="10" s="1"/>
  <c r="BJ64" i="10"/>
  <c r="BK64" i="10" s="1"/>
  <c r="BJ68" i="10"/>
  <c r="BK68" i="10" s="1"/>
  <c r="BJ72" i="10"/>
  <c r="BK72" i="10" s="1"/>
  <c r="BJ76" i="10"/>
  <c r="BK76" i="10" s="1"/>
  <c r="BJ80" i="10"/>
  <c r="BK80" i="10" s="1"/>
  <c r="BJ84" i="10"/>
  <c r="BK84" i="10" s="1"/>
  <c r="V12" i="10"/>
  <c r="I23" i="3"/>
  <c r="J23" i="3" s="1"/>
  <c r="J18" i="3"/>
  <c r="H30" i="4"/>
  <c r="K33" i="4" s="1"/>
  <c r="I21" i="3"/>
  <c r="F20" i="5"/>
  <c r="F41" i="5" s="1"/>
  <c r="F43" i="5" s="1"/>
  <c r="E16" i="7"/>
  <c r="K31" i="4"/>
  <c r="J31" i="4"/>
  <c r="H34" i="4"/>
  <c r="J34" i="4" s="1"/>
  <c r="I27" i="4"/>
  <c r="H33" i="4" s="1"/>
  <c r="I22" i="3"/>
  <c r="J22" i="3" s="1"/>
  <c r="J11" i="3"/>
  <c r="Y15" i="5" l="1"/>
  <c r="Y25" i="5"/>
  <c r="Y22" i="5"/>
  <c r="BK13" i="10"/>
  <c r="AE13" i="10"/>
  <c r="I27" i="3"/>
  <c r="J21" i="3"/>
  <c r="J27" i="3" s="1"/>
  <c r="Y26" i="5"/>
  <c r="Y17" i="5"/>
  <c r="Y20" i="5"/>
  <c r="Y16" i="5"/>
  <c r="Y28" i="5"/>
  <c r="Y31" i="5"/>
  <c r="Y21" i="5"/>
  <c r="Y52" i="5"/>
  <c r="Y53" i="5"/>
  <c r="Y44" i="5"/>
  <c r="Y47" i="5"/>
  <c r="Y18" i="5"/>
  <c r="Y24" i="5"/>
  <c r="Y19" i="5"/>
  <c r="Y57" i="5"/>
  <c r="Y48" i="5"/>
  <c r="Y50" i="5"/>
  <c r="Y60" i="5"/>
  <c r="Y54" i="5"/>
  <c r="Y55" i="5"/>
  <c r="Y49" i="5"/>
  <c r="Y33" i="5"/>
  <c r="Y46" i="5"/>
  <c r="Y58" i="5"/>
  <c r="Y32" i="5"/>
  <c r="Y45" i="5"/>
  <c r="Y59" i="5"/>
  <c r="Y43" i="5"/>
  <c r="Y56" i="5"/>
  <c r="Y51" i="5"/>
  <c r="Y37" i="5"/>
  <c r="Y39" i="5"/>
  <c r="Y38" i="5"/>
  <c r="Y40" i="5"/>
  <c r="Y35" i="5"/>
  <c r="Y42" i="5"/>
  <c r="Y41" i="5"/>
  <c r="Y34" i="5"/>
  <c r="Y36" i="5"/>
  <c r="H35" i="4"/>
  <c r="J33" i="4"/>
  <c r="AB13" i="10" l="1"/>
  <c r="AB12" i="10"/>
  <c r="I28" i="3"/>
  <c r="J28" i="3"/>
  <c r="Y62" i="5"/>
  <c r="Y63" i="5" s="1"/>
  <c r="F45" i="5" s="1"/>
  <c r="J35" i="4"/>
  <c r="J36" i="4"/>
  <c r="J38" i="4" s="1"/>
  <c r="J39" i="4" s="1"/>
  <c r="Q21" i="3" l="1"/>
  <c r="I35" i="3"/>
  <c r="J35" i="3" s="1"/>
  <c r="AC72" i="10"/>
  <c r="AN72" i="10" s="1"/>
  <c r="AO72" i="10" s="1"/>
  <c r="BF72" i="10"/>
  <c r="BH72" i="10" s="1"/>
  <c r="BG72" i="10"/>
  <c r="AC40" i="10"/>
  <c r="AN40" i="10" s="1"/>
  <c r="AQ40" i="10" s="1"/>
  <c r="BF40" i="10"/>
  <c r="BH40" i="10" s="1"/>
  <c r="BG40" i="10"/>
  <c r="AC75" i="10"/>
  <c r="AN75" i="10" s="1"/>
  <c r="AR75" i="10" s="1"/>
  <c r="BF75" i="10"/>
  <c r="BH75" i="10" s="1"/>
  <c r="BG75" i="10"/>
  <c r="AC43" i="10"/>
  <c r="AN43" i="10" s="1"/>
  <c r="AR43" i="10" s="1"/>
  <c r="BF43" i="10"/>
  <c r="BH43" i="10" s="1"/>
  <c r="BG43" i="10"/>
  <c r="AC86" i="10"/>
  <c r="AN86" i="10" s="1"/>
  <c r="AO86" i="10" s="1"/>
  <c r="BG86" i="10"/>
  <c r="BF86" i="10"/>
  <c r="BH86" i="10" s="1"/>
  <c r="AC70" i="10"/>
  <c r="AN70" i="10" s="1"/>
  <c r="AR70" i="10" s="1"/>
  <c r="BG70" i="10"/>
  <c r="BF70" i="10"/>
  <c r="BH70" i="10" s="1"/>
  <c r="AC54" i="10"/>
  <c r="AN54" i="10" s="1"/>
  <c r="AQ54" i="10" s="1"/>
  <c r="BG54" i="10"/>
  <c r="BF54" i="10"/>
  <c r="BH54" i="10" s="1"/>
  <c r="AC22" i="10"/>
  <c r="AN22" i="10" s="1"/>
  <c r="AQ22" i="10" s="1"/>
  <c r="BG22" i="10"/>
  <c r="BF22" i="10"/>
  <c r="BH22" i="10" s="1"/>
  <c r="AC68" i="10"/>
  <c r="AN68" i="10" s="1"/>
  <c r="AR68" i="10" s="1"/>
  <c r="BF68" i="10"/>
  <c r="BH68" i="10" s="1"/>
  <c r="BG68" i="10"/>
  <c r="AC36" i="10"/>
  <c r="AN36" i="10" s="1"/>
  <c r="AR36" i="10" s="1"/>
  <c r="BF36" i="10"/>
  <c r="BH36" i="10" s="1"/>
  <c r="BG36" i="10"/>
  <c r="AC51" i="10"/>
  <c r="AN51" i="10" s="1"/>
  <c r="AQ51" i="10" s="1"/>
  <c r="BF51" i="10"/>
  <c r="BH51" i="10" s="1"/>
  <c r="BG51" i="10"/>
  <c r="AC23" i="10"/>
  <c r="AN23" i="10" s="1"/>
  <c r="AO23" i="10" s="1"/>
  <c r="BF23" i="10"/>
  <c r="BH23" i="10" s="1"/>
  <c r="BG23" i="10"/>
  <c r="AC64" i="10"/>
  <c r="AN64" i="10" s="1"/>
  <c r="AQ64" i="10" s="1"/>
  <c r="BF64" i="10"/>
  <c r="BH64" i="10" s="1"/>
  <c r="BG64" i="10"/>
  <c r="AC32" i="10"/>
  <c r="AN32" i="10" s="1"/>
  <c r="AO32" i="10" s="1"/>
  <c r="BF32" i="10"/>
  <c r="BH32" i="10" s="1"/>
  <c r="BG32" i="10"/>
  <c r="AC71" i="10"/>
  <c r="AN71" i="10" s="1"/>
  <c r="AO71" i="10" s="1"/>
  <c r="BF71" i="10"/>
  <c r="BH71" i="10" s="1"/>
  <c r="BG71" i="10"/>
  <c r="AC35" i="10"/>
  <c r="AN35" i="10" s="1"/>
  <c r="AQ35" i="10" s="1"/>
  <c r="BF35" i="10"/>
  <c r="BH35" i="10" s="1"/>
  <c r="BG35" i="10"/>
  <c r="AC82" i="10"/>
  <c r="AN82" i="10" s="1"/>
  <c r="AO82" i="10" s="1"/>
  <c r="BG82" i="10"/>
  <c r="BF82" i="10"/>
  <c r="BH82" i="10" s="1"/>
  <c r="AC66" i="10"/>
  <c r="AN66" i="10" s="1"/>
  <c r="AR66" i="10" s="1"/>
  <c r="BG66" i="10"/>
  <c r="BF66" i="10"/>
  <c r="BH66" i="10" s="1"/>
  <c r="AC50" i="10"/>
  <c r="AN50" i="10" s="1"/>
  <c r="AQ50" i="10" s="1"/>
  <c r="BG50" i="10"/>
  <c r="BF50" i="10"/>
  <c r="BH50" i="10" s="1"/>
  <c r="AC34" i="10"/>
  <c r="AN34" i="10" s="1"/>
  <c r="AR34" i="10" s="1"/>
  <c r="BG34" i="10"/>
  <c r="BF34" i="10"/>
  <c r="BH34" i="10" s="1"/>
  <c r="AC18" i="10"/>
  <c r="AN18" i="10" s="1"/>
  <c r="AR18" i="10" s="1"/>
  <c r="BG18" i="10"/>
  <c r="BF18" i="10"/>
  <c r="BH18" i="10" s="1"/>
  <c r="AC60" i="10"/>
  <c r="AN60" i="10" s="1"/>
  <c r="AQ60" i="10" s="1"/>
  <c r="BF60" i="10"/>
  <c r="BH60" i="10" s="1"/>
  <c r="BG60" i="10"/>
  <c r="AC28" i="10"/>
  <c r="AN28" i="10" s="1"/>
  <c r="AO28" i="10" s="1"/>
  <c r="BF28" i="10"/>
  <c r="BH28" i="10" s="1"/>
  <c r="BG28" i="10"/>
  <c r="AC79" i="10"/>
  <c r="AN79" i="10" s="1"/>
  <c r="AR79" i="10" s="1"/>
  <c r="BG79" i="10"/>
  <c r="BF79" i="10"/>
  <c r="BH79" i="10" s="1"/>
  <c r="AC47" i="10"/>
  <c r="AN47" i="10" s="1"/>
  <c r="AQ47" i="10" s="1"/>
  <c r="BG47" i="10"/>
  <c r="BF47" i="10"/>
  <c r="BH47" i="10" s="1"/>
  <c r="AC19" i="10"/>
  <c r="AN19" i="10" s="1"/>
  <c r="AR19" i="10" s="1"/>
  <c r="BG19" i="10"/>
  <c r="BF19" i="10"/>
  <c r="BH19" i="10" s="1"/>
  <c r="AC73" i="10"/>
  <c r="AN73" i="10" s="1"/>
  <c r="AO73" i="10" s="1"/>
  <c r="BF73" i="10"/>
  <c r="BH73" i="10" s="1"/>
  <c r="BG73" i="10"/>
  <c r="AC57" i="10"/>
  <c r="AN57" i="10" s="1"/>
  <c r="AO57" i="10" s="1"/>
  <c r="BG57" i="10"/>
  <c r="BF57" i="10"/>
  <c r="BH57" i="10" s="1"/>
  <c r="AC41" i="10"/>
  <c r="AN41" i="10" s="1"/>
  <c r="AR41" i="10" s="1"/>
  <c r="BG41" i="10"/>
  <c r="BF41" i="10"/>
  <c r="BH41" i="10" s="1"/>
  <c r="AC25" i="10"/>
  <c r="AN25" i="10" s="1"/>
  <c r="AR25" i="10" s="1"/>
  <c r="BG25" i="10"/>
  <c r="BF25" i="10"/>
  <c r="BH25" i="10" s="1"/>
  <c r="AC84" i="10"/>
  <c r="AN84" i="10" s="1"/>
  <c r="AR84" i="10" s="1"/>
  <c r="BF84" i="10"/>
  <c r="BH84" i="10" s="1"/>
  <c r="BG84" i="10"/>
  <c r="AC56" i="10"/>
  <c r="AN56" i="10" s="1"/>
  <c r="AQ56" i="10" s="1"/>
  <c r="BF56" i="10"/>
  <c r="BH56" i="10" s="1"/>
  <c r="BG56" i="10"/>
  <c r="AC20" i="10"/>
  <c r="AN20" i="10" s="1"/>
  <c r="AO20" i="10" s="1"/>
  <c r="BF20" i="10"/>
  <c r="BH20" i="10" s="1"/>
  <c r="BG20" i="10"/>
  <c r="AC63" i="10"/>
  <c r="AN63" i="10" s="1"/>
  <c r="AR63" i="10" s="1"/>
  <c r="BG63" i="10"/>
  <c r="BF63" i="10"/>
  <c r="BH63" i="10" s="1"/>
  <c r="AC27" i="10"/>
  <c r="AN27" i="10" s="1"/>
  <c r="AO27" i="10" s="1"/>
  <c r="BG27" i="10"/>
  <c r="BF27" i="10"/>
  <c r="BH27" i="10" s="1"/>
  <c r="AC78" i="10"/>
  <c r="AN78" i="10" s="1"/>
  <c r="AR78" i="10" s="1"/>
  <c r="BG78" i="10"/>
  <c r="BF78" i="10"/>
  <c r="BH78" i="10" s="1"/>
  <c r="AC62" i="10"/>
  <c r="AN62" i="10" s="1"/>
  <c r="AQ62" i="10" s="1"/>
  <c r="BG62" i="10"/>
  <c r="BF62" i="10"/>
  <c r="BH62" i="10" s="1"/>
  <c r="AC46" i="10"/>
  <c r="AN46" i="10" s="1"/>
  <c r="AQ46" i="10" s="1"/>
  <c r="BG46" i="10"/>
  <c r="BF46" i="10"/>
  <c r="BH46" i="10" s="1"/>
  <c r="AC30" i="10"/>
  <c r="AN30" i="10" s="1"/>
  <c r="AO30" i="10" s="1"/>
  <c r="BG30" i="10"/>
  <c r="BF30" i="10"/>
  <c r="BH30" i="10" s="1"/>
  <c r="AC14" i="10"/>
  <c r="AN14" i="10" s="1"/>
  <c r="AR14" i="10" s="1"/>
  <c r="BG14" i="10"/>
  <c r="BF14" i="10"/>
  <c r="BH14" i="10" s="1"/>
  <c r="AC52" i="10"/>
  <c r="AN52" i="10" s="1"/>
  <c r="AQ52" i="10" s="1"/>
  <c r="BF52" i="10"/>
  <c r="BH52" i="10" s="1"/>
  <c r="BG52" i="10"/>
  <c r="AC24" i="10"/>
  <c r="AN24" i="10" s="1"/>
  <c r="AQ24" i="10" s="1"/>
  <c r="BF24" i="10"/>
  <c r="BH24" i="10" s="1"/>
  <c r="BG24" i="10"/>
  <c r="AC67" i="10"/>
  <c r="AN67" i="10" s="1"/>
  <c r="AQ67" i="10" s="1"/>
  <c r="BF67" i="10"/>
  <c r="BH67" i="10" s="1"/>
  <c r="BG67" i="10"/>
  <c r="AC39" i="10"/>
  <c r="AN39" i="10" s="1"/>
  <c r="AO39" i="10" s="1"/>
  <c r="BG39" i="10"/>
  <c r="BF39" i="10"/>
  <c r="BH39" i="10" s="1"/>
  <c r="AC85" i="10"/>
  <c r="AN85" i="10" s="1"/>
  <c r="AQ85" i="10" s="1"/>
  <c r="BF85" i="10"/>
  <c r="BH85" i="10" s="1"/>
  <c r="BG85" i="10"/>
  <c r="AC69" i="10"/>
  <c r="AN69" i="10" s="1"/>
  <c r="AR69" i="10" s="1"/>
  <c r="BG69" i="10"/>
  <c r="BF69" i="10"/>
  <c r="BH69" i="10" s="1"/>
  <c r="AC53" i="10"/>
  <c r="AN53" i="10" s="1"/>
  <c r="AO53" i="10" s="1"/>
  <c r="BF53" i="10"/>
  <c r="BH53" i="10" s="1"/>
  <c r="BG53" i="10"/>
  <c r="AC37" i="10"/>
  <c r="AN37" i="10" s="1"/>
  <c r="AR37" i="10" s="1"/>
  <c r="BF37" i="10"/>
  <c r="BH37" i="10" s="1"/>
  <c r="BG37" i="10"/>
  <c r="AC21" i="10"/>
  <c r="AN21" i="10" s="1"/>
  <c r="AR21" i="10" s="1"/>
  <c r="BG21" i="10"/>
  <c r="BF21" i="10"/>
  <c r="BH21" i="10" s="1"/>
  <c r="AC76" i="10"/>
  <c r="AN76" i="10" s="1"/>
  <c r="AQ76" i="10" s="1"/>
  <c r="BF76" i="10"/>
  <c r="BH76" i="10" s="1"/>
  <c r="BG76" i="10"/>
  <c r="AC48" i="10"/>
  <c r="AN48" i="10" s="1"/>
  <c r="AR48" i="10" s="1"/>
  <c r="BF48" i="10"/>
  <c r="BH48" i="10" s="1"/>
  <c r="BG48" i="10"/>
  <c r="AC83" i="10"/>
  <c r="AN83" i="10" s="1"/>
  <c r="AQ83" i="10" s="1"/>
  <c r="BF83" i="10"/>
  <c r="BH83" i="10" s="1"/>
  <c r="BG83" i="10"/>
  <c r="AC55" i="10"/>
  <c r="AN55" i="10" s="1"/>
  <c r="AQ55" i="10" s="1"/>
  <c r="BG55" i="10"/>
  <c r="BF55" i="10"/>
  <c r="BH55" i="10" s="1"/>
  <c r="AC15" i="10"/>
  <c r="AN15" i="10" s="1"/>
  <c r="AO15" i="10" s="1"/>
  <c r="BF15" i="10"/>
  <c r="BG15" i="10"/>
  <c r="AC74" i="10"/>
  <c r="AN74" i="10" s="1"/>
  <c r="AR74" i="10" s="1"/>
  <c r="BG74" i="10"/>
  <c r="BF74" i="10"/>
  <c r="BH74" i="10" s="1"/>
  <c r="AC58" i="10"/>
  <c r="AN58" i="10" s="1"/>
  <c r="AO58" i="10" s="1"/>
  <c r="BG58" i="10"/>
  <c r="BF58" i="10"/>
  <c r="BH58" i="10" s="1"/>
  <c r="AC42" i="10"/>
  <c r="AN42" i="10" s="1"/>
  <c r="AO42" i="10" s="1"/>
  <c r="BG42" i="10"/>
  <c r="BF42" i="10"/>
  <c r="BH42" i="10" s="1"/>
  <c r="AC26" i="10"/>
  <c r="AN26" i="10" s="1"/>
  <c r="AQ26" i="10" s="1"/>
  <c r="BG26" i="10"/>
  <c r="BF26" i="10"/>
  <c r="BH26" i="10" s="1"/>
  <c r="AC80" i="10"/>
  <c r="AN80" i="10" s="1"/>
  <c r="AO80" i="10" s="1"/>
  <c r="BF80" i="10"/>
  <c r="BH80" i="10" s="1"/>
  <c r="BG80" i="10"/>
  <c r="AC44" i="10"/>
  <c r="AN44" i="10" s="1"/>
  <c r="AQ44" i="10" s="1"/>
  <c r="BF44" i="10"/>
  <c r="BH44" i="10" s="1"/>
  <c r="BG44" i="10"/>
  <c r="AC16" i="10"/>
  <c r="AN16" i="10" s="1"/>
  <c r="AO16" i="10" s="1"/>
  <c r="BF16" i="10"/>
  <c r="BH16" i="10" s="1"/>
  <c r="BG16" i="10"/>
  <c r="AC59" i="10"/>
  <c r="AN59" i="10" s="1"/>
  <c r="AO59" i="10" s="1"/>
  <c r="BF59" i="10"/>
  <c r="BH59" i="10" s="1"/>
  <c r="BG59" i="10"/>
  <c r="AC31" i="10"/>
  <c r="AN31" i="10" s="1"/>
  <c r="AR31" i="10" s="1"/>
  <c r="BG31" i="10"/>
  <c r="BF31" i="10"/>
  <c r="BH31" i="10" s="1"/>
  <c r="AC81" i="10"/>
  <c r="AN81" i="10" s="1"/>
  <c r="AO81" i="10" s="1"/>
  <c r="BG81" i="10"/>
  <c r="BF81" i="10"/>
  <c r="BH81" i="10" s="1"/>
  <c r="AC65" i="10"/>
  <c r="AN65" i="10" s="1"/>
  <c r="AQ65" i="10" s="1"/>
  <c r="BF65" i="10"/>
  <c r="BH65" i="10" s="1"/>
  <c r="BG65" i="10"/>
  <c r="AC49" i="10"/>
  <c r="AN49" i="10" s="1"/>
  <c r="AR49" i="10" s="1"/>
  <c r="BG49" i="10"/>
  <c r="BF49" i="10"/>
  <c r="BH49" i="10" s="1"/>
  <c r="AC33" i="10"/>
  <c r="AN33" i="10" s="1"/>
  <c r="AR33" i="10" s="1"/>
  <c r="BG33" i="10"/>
  <c r="BF33" i="10"/>
  <c r="BH33" i="10" s="1"/>
  <c r="AC17" i="10"/>
  <c r="AN17" i="10" s="1"/>
  <c r="AR17" i="10" s="1"/>
  <c r="BG17" i="10"/>
  <c r="BF17" i="10"/>
  <c r="BH17" i="10" s="1"/>
  <c r="AC38" i="10"/>
  <c r="AN38" i="10" s="1"/>
  <c r="AO38" i="10" s="1"/>
  <c r="BG38" i="10"/>
  <c r="BF38" i="10"/>
  <c r="BH38" i="10" s="1"/>
  <c r="AC77" i="10"/>
  <c r="AN77" i="10" s="1"/>
  <c r="AR77" i="10" s="1"/>
  <c r="BF77" i="10"/>
  <c r="BH77" i="10" s="1"/>
  <c r="BG77" i="10"/>
  <c r="AC61" i="10"/>
  <c r="AN61" i="10" s="1"/>
  <c r="AO61" i="10" s="1"/>
  <c r="BG61" i="10"/>
  <c r="BF61" i="10"/>
  <c r="BH61" i="10" s="1"/>
  <c r="AC45" i="10"/>
  <c r="AN45" i="10" s="1"/>
  <c r="AR45" i="10" s="1"/>
  <c r="BF45" i="10"/>
  <c r="BH45" i="10" s="1"/>
  <c r="BG45" i="10"/>
  <c r="AC29" i="10"/>
  <c r="AN29" i="10" s="1"/>
  <c r="AR29" i="10" s="1"/>
  <c r="BF29" i="10"/>
  <c r="BH29" i="10" s="1"/>
  <c r="BG29" i="10"/>
  <c r="BG13" i="10"/>
  <c r="BF13" i="10"/>
  <c r="AO56" i="10"/>
  <c r="AA13" i="10"/>
  <c r="AC13" i="10"/>
  <c r="Q20" i="3"/>
  <c r="Q19" i="3"/>
  <c r="J36" i="3"/>
  <c r="R19" i="3"/>
  <c r="R21" i="3"/>
  <c r="I34" i="3"/>
  <c r="J34" i="3" s="1"/>
  <c r="R20" i="3"/>
  <c r="R25" i="3"/>
  <c r="Q25" i="3"/>
  <c r="R10" i="3"/>
  <c r="J57" i="3"/>
  <c r="J58" i="3"/>
  <c r="J59" i="3"/>
  <c r="I36" i="3"/>
  <c r="F47" i="5"/>
  <c r="AQ72" i="10" l="1"/>
  <c r="AR72" i="10"/>
  <c r="AR86" i="10"/>
  <c r="AQ20" i="10"/>
  <c r="AR22" i="10"/>
  <c r="AO17" i="10"/>
  <c r="AO35" i="10"/>
  <c r="AR83" i="10"/>
  <c r="AQ37" i="10"/>
  <c r="AQ57" i="10"/>
  <c r="AO43" i="10"/>
  <c r="AQ23" i="10"/>
  <c r="AQ43" i="10"/>
  <c r="AQ34" i="10"/>
  <c r="AQ79" i="10"/>
  <c r="AR56" i="10"/>
  <c r="AR58" i="10"/>
  <c r="AQ39" i="10"/>
  <c r="AO75" i="10"/>
  <c r="AQ74" i="10"/>
  <c r="AO33" i="10"/>
  <c r="AR67" i="10"/>
  <c r="AO48" i="10"/>
  <c r="AQ30" i="10"/>
  <c r="AQ84" i="10"/>
  <c r="AQ61" i="10"/>
  <c r="AQ45" i="10"/>
  <c r="AO44" i="10"/>
  <c r="AQ28" i="10"/>
  <c r="AR53" i="10"/>
  <c r="AQ71" i="10"/>
  <c r="AO51" i="10"/>
  <c r="AO50" i="10"/>
  <c r="AO45" i="10"/>
  <c r="AQ17" i="10"/>
  <c r="AR44" i="10"/>
  <c r="AO83" i="10"/>
  <c r="AO78" i="10"/>
  <c r="AR81" i="10"/>
  <c r="AQ58" i="10"/>
  <c r="AO37" i="10"/>
  <c r="AR51" i="10"/>
  <c r="AO54" i="10"/>
  <c r="AO74" i="10"/>
  <c r="AQ33" i="10"/>
  <c r="AO31" i="10"/>
  <c r="AR28" i="10"/>
  <c r="AO67" i="10"/>
  <c r="AR27" i="10"/>
  <c r="AO22" i="10"/>
  <c r="AQ81" i="10"/>
  <c r="AQ31" i="10"/>
  <c r="AR57" i="10"/>
  <c r="AR39" i="10"/>
  <c r="AR61" i="10"/>
  <c r="AR23" i="10"/>
  <c r="AQ75" i="10"/>
  <c r="AQ48" i="10"/>
  <c r="AO34" i="10"/>
  <c r="AR80" i="10"/>
  <c r="AO79" i="10"/>
  <c r="AR50" i="10"/>
  <c r="AR35" i="10"/>
  <c r="AQ53" i="10"/>
  <c r="AR30" i="10"/>
  <c r="AQ78" i="10"/>
  <c r="AO84" i="10"/>
  <c r="AR73" i="10"/>
  <c r="AQ73" i="10"/>
  <c r="AR71" i="10"/>
  <c r="AR54" i="10"/>
  <c r="AQ80" i="10"/>
  <c r="AQ14" i="10"/>
  <c r="AQ27" i="10"/>
  <c r="AO47" i="10"/>
  <c r="AO68" i="10"/>
  <c r="AQ19" i="10"/>
  <c r="AR42" i="10"/>
  <c r="AR52" i="10"/>
  <c r="AO21" i="10"/>
  <c r="AQ68" i="10"/>
  <c r="AQ38" i="10"/>
  <c r="AQ86" i="10"/>
  <c r="AR82" i="10"/>
  <c r="AR64" i="10"/>
  <c r="AO62" i="10"/>
  <c r="AR20" i="10"/>
  <c r="AQ18" i="10"/>
  <c r="AR55" i="10"/>
  <c r="AQ82" i="10"/>
  <c r="AQ16" i="10"/>
  <c r="AO64" i="10"/>
  <c r="AO85" i="10"/>
  <c r="AR62" i="10"/>
  <c r="AQ21" i="10"/>
  <c r="AO41" i="10"/>
  <c r="AR47" i="10"/>
  <c r="AO55" i="10"/>
  <c r="AR65" i="10"/>
  <c r="AR16" i="10"/>
  <c r="AQ29" i="10"/>
  <c r="AQ32" i="10"/>
  <c r="AO65" i="10"/>
  <c r="BH15" i="10"/>
  <c r="AO14" i="10"/>
  <c r="AO29" i="10"/>
  <c r="AR38" i="10"/>
  <c r="AQ42" i="10"/>
  <c r="AR85" i="10"/>
  <c r="AO52" i="10"/>
  <c r="AQ41" i="10"/>
  <c r="AO18" i="10"/>
  <c r="AR60" i="10"/>
  <c r="AR24" i="10"/>
  <c r="AQ63" i="10"/>
  <c r="AN13" i="10"/>
  <c r="AQ36" i="10"/>
  <c r="AR15" i="10"/>
  <c r="AR76" i="10"/>
  <c r="AO69" i="10"/>
  <c r="AO46" i="10"/>
  <c r="AQ25" i="10"/>
  <c r="AO77" i="10"/>
  <c r="AO70" i="10"/>
  <c r="AO40" i="10"/>
  <c r="AO19" i="10"/>
  <c r="AO60" i="10"/>
  <c r="AR32" i="10"/>
  <c r="AO49" i="10"/>
  <c r="AR59" i="10"/>
  <c r="AR26" i="10"/>
  <c r="AO76" i="10"/>
  <c r="AO66" i="10"/>
  <c r="AQ77" i="10"/>
  <c r="AO36" i="10"/>
  <c r="AQ70" i="10"/>
  <c r="AR40" i="10"/>
  <c r="AQ49" i="10"/>
  <c r="AQ59" i="10"/>
  <c r="AO26" i="10"/>
  <c r="AQ15" i="10"/>
  <c r="AQ69" i="10"/>
  <c r="AO24" i="10"/>
  <c r="AR46" i="10"/>
  <c r="AO63" i="10"/>
  <c r="AO25" i="10"/>
  <c r="AQ66" i="10"/>
  <c r="BH13" i="10"/>
  <c r="Q22" i="3"/>
  <c r="R22" i="3"/>
  <c r="R26" i="3" s="1"/>
  <c r="R27" i="3" s="1"/>
  <c r="J60" i="3"/>
  <c r="J62" i="3" s="1"/>
  <c r="J65" i="3" s="1"/>
  <c r="I60" i="3"/>
  <c r="Q26" i="3" l="1"/>
  <c r="Q27" i="3" s="1"/>
  <c r="J42" i="3"/>
  <c r="I42" i="3" s="1"/>
  <c r="J44" i="3"/>
  <c r="I44" i="3" s="1"/>
  <c r="I37" i="3"/>
  <c r="AQ13" i="10"/>
  <c r="AO13" i="10"/>
  <c r="AR13" i="10"/>
  <c r="R29" i="3"/>
  <c r="Q31" i="3" l="1"/>
  <c r="I38" i="3" s="1"/>
  <c r="J38" i="3" s="1"/>
  <c r="R31" i="3" s="1"/>
  <c r="R32" i="3" s="1"/>
  <c r="Q29" i="3"/>
  <c r="I39" i="3"/>
  <c r="J39" i="3" s="1"/>
  <c r="B49" i="7"/>
  <c r="Q32" i="3" l="1"/>
  <c r="J43" i="3"/>
  <c r="I43" i="3" s="1"/>
  <c r="J45" i="3" l="1"/>
  <c r="I45" i="3"/>
  <c r="F31" i="6"/>
  <c r="F30" i="6"/>
  <c r="U19" i="6"/>
  <c r="U20" i="6"/>
  <c r="U21" i="6"/>
  <c r="U17" i="6"/>
  <c r="U30" i="6" l="1"/>
  <c r="U24" i="6"/>
  <c r="U28" i="6"/>
  <c r="U33" i="6"/>
  <c r="U36" i="6"/>
  <c r="U18" i="6"/>
  <c r="U31" i="6"/>
  <c r="U25" i="6"/>
  <c r="U32" i="6"/>
  <c r="U27" i="6"/>
  <c r="U23" i="6"/>
  <c r="U26" i="6"/>
  <c r="U22" i="6"/>
  <c r="U34" i="6"/>
  <c r="U29" i="6"/>
  <c r="U35" i="6"/>
  <c r="U38" i="6" l="1"/>
  <c r="F34" i="6" s="1"/>
  <c r="U39" i="6" l="1"/>
  <c r="F32" i="6" s="1"/>
  <c r="V11" i="10" l="1"/>
  <c r="BF12" i="10" l="1"/>
  <c r="BG12" i="10"/>
  <c r="AC12" i="10"/>
  <c r="AA12" i="10"/>
  <c r="X12" i="10"/>
  <c r="BH12" i="10" l="1"/>
  <c r="BI12" i="10" s="1"/>
  <c r="AF12" i="10" s="1"/>
  <c r="BJ12" i="10" l="1"/>
  <c r="AE12" i="10" s="1"/>
  <c r="AD12" i="10"/>
  <c r="AH12" i="10"/>
  <c r="AI12" i="10"/>
  <c r="BK12" i="10" l="1"/>
  <c r="AN12" i="10"/>
  <c r="AR12" i="10" s="1"/>
  <c r="AN11" i="10" l="1"/>
  <c r="AR11" i="10" s="1"/>
  <c r="AQ12" i="10"/>
  <c r="AO12" i="10"/>
  <c r="AO11" i="10" s="1"/>
  <c r="J37" i="3"/>
  <c r="J40" i="3" s="1"/>
  <c r="J47" i="3" s="1"/>
  <c r="I40" i="3"/>
  <c r="I47" i="3" s="1"/>
  <c r="AQ11" i="10" l="1"/>
  <c r="Q4" i="10" s="1"/>
  <c r="I49" i="3"/>
  <c r="I62" i="3"/>
  <c r="I65" i="3" s="1"/>
  <c r="R11" i="3" l="1"/>
  <c r="R12" i="3"/>
  <c r="R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Bé Keizer</author>
    <author>B Keizer</author>
    <author>Keizer</author>
    <author>B. Keizer</author>
    <author>Arno Osinga</author>
  </authors>
  <commentList>
    <comment ref="G14" authorId="0" shapeId="0" xr:uid="{00000000-0006-0000-0100-000001000000}">
      <text>
        <r>
          <rPr>
            <sz val="10"/>
            <color indexed="81"/>
            <rFont val="Arial"/>
            <family val="2"/>
          </rPr>
          <t>Voor alleen de ID1 schaal gelden twee aanloopregels, die in de tabellen als 1 en 2 zijn opgenomen. Daardoor moet regel 1 van een ID1 schaal dus als regel 3 worden opgenomen en 2 als 4 etc.</t>
        </r>
      </text>
    </comment>
    <comment ref="F23" authorId="1" shapeId="0" xr:uid="{00000000-0006-0000-0100-000002000000}">
      <text>
        <r>
          <rPr>
            <sz val="9"/>
            <color indexed="81"/>
            <rFont val="Tahoma"/>
            <family val="2"/>
          </rPr>
          <t xml:space="preserve">
Uitgaande van een aanstelling op 1 oktober 2018 (CAO VO art. 3.2 lid 2).</t>
        </r>
      </text>
    </comment>
    <comment ref="F25" authorId="2" shapeId="0" xr:uid="{00000000-0006-0000-0100-000003000000}">
      <text>
        <r>
          <rPr>
            <sz val="10"/>
            <color indexed="81"/>
            <rFont val="Arial"/>
            <family val="2"/>
          </rPr>
          <t>Deze eindejaarsuitkering wordt toegekend aan de schalen 1 t/m 8. Zie tabellen.</t>
        </r>
      </text>
    </comment>
    <comment ref="F29" authorId="2" shapeId="0" xr:uid="{00000000-0006-0000-0100-000004000000}">
      <text>
        <r>
          <rPr>
            <sz val="9"/>
            <color indexed="81"/>
            <rFont val="Tahoma"/>
            <family val="2"/>
          </rPr>
          <t xml:space="preserve">
Het jaarinkomen ABP wordt bepaald op basis van de maand januari van dat jaar plus een incidentele toekening in het voorafgaande jaar.</t>
        </r>
      </text>
    </comment>
    <comment ref="F30" authorId="3" shapeId="0" xr:uid="{00000000-0006-0000-0100-000005000000}">
      <text>
        <r>
          <rPr>
            <sz val="9"/>
            <color indexed="81"/>
            <rFont val="Tahoma"/>
            <family val="2"/>
          </rPr>
          <t xml:space="preserve">
Na 1 april 2017 is dit € 0,00. Niet pensioengevend.</t>
        </r>
      </text>
    </comment>
    <comment ref="E37" authorId="2" shapeId="0" xr:uid="{00000000-0006-0000-0100-000006000000}">
      <text>
        <r>
          <rPr>
            <sz val="9"/>
            <color indexed="81"/>
            <rFont val="Tahoma"/>
            <family val="2"/>
          </rPr>
          <t xml:space="preserve">
Voor de WAO/WIA geldt een basispremie (6,77%) plus de Whk-gedifferentieerd premie. Daarin is opgenomen de premie kinderopvang van 0,5%. De Whk-gedifferentieerd premie is gesteld op 1,20% voor kleine werkgevers. Daarnaast geldt voor de grote werkgever een individueel vastgestelde premie die door de Belastingdienst wordt vastgesteld. Voor middelgrote werkgevers wordt het een gewogen gemiddelde van de sectorale en de individuele premie. Die opslag dient u in het werkblad tabellen in te voeren (cel C11).</t>
        </r>
      </text>
    </comment>
    <comment ref="E42" authorId="4" shapeId="0" xr:uid="{00000000-0006-0000-0100-000007000000}">
      <text>
        <r>
          <rPr>
            <b/>
            <sz val="10"/>
            <color indexed="81"/>
            <rFont val="Arial"/>
            <family val="2"/>
          </rPr>
          <t>In het VO is de werkgever voor een belangrijk deel eigen risicodrager.  In de tabellen kan een raming in percentage worden opgenomen.</t>
        </r>
      </text>
    </comment>
    <comment ref="E44" authorId="4" shapeId="0" xr:uid="{00000000-0006-0000-0100-000008000000}">
      <text>
        <r>
          <rPr>
            <b/>
            <sz val="10"/>
            <color indexed="81"/>
            <rFont val="Arial"/>
            <family val="2"/>
          </rPr>
          <t>In het VO is de werkgever voor een belangrijk deel eigen risicodrager.  In de tabellen kan een raming in percentage worden opgenomen.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Keizer</author>
    <author>Annemarie van Groenestijn</author>
    <author>Bé Keizer</author>
  </authors>
  <commentList>
    <comment ref="H8" authorId="0" shapeId="0" xr:uid="{00000000-0006-0000-0200-000001000000}">
      <text>
        <r>
          <rPr>
            <sz val="9"/>
            <color indexed="81"/>
            <rFont val="Tahoma"/>
            <family val="2"/>
          </rPr>
          <t xml:space="preserve">
Moet groter dan 0,00 zijn.</t>
        </r>
      </text>
    </comment>
    <comment ref="AJ8" authorId="1" shapeId="0" xr:uid="{00000000-0006-0000-0200-000002000000}">
      <text>
        <r>
          <rPr>
            <sz val="9"/>
            <color indexed="81"/>
            <rFont val="Tahoma"/>
            <family val="2"/>
          </rPr>
          <t xml:space="preserve">
Een bestuur dat voor het VF (deels) eigenrisicodrager is kan een schatting van de eigen kosten voor vervanging </t>
        </r>
        <r>
          <rPr>
            <b/>
            <sz val="9"/>
            <color indexed="81"/>
            <rFont val="Tahoma"/>
            <family val="2"/>
          </rPr>
          <t>per maand</t>
        </r>
        <r>
          <rPr>
            <sz val="9"/>
            <color indexed="81"/>
            <rFont val="Tahoma"/>
            <family val="2"/>
          </rPr>
          <t xml:space="preserve"> opvoeren bij "kosten vervanging eigen beleid </t>
        </r>
      </text>
    </comment>
    <comment ref="AL8" authorId="2" shapeId="0" xr:uid="{00000000-0006-0000-0200-000003000000}">
      <text>
        <r>
          <rPr>
            <sz val="9"/>
            <color indexed="81"/>
            <rFont val="Tahoma"/>
            <family val="2"/>
          </rPr>
          <t xml:space="preserve">
Er kan in dit werkgeverslastenoverzicht rekening gehouden worden met overige kosten die niet geautomatiseerd zijn opgenomen omdat ze per individu sterk kunnen verschillen. Zie extra toelichting tabblad 'werkgeverslasten'. 
Hier dient u het totaal aan overige kosten </t>
        </r>
        <r>
          <rPr>
            <b/>
            <sz val="9"/>
            <color indexed="81"/>
            <rFont val="Tahoma"/>
            <family val="2"/>
          </rPr>
          <t>per maand</t>
        </r>
        <r>
          <rPr>
            <sz val="9"/>
            <color indexed="81"/>
            <rFont val="Tahoma"/>
            <family val="2"/>
          </rPr>
          <t xml:space="preserve"> op te nemen die worden gespecificeerd onder 'D' in het werkblad 'werkgeverslasten'. </t>
        </r>
      </text>
    </comment>
    <comment ref="J9" authorId="0" shapeId="0" xr:uid="{00000000-0006-0000-0200-000004000000}">
      <text>
        <r>
          <rPr>
            <sz val="9"/>
            <color indexed="81"/>
            <rFont val="Tahoma"/>
            <family val="2"/>
          </rPr>
          <t xml:space="preserve">
Kan alleen met "j" worden ingevuld als het een leraar LB, LC of LD betreft, die voldoet aan art. 24.2 cao vo.</t>
        </r>
      </text>
    </comment>
    <comment ref="BB12" authorId="3" shapeId="0" xr:uid="{00000000-0006-0000-0200-000005000000}">
      <text>
        <r>
          <rPr>
            <sz val="9"/>
            <color indexed="81"/>
            <rFont val="Tahoma"/>
            <family val="2"/>
          </rPr>
          <t xml:space="preserve">
Geldt voor de leraren schaal LA op de basisschool resp. LB op de SBO / (V)SO die op 1 jan. 2016 op regel 15 van hun schaal zijn dan wel per 1 aug. 2016 daar komen.</t>
        </r>
      </text>
    </comment>
    <comment ref="BB13" authorId="3" shapeId="0" xr:uid="{00000000-0006-0000-0200-000006000000}">
      <text>
        <r>
          <rPr>
            <sz val="9"/>
            <color indexed="81"/>
            <rFont val="Tahoma"/>
            <family val="2"/>
          </rPr>
          <t xml:space="preserve">
Geldt voor de leraren schaal LA op de basisschool resp. LB op de SBO / (V)SO die op 1 jan. 2016 op regel 15 van hun schaal zijn dan wel per 1 aug. 2016 daar komen.</t>
        </r>
      </text>
    </comment>
    <comment ref="BB14" authorId="3" shapeId="0" xr:uid="{00000000-0006-0000-0200-000007000000}">
      <text>
        <r>
          <rPr>
            <sz val="9"/>
            <color indexed="81"/>
            <rFont val="Tahoma"/>
            <family val="2"/>
          </rPr>
          <t xml:space="preserve">
Geldt voor de leraren schaal LA op de basisschool resp. LB op de SBO / (V)SO die op 1 jan. 2016 op regel 15 van hun schaal zijn dan wel per 1 aug. 2016 daar komen.</t>
        </r>
      </text>
    </comment>
    <comment ref="BB15" authorId="3" shapeId="0" xr:uid="{00000000-0006-0000-0200-000008000000}">
      <text>
        <r>
          <rPr>
            <sz val="9"/>
            <color indexed="81"/>
            <rFont val="Tahoma"/>
            <family val="2"/>
          </rPr>
          <t xml:space="preserve">
Geldt voor de leraren schaal LA op de basisschool resp. LB op de SBO / (V)SO die op 1 jan. 2016 op regel 15 van hun schaal zijn dan wel per 1 aug. 2016 daar komen.</t>
        </r>
      </text>
    </comment>
    <comment ref="BB16" authorId="3" shapeId="0" xr:uid="{00000000-0006-0000-0200-000009000000}">
      <text>
        <r>
          <rPr>
            <sz val="9"/>
            <color indexed="81"/>
            <rFont val="Tahoma"/>
            <family val="2"/>
          </rPr>
          <t xml:space="preserve">
Geldt voor de leraren schaal LA op de basisschool resp. LB op de SBO / (V)SO die op 1 jan. 2016 op regel 15 van hun schaal zijn dan wel per 1 aug. 2016 daar komen.</t>
        </r>
      </text>
    </comment>
    <comment ref="BB17" authorId="3" shapeId="0" xr:uid="{00000000-0006-0000-0200-00000A000000}">
      <text>
        <r>
          <rPr>
            <sz val="9"/>
            <color indexed="81"/>
            <rFont val="Tahoma"/>
            <family val="2"/>
          </rPr>
          <t xml:space="preserve">
Geldt voor de leraren schaal LA op de basisschool resp. LB op de SBO / (V)SO die op 1 jan. 2016 op regel 15 van hun schaal zijn dan wel per 1 aug. 2016 daar komen.</t>
        </r>
      </text>
    </comment>
    <comment ref="BB18" authorId="3" shapeId="0" xr:uid="{00000000-0006-0000-0200-00000B000000}">
      <text>
        <r>
          <rPr>
            <sz val="9"/>
            <color indexed="81"/>
            <rFont val="Tahoma"/>
            <family val="2"/>
          </rPr>
          <t xml:space="preserve">
Geldt voor de leraren schaal LA op de basisschool resp. LB op de SBO / (V)SO die op 1 jan. 2016 op regel 15 van hun schaal zijn dan wel per 1 aug. 2016 daar komen.</t>
        </r>
      </text>
    </comment>
    <comment ref="BB19" authorId="3" shapeId="0" xr:uid="{00000000-0006-0000-0200-00000C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0" authorId="3" shapeId="0" xr:uid="{00000000-0006-0000-0200-00000D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1" authorId="3" shapeId="0" xr:uid="{00000000-0006-0000-0200-00000E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2" authorId="3" shapeId="0" xr:uid="{00000000-0006-0000-0200-00000F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3" authorId="3" shapeId="0" xr:uid="{00000000-0006-0000-0200-000010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4" authorId="3" shapeId="0" xr:uid="{00000000-0006-0000-0200-000011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5" authorId="3" shapeId="0" xr:uid="{00000000-0006-0000-0200-000012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6" authorId="3" shapeId="0" xr:uid="{00000000-0006-0000-0200-000013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7" authorId="3" shapeId="0" xr:uid="{00000000-0006-0000-0200-000014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8" authorId="3" shapeId="0" xr:uid="{00000000-0006-0000-0200-000015000000}">
      <text>
        <r>
          <rPr>
            <sz val="9"/>
            <color indexed="81"/>
            <rFont val="Tahoma"/>
            <family val="2"/>
          </rPr>
          <t xml:space="preserve">
Geldt voor de leraren schaal LA op de basisschool resp. LB op de SBO / (V)SO die op 1 jan. 2016 op regel 15 van hun schaal zijn dan wel per 1 aug. 2016 daar komen.</t>
        </r>
      </text>
    </comment>
    <comment ref="BB29" authorId="3" shapeId="0" xr:uid="{00000000-0006-0000-0200-000016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0" authorId="3" shapeId="0" xr:uid="{00000000-0006-0000-0200-000017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1" authorId="3" shapeId="0" xr:uid="{00000000-0006-0000-0200-000018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2" authorId="3" shapeId="0" xr:uid="{00000000-0006-0000-0200-000019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3" authorId="3" shapeId="0" xr:uid="{00000000-0006-0000-0200-00001A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4" authorId="3" shapeId="0" xr:uid="{00000000-0006-0000-0200-00001B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5" authorId="3" shapeId="0" xr:uid="{00000000-0006-0000-0200-00001C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6" authorId="3" shapeId="0" xr:uid="{00000000-0006-0000-0200-00001D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7" authorId="3" shapeId="0" xr:uid="{00000000-0006-0000-0200-00001E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8" authorId="3" shapeId="0" xr:uid="{00000000-0006-0000-0200-00001F000000}">
      <text>
        <r>
          <rPr>
            <sz val="9"/>
            <color indexed="81"/>
            <rFont val="Tahoma"/>
            <family val="2"/>
          </rPr>
          <t xml:space="preserve">
Geldt voor de leraren schaal LA op de basisschool resp. LB op de SBO / (V)SO die op 1 jan. 2016 op regel 15 van hun schaal zijn dan wel per 1 aug. 2016 daar komen.</t>
        </r>
      </text>
    </comment>
    <comment ref="BB39" authorId="3" shapeId="0" xr:uid="{00000000-0006-0000-0200-000020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0" authorId="3" shapeId="0" xr:uid="{00000000-0006-0000-0200-000021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1" authorId="3" shapeId="0" xr:uid="{00000000-0006-0000-0200-000022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2" authorId="3" shapeId="0" xr:uid="{00000000-0006-0000-0200-000023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3" authorId="3" shapeId="0" xr:uid="{00000000-0006-0000-0200-000024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4" authorId="3" shapeId="0" xr:uid="{00000000-0006-0000-0200-000025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5" authorId="3" shapeId="0" xr:uid="{00000000-0006-0000-0200-000026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6" authorId="3" shapeId="0" xr:uid="{00000000-0006-0000-0200-000027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7" authorId="3" shapeId="0" xr:uid="{00000000-0006-0000-0200-000028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8" authorId="3" shapeId="0" xr:uid="{00000000-0006-0000-0200-000029000000}">
      <text>
        <r>
          <rPr>
            <sz val="9"/>
            <color indexed="81"/>
            <rFont val="Tahoma"/>
            <family val="2"/>
          </rPr>
          <t xml:space="preserve">
Geldt voor de leraren schaal LA op de basisschool resp. LB op de SBO / (V)SO die op 1 jan. 2016 op regel 15 van hun schaal zijn dan wel per 1 aug. 2016 daar komen.</t>
        </r>
      </text>
    </comment>
    <comment ref="BB49" authorId="3" shapeId="0" xr:uid="{00000000-0006-0000-0200-00002A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0" authorId="3" shapeId="0" xr:uid="{00000000-0006-0000-0200-00002B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1" authorId="3" shapeId="0" xr:uid="{00000000-0006-0000-0200-00002C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2" authorId="3" shapeId="0" xr:uid="{00000000-0006-0000-0200-00002D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3" authorId="3" shapeId="0" xr:uid="{00000000-0006-0000-0200-00002E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4" authorId="3" shapeId="0" xr:uid="{00000000-0006-0000-0200-00002F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5" authorId="3" shapeId="0" xr:uid="{00000000-0006-0000-0200-000030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6" authorId="3" shapeId="0" xr:uid="{00000000-0006-0000-0200-000031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7" authorId="3" shapeId="0" xr:uid="{00000000-0006-0000-0200-000032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8" authorId="3" shapeId="0" xr:uid="{00000000-0006-0000-0200-000033000000}">
      <text>
        <r>
          <rPr>
            <sz val="9"/>
            <color indexed="81"/>
            <rFont val="Tahoma"/>
            <family val="2"/>
          </rPr>
          <t xml:space="preserve">
Geldt voor de leraren schaal LA op de basisschool resp. LB op de SBO / (V)SO die op 1 jan. 2016 op regel 15 van hun schaal zijn dan wel per 1 aug. 2016 daar komen.</t>
        </r>
      </text>
    </comment>
    <comment ref="BB59" authorId="3" shapeId="0" xr:uid="{00000000-0006-0000-0200-000034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0" authorId="3" shapeId="0" xr:uid="{00000000-0006-0000-0200-000035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1" authorId="3" shapeId="0" xr:uid="{00000000-0006-0000-0200-000036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2" authorId="3" shapeId="0" xr:uid="{00000000-0006-0000-0200-000037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3" authorId="3" shapeId="0" xr:uid="{00000000-0006-0000-0200-000038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4" authorId="3" shapeId="0" xr:uid="{00000000-0006-0000-0200-000039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5" authorId="3" shapeId="0" xr:uid="{00000000-0006-0000-0200-00003A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6" authorId="3" shapeId="0" xr:uid="{00000000-0006-0000-0200-00003B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7" authorId="3" shapeId="0" xr:uid="{00000000-0006-0000-0200-00003C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8" authorId="3" shapeId="0" xr:uid="{00000000-0006-0000-0200-00003D000000}">
      <text>
        <r>
          <rPr>
            <sz val="9"/>
            <color indexed="81"/>
            <rFont val="Tahoma"/>
            <family val="2"/>
          </rPr>
          <t xml:space="preserve">
Geldt voor de leraren schaal LA op de basisschool resp. LB op de SBO / (V)SO die op 1 jan. 2016 op regel 15 van hun schaal zijn dan wel per 1 aug. 2016 daar komen.</t>
        </r>
      </text>
    </comment>
    <comment ref="BB69" authorId="3" shapeId="0" xr:uid="{00000000-0006-0000-0200-00003E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0" authorId="3" shapeId="0" xr:uid="{00000000-0006-0000-0200-00003F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1" authorId="3" shapeId="0" xr:uid="{00000000-0006-0000-0200-000040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2" authorId="3" shapeId="0" xr:uid="{00000000-0006-0000-0200-000041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3" authorId="3" shapeId="0" xr:uid="{00000000-0006-0000-0200-000042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4" authorId="3" shapeId="0" xr:uid="{00000000-0006-0000-0200-000043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5" authorId="3" shapeId="0" xr:uid="{00000000-0006-0000-0200-000044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6" authorId="3" shapeId="0" xr:uid="{00000000-0006-0000-0200-000045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7" authorId="3" shapeId="0" xr:uid="{00000000-0006-0000-0200-000046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8" authorId="3" shapeId="0" xr:uid="{00000000-0006-0000-0200-000047000000}">
      <text>
        <r>
          <rPr>
            <sz val="9"/>
            <color indexed="81"/>
            <rFont val="Tahoma"/>
            <family val="2"/>
          </rPr>
          <t xml:space="preserve">
Geldt voor de leraren schaal LA op de basisschool resp. LB op de SBO / (V)SO die op 1 jan. 2016 op regel 15 van hun schaal zijn dan wel per 1 aug. 2016 daar komen.</t>
        </r>
      </text>
    </comment>
    <comment ref="BB79" authorId="3" shapeId="0" xr:uid="{00000000-0006-0000-0200-000048000000}">
      <text>
        <r>
          <rPr>
            <sz val="9"/>
            <color indexed="81"/>
            <rFont val="Tahoma"/>
            <family val="2"/>
          </rPr>
          <t xml:space="preserve">
Geldt voor de leraren schaal LA op de basisschool resp. LB op de SBO / (V)SO die op 1 jan. 2016 op regel 15 van hun schaal zijn dan wel per 1 aug. 2016 daar komen.</t>
        </r>
      </text>
    </comment>
    <comment ref="BB80" authorId="3" shapeId="0" xr:uid="{00000000-0006-0000-0200-000049000000}">
      <text>
        <r>
          <rPr>
            <sz val="9"/>
            <color indexed="81"/>
            <rFont val="Tahoma"/>
            <family val="2"/>
          </rPr>
          <t xml:space="preserve">
Geldt voor de leraren schaal LA op de basisschool resp. LB op de SBO / (V)SO die op 1 jan. 2016 op regel 15 van hun schaal zijn dan wel per 1 aug. 2016 daar komen.</t>
        </r>
      </text>
    </comment>
    <comment ref="BB81" authorId="3" shapeId="0" xr:uid="{00000000-0006-0000-0200-00004A000000}">
      <text>
        <r>
          <rPr>
            <sz val="9"/>
            <color indexed="81"/>
            <rFont val="Tahoma"/>
            <family val="2"/>
          </rPr>
          <t xml:space="preserve">
Geldt voor de leraren schaal LA op de basisschool resp. LB op de SBO / (V)SO die op 1 jan. 2016 op regel 15 van hun schaal zijn dan wel per 1 aug. 2016 daar komen.</t>
        </r>
      </text>
    </comment>
    <comment ref="BB82" authorId="3" shapeId="0" xr:uid="{00000000-0006-0000-0200-00004B000000}">
      <text>
        <r>
          <rPr>
            <sz val="9"/>
            <color indexed="81"/>
            <rFont val="Tahoma"/>
            <family val="2"/>
          </rPr>
          <t xml:space="preserve">
Geldt voor de leraren schaal LA op de basisschool resp. LB op de SBO / (V)SO die op 1 jan. 2016 op regel 15 van hun schaal zijn dan wel per 1 aug. 2016 daar komen.</t>
        </r>
      </text>
    </comment>
    <comment ref="BB83" authorId="3" shapeId="0" xr:uid="{00000000-0006-0000-0200-00004C000000}">
      <text>
        <r>
          <rPr>
            <sz val="9"/>
            <color indexed="81"/>
            <rFont val="Tahoma"/>
            <family val="2"/>
          </rPr>
          <t xml:space="preserve">
Geldt voor de leraren schaal LA op de basisschool resp. LB op de SBO / (V)SO die op 1 jan. 2016 op regel 15 van hun schaal zijn dan wel per 1 aug. 2016 daar komen.</t>
        </r>
      </text>
    </comment>
    <comment ref="BB84" authorId="3" shapeId="0" xr:uid="{00000000-0006-0000-0200-00004D000000}">
      <text>
        <r>
          <rPr>
            <sz val="9"/>
            <color indexed="81"/>
            <rFont val="Tahoma"/>
            <family val="2"/>
          </rPr>
          <t xml:space="preserve">
Geldt voor de leraren schaal LA op de basisschool resp. LB op de SBO / (V)SO die op 1 jan. 2016 op regel 15 van hun schaal zijn dan wel per 1 aug. 2016 daar komen.</t>
        </r>
      </text>
    </comment>
    <comment ref="BB85" authorId="3" shapeId="0" xr:uid="{00000000-0006-0000-0200-00004E000000}">
      <text>
        <r>
          <rPr>
            <sz val="9"/>
            <color indexed="81"/>
            <rFont val="Tahoma"/>
            <family val="2"/>
          </rPr>
          <t xml:space="preserve">
Geldt voor de leraren schaal LA op de basisschool resp. LB op de SBO / (V)SO die op 1 jan. 2016 op regel 15 van hun schaal zijn dan wel per 1 aug. 2016 daar komen.</t>
        </r>
      </text>
    </comment>
    <comment ref="BB86" authorId="3" shapeId="0" xr:uid="{00000000-0006-0000-0200-00004F00000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Bé Keizer</author>
    <author>Gebruiker</author>
  </authors>
  <commentList>
    <comment ref="D13" authorId="0" shapeId="0" xr:uid="{00000000-0006-0000-0400-00000100000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shapeId="0" xr:uid="{00000000-0006-0000-0400-000002000000}">
      <text>
        <r>
          <rPr>
            <b/>
            <sz val="8"/>
            <color indexed="81"/>
            <rFont val="Arial"/>
            <family val="2"/>
          </rPr>
          <t>Delen van een maand als hele maand rekenen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D9" authorId="0" shapeId="0" xr:uid="{00000000-0006-0000-0500-000001000000}">
      <text>
        <r>
          <rPr>
            <sz val="9"/>
            <color indexed="81"/>
            <rFont val="Tahoma"/>
            <family val="2"/>
          </rPr>
          <t xml:space="preserve">
Opgave i.v.m. toe(s)lagen.
OOP S9 houdt in: inschaling in schaal 9 of hoger voor OOP.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F43" authorId="0" shapeId="0" xr:uid="{00000000-0006-0000-0600-000001000000}">
      <text>
        <r>
          <rPr>
            <b/>
            <sz val="8"/>
            <color indexed="81"/>
            <rFont val="Arial"/>
            <family val="2"/>
          </rPr>
          <t>Omvang personeelsbestand bestuur in aantal fte.</t>
        </r>
      </text>
    </comment>
    <comment ref="F44" authorId="0" shapeId="0" xr:uid="{00000000-0006-0000-0600-000002000000}">
      <text>
        <r>
          <rPr>
            <b/>
            <sz val="8"/>
            <color indexed="81"/>
            <rFont val="Arial"/>
            <family val="2"/>
          </rPr>
          <t>Vaststellen op basis van totaal aantal fte gedeeld door het totaal aantal personeelsleden bij het betreffende bestuur. 
De 75% is een globale landelijke raming.</t>
        </r>
      </text>
    </comment>
    <comment ref="F47" authorId="0" shapeId="0" xr:uid="{00000000-0006-0000-0600-00000300000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shapeId="0" xr:uid="{00000000-0006-0000-0600-000004000000}">
      <text>
        <r>
          <rPr>
            <b/>
            <sz val="8"/>
            <color indexed="81"/>
            <rFont val="Arial"/>
            <family val="2"/>
          </rPr>
          <t>Is mede gebaseerd op de aanname dat even vaak sprake is van 1 als 2 periodieken, gemiddeld dus 1,5 periodiek.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Bé Keizer</author>
    <author>Keizer</author>
    <author>Arno Osinga</author>
    <author>B. Keizer</author>
  </authors>
  <commentList>
    <comment ref="A5" authorId="0" shapeId="0" xr:uid="{00000000-0006-0000-0700-000001000000}">
      <text>
        <r>
          <rPr>
            <sz val="8"/>
            <color indexed="81"/>
            <rFont val="Arial"/>
            <family val="2"/>
          </rPr>
          <t xml:space="preserve">
Conform normen per juli 2021. </t>
        </r>
      </text>
    </comment>
    <comment ref="A7" authorId="1" shapeId="0" xr:uid="{00000000-0006-0000-0700-000002000000}">
      <text>
        <r>
          <rPr>
            <sz val="9"/>
            <color indexed="81"/>
            <rFont val="Tahoma"/>
            <family val="2"/>
          </rPr>
          <t xml:space="preserve">
Premies 2021:
Inclusief Anw-compensatie van 0,28% WG en 0,12% WN.</t>
        </r>
      </text>
    </comment>
    <comment ref="A11" authorId="1" shapeId="0" xr:uid="{00000000-0006-0000-0700-00000300000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11" authorId="1" shapeId="0" xr:uid="{00000000-0006-0000-0700-00000400000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13" authorId="0" shapeId="0" xr:uid="{00000000-0006-0000-0700-000005000000}">
      <text>
        <r>
          <rPr>
            <sz val="9"/>
            <color indexed="81"/>
            <rFont val="Tahoma"/>
            <family val="2"/>
          </rPr>
          <t xml:space="preserve">
Betreft: Uitvoering Fonds Overheid. Is exclusief premie dekking kinderopvang van 0,50% die bij de basispremie WAO is opgenomen (Regeling vaststelling premiepercentages werknemers- en volksverzekeringen, maximumpremieloon en opslag dekking kinderopvang 2018, art. 8 en 9).</t>
        </r>
      </text>
    </comment>
    <comment ref="A14" authorId="1" shapeId="0" xr:uid="{00000000-0006-0000-0700-000006000000}">
      <text>
        <r>
          <rPr>
            <sz val="8"/>
            <color indexed="81"/>
            <rFont val="Arial"/>
            <family val="2"/>
          </rPr>
          <t>Dit kan bijv. de premie van het Risicofonds zijn.</t>
        </r>
      </text>
    </comment>
    <comment ref="A15" authorId="2" shapeId="0" xr:uid="{00000000-0006-0000-0700-000007000000}">
      <text>
        <r>
          <rPr>
            <sz val="8"/>
            <color indexed="81"/>
            <rFont val="Arial"/>
            <family val="2"/>
          </rPr>
          <t xml:space="preserve">
In het VO is de werkgever voor een belangrijk deel eigen risicodrager.  Op basis van de gegevens van 2020 kan hier een percentage geraamd worden voor de kosten collectief en prive. Voor de kosten collectief geldt een vermindering van 0,472% op de bekostiging personeel van 2020.</t>
        </r>
      </text>
    </comment>
    <comment ref="C22" authorId="2" shapeId="0" xr:uid="{00000000-0006-0000-0700-000008000000}">
      <text>
        <r>
          <rPr>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27" authorId="1" shapeId="0" xr:uid="{00000000-0006-0000-0700-00000900000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 ref="A29" authorId="3" shapeId="0" xr:uid="{00000000-0006-0000-0700-00000A000000}">
      <text>
        <r>
          <rPr>
            <sz val="9"/>
            <color indexed="81"/>
            <rFont val="Tahoma"/>
            <family val="2"/>
          </rPr>
          <t xml:space="preserve">
cao VO: niet pensioengevend </t>
        </r>
      </text>
    </comment>
  </commentList>
</comments>
</file>

<file path=xl/sharedStrings.xml><?xml version="1.0" encoding="utf-8"?>
<sst xmlns="http://schemas.openxmlformats.org/spreadsheetml/2006/main" count="633" uniqueCount="428">
  <si>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</si>
  <si>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</si>
  <si>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</si>
  <si>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</si>
  <si>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</si>
  <si>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</si>
  <si>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</si>
  <si>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</si>
  <si>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</si>
  <si>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</si>
  <si>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</si>
  <si>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</si>
  <si>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</si>
  <si>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</si>
  <si>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</si>
  <si>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</si>
  <si>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</si>
  <si>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</si>
  <si>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</si>
  <si>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</si>
  <si>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</si>
  <si>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</si>
  <si>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</si>
  <si>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ZVW</t>
  </si>
  <si>
    <t>UFO-premie</t>
  </si>
  <si>
    <t>Premie ziektevervanging</t>
  </si>
  <si>
    <t>Werkloosheidslasten</t>
  </si>
  <si>
    <t>totaal</t>
  </si>
  <si>
    <t>Bindingstoelage</t>
  </si>
  <si>
    <t>leraar</t>
  </si>
  <si>
    <t>directie</t>
  </si>
  <si>
    <t>OOP S9</t>
  </si>
  <si>
    <t>OOP &lt;S9</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</si>
  <si>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</si>
  <si>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</si>
  <si>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</si>
  <si>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</si>
  <si>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</si>
  <si>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</si>
  <si>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</si>
  <si>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</si>
  <si>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</si>
  <si>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</si>
  <si>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</si>
  <si>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</si>
  <si>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</si>
  <si>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</si>
  <si>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</si>
  <si>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</si>
  <si>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</si>
  <si>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</si>
  <si>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</si>
  <si>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</si>
  <si>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</si>
  <si>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ja</t>
  </si>
  <si>
    <t>vakantieuitkering</t>
  </si>
  <si>
    <t>eindejaarsuitkering</t>
  </si>
  <si>
    <t>Leraar</t>
  </si>
  <si>
    <t>Jaarinkomen ABP</t>
  </si>
  <si>
    <t>per maand</t>
  </si>
  <si>
    <t>per jaar</t>
  </si>
  <si>
    <t>b</t>
  </si>
  <si>
    <t>c</t>
  </si>
  <si>
    <t>AAOP</t>
  </si>
  <si>
    <t>d</t>
  </si>
  <si>
    <t>e</t>
  </si>
  <si>
    <t>WAO/WIA</t>
  </si>
  <si>
    <t>f</t>
  </si>
  <si>
    <t>ZVW vergoeding werkgever</t>
  </si>
  <si>
    <t>g</t>
  </si>
  <si>
    <t>UFO</t>
  </si>
  <si>
    <t>werkloosheidslasten</t>
  </si>
  <si>
    <t>Totaal werkgeverslasten</t>
  </si>
  <si>
    <t>Opslagpercentage t.o.v. bruto salaris</t>
  </si>
  <si>
    <t>Loon voor de loonbelasting</t>
  </si>
  <si>
    <t>www.vosabb.nl</t>
  </si>
  <si>
    <t>Toelichting</t>
  </si>
  <si>
    <t>De werkbladen zijn beveiligd met het wachtwoord:</t>
  </si>
  <si>
    <t>vosabb</t>
  </si>
  <si>
    <t>versie</t>
  </si>
  <si>
    <t>Alleen de witte velden kunnen daardoor worden gewijzigd, en bevatten de op te geven variabelen voor de berekeningen.</t>
  </si>
  <si>
    <t>1.</t>
  </si>
  <si>
    <t>Werkbladen</t>
  </si>
  <si>
    <t>Werkblad Werkgeverslasten</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</si>
  <si>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</si>
  <si>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</si>
  <si>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</si>
  <si>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</si>
  <si>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</si>
  <si>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</si>
  <si>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</si>
  <si>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</si>
  <si>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</si>
  <si>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</si>
  <si>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</si>
  <si>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</si>
  <si>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</si>
  <si>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</si>
  <si>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</si>
  <si>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</si>
  <si>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</si>
  <si>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</si>
  <si>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</si>
  <si>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</si>
  <si>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</si>
  <si>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</si>
  <si>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</si>
  <si>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</si>
  <si>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</si>
  <si>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</si>
  <si>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2.</t>
  </si>
  <si>
    <t>Werkblad Ouderschapsverlof</t>
  </si>
  <si>
    <t xml:space="preserve">In dit werkblad worden de kosten en baten berekend van het betaalde ouderschapsverlof. De opgave van de gegevens van de </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</si>
  <si>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</si>
  <si>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</si>
  <si>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</si>
  <si>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</si>
  <si>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</si>
  <si>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</si>
  <si>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</si>
  <si>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</si>
  <si>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</si>
  <si>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</si>
  <si>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</si>
  <si>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</si>
  <si>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</si>
  <si>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</si>
  <si>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</si>
  <si>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</si>
  <si>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</si>
  <si>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</si>
  <si>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</si>
  <si>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</si>
  <si>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</si>
  <si>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</si>
  <si>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</si>
  <si>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</si>
  <si>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</si>
  <si>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</si>
  <si>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</si>
  <si>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</si>
  <si>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</si>
  <si>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</si>
  <si>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</si>
  <si>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</si>
  <si>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</si>
  <si>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</si>
  <si>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</si>
  <si>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</si>
  <si>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</si>
  <si>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</si>
  <si>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Voor nadere info dient men zich te wenden tot de VO-Raad of de eigen bestuurs- en/of managementorganisatie.</t>
  </si>
  <si>
    <t>Leden van VOS/ABB kunnen zich wenden tot:</t>
  </si>
  <si>
    <t>Bé Keizer</t>
  </si>
  <si>
    <t>tel.: 06-22939674 of, bij voorkeur, per e-mail: be.keizer@wxs.nl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</si>
  <si>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</si>
  <si>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</si>
  <si>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</si>
  <si>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</si>
  <si>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</si>
  <si>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</si>
  <si>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</si>
  <si>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</si>
  <si>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</si>
  <si>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</si>
  <si>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</si>
  <si>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</si>
  <si>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</si>
  <si>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</si>
  <si>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</si>
  <si>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</si>
  <si>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</si>
  <si>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</si>
  <si>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</si>
  <si>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</si>
  <si>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</si>
  <si>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</si>
  <si>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</si>
  <si>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</si>
  <si>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</si>
  <si>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</si>
  <si>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</si>
  <si>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</si>
  <si>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</si>
  <si>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</si>
  <si>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</si>
  <si>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</si>
  <si>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</si>
  <si>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</si>
  <si>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</si>
  <si>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</si>
  <si>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</si>
  <si>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</si>
  <si>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</si>
  <si>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</si>
  <si>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</si>
  <si>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</si>
  <si>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</si>
  <si>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</si>
  <si>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</si>
  <si>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</si>
  <si>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</si>
  <si>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</si>
  <si>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</si>
  <si>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</si>
  <si>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</si>
  <si>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</si>
  <si>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</si>
  <si>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</si>
  <si>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</si>
  <si>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</si>
  <si>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</si>
  <si>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</si>
  <si>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</si>
  <si>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</si>
  <si>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</si>
  <si>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</si>
  <si>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</si>
  <si>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</si>
  <si>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</si>
  <si>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</si>
  <si>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</si>
  <si>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</si>
  <si>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</si>
  <si>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</si>
  <si>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</si>
  <si>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</si>
  <si>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</si>
  <si>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</si>
  <si>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</si>
  <si>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</si>
  <si>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</si>
  <si>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</si>
  <si>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</si>
  <si>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</si>
  <si>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</si>
  <si>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NB: Uitsluitend gebruik gemaakt van onderstaande tabellen</t>
  </si>
  <si>
    <t>Heffingskortingen</t>
  </si>
  <si>
    <t>algemene heffingskorting</t>
  </si>
  <si>
    <t>Premies</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</si>
  <si>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</si>
  <si>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</si>
  <si>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</si>
  <si>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</si>
  <si>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</si>
  <si>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</si>
  <si>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</si>
  <si>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raming werkgeverslasten</t>
  </si>
  <si>
    <t>Het jaarinkomen ABP wordt bepaald op basis van de situatie in januari van het betreffende jaar.</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</si>
  <si>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</si>
  <si>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</si>
  <si>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</si>
  <si>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Functiedifferentiatie of pro- of demotie</t>
  </si>
  <si>
    <t>Leeftijd per 1 januari</t>
  </si>
  <si>
    <t xml:space="preserve">parkeervergoeding e.d.. Ga daarom na welke kosten bij uw bestuur ook nog gemaakt worden. Een schatting van deze kosten kan opgevoerd worden </t>
  </si>
  <si>
    <t xml:space="preserve">bij "j. eigen beleid". </t>
  </si>
  <si>
    <r>
      <t xml:space="preserve">Ook moet rekening gehouden worden met </t>
    </r>
    <r>
      <rPr>
        <b/>
        <sz val="10"/>
        <rFont val="Arial"/>
        <family val="2"/>
      </rPr>
      <t>Overige kosten</t>
    </r>
    <r>
      <rPr>
        <sz val="10"/>
        <rFont val="Arial"/>
        <family val="2"/>
      </rPr>
      <t xml:space="preserve"> die hier niet zijn opgenomen omdat ze per individu sterk  kunnen verschillen, zoals reis- en verblijfkosten, </t>
    </r>
  </si>
  <si>
    <t xml:space="preserve">In individuele gevallen zal er nog sprake zijn van loonkosten die hier niet zijn opgenomen. Bijvoorbeeld een jubileumuitkering, reis- en verblijfkosten, </t>
  </si>
  <si>
    <r>
      <t xml:space="preserve">parkeerkosten of spaarloon. Dergelijke componenten zijn in dit model verwerkt door de opgave bij </t>
    </r>
    <r>
      <rPr>
        <b/>
        <sz val="10"/>
        <rFont val="Arial"/>
        <family val="2"/>
      </rPr>
      <t>Eigen beleid</t>
    </r>
    <r>
      <rPr>
        <sz val="10"/>
        <rFont val="Arial"/>
        <family val="2"/>
      </rPr>
      <t>.</t>
    </r>
  </si>
  <si>
    <t>betreffende werknemer laat de salariskosten zien die de werkgever moet betalen uit eigen middelen.</t>
  </si>
  <si>
    <t xml:space="preserve">Vanaf 2014 is sprake van enkele wijzigingen in de premievaststelling. Het deel voor de kinderopvang dat bij de UFO was ondergebracht,  </t>
  </si>
  <si>
    <t>Whk-gediferentieerd</t>
  </si>
  <si>
    <t xml:space="preserve">in de werkorganisatie.Vanaf 1 januari 2014 moet ook een gedifferentieerde premie betaald worden voor flexwerkers. Omdat verwerking </t>
  </si>
  <si>
    <t xml:space="preserve">Dit programmaonderdeel heeft niet de pretentie een juiste salarisberekening per maand te maken! Zo wordt de vakantieuitkering en de </t>
  </si>
  <si>
    <t xml:space="preserve">is de gedifferentieerde premie per sector vastgesteld. Voor grote werkgevers gebeurt dat individueel. Voor middelgrote werkgevers wordt </t>
  </si>
  <si>
    <t>Deze toeslag wordt toegekend op basis van CAO artikel 3.5.</t>
  </si>
  <si>
    <r>
      <t>É</t>
    </r>
    <r>
      <rPr>
        <b/>
        <sz val="10"/>
        <rFont val="Arial"/>
        <family val="2"/>
      </rPr>
      <t>énmalige uitkering 1 april 2017</t>
    </r>
    <r>
      <rPr>
        <sz val="10"/>
        <rFont val="Arial"/>
        <family val="2"/>
      </rPr>
      <t xml:space="preserve"> (rato betr omvang) </t>
    </r>
  </si>
  <si>
    <t>OVO Ergens</t>
  </si>
  <si>
    <t xml:space="preserve">Onderwijsjuristen, </t>
  </si>
  <si>
    <t>Bijdrage-inkomen</t>
  </si>
  <si>
    <t>wordt weergegeven, met gebruikmaking van de loonbelastingtabel van box 1 en zonder alle mogelijke heffingskortingen.</t>
  </si>
  <si>
    <t>tel.: 0348-405250 of, bij voorkeur, per e-mail: onderwijsjuristen@vosabb.nl</t>
  </si>
  <si>
    <t>De gegevens omtrent de grondslag van uitkeringen e.d. zijn ontleend aan de Internetpublicaties van de Belastingdienst, ABP, UWV en OCW.</t>
  </si>
  <si>
    <t>eenmalige uitkering oktober 2018</t>
  </si>
  <si>
    <t>per 1 jan 2019 ook voor de team- of afdelingsleider schaal 12</t>
  </si>
  <si>
    <t>Salaristabellen personeel</t>
  </si>
  <si>
    <t>cao verhoging</t>
  </si>
  <si>
    <t>verhoging</t>
  </si>
  <si>
    <r>
      <t>E</t>
    </r>
    <r>
      <rPr>
        <b/>
        <sz val="10"/>
        <rFont val="Arial"/>
        <family val="2"/>
      </rPr>
      <t xml:space="preserve">énmalige uitkering </t>
    </r>
    <r>
      <rPr>
        <sz val="10"/>
        <rFont val="Arial"/>
        <family val="2"/>
      </rPr>
      <t xml:space="preserve"> (rato betr omvang) </t>
    </r>
  </si>
  <si>
    <t>Werknemer per 1 okt. 2018: 1% van bruto maandsalaris in okt. 2018 x 12 plus vakantie- en eindejaarsuitkering.</t>
  </si>
  <si>
    <t>6.</t>
  </si>
  <si>
    <t>Werkblad salaristabellen</t>
  </si>
  <si>
    <t>Deze toeslag wordt toegekend op basis van CAO artikel 24.2.</t>
  </si>
  <si>
    <t>wordt berekend</t>
  </si>
  <si>
    <t xml:space="preserve">per jaar </t>
  </si>
  <si>
    <t>A. Salarisgegevens</t>
  </si>
  <si>
    <t>C. Werkgeverslasten</t>
  </si>
  <si>
    <t>uitlooptoeslag leraar</t>
  </si>
  <si>
    <t>Totaal overige looncomponenten</t>
  </si>
  <si>
    <t>Totaal salaris en overige looncomponenten</t>
  </si>
  <si>
    <t>premies pensioen- en werknemersverzekeringen</t>
  </si>
  <si>
    <t>FPU (VUT/FPU basis)</t>
  </si>
  <si>
    <t>Opslag Werkgeverspercentage: Totale loonkosten t.o.v. bruto salaris</t>
  </si>
  <si>
    <t>Van bruto-salaris (A), naar totaal salaris en overige looncomponenten (B)</t>
  </si>
  <si>
    <t>Van salaris en overige looncomponenten ((A+B), naar totale loonkosten (D)</t>
  </si>
  <si>
    <t>Van bruto-salaris (A), naar totale loonkosten (E)</t>
  </si>
  <si>
    <t>BRUTO-NETTO TTRAJECT WERKNEMER (indicatie)</t>
  </si>
  <si>
    <t>Pensioenpremies werknemer</t>
  </si>
  <si>
    <t>minus: Pensioenpremies werknemer</t>
  </si>
  <si>
    <t>bijdrage-inkomen</t>
  </si>
  <si>
    <t>ZVW premie</t>
  </si>
  <si>
    <t>D. Eigen beleid</t>
  </si>
  <si>
    <t xml:space="preserve">overige toelagen </t>
  </si>
  <si>
    <t>tegemoetkoming reiskosten</t>
  </si>
  <si>
    <t xml:space="preserve">kosten vervanging verlof </t>
  </si>
  <si>
    <t xml:space="preserve">doorbetaald ouderschapsverlof </t>
  </si>
  <si>
    <t>overig eigen beleid</t>
  </si>
  <si>
    <t xml:space="preserve">totaal eigen beleid </t>
  </si>
  <si>
    <t>totaal werkgeverslasten</t>
  </si>
  <si>
    <t>E. Totale loonkosten</t>
  </si>
  <si>
    <t>kosten ziekte en vervanging</t>
  </si>
  <si>
    <t>premie ziektekosten</t>
  </si>
  <si>
    <t>Extra toelichting kosten ziekte en vervanging:</t>
  </si>
  <si>
    <t>Extra toelichting Eigen Beleid:</t>
  </si>
  <si>
    <t xml:space="preserve">diverse varianten. Volledige (vrijwillige/verplichte) aansluiting kent een premie </t>
  </si>
  <si>
    <t>van 6,25%. Voor overige varianten, zie de toelichting</t>
  </si>
  <si>
    <t xml:space="preserve"> -          Een bestuur dat voor het VF eigenrisicodrager is, kan een schatting van de eigen </t>
  </si>
  <si>
    <t xml:space="preserve">            kosten voor vervanging [1] opvoeren bij ‘kosten vervanging eigen beleid’.</t>
  </si>
  <si>
    <t xml:space="preserve">Er kan in dit werkgeverslastenoverzicht rekening gehouden worden met overige </t>
  </si>
  <si>
    <t xml:space="preserve">kosten die niet geautomatiseerd zijn opgenomen omdat ze per individu sterk </t>
  </si>
  <si>
    <t>kunnen verschillen. Denk hierbij aan:</t>
  </si>
  <si>
    <t>(cao 6.19), ehbo toelage</t>
  </si>
  <si>
    <t>inzetbaarheid, ouderschapsverlof (cao 8A.4 t/m 8A.8, cao art. 8.21)</t>
  </si>
  <si>
    <t xml:space="preserve">verwerken in dit overzicht. U kunt deze kosten ook weglaten in dit overzicht en een </t>
  </si>
  <si>
    <t>fictief extra personeelslid opnemen met de omvang van de vervanging onder tabblad ‘wgl tot’.</t>
  </si>
  <si>
    <t xml:space="preserve">De pensioenpremies zijn aangepast per 1 januari 2019. Een wijziging van de </t>
  </si>
  <si>
    <t xml:space="preserve">pensioenpremies in de marktsector wordt via de referentiesystematiek 2019 meegenomen </t>
  </si>
  <si>
    <t xml:space="preserve">in de indexering van de personele bekostiging. Deze indexering wordt in september </t>
  </si>
  <si>
    <t>2019 door OCW gepubliceerd en dan in de bekostiging verwerkt.</t>
  </si>
  <si>
    <r>
      <t xml:space="preserve"> -</t>
    </r>
    <r>
      <rPr>
        <i/>
        <sz val="7"/>
        <color theme="1"/>
        <rFont val="Times New Roman"/>
        <family val="1"/>
      </rPr>
      <t xml:space="preserve">          </t>
    </r>
    <r>
      <rPr>
        <i/>
        <sz val="11"/>
        <color theme="1"/>
        <rFont val="Calibri"/>
        <family val="2"/>
      </rPr>
      <t xml:space="preserve">Bij het VF geldt de mogelijkheid om EigenRisicoDrager (ERD) te zijn middels </t>
    </r>
  </si>
  <si>
    <r>
      <t xml:space="preserve"> -</t>
    </r>
    <r>
      <rPr>
        <i/>
        <sz val="7"/>
        <color theme="1"/>
        <rFont val="Times New Roman"/>
        <family val="1"/>
      </rPr>
      <t xml:space="preserve">          </t>
    </r>
    <r>
      <rPr>
        <i/>
        <sz val="11"/>
        <color theme="1"/>
        <rFont val="Calibri"/>
        <family val="2"/>
      </rPr>
      <t xml:space="preserve">Overige toelagen (jubileumgratificaties (cao 6.18), incidentele beloning </t>
    </r>
  </si>
  <si>
    <r>
      <t xml:space="preserve"> -</t>
    </r>
    <r>
      <rPr>
        <i/>
        <sz val="7"/>
        <color theme="1"/>
        <rFont val="Times New Roman"/>
        <family val="1"/>
      </rPr>
      <t xml:space="preserve">          </t>
    </r>
    <r>
      <rPr>
        <i/>
        <sz val="11"/>
        <color theme="1"/>
        <rFont val="Calibri"/>
        <family val="2"/>
      </rPr>
      <t>Tegemoetkoming reiskosten woon-werkverkeer cao tabel A10)</t>
    </r>
  </si>
  <si>
    <r>
      <t xml:space="preserve"> -</t>
    </r>
    <r>
      <rPr>
        <i/>
        <sz val="7"/>
        <color theme="1"/>
        <rFont val="Times New Roman"/>
        <family val="1"/>
      </rPr>
      <t xml:space="preserve">          </t>
    </r>
    <r>
      <rPr>
        <i/>
        <sz val="11"/>
        <color theme="1"/>
        <rFont val="Calibri"/>
        <family val="2"/>
      </rPr>
      <t xml:space="preserve">Kosten vervanging verlof : kosten voor o.a. vervanging bij duurzame </t>
    </r>
  </si>
  <si>
    <r>
      <t xml:space="preserve"> -</t>
    </r>
    <r>
      <rPr>
        <i/>
        <sz val="7"/>
        <color theme="1"/>
        <rFont val="Times New Roman"/>
        <family val="1"/>
      </rPr>
      <t xml:space="preserve">          </t>
    </r>
    <r>
      <rPr>
        <i/>
        <sz val="11"/>
        <color theme="1"/>
        <rFont val="Calibri"/>
        <family val="2"/>
      </rPr>
      <t>Kosten voor professionalisering (cao 9.7 t/m 9.11)</t>
    </r>
  </si>
  <si>
    <r>
      <t xml:space="preserve"> -</t>
    </r>
    <r>
      <rPr>
        <i/>
        <sz val="7"/>
        <color theme="1"/>
        <rFont val="Times New Roman"/>
        <family val="1"/>
      </rPr>
      <t xml:space="preserve">          </t>
    </r>
    <r>
      <rPr>
        <i/>
        <sz val="11"/>
        <color theme="1"/>
        <rFont val="Calibri"/>
        <family val="2"/>
      </rPr>
      <t>Overig eigen beleid (reis- en verblijfkosten, parkeervergoeding e.d.)</t>
    </r>
  </si>
  <si>
    <r>
      <t>[1]</t>
    </r>
    <r>
      <rPr>
        <i/>
        <sz val="11"/>
        <color theme="1"/>
        <rFont val="Calibri"/>
        <family val="2"/>
      </rPr>
      <t xml:space="preserve"> NB: U kunt ervoor kiezen de kosten van vervanging (bij ziekte en/of verlof) te </t>
    </r>
  </si>
  <si>
    <t>Opslag loonkosten t.o.v. bruto-salaris</t>
  </si>
  <si>
    <t>naam</t>
  </si>
  <si>
    <t>geb.dat</t>
  </si>
  <si>
    <t>salarisgegevens</t>
  </si>
  <si>
    <t>WTF</t>
  </si>
  <si>
    <t xml:space="preserve">uitl.toesl. </t>
  </si>
  <si>
    <t>norm</t>
  </si>
  <si>
    <t>bruto-salaris</t>
  </si>
  <si>
    <t>vakantie</t>
  </si>
  <si>
    <t xml:space="preserve">eindejrs. </t>
  </si>
  <si>
    <t>uitloop</t>
  </si>
  <si>
    <t xml:space="preserve">Jaarinkomen </t>
  </si>
  <si>
    <t>sal.en overige</t>
  </si>
  <si>
    <t>Jaarinkomen</t>
  </si>
  <si>
    <t xml:space="preserve">kosten </t>
  </si>
  <si>
    <t>VUT/FPU</t>
  </si>
  <si>
    <t xml:space="preserve">ZVW premie </t>
  </si>
  <si>
    <t>vervanging eigen beleid</t>
  </si>
  <si>
    <t>kosten eigen beleid</t>
  </si>
  <si>
    <t>Totale loonkosten euro</t>
  </si>
  <si>
    <t xml:space="preserve">loonkn t.o.v. </t>
  </si>
  <si>
    <t>besl. regel</t>
  </si>
  <si>
    <t xml:space="preserve">uitlooptoesl. </t>
  </si>
  <si>
    <t>besl.regel</t>
  </si>
  <si>
    <t>Totaal pens.</t>
  </si>
  <si>
    <t>Bijdrage-ink.</t>
  </si>
  <si>
    <t xml:space="preserve">ZVW vergoed. </t>
  </si>
  <si>
    <t>Loon voor de</t>
  </si>
  <si>
    <t xml:space="preserve"> mnd.sal.</t>
  </si>
  <si>
    <t>wtf*mnd.sal.</t>
  </si>
  <si>
    <t>uitk.</t>
  </si>
  <si>
    <t>toeslag</t>
  </si>
  <si>
    <t>uitk. OOP</t>
  </si>
  <si>
    <t>ABP</t>
  </si>
  <si>
    <t>levensloop</t>
  </si>
  <si>
    <t>looncompon</t>
  </si>
  <si>
    <t>basis</t>
  </si>
  <si>
    <t>jaar</t>
  </si>
  <si>
    <t>bruto-sal</t>
  </si>
  <si>
    <t>alle looncomp</t>
  </si>
  <si>
    <t>datum</t>
  </si>
  <si>
    <t>inschaling</t>
  </si>
  <si>
    <t>schaal-uitloop bedr.</t>
  </si>
  <si>
    <t>vakantieuitk.</t>
  </si>
  <si>
    <t>eindejrs. uitk.</t>
  </si>
  <si>
    <t>premie</t>
  </si>
  <si>
    <t xml:space="preserve"> loonbelasting</t>
  </si>
  <si>
    <t>datum nu</t>
  </si>
  <si>
    <t>OOP</t>
  </si>
  <si>
    <t>n</t>
  </si>
  <si>
    <t>meerh sbo DCuit15</t>
  </si>
  <si>
    <t>Uitlooptoeslag (cao 24.2)</t>
  </si>
  <si>
    <t>j</t>
  </si>
  <si>
    <t xml:space="preserve">premie </t>
  </si>
  <si>
    <t>ziektekosten</t>
  </si>
  <si>
    <t>wrkl. lasten</t>
  </si>
  <si>
    <t>ziek</t>
  </si>
  <si>
    <t>wrk lstn</t>
  </si>
  <si>
    <t>OOP uitk.</t>
  </si>
  <si>
    <t>B. OVERIGE LOONCOMPONENTEN</t>
  </si>
  <si>
    <t>Bindings-</t>
  </si>
  <si>
    <t>toelage</t>
  </si>
  <si>
    <t>bindings-</t>
  </si>
  <si>
    <t>plus min. loon naar 1635,60</t>
  </si>
  <si>
    <t>cao VO 2020</t>
  </si>
  <si>
    <t>overgangstabel schaal 12 per 1 augustus 2020</t>
  </si>
  <si>
    <t>schaal 12 nieuw per 1 augustus 2020</t>
  </si>
  <si>
    <t>trede</t>
  </si>
  <si>
    <t>schaal 12 oud</t>
  </si>
  <si>
    <t>schaal 12 nieuw</t>
  </si>
  <si>
    <t>bedrag</t>
  </si>
  <si>
    <t>principe:overgang naar naasthogere bedrag</t>
  </si>
  <si>
    <t>cao nieuwe schaal 12</t>
  </si>
  <si>
    <t xml:space="preserve">De salaristabellen per 1 augustus 2020 zijn van toepassing. </t>
  </si>
  <si>
    <r>
      <t xml:space="preserve">De premies van het ABP zijn van toepassing vanaf </t>
    </r>
    <r>
      <rPr>
        <b/>
        <i/>
        <sz val="10"/>
        <rFont val="Arial"/>
        <family val="2"/>
      </rPr>
      <t>1 januari 2021.</t>
    </r>
  </si>
  <si>
    <t>cf. art. 12.3 van de CAO.</t>
  </si>
  <si>
    <t>Dit werkblad bevat de salaristabellen conform de CAO VO 2020.</t>
  </si>
  <si>
    <t xml:space="preserve">De gegevens zijn ontleend aan de CAO VO 2020 met de daarbij behorende salaristabellen. </t>
  </si>
  <si>
    <t xml:space="preserve">Minimumloon is aangepast. </t>
  </si>
  <si>
    <t xml:space="preserve"> vanaf 1 januari  2021</t>
  </si>
  <si>
    <t>Vakantieuitkering</t>
  </si>
  <si>
    <t>Extra toelichting bij Kosten Eigen Beleid:</t>
  </si>
  <si>
    <t xml:space="preserve">De pensioenpremies zijn aangepast per 1 januari 2021. Een wijziging van de </t>
  </si>
  <si>
    <t xml:space="preserve">pensioenpremies in de marktsector wordt via de referentiesystematiek 2021 meegenomen </t>
  </si>
  <si>
    <t>2021 door OCW gepubliceerd en dan in de bekostiging verwerkt.</t>
  </si>
  <si>
    <t>Min. loon per 1-7-2021:</t>
  </si>
  <si>
    <t>Belastingen 2021</t>
  </si>
  <si>
    <t>Tarieven, bedragen en percentages vanaf 1 januari 2021</t>
  </si>
  <si>
    <t>vanaf 1 juli</t>
  </si>
  <si>
    <t>2021-2022</t>
  </si>
  <si>
    <r>
      <t xml:space="preserve">De algemene premies zijn van toepassing vanaf </t>
    </r>
    <r>
      <rPr>
        <b/>
        <i/>
        <sz val="10"/>
        <rFont val="Arial"/>
        <family val="2"/>
      </rPr>
      <t>1 juli 2021</t>
    </r>
    <r>
      <rPr>
        <sz val="10"/>
        <rFont val="Arial"/>
        <family val="2"/>
      </rPr>
      <t xml:space="preserve">. </t>
    </r>
  </si>
  <si>
    <t>Dit werkblad bevat relevante tabellen, conform de gegevens zoals die per 1 juli 2021 gelden.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</si>
</sst>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 #,##0_ ;_ &quot;€&quot;\ * \-#,##0_ ;_ &quot;€&quot;\ * &quot;-&quot;_ ;_ @_ "/>
    <numFmt numFmtId="41" formatCode="_ * #,##0_ ;_ * \-#,##0_ ;_ * &quot;-&quot;_ ;_ @_ "/>
    <numFmt numFmtId="44" formatCode="_ &quot;€&quot;\ * #,##0.00_ ;_ &quot;€&quot;\ * \-#,##0.00_ ;_ &quot;€&quot;\ * &quot;-&quot;??_ ;_ @_ "/>
    <numFmt numFmtId="164" formatCode="0.000%"/>
    <numFmt numFmtId="165" formatCode="_-&quot;€&quot;\ * #,##0.00_-;_-&quot;€&quot;\ * #,##0.00\-;_-&quot;€&quot;\ * &quot;-&quot;??_-;_-@_-"/>
    <numFmt numFmtId="166" formatCode="0.0000"/>
    <numFmt numFmtId="167" formatCode="_-&quot;€&quot;\ * #,##0_-;_-&quot;€&quot;\ * #,##0\-;_-&quot;€&quot;\ * &quot;-&quot;_-;_-@_-"/>
    <numFmt numFmtId="168" formatCode="[$-413]mmm/yy;@"/>
    <numFmt numFmtId="169" formatCode="#,##0_-"/>
    <numFmt numFmtId="170" formatCode="0.0%"/>
    <numFmt numFmtId="171" formatCode="#,##0.0000_ ;\-#,##0.0000\ "/>
    <numFmt numFmtId="172" formatCode="_(&quot;€&quot;\ * #,##0_);_(&quot;€&quot;\ * \(#,##0\);_(&quot;€&quot;\ * &quot;-&quot;_);_(@_)"/>
    <numFmt numFmtId="173" formatCode="[$-413]d\ mmmm\ yyyy;@"/>
    <numFmt numFmtId="174" formatCode="_-&quot;€&quot;\ * #,##0_-;_-&quot;€&quot;\ * #,##0\-;_-&quot;€&quot;\ * &quot;-&quot;??_-;_-@_-"/>
    <numFmt numFmtId="175" formatCode="0.000"/>
    <numFmt numFmtId="176" formatCode="0_ ;\-0\ "/>
  </numFmts>
  <fonts count="88"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b/>
      <i/>
      <sz val="10"/>
      <color indexed="8"/>
      <name val="Arial"/>
      <family val="2"/>
    </font>
    <font>
      <b/>
      <sz val="10"/>
      <color indexed="81"/>
      <name val="Arial"/>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8"/>
      <color indexed="81"/>
      <name val="Arial"/>
      <family val="2"/>
    </font>
    <font>
      <i/>
      <sz val="10"/>
      <color rgb="FF7F7F7F"/>
      <name val="Calibri"/>
      <family val="2"/>
    </font>
    <font>
      <sz val="10"/>
      <color indexed="81"/>
      <name val="Arial"/>
      <family val="2"/>
    </font>
    <font>
      <sz val="10"/>
      <color theme="0"/>
      <name val="Arial"/>
      <family val="2"/>
    </font>
    <font>
      <sz val="10"/>
      <color rgb="FFCCECFF"/>
      <name val="Arial"/>
      <family val="2"/>
    </font>
    <font>
      <b/>
      <i/>
      <sz val="10"/>
      <color theme="5"/>
      <name val="Arial"/>
      <family val="2"/>
    </font>
    <font>
      <b/>
      <sz val="10"/>
      <color rgb="FFFF0000"/>
      <name val="Arial"/>
      <family val="2"/>
    </font>
    <font>
      <sz val="8"/>
      <name val="Arial"/>
      <family val="2"/>
    </font>
    <font>
      <b/>
      <sz val="8"/>
      <name val="Arial"/>
      <family val="2"/>
    </font>
    <font>
      <b/>
      <sz val="8"/>
      <color indexed="10"/>
      <name val="Arial"/>
      <family val="2"/>
    </font>
    <font>
      <sz val="10"/>
      <name val="Calibri"/>
      <family val="2"/>
      <scheme val="minor"/>
    </font>
    <font>
      <i/>
      <sz val="10"/>
      <name val="Calibri"/>
      <family val="2"/>
    </font>
    <font>
      <b/>
      <i/>
      <sz val="10"/>
      <name val="Calibri"/>
      <family val="2"/>
    </font>
    <font>
      <b/>
      <sz val="11"/>
      <name val="Calibri"/>
      <family val="2"/>
    </font>
    <font>
      <b/>
      <i/>
      <sz val="11"/>
      <color theme="1"/>
      <name val="Calibri"/>
      <family val="2"/>
    </font>
    <font>
      <i/>
      <sz val="10"/>
      <color theme="1"/>
      <name val="Arial"/>
      <family val="2"/>
    </font>
    <font>
      <i/>
      <sz val="11"/>
      <color theme="1"/>
      <name val="Calibri"/>
      <family val="2"/>
    </font>
    <font>
      <i/>
      <sz val="7"/>
      <color theme="1"/>
      <name val="Times New Roman"/>
      <family val="1"/>
    </font>
    <font>
      <i/>
      <vertAlign val="superscript"/>
      <sz val="11"/>
      <color theme="1"/>
      <name val="Calibri"/>
      <family val="2"/>
    </font>
    <font>
      <i/>
      <sz val="11"/>
      <color theme="1"/>
      <name val="Calibri"/>
      <family val="2"/>
      <scheme val="minor"/>
    </font>
    <font>
      <i/>
      <sz val="10"/>
      <color indexed="10"/>
      <name val="Calibri"/>
      <family val="2"/>
    </font>
    <font>
      <sz val="10"/>
      <color indexed="10"/>
      <name val="Calibri"/>
      <family val="2"/>
    </font>
    <font>
      <sz val="10"/>
      <color indexed="10"/>
      <name val="Calibri"/>
      <family val="2"/>
      <scheme val="minor"/>
    </font>
    <font>
      <sz val="10"/>
      <color theme="1" tint="0.34998626667073579"/>
      <name val="Calibri"/>
      <family val="2"/>
    </font>
    <font>
      <sz val="14"/>
      <name val="Calibri"/>
      <family val="2"/>
    </font>
    <font>
      <b/>
      <sz val="14"/>
      <color rgb="FFC00000"/>
      <name val="Calibri"/>
      <family val="2"/>
    </font>
    <font>
      <i/>
      <sz val="14"/>
      <name val="Calibri"/>
      <family val="2"/>
    </font>
    <font>
      <i/>
      <sz val="14"/>
      <color indexed="10"/>
      <name val="Calibri"/>
      <family val="2"/>
    </font>
    <font>
      <sz val="14"/>
      <color indexed="10"/>
      <name val="Calibri"/>
      <family val="2"/>
    </font>
    <font>
      <sz val="14"/>
      <color indexed="10"/>
      <name val="Calibri"/>
      <family val="2"/>
      <scheme val="minor"/>
    </font>
    <font>
      <sz val="14"/>
      <color theme="1" tint="0.34998626667073579"/>
      <name val="Calibri"/>
      <family val="2"/>
    </font>
    <font>
      <sz val="12"/>
      <name val="Calibri"/>
      <family val="2"/>
    </font>
    <font>
      <sz val="9"/>
      <name val="Calibri"/>
      <family val="2"/>
    </font>
    <font>
      <i/>
      <sz val="9"/>
      <name val="Calibri"/>
      <family val="2"/>
    </font>
    <font>
      <i/>
      <sz val="9"/>
      <color indexed="10"/>
      <name val="Calibri"/>
      <family val="2"/>
    </font>
    <font>
      <sz val="9"/>
      <color indexed="10"/>
      <name val="Calibri"/>
      <family val="2"/>
    </font>
    <font>
      <sz val="9"/>
      <color indexed="10"/>
      <name val="Calibri"/>
      <family val="2"/>
      <scheme val="minor"/>
    </font>
    <font>
      <sz val="9"/>
      <color theme="1" tint="0.34998626667073579"/>
      <name val="Calibri"/>
      <family val="2"/>
    </font>
    <font>
      <sz val="9"/>
      <color indexed="60"/>
      <name val="Calibri"/>
      <family val="2"/>
    </font>
    <font>
      <b/>
      <sz val="9"/>
      <color indexed="60"/>
      <name val="Calibri"/>
      <family val="2"/>
    </font>
    <font>
      <i/>
      <sz val="9"/>
      <color indexed="60"/>
      <name val="Calibri"/>
      <family val="2"/>
    </font>
    <font>
      <b/>
      <sz val="9"/>
      <name val="Calibri"/>
      <family val="2"/>
    </font>
    <font>
      <b/>
      <i/>
      <sz val="9"/>
      <name val="Calibri"/>
      <family val="2"/>
    </font>
    <font>
      <i/>
      <sz val="9"/>
      <color indexed="8"/>
      <name val="Calibri"/>
      <family val="2"/>
      <scheme val="minor"/>
    </font>
    <font>
      <sz val="9"/>
      <name val="Calibri"/>
      <family val="2"/>
      <scheme val="minor"/>
    </font>
    <font>
      <sz val="9"/>
      <color indexed="8"/>
      <name val="Calibri"/>
      <family val="2"/>
      <scheme val="minor"/>
    </font>
    <font>
      <i/>
      <sz val="9"/>
      <color theme="1" tint="0.34998626667073579"/>
      <name val="Calibri"/>
      <family val="2"/>
    </font>
    <font>
      <i/>
      <sz val="9"/>
      <color indexed="8"/>
      <name val="Calibri"/>
      <family val="2"/>
    </font>
    <font>
      <sz val="9"/>
      <color indexed="8"/>
      <name val="Calibri"/>
      <family val="2"/>
    </font>
    <font>
      <sz val="10"/>
      <color indexed="22"/>
      <name val="Calibri"/>
      <family val="2"/>
    </font>
    <font>
      <sz val="10"/>
      <color theme="0" tint="-0.249977111117893"/>
      <name val="Calibri"/>
      <family val="2"/>
    </font>
    <font>
      <i/>
      <sz val="10"/>
      <color indexed="22"/>
      <name val="Calibri"/>
      <family val="2"/>
    </font>
    <font>
      <b/>
      <sz val="9"/>
      <color indexed="81"/>
      <name val="Tahoma"/>
      <family val="2"/>
    </font>
    <font>
      <sz val="10"/>
      <color theme="0" tint="-0.249977111117893"/>
      <name val="Arial"/>
      <family val="2"/>
    </font>
    <font>
      <i/>
      <sz val="8"/>
      <name val="Arial"/>
      <family val="2"/>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39997558519241921"/>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7"/>
      </left>
      <right/>
      <top style="thin">
        <color indexed="47"/>
      </top>
      <bottom style="thin">
        <color indexed="47"/>
      </bottom>
      <diagonal/>
    </border>
    <border>
      <left/>
      <right style="thin">
        <color indexed="47"/>
      </right>
      <top style="thin">
        <color indexed="47"/>
      </top>
      <bottom style="thin">
        <color indexed="47"/>
      </bottom>
      <diagonal/>
    </border>
    <border>
      <left style="thin">
        <color rgb="FFCCECFF"/>
      </left>
      <right style="thin">
        <color rgb="FFCCECFF"/>
      </right>
      <top style="thin">
        <color rgb="FFCCECFF"/>
      </top>
      <bottom style="thin">
        <color rgb="FFCCECFF"/>
      </bottom>
      <diagonal/>
    </border>
    <border>
      <left/>
      <right/>
      <top style="thin">
        <color indexed="47"/>
      </top>
      <bottom/>
      <diagonal/>
    </border>
    <border>
      <left style="thin">
        <color indexed="47"/>
      </left>
      <right/>
      <top style="thin">
        <color indexed="47"/>
      </top>
      <bottom/>
      <diagonal/>
    </border>
    <border>
      <left/>
      <right style="thin">
        <color indexed="47"/>
      </right>
      <top/>
      <bottom/>
      <diagonal/>
    </border>
    <border>
      <left style="thin">
        <color indexed="47"/>
      </left>
      <right/>
      <top/>
      <bottom/>
      <diagonal/>
    </border>
    <border>
      <left/>
      <right/>
      <top/>
      <bottom style="thin">
        <color indexed="47"/>
      </bottom>
      <diagonal/>
    </border>
    <border>
      <left style="thin">
        <color indexed="47"/>
      </left>
      <right/>
      <top/>
      <bottom style="thin">
        <color indexed="47"/>
      </bottom>
      <diagonal/>
    </border>
    <border>
      <left style="thin">
        <color indexed="47"/>
      </left>
      <right style="thin">
        <color indexed="47"/>
      </right>
      <top/>
      <bottom/>
      <diagonal/>
    </border>
    <border>
      <left/>
      <right style="thin">
        <color indexed="47"/>
      </right>
      <top/>
      <bottom style="thin">
        <color indexed="47"/>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medium">
        <color theme="0"/>
      </top>
      <bottom style="medium">
        <color theme="0"/>
      </bottom>
      <diagonal/>
    </border>
    <border>
      <left style="thin">
        <color rgb="FFCCECFF"/>
      </left>
      <right style="thin">
        <color rgb="FFCCECFF"/>
      </right>
      <top style="medium">
        <color theme="0"/>
      </top>
      <bottom style="medium">
        <color theme="0"/>
      </bottom>
      <diagonal/>
    </border>
    <border>
      <left style="thin">
        <color theme="0"/>
      </left>
      <right style="thin">
        <color theme="0"/>
      </right>
      <top/>
      <bottom/>
      <diagonal/>
    </border>
    <border>
      <left style="thin">
        <color rgb="FFCCECFF"/>
      </left>
      <right/>
      <top style="medium">
        <color theme="0"/>
      </top>
      <bottom style="medium">
        <color theme="0"/>
      </bottom>
      <diagonal/>
    </border>
    <border>
      <left style="thin">
        <color theme="0"/>
      </left>
      <right style="thin">
        <color theme="0"/>
      </right>
      <top style="thin">
        <color rgb="FFCCECFF"/>
      </top>
      <bottom style="thin">
        <color rgb="FFCCECFF"/>
      </bottom>
      <diagonal/>
    </border>
    <border>
      <left style="thin">
        <color theme="0" tint="-4.9989318521683403E-2"/>
      </left>
      <right style="thin">
        <color theme="0" tint="-4.9989318521683403E-2"/>
      </right>
      <top/>
      <bottom style="thin">
        <color theme="0" tint="-4.9989318521683403E-2"/>
      </bottom>
      <diagonal/>
    </border>
    <border>
      <left/>
      <right/>
      <top style="medium">
        <color auto="1"/>
      </top>
      <bottom style="medium">
        <color theme="0"/>
      </bottom>
      <diagonal/>
    </border>
    <border>
      <left style="thin">
        <color rgb="FFCCECFF"/>
      </left>
      <right style="thin">
        <color rgb="FFCCECFF"/>
      </right>
      <top style="thin">
        <color rgb="FFCCECFF"/>
      </top>
      <bottom style="medium">
        <color rgb="FFCCECFF"/>
      </bottom>
      <diagonal/>
    </border>
    <border>
      <left/>
      <right/>
      <top/>
      <bottom style="medium">
        <color rgb="FFCCECFF"/>
      </bottom>
      <diagonal/>
    </border>
    <border>
      <left style="thin">
        <color rgb="FFCCECFF"/>
      </left>
      <right style="thin">
        <color rgb="FFCCECFF"/>
      </right>
      <top style="medium">
        <color rgb="FFCCECFF"/>
      </top>
      <bottom style="thin">
        <color rgb="FFCCECFF"/>
      </bottom>
      <diagonal/>
    </border>
    <border>
      <left/>
      <right/>
      <top style="medium">
        <color rgb="FFCCECFF"/>
      </top>
      <bottom/>
      <diagonal/>
    </border>
    <border>
      <left/>
      <right style="thin">
        <color theme="0"/>
      </right>
      <top/>
      <bottom/>
      <diagonal/>
    </border>
    <border>
      <left/>
      <right/>
      <top style="thin">
        <color rgb="FFCCECFF"/>
      </top>
      <bottom style="thin">
        <color rgb="FFCCEC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59">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0" fontId="2" fillId="0" borderId="0" xfId="0" applyFont="1" applyFill="1" applyBorder="1" applyAlignment="1" applyProtection="1">
      <alignment horizontal="left"/>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4"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2" fillId="4" borderId="0" xfId="0" applyNumberFormat="1" applyFont="1" applyFill="1" applyBorder="1" applyProtection="1"/>
    <xf numFmtId="0" fontId="3" fillId="4" borderId="4" xfId="0" applyFont="1" applyFill="1" applyBorder="1" applyProtection="1"/>
    <xf numFmtId="0" fontId="16" fillId="3" borderId="0" xfId="0" applyFont="1" applyFill="1" applyBorder="1" applyProtection="1"/>
    <xf numFmtId="0" fontId="3" fillId="4" borderId="5" xfId="0" applyFont="1" applyFill="1" applyBorder="1" applyProtection="1"/>
    <xf numFmtId="0" fontId="3" fillId="3" borderId="0" xfId="0" applyFont="1" applyFill="1" applyBorder="1" applyProtection="1"/>
    <xf numFmtId="0" fontId="18" fillId="4" borderId="4" xfId="0" applyFont="1" applyFill="1" applyBorder="1" applyProtection="1"/>
    <xf numFmtId="0" fontId="18" fillId="4" borderId="5" xfId="0" applyFont="1" applyFill="1" applyBorder="1" applyProtection="1"/>
    <xf numFmtId="0" fontId="18" fillId="3" borderId="0" xfId="0" applyFont="1" applyFill="1" applyBorder="1" applyProtection="1"/>
    <xf numFmtId="0" fontId="10" fillId="4" borderId="5" xfId="0" applyFont="1" applyFill="1" applyBorder="1" applyProtection="1"/>
    <xf numFmtId="0" fontId="20" fillId="4" borderId="5" xfId="0" applyFont="1" applyFill="1" applyBorder="1" applyProtection="1"/>
    <xf numFmtId="165" fontId="2" fillId="4" borderId="0" xfId="0" applyNumberFormat="1" applyFont="1" applyFill="1" applyBorder="1" applyProtection="1"/>
    <xf numFmtId="0" fontId="2" fillId="6" borderId="7" xfId="0" applyFont="1" applyFill="1" applyBorder="1" applyProtection="1"/>
    <xf numFmtId="0" fontId="2" fillId="6" borderId="8" xfId="0" applyFont="1" applyFill="1" applyBorder="1" applyProtection="1"/>
    <xf numFmtId="0" fontId="20" fillId="6" borderId="8" xfId="0" applyFont="1" applyFill="1" applyBorder="1" applyProtection="1"/>
    <xf numFmtId="9" fontId="17" fillId="6" borderId="8" xfId="2" applyFont="1" applyFill="1" applyBorder="1" applyAlignment="1" applyProtection="1">
      <alignment horizontal="center"/>
    </xf>
    <xf numFmtId="0" fontId="20" fillId="6" borderId="8" xfId="0" applyFont="1" applyFill="1" applyBorder="1" applyAlignment="1" applyProtection="1">
      <alignment horizontal="right"/>
    </xf>
    <xf numFmtId="0" fontId="2" fillId="6" borderId="9" xfId="0" applyFont="1" applyFill="1" applyBorder="1" applyProtection="1"/>
    <xf numFmtId="49"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2" fillId="3" borderId="0" xfId="0" applyFont="1" applyFill="1" applyProtection="1"/>
    <xf numFmtId="0" fontId="8" fillId="4" borderId="0" xfId="0" applyFont="1" applyFill="1" applyBorder="1" applyProtection="1"/>
    <xf numFmtId="0" fontId="4" fillId="3" borderId="0" xfId="0" applyFont="1" applyFill="1" applyProtection="1"/>
    <xf numFmtId="0" fontId="24"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5" fontId="2" fillId="6" borderId="8" xfId="0" applyNumberFormat="1" applyFont="1" applyFill="1" applyBorder="1" applyProtection="1"/>
    <xf numFmtId="165" fontId="2" fillId="3" borderId="0" xfId="0" applyNumberFormat="1" applyFont="1" applyFill="1" applyBorder="1" applyProtection="1"/>
    <xf numFmtId="49" fontId="2" fillId="3" borderId="0" xfId="0" applyNumberFormat="1" applyFont="1" applyFill="1" applyBorder="1" applyAlignment="1" applyProtection="1">
      <alignment horizontal="left"/>
    </xf>
    <xf numFmtId="165" fontId="17" fillId="3" borderId="0" xfId="1" applyNumberFormat="1" applyFont="1" applyFill="1" applyBorder="1" applyProtection="1"/>
    <xf numFmtId="165" fontId="17" fillId="3" borderId="0" xfId="0" applyNumberFormat="1" applyFont="1" applyFill="1" applyBorder="1" applyProtection="1"/>
    <xf numFmtId="165" fontId="2" fillId="3" borderId="0" xfId="1" applyNumberFormat="1" applyFont="1" applyFill="1" applyBorder="1" applyProtection="1"/>
    <xf numFmtId="167" fontId="2" fillId="3" borderId="0" xfId="1" applyNumberFormat="1" applyFont="1" applyFill="1" applyBorder="1" applyProtection="1"/>
    <xf numFmtId="0" fontId="2" fillId="7" borderId="0" xfId="0" applyFont="1" applyFill="1" applyBorder="1" applyProtection="1"/>
    <xf numFmtId="0" fontId="2" fillId="7" borderId="0" xfId="0" applyFont="1" applyFill="1" applyBorder="1" applyAlignment="1" applyProtection="1">
      <alignment horizontal="center"/>
    </xf>
    <xf numFmtId="0" fontId="17" fillId="4" borderId="4" xfId="0" applyFont="1" applyFill="1" applyBorder="1" applyProtection="1"/>
    <xf numFmtId="0" fontId="17" fillId="4" borderId="0" xfId="0" applyFont="1" applyFill="1" applyBorder="1" applyProtection="1"/>
    <xf numFmtId="0" fontId="17" fillId="4" borderId="0" xfId="0" applyFont="1" applyFill="1" applyBorder="1" applyAlignment="1" applyProtection="1">
      <alignment horizontal="center"/>
    </xf>
    <xf numFmtId="0" fontId="17" fillId="4" borderId="5" xfId="0" applyFont="1" applyFill="1" applyBorder="1" applyProtection="1"/>
    <xf numFmtId="0" fontId="17" fillId="7" borderId="0" xfId="0" applyFont="1" applyFill="1" applyBorder="1" applyProtection="1"/>
    <xf numFmtId="0" fontId="25" fillId="4" borderId="0" xfId="0" applyFont="1" applyFill="1" applyBorder="1" applyAlignment="1" applyProtection="1">
      <alignment horizontal="left"/>
      <protection locked="0"/>
    </xf>
    <xf numFmtId="0" fontId="2" fillId="4" borderId="0" xfId="0" applyFont="1" applyFill="1" applyBorder="1" applyAlignment="1" applyProtection="1"/>
    <xf numFmtId="0" fontId="26" fillId="7" borderId="0" xfId="0" applyFont="1" applyFill="1" applyBorder="1" applyProtection="1"/>
    <xf numFmtId="0" fontId="27" fillId="7" borderId="0" xfId="0" applyFont="1" applyFill="1" applyBorder="1" applyProtection="1"/>
    <xf numFmtId="0" fontId="27" fillId="7" borderId="0" xfId="0" applyFont="1" applyFill="1" applyBorder="1" applyAlignment="1" applyProtection="1">
      <alignment horizontal="left"/>
    </xf>
    <xf numFmtId="167" fontId="27" fillId="7" borderId="0" xfId="0" applyNumberFormat="1" applyFont="1" applyFill="1" applyBorder="1" applyProtection="1"/>
    <xf numFmtId="0" fontId="28" fillId="7" borderId="0" xfId="0" applyFont="1" applyFill="1" applyBorder="1" applyProtection="1"/>
    <xf numFmtId="0" fontId="17" fillId="4" borderId="0" xfId="0" applyFont="1" applyFill="1" applyBorder="1" applyAlignment="1" applyProtection="1">
      <alignment horizontal="right"/>
    </xf>
    <xf numFmtId="0" fontId="29" fillId="7" borderId="0" xfId="0" applyFont="1" applyFill="1" applyBorder="1" applyAlignment="1" applyProtection="1">
      <alignment horizontal="left"/>
    </xf>
    <xf numFmtId="165" fontId="2" fillId="7" borderId="0" xfId="0" applyNumberFormat="1" applyFont="1" applyFill="1" applyBorder="1" applyProtection="1"/>
    <xf numFmtId="0" fontId="29" fillId="7" borderId="0" xfId="0" applyFont="1" applyFill="1" applyProtection="1"/>
    <xf numFmtId="165" fontId="3" fillId="7" borderId="0" xfId="0" applyNumberFormat="1" applyFont="1" applyFill="1" applyBorder="1" applyProtection="1"/>
    <xf numFmtId="0" fontId="3" fillId="7" borderId="0" xfId="0" applyFont="1" applyFill="1" applyBorder="1" applyProtection="1"/>
    <xf numFmtId="165" fontId="2" fillId="4" borderId="5" xfId="0" applyNumberFormat="1" applyFont="1" applyFill="1" applyBorder="1" applyProtection="1"/>
    <xf numFmtId="165" fontId="3" fillId="4" borderId="5" xfId="0" applyNumberFormat="1" applyFont="1" applyFill="1" applyBorder="1" applyProtection="1"/>
    <xf numFmtId="0" fontId="2" fillId="6" borderId="8" xfId="0" applyFont="1" applyFill="1" applyBorder="1" applyAlignment="1" applyProtection="1">
      <alignment horizontal="center"/>
    </xf>
    <xf numFmtId="165" fontId="2" fillId="6" borderId="9" xfId="0" applyNumberFormat="1" applyFont="1" applyFill="1" applyBorder="1" applyProtection="1"/>
    <xf numFmtId="165" fontId="3" fillId="7" borderId="0" xfId="0" applyNumberFormat="1" applyFont="1" applyFill="1" applyBorder="1" applyAlignment="1" applyProtection="1">
      <alignment horizontal="right"/>
    </xf>
    <xf numFmtId="165" fontId="27" fillId="7" borderId="0" xfId="0" applyNumberFormat="1" applyFont="1" applyFill="1" applyBorder="1" applyProtection="1"/>
    <xf numFmtId="0" fontId="30" fillId="7" borderId="0" xfId="0" applyFont="1" applyFill="1" applyBorder="1" applyProtection="1"/>
    <xf numFmtId="0" fontId="31" fillId="7" borderId="0" xfId="0" applyFont="1" applyFill="1" applyBorder="1" applyAlignment="1" applyProtection="1">
      <alignment horizontal="left"/>
    </xf>
    <xf numFmtId="0" fontId="31" fillId="7" borderId="0" xfId="0" applyFont="1" applyFill="1" applyProtection="1"/>
    <xf numFmtId="0" fontId="2" fillId="7" borderId="0" xfId="0" applyFont="1" applyFill="1" applyBorder="1" applyAlignment="1" applyProtection="1">
      <alignment horizontal="left"/>
    </xf>
    <xf numFmtId="165" fontId="17" fillId="7" borderId="0" xfId="1" applyNumberFormat="1" applyFont="1" applyFill="1" applyBorder="1" applyAlignment="1" applyProtection="1">
      <alignment horizontal="center"/>
    </xf>
    <xf numFmtId="165" fontId="17" fillId="7" borderId="0" xfId="0" applyNumberFormat="1" applyFont="1" applyFill="1" applyBorder="1" applyProtection="1"/>
    <xf numFmtId="165" fontId="2" fillId="7" borderId="0" xfId="1" applyNumberFormat="1" applyFont="1" applyFill="1" applyBorder="1" applyAlignment="1" applyProtection="1">
      <alignment horizontal="center"/>
    </xf>
    <xf numFmtId="167" fontId="2" fillId="7" borderId="0" xfId="1"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7" borderId="0" xfId="0" applyFont="1" applyFill="1" applyBorder="1" applyAlignment="1" applyProtection="1">
      <alignment horizontal="right"/>
    </xf>
    <xf numFmtId="0" fontId="0" fillId="7" borderId="0" xfId="0" applyFill="1" applyAlignment="1" applyProtection="1">
      <alignment horizontal="left"/>
    </xf>
    <xf numFmtId="0" fontId="0" fillId="7" borderId="0" xfId="0" applyFill="1" applyAlignment="1" applyProtection="1">
      <alignment horizontal="right"/>
    </xf>
    <xf numFmtId="0" fontId="27" fillId="7" borderId="0" xfId="0" applyFont="1" applyFill="1" applyAlignment="1" applyProtection="1">
      <alignment horizontal="left"/>
    </xf>
    <xf numFmtId="0" fontId="27" fillId="7" borderId="0" xfId="0" applyFont="1" applyFill="1" applyAlignment="1" applyProtection="1">
      <alignment horizontal="right"/>
    </xf>
    <xf numFmtId="42" fontId="27" fillId="7" borderId="0" xfId="0" applyNumberFormat="1" applyFont="1" applyFill="1" applyBorder="1" applyProtection="1"/>
    <xf numFmtId="0" fontId="27" fillId="7" borderId="0" xfId="0" applyFont="1" applyFill="1" applyProtection="1"/>
    <xf numFmtId="165" fontId="20" fillId="6" borderId="8" xfId="0" applyNumberFormat="1" applyFont="1" applyFill="1" applyBorder="1" applyAlignment="1" applyProtection="1">
      <alignment horizontal="right"/>
    </xf>
    <xf numFmtId="167" fontId="2" fillId="7" borderId="0" xfId="0" applyNumberFormat="1" applyFont="1" applyFill="1" applyBorder="1" applyProtection="1"/>
    <xf numFmtId="165" fontId="17" fillId="7" borderId="0" xfId="1" applyNumberFormat="1" applyFont="1" applyFill="1" applyBorder="1" applyProtection="1"/>
    <xf numFmtId="165" fontId="2" fillId="7" borderId="0" xfId="1" applyNumberFormat="1" applyFont="1" applyFill="1" applyBorder="1" applyProtection="1"/>
    <xf numFmtId="167" fontId="2" fillId="7" borderId="0" xfId="1" applyNumberFormat="1" applyFont="1" applyFill="1" applyBorder="1" applyProtection="1"/>
    <xf numFmtId="0" fontId="2" fillId="4" borderId="7" xfId="0" applyFont="1" applyFill="1" applyBorder="1" applyProtection="1"/>
    <xf numFmtId="0" fontId="2" fillId="4" borderId="9" xfId="0" applyFont="1" applyFill="1" applyBorder="1" applyProtection="1"/>
    <xf numFmtId="9" fontId="2" fillId="8" borderId="0" xfId="0" applyNumberFormat="1" applyFont="1" applyFill="1" applyBorder="1" applyAlignment="1" applyProtection="1">
      <alignment horizontal="left"/>
      <protection locked="0"/>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31" fillId="0" borderId="0" xfId="0" applyFont="1" applyBorder="1" applyAlignment="1">
      <alignment horizontal="left"/>
    </xf>
    <xf numFmtId="14" fontId="36" fillId="4" borderId="0" xfId="0" applyNumberFormat="1" applyFont="1" applyFill="1" applyBorder="1" applyProtection="1"/>
    <xf numFmtId="0" fontId="2" fillId="9" borderId="0" xfId="0" applyFont="1" applyFill="1" applyProtection="1"/>
    <xf numFmtId="0" fontId="34" fillId="9" borderId="0" xfId="0" applyFont="1" applyFill="1"/>
    <xf numFmtId="0" fontId="2" fillId="10" borderId="0" xfId="0" applyFont="1" applyFill="1" applyBorder="1" applyProtection="1"/>
    <xf numFmtId="0" fontId="3" fillId="10" borderId="0" xfId="0" applyFont="1" applyFill="1" applyBorder="1" applyProtection="1"/>
    <xf numFmtId="168" fontId="3" fillId="10" borderId="0" xfId="0" applyNumberFormat="1" applyFont="1" applyFill="1" applyBorder="1" applyAlignment="1" applyProtection="1">
      <alignment horizontal="center"/>
    </xf>
    <xf numFmtId="0" fontId="3" fillId="10" borderId="0" xfId="0" applyFont="1" applyFill="1" applyBorder="1" applyAlignment="1" applyProtection="1">
      <alignment horizontal="center"/>
    </xf>
    <xf numFmtId="173" fontId="3" fillId="10" borderId="0" xfId="0" applyNumberFormat="1" applyFont="1" applyFill="1" applyBorder="1" applyAlignment="1" applyProtection="1">
      <alignment horizontal="center"/>
    </xf>
    <xf numFmtId="0" fontId="4" fillId="10" borderId="0" xfId="0" applyFont="1" applyFill="1" applyBorder="1" applyProtection="1"/>
    <xf numFmtId="0" fontId="4" fillId="10" borderId="0" xfId="0" applyFont="1" applyFill="1" applyBorder="1" applyAlignment="1" applyProtection="1">
      <alignment horizontal="right"/>
    </xf>
    <xf numFmtId="0" fontId="3" fillId="10" borderId="0" xfId="0" applyFont="1" applyFill="1" applyBorder="1" applyAlignment="1" applyProtection="1">
      <alignment horizontal="right"/>
    </xf>
    <xf numFmtId="0" fontId="18" fillId="10" borderId="0" xfId="0" applyFont="1" applyFill="1" applyBorder="1" applyProtection="1"/>
    <xf numFmtId="0" fontId="19" fillId="10" borderId="0" xfId="0" applyFont="1" applyFill="1" applyBorder="1" applyProtection="1"/>
    <xf numFmtId="0" fontId="3" fillId="10" borderId="0" xfId="0" applyFont="1" applyFill="1" applyBorder="1"/>
    <xf numFmtId="0" fontId="2" fillId="10" borderId="0" xfId="0" applyFont="1" applyFill="1" applyBorder="1"/>
    <xf numFmtId="0" fontId="19" fillId="10" borderId="0" xfId="0" applyFont="1" applyFill="1"/>
    <xf numFmtId="0" fontId="2" fillId="10" borderId="0" xfId="0" applyFont="1" applyFill="1"/>
    <xf numFmtId="0" fontId="17" fillId="10" borderId="0" xfId="0" applyFont="1" applyFill="1" applyBorder="1"/>
    <xf numFmtId="0" fontId="19" fillId="10" borderId="0" xfId="0" applyFont="1" applyFill="1" applyBorder="1"/>
    <xf numFmtId="0" fontId="2" fillId="10" borderId="8" xfId="0" applyFont="1" applyFill="1" applyBorder="1" applyProtection="1"/>
    <xf numFmtId="0" fontId="2" fillId="10" borderId="2" xfId="0" applyFont="1" applyFill="1" applyBorder="1" applyProtection="1"/>
    <xf numFmtId="0" fontId="2" fillId="10" borderId="12" xfId="0" applyFont="1" applyFill="1" applyBorder="1" applyProtection="1"/>
    <xf numFmtId="0" fontId="9" fillId="10" borderId="12" xfId="0" applyFont="1" applyFill="1" applyBorder="1" applyProtection="1"/>
    <xf numFmtId="0" fontId="2" fillId="10" borderId="12" xfId="0" applyFont="1" applyFill="1" applyBorder="1" applyAlignment="1" applyProtection="1">
      <alignment horizontal="left"/>
    </xf>
    <xf numFmtId="0" fontId="2" fillId="10" borderId="12" xfId="0" applyFont="1" applyFill="1" applyBorder="1" applyAlignment="1" applyProtection="1">
      <alignment horizontal="center"/>
    </xf>
    <xf numFmtId="0" fontId="3" fillId="10" borderId="12" xfId="0" applyFont="1" applyFill="1" applyBorder="1" applyProtection="1"/>
    <xf numFmtId="0" fontId="3" fillId="10" borderId="12" xfId="0" applyFont="1" applyFill="1" applyBorder="1" applyAlignment="1" applyProtection="1">
      <alignment horizontal="right"/>
    </xf>
    <xf numFmtId="14" fontId="2" fillId="4" borderId="12" xfId="0" applyNumberFormat="1" applyFont="1" applyFill="1" applyBorder="1" applyAlignment="1" applyProtection="1">
      <alignment horizontal="center"/>
      <protection locked="0"/>
    </xf>
    <xf numFmtId="0" fontId="11" fillId="10" borderId="12" xfId="0" applyFont="1" applyFill="1" applyBorder="1" applyProtection="1"/>
    <xf numFmtId="0" fontId="12" fillId="10" borderId="12" xfId="0" applyFont="1" applyFill="1" applyBorder="1" applyProtection="1"/>
    <xf numFmtId="0" fontId="2" fillId="4" borderId="12" xfId="0" applyFont="1" applyFill="1" applyBorder="1" applyAlignment="1" applyProtection="1">
      <alignment horizontal="center"/>
      <protection locked="0"/>
    </xf>
    <xf numFmtId="0" fontId="32" fillId="10" borderId="12" xfId="0" applyFont="1" applyFill="1" applyBorder="1" applyAlignment="1" applyProtection="1">
      <alignment horizontal="center"/>
    </xf>
    <xf numFmtId="166" fontId="2" fillId="4" borderId="12" xfId="0" applyNumberFormat="1" applyFont="1" applyFill="1" applyBorder="1" applyProtection="1">
      <protection locked="0"/>
    </xf>
    <xf numFmtId="4" fontId="2" fillId="10" borderId="12" xfId="0" applyNumberFormat="1" applyFont="1" applyFill="1" applyBorder="1" applyProtection="1"/>
    <xf numFmtId="0" fontId="2" fillId="4" borderId="12" xfId="0" applyFont="1" applyFill="1" applyBorder="1" applyAlignment="1" applyProtection="1">
      <alignment horizontal="left"/>
      <protection locked="0"/>
    </xf>
    <xf numFmtId="9" fontId="17" fillId="10" borderId="12" xfId="0" applyNumberFormat="1" applyFont="1" applyFill="1" applyBorder="1" applyAlignment="1" applyProtection="1">
      <alignment horizontal="center"/>
    </xf>
    <xf numFmtId="9" fontId="2" fillId="10" borderId="12" xfId="0" applyNumberFormat="1" applyFont="1" applyFill="1" applyBorder="1" applyAlignment="1" applyProtection="1">
      <alignment horizontal="center"/>
    </xf>
    <xf numFmtId="10" fontId="2" fillId="10" borderId="12" xfId="0" applyNumberFormat="1" applyFont="1" applyFill="1" applyBorder="1" applyAlignment="1" applyProtection="1">
      <alignment horizontal="center"/>
    </xf>
    <xf numFmtId="0" fontId="2" fillId="10" borderId="12" xfId="0" applyFont="1" applyFill="1" applyBorder="1" applyAlignment="1" applyProtection="1">
      <alignment horizontal="right"/>
    </xf>
    <xf numFmtId="1" fontId="17" fillId="10" borderId="12" xfId="0" applyNumberFormat="1" applyFont="1" applyFill="1" applyBorder="1" applyAlignment="1" applyProtection="1">
      <alignment horizontal="center"/>
    </xf>
    <xf numFmtId="0" fontId="3" fillId="10" borderId="12" xfId="0" applyFont="1" applyFill="1" applyBorder="1" applyAlignment="1" applyProtection="1">
      <alignment horizontal="left"/>
    </xf>
    <xf numFmtId="0" fontId="3" fillId="10" borderId="12" xfId="0" applyFont="1" applyFill="1" applyBorder="1" applyAlignment="1" applyProtection="1">
      <alignment horizontal="center"/>
    </xf>
    <xf numFmtId="0" fontId="14" fillId="10" borderId="12" xfId="0" applyFont="1" applyFill="1" applyBorder="1" applyProtection="1"/>
    <xf numFmtId="165" fontId="2" fillId="10" borderId="12" xfId="0" applyNumberFormat="1" applyFont="1" applyFill="1" applyBorder="1" applyProtection="1"/>
    <xf numFmtId="165" fontId="11" fillId="10" borderId="12" xfId="0" applyNumberFormat="1" applyFont="1" applyFill="1" applyBorder="1" applyProtection="1"/>
    <xf numFmtId="0" fontId="18" fillId="10" borderId="12" xfId="0" applyFont="1" applyFill="1" applyBorder="1" applyProtection="1"/>
    <xf numFmtId="0" fontId="18" fillId="10" borderId="12" xfId="0" applyFont="1" applyFill="1" applyBorder="1" applyAlignment="1" applyProtection="1">
      <alignment horizontal="left"/>
    </xf>
    <xf numFmtId="0" fontId="18" fillId="10" borderId="12" xfId="0" applyFont="1" applyFill="1" applyBorder="1" applyAlignment="1" applyProtection="1">
      <alignment horizontal="center"/>
    </xf>
    <xf numFmtId="165" fontId="17" fillId="10" borderId="12" xfId="0" applyNumberFormat="1" applyFont="1" applyFill="1" applyBorder="1" applyAlignment="1" applyProtection="1">
      <alignment horizontal="center"/>
    </xf>
    <xf numFmtId="0" fontId="13" fillId="10" borderId="12" xfId="0" applyFont="1" applyFill="1" applyBorder="1" applyAlignment="1" applyProtection="1">
      <alignment horizontal="center"/>
    </xf>
    <xf numFmtId="0" fontId="17" fillId="10" borderId="12" xfId="0" applyFont="1" applyFill="1" applyBorder="1" applyAlignment="1" applyProtection="1">
      <alignment horizontal="center"/>
    </xf>
    <xf numFmtId="0" fontId="2" fillId="10" borderId="12" xfId="2" applyNumberFormat="1" applyFont="1" applyFill="1" applyBorder="1" applyAlignment="1" applyProtection="1">
      <alignment horizontal="center"/>
    </xf>
    <xf numFmtId="10" fontId="2" fillId="10" borderId="12" xfId="2" applyNumberFormat="1" applyFont="1" applyFill="1" applyBorder="1" applyProtection="1"/>
    <xf numFmtId="10" fontId="2" fillId="10" borderId="12" xfId="0" applyNumberFormat="1" applyFont="1" applyFill="1" applyBorder="1" applyProtection="1"/>
    <xf numFmtId="0" fontId="4" fillId="10" borderId="12" xfId="0" applyFont="1" applyFill="1" applyBorder="1" applyProtection="1"/>
    <xf numFmtId="0" fontId="4" fillId="10" borderId="12" xfId="0" applyFont="1" applyFill="1" applyBorder="1" applyAlignment="1" applyProtection="1">
      <alignment horizontal="left"/>
    </xf>
    <xf numFmtId="0" fontId="4" fillId="10" borderId="12" xfId="0" applyFont="1" applyFill="1" applyBorder="1" applyAlignment="1" applyProtection="1">
      <alignment horizontal="center"/>
    </xf>
    <xf numFmtId="1" fontId="3" fillId="10" borderId="12" xfId="0" applyNumberFormat="1" applyFont="1" applyFill="1" applyBorder="1" applyProtection="1"/>
    <xf numFmtId="0" fontId="3" fillId="10" borderId="12" xfId="0" applyFont="1" applyFill="1" applyBorder="1" applyAlignment="1" applyProtection="1"/>
    <xf numFmtId="165" fontId="3" fillId="10" borderId="12" xfId="0" applyNumberFormat="1" applyFont="1" applyFill="1" applyBorder="1" applyProtection="1"/>
    <xf numFmtId="0" fontId="17" fillId="10" borderId="12" xfId="0" applyFont="1" applyFill="1" applyBorder="1" applyProtection="1"/>
    <xf numFmtId="0" fontId="17" fillId="10" borderId="12" xfId="0" applyFont="1" applyFill="1" applyBorder="1" applyAlignment="1" applyProtection="1">
      <alignment horizontal="left"/>
    </xf>
    <xf numFmtId="4" fontId="17" fillId="10" borderId="12" xfId="0" applyNumberFormat="1" applyFont="1" applyFill="1" applyBorder="1" applyAlignment="1" applyProtection="1">
      <alignment horizontal="center"/>
    </xf>
    <xf numFmtId="4" fontId="17" fillId="10" borderId="12" xfId="0" applyNumberFormat="1" applyFont="1" applyFill="1" applyBorder="1" applyProtection="1"/>
    <xf numFmtId="1" fontId="17" fillId="10" borderId="12" xfId="0" applyNumberFormat="1" applyFont="1" applyFill="1" applyBorder="1" applyProtection="1"/>
    <xf numFmtId="0" fontId="19" fillId="10" borderId="12" xfId="0" applyFont="1" applyFill="1" applyBorder="1" applyProtection="1"/>
    <xf numFmtId="0" fontId="19" fillId="10" borderId="12" xfId="0" applyFont="1" applyFill="1" applyBorder="1" applyAlignment="1" applyProtection="1">
      <alignment horizontal="left"/>
    </xf>
    <xf numFmtId="0" fontId="19" fillId="10" borderId="12" xfId="0" applyFont="1" applyFill="1" applyBorder="1" applyAlignment="1" applyProtection="1">
      <alignment horizontal="center"/>
    </xf>
    <xf numFmtId="4" fontId="19" fillId="10" borderId="12" xfId="0" applyNumberFormat="1" applyFont="1" applyFill="1" applyBorder="1" applyAlignment="1" applyProtection="1">
      <alignment horizontal="center"/>
    </xf>
    <xf numFmtId="4" fontId="19" fillId="10" borderId="12" xfId="0" applyNumberFormat="1" applyFont="1" applyFill="1" applyBorder="1" applyProtection="1"/>
    <xf numFmtId="165" fontId="19" fillId="10" borderId="12" xfId="0" applyNumberFormat="1" applyFont="1" applyFill="1" applyBorder="1" applyAlignment="1" applyProtection="1">
      <alignment horizontal="left"/>
    </xf>
    <xf numFmtId="0" fontId="2" fillId="10" borderId="12" xfId="0" applyFont="1" applyFill="1" applyBorder="1" applyAlignment="1" applyProtection="1"/>
    <xf numFmtId="0" fontId="37" fillId="10" borderId="12" xfId="0" applyFont="1" applyFill="1" applyBorder="1" applyAlignment="1" applyProtection="1">
      <alignment horizontal="right"/>
    </xf>
    <xf numFmtId="1" fontId="37" fillId="10" borderId="12" xfId="0" applyNumberFormat="1" applyFont="1" applyFill="1" applyBorder="1" applyProtection="1"/>
    <xf numFmtId="0" fontId="37" fillId="10" borderId="12" xfId="0" applyFont="1" applyFill="1" applyBorder="1" applyAlignment="1" applyProtection="1">
      <alignment horizontal="center"/>
    </xf>
    <xf numFmtId="0" fontId="37" fillId="10" borderId="12" xfId="0" applyFont="1" applyFill="1" applyBorder="1" applyProtection="1"/>
    <xf numFmtId="1" fontId="2" fillId="4" borderId="10" xfId="0" applyNumberFormat="1"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165" fontId="2" fillId="5" borderId="6" xfId="0" applyNumberFormat="1" applyFont="1" applyFill="1" applyBorder="1" applyAlignment="1" applyProtection="1">
      <alignment horizontal="center"/>
    </xf>
    <xf numFmtId="166" fontId="2" fillId="4" borderId="6" xfId="0" applyNumberFormat="1" applyFont="1" applyFill="1" applyBorder="1" applyProtection="1">
      <protection locked="0"/>
    </xf>
    <xf numFmtId="0" fontId="2" fillId="4" borderId="11" xfId="0" applyFont="1" applyFill="1" applyBorder="1" applyAlignment="1" applyProtection="1">
      <alignment horizontal="center"/>
      <protection locked="0"/>
    </xf>
    <xf numFmtId="10" fontId="3" fillId="5" borderId="11"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5" fontId="2" fillId="2" borderId="6" xfId="0" applyNumberFormat="1" applyFont="1" applyFill="1" applyBorder="1" applyAlignment="1" applyProtection="1">
      <alignment horizontal="center"/>
    </xf>
    <xf numFmtId="165" fontId="3" fillId="5" borderId="6" xfId="0" applyNumberFormat="1" applyFont="1" applyFill="1" applyBorder="1" applyAlignment="1" applyProtection="1">
      <alignment horizontal="center"/>
    </xf>
    <xf numFmtId="170"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67" fontId="2" fillId="4" borderId="6" xfId="0" applyNumberFormat="1" applyFont="1" applyFill="1" applyBorder="1" applyAlignment="1" applyProtection="1">
      <alignment horizontal="center"/>
      <protection locked="0"/>
    </xf>
    <xf numFmtId="165" fontId="2" fillId="5" borderId="13" xfId="0" applyNumberFormat="1" applyFont="1" applyFill="1" applyBorder="1" applyAlignment="1" applyProtection="1">
      <alignment horizontal="right"/>
    </xf>
    <xf numFmtId="0" fontId="2" fillId="4" borderId="13" xfId="0" applyFont="1" applyFill="1" applyBorder="1" applyAlignment="1" applyProtection="1">
      <alignment horizontal="center"/>
      <protection locked="0"/>
    </xf>
    <xf numFmtId="10" fontId="3" fillId="5" borderId="14" xfId="0" applyNumberFormat="1" applyFont="1" applyFill="1" applyBorder="1" applyAlignment="1" applyProtection="1">
      <alignment horizontal="center"/>
    </xf>
    <xf numFmtId="10" fontId="3" fillId="5" borderId="13" xfId="0" applyNumberFormat="1" applyFont="1" applyFill="1" applyBorder="1" applyAlignment="1" applyProtection="1">
      <alignment horizontal="center"/>
    </xf>
    <xf numFmtId="165" fontId="17" fillId="2" borderId="13" xfId="0" applyNumberFormat="1" applyFont="1" applyFill="1" applyBorder="1" applyAlignment="1" applyProtection="1">
      <alignment horizontal="center"/>
    </xf>
    <xf numFmtId="10" fontId="2" fillId="2" borderId="13" xfId="0" applyNumberFormat="1" applyFont="1" applyFill="1" applyBorder="1" applyAlignment="1" applyProtection="1">
      <alignment horizontal="center"/>
    </xf>
    <xf numFmtId="170" fontId="2" fillId="4" borderId="13" xfId="0" applyNumberFormat="1" applyFont="1" applyFill="1" applyBorder="1" applyAlignment="1" applyProtection="1">
      <alignment horizontal="center"/>
      <protection locked="0"/>
    </xf>
    <xf numFmtId="167" fontId="3" fillId="5" borderId="13" xfId="0" applyNumberFormat="1" applyFont="1" applyFill="1" applyBorder="1" applyAlignment="1" applyProtection="1">
      <alignment horizontal="center"/>
    </xf>
    <xf numFmtId="0" fontId="2" fillId="4" borderId="17"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3" fillId="5" borderId="20" xfId="0" applyFont="1" applyFill="1" applyBorder="1" applyAlignment="1" applyProtection="1">
      <alignment horizontal="center"/>
    </xf>
    <xf numFmtId="169" fontId="3" fillId="5" borderId="18" xfId="0" applyNumberFormat="1" applyFont="1" applyFill="1" applyBorder="1" applyAlignment="1" applyProtection="1">
      <alignment horizontal="center"/>
    </xf>
    <xf numFmtId="165" fontId="2" fillId="2" borderId="0" xfId="0" applyNumberFormat="1" applyFont="1" applyFill="1" applyBorder="1" applyAlignment="1" applyProtection="1">
      <alignment horizontal="center"/>
    </xf>
    <xf numFmtId="166" fontId="2" fillId="2" borderId="17" xfId="0" applyNumberFormat="1" applyFont="1" applyFill="1" applyBorder="1" applyAlignment="1" applyProtection="1">
      <alignment horizontal="center"/>
    </xf>
    <xf numFmtId="170" fontId="17" fillId="4" borderId="0" xfId="0" applyNumberFormat="1" applyFont="1" applyFill="1" applyBorder="1" applyAlignment="1" applyProtection="1">
      <alignment horizontal="center"/>
      <protection locked="0"/>
    </xf>
    <xf numFmtId="165" fontId="3" fillId="5" borderId="17" xfId="0" applyNumberFormat="1" applyFont="1" applyFill="1" applyBorder="1" applyAlignment="1" applyProtection="1">
      <alignment horizontal="center"/>
    </xf>
    <xf numFmtId="165" fontId="2" fillId="2" borderId="17" xfId="0" applyNumberFormat="1" applyFont="1" applyFill="1" applyBorder="1" applyAlignment="1" applyProtection="1">
      <alignment horizontal="center"/>
    </xf>
    <xf numFmtId="10" fontId="2" fillId="2" borderId="17" xfId="0" applyNumberFormat="1" applyFont="1" applyFill="1" applyBorder="1" applyAlignment="1" applyProtection="1">
      <alignment horizontal="center"/>
    </xf>
    <xf numFmtId="0" fontId="2" fillId="4" borderId="15"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3" fontId="2" fillId="4" borderId="17" xfId="0" applyNumberFormat="1" applyFont="1" applyFill="1" applyBorder="1" applyAlignment="1" applyProtection="1">
      <alignment horizontal="center"/>
      <protection locked="0"/>
    </xf>
    <xf numFmtId="170" fontId="2" fillId="4" borderId="17" xfId="0" applyNumberFormat="1" applyFont="1" applyFill="1" applyBorder="1" applyAlignment="1" applyProtection="1">
      <alignment horizontal="center"/>
      <protection locked="0"/>
    </xf>
    <xf numFmtId="165" fontId="2" fillId="10" borderId="12" xfId="0" applyNumberFormat="1" applyFont="1" applyFill="1" applyBorder="1" applyAlignment="1" applyProtection="1">
      <alignment horizontal="center"/>
    </xf>
    <xf numFmtId="166" fontId="2" fillId="10" borderId="12" xfId="0" applyNumberFormat="1" applyFont="1" applyFill="1" applyBorder="1" applyProtection="1"/>
    <xf numFmtId="165" fontId="2" fillId="10" borderId="12" xfId="0" applyNumberFormat="1" applyFont="1" applyFill="1" applyBorder="1" applyAlignment="1" applyProtection="1">
      <alignment horizontal="right"/>
    </xf>
    <xf numFmtId="0" fontId="21" fillId="10" borderId="12" xfId="0" applyFont="1" applyFill="1" applyBorder="1" applyAlignment="1" applyProtection="1">
      <alignment horizontal="center"/>
    </xf>
    <xf numFmtId="0" fontId="21" fillId="10" borderId="12" xfId="0" applyFont="1" applyFill="1" applyBorder="1" applyAlignment="1" applyProtection="1">
      <alignment horizontal="left"/>
    </xf>
    <xf numFmtId="166" fontId="2" fillId="10" borderId="12" xfId="0" applyNumberFormat="1" applyFont="1" applyFill="1" applyBorder="1" applyAlignment="1" applyProtection="1">
      <alignment horizontal="center"/>
    </xf>
    <xf numFmtId="10" fontId="3" fillId="10" borderId="12" xfId="0" applyNumberFormat="1" applyFont="1" applyFill="1" applyBorder="1" applyAlignment="1" applyProtection="1">
      <alignment horizontal="center"/>
    </xf>
    <xf numFmtId="170" fontId="3" fillId="10" borderId="12" xfId="0" applyNumberFormat="1" applyFont="1" applyFill="1" applyBorder="1" applyAlignment="1" applyProtection="1">
      <alignment horizontal="center"/>
    </xf>
    <xf numFmtId="165" fontId="19" fillId="10" borderId="12" xfId="0" applyNumberFormat="1" applyFont="1" applyFill="1" applyBorder="1" applyAlignment="1" applyProtection="1">
      <alignment horizontal="center"/>
    </xf>
    <xf numFmtId="3" fontId="2" fillId="10" borderId="12" xfId="0" applyNumberFormat="1" applyFont="1" applyFill="1" applyBorder="1" applyProtection="1"/>
    <xf numFmtId="170" fontId="2" fillId="10" borderId="12" xfId="0" applyNumberFormat="1" applyFont="1" applyFill="1" applyBorder="1" applyProtection="1"/>
    <xf numFmtId="165" fontId="2" fillId="10" borderId="12" xfId="0" applyNumberFormat="1" applyFont="1" applyFill="1" applyBorder="1" applyAlignment="1" applyProtection="1"/>
    <xf numFmtId="165" fontId="17" fillId="10" borderId="12" xfId="0" applyNumberFormat="1" applyFont="1" applyFill="1" applyBorder="1" applyProtection="1"/>
    <xf numFmtId="165" fontId="19" fillId="10" borderId="12" xfId="0" applyNumberFormat="1" applyFont="1" applyFill="1" applyBorder="1" applyProtection="1"/>
    <xf numFmtId="167" fontId="2" fillId="10" borderId="12" xfId="0" applyNumberFormat="1" applyFont="1" applyFill="1" applyBorder="1" applyProtection="1"/>
    <xf numFmtId="167" fontId="3" fillId="10" borderId="12" xfId="0" applyNumberFormat="1" applyFont="1" applyFill="1" applyBorder="1" applyProtection="1"/>
    <xf numFmtId="166" fontId="2" fillId="4" borderId="6" xfId="0" applyNumberFormat="1" applyFont="1" applyFill="1" applyBorder="1" applyAlignment="1" applyProtection="1">
      <alignment horizontal="center"/>
      <protection locked="0"/>
    </xf>
    <xf numFmtId="171" fontId="2" fillId="4" borderId="6"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xf>
    <xf numFmtId="165" fontId="2" fillId="5" borderId="13" xfId="0" applyNumberFormat="1" applyFont="1" applyFill="1" applyBorder="1" applyAlignment="1" applyProtection="1">
      <alignment horizontal="center"/>
    </xf>
    <xf numFmtId="0" fontId="2" fillId="4" borderId="17" xfId="0" applyNumberFormat="1" applyFont="1" applyFill="1" applyBorder="1" applyAlignment="1" applyProtection="1">
      <alignment horizontal="center"/>
      <protection locked="0"/>
    </xf>
    <xf numFmtId="171" fontId="2" fillId="4" borderId="17" xfId="0" applyNumberFormat="1" applyFont="1" applyFill="1" applyBorder="1" applyAlignment="1" applyProtection="1">
      <alignment horizontal="center"/>
      <protection locked="0"/>
    </xf>
    <xf numFmtId="167" fontId="3" fillId="5" borderId="0" xfId="0" applyNumberFormat="1" applyFont="1" applyFill="1" applyBorder="1" applyAlignment="1" applyProtection="1">
      <alignment horizontal="center"/>
    </xf>
    <xf numFmtId="0" fontId="25" fillId="10" borderId="12" xfId="0" applyFont="1" applyFill="1" applyBorder="1" applyProtection="1"/>
    <xf numFmtId="0" fontId="2" fillId="10" borderId="12" xfId="0" applyFont="1" applyFill="1" applyBorder="1" applyAlignment="1" applyProtection="1">
      <alignment horizontal="left"/>
      <protection locked="0"/>
    </xf>
    <xf numFmtId="0" fontId="17" fillId="10" borderId="12" xfId="0" applyFont="1" applyFill="1" applyBorder="1" applyAlignment="1" applyProtection="1">
      <alignment horizontal="right"/>
    </xf>
    <xf numFmtId="0" fontId="2" fillId="10" borderId="12" xfId="0" applyNumberFormat="1" applyFont="1" applyFill="1" applyBorder="1" applyAlignment="1" applyProtection="1">
      <alignment horizontal="center"/>
    </xf>
    <xf numFmtId="171" fontId="2" fillId="10" borderId="12" xfId="0" applyNumberFormat="1" applyFont="1" applyFill="1" applyBorder="1" applyAlignment="1" applyProtection="1">
      <alignment horizontal="center"/>
    </xf>
    <xf numFmtId="170" fontId="2" fillId="10" borderId="12" xfId="0" applyNumberFormat="1" applyFont="1" applyFill="1" applyBorder="1" applyAlignment="1" applyProtection="1">
      <alignment horizontal="center"/>
    </xf>
    <xf numFmtId="167" fontId="2" fillId="10" borderId="12" xfId="0" applyNumberFormat="1" applyFont="1" applyFill="1" applyBorder="1" applyAlignment="1" applyProtection="1">
      <alignment horizontal="center"/>
    </xf>
    <xf numFmtId="167" fontId="3" fillId="10" borderId="12" xfId="0" applyNumberFormat="1" applyFont="1" applyFill="1" applyBorder="1" applyAlignment="1" applyProtection="1">
      <alignment horizontal="center"/>
    </xf>
    <xf numFmtId="0" fontId="25" fillId="10" borderId="12" xfId="0" applyFont="1" applyFill="1" applyBorder="1" applyAlignment="1" applyProtection="1">
      <alignment horizontal="left"/>
      <protection locked="0"/>
    </xf>
    <xf numFmtId="172" fontId="2" fillId="5" borderId="6" xfId="0" applyNumberFormat="1" applyFont="1" applyFill="1" applyBorder="1" applyAlignment="1" applyProtection="1">
      <alignment horizontal="center"/>
    </xf>
    <xf numFmtId="172" fontId="3" fillId="5"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172" fontId="2" fillId="5" borderId="13" xfId="0" applyNumberFormat="1" applyFont="1" applyFill="1" applyBorder="1" applyAlignment="1" applyProtection="1">
      <alignment horizontal="center"/>
    </xf>
    <xf numFmtId="3" fontId="2" fillId="2" borderId="13" xfId="0" applyNumberFormat="1" applyFont="1" applyFill="1" applyBorder="1" applyAlignment="1" applyProtection="1">
      <alignment horizontal="center"/>
    </xf>
    <xf numFmtId="167" fontId="2" fillId="4" borderId="13" xfId="0" applyNumberFormat="1" applyFont="1" applyFill="1" applyBorder="1" applyAlignment="1" applyProtection="1">
      <alignment horizontal="center"/>
      <protection locked="0"/>
    </xf>
    <xf numFmtId="10" fontId="2" fillId="4" borderId="17" xfId="0" applyNumberFormat="1" applyFont="1" applyFill="1" applyBorder="1" applyAlignment="1" applyProtection="1">
      <alignment horizontal="center"/>
      <protection locked="0"/>
    </xf>
    <xf numFmtId="0" fontId="21" fillId="10" borderId="12" xfId="0" applyFont="1" applyFill="1" applyBorder="1" applyAlignment="1" applyProtection="1">
      <alignment horizontal="right"/>
    </xf>
    <xf numFmtId="172" fontId="2" fillId="10" borderId="12" xfId="0" applyNumberFormat="1" applyFont="1" applyFill="1" applyBorder="1" applyAlignment="1" applyProtection="1">
      <alignment horizontal="center"/>
    </xf>
    <xf numFmtId="3" fontId="2" fillId="10" borderId="12" xfId="0" applyNumberFormat="1" applyFont="1" applyFill="1" applyBorder="1" applyAlignment="1" applyProtection="1">
      <alignment horizontal="center"/>
    </xf>
    <xf numFmtId="0" fontId="38" fillId="10" borderId="0" xfId="0" applyFont="1" applyFill="1" applyBorder="1" applyProtection="1"/>
    <xf numFmtId="0" fontId="39" fillId="0" borderId="0" xfId="0" applyFont="1" applyBorder="1" applyAlignment="1" applyProtection="1">
      <alignment horizontal="left"/>
    </xf>
    <xf numFmtId="0" fontId="31" fillId="0" borderId="0" xfId="0" applyFont="1" applyBorder="1" applyAlignment="1" applyProtection="1">
      <alignment horizontal="left"/>
    </xf>
    <xf numFmtId="0" fontId="31" fillId="0" borderId="0" xfId="0" applyFont="1" applyFill="1" applyBorder="1" applyAlignment="1" applyProtection="1">
      <alignment horizontal="left"/>
    </xf>
    <xf numFmtId="3" fontId="31" fillId="2" borderId="0" xfId="0" applyNumberFormat="1" applyFont="1" applyFill="1" applyBorder="1" applyAlignment="1" applyProtection="1">
      <alignment horizontal="left"/>
      <protection locked="0"/>
    </xf>
    <xf numFmtId="10" fontId="31" fillId="2" borderId="0" xfId="0" applyNumberFormat="1" applyFont="1" applyFill="1" applyBorder="1" applyAlignment="1" applyProtection="1">
      <alignment horizontal="left"/>
      <protection locked="0"/>
    </xf>
    <xf numFmtId="3" fontId="31" fillId="0" borderId="0" xfId="0" applyNumberFormat="1" applyFont="1" applyFill="1" applyBorder="1" applyAlignment="1" applyProtection="1">
      <alignment horizontal="left"/>
    </xf>
    <xf numFmtId="9" fontId="31" fillId="0" borderId="0" xfId="0" applyNumberFormat="1" applyFont="1" applyBorder="1" applyAlignment="1" applyProtection="1">
      <alignment horizontal="left"/>
    </xf>
    <xf numFmtId="10" fontId="31" fillId="2" borderId="0" xfId="0" applyNumberFormat="1" applyFont="1" applyFill="1" applyBorder="1" applyAlignment="1" applyProtection="1">
      <alignment horizontal="left"/>
    </xf>
    <xf numFmtId="0" fontId="2" fillId="8" borderId="0" xfId="0" applyFont="1" applyFill="1" applyBorder="1" applyAlignment="1" applyProtection="1">
      <alignment horizontal="left"/>
    </xf>
    <xf numFmtId="165" fontId="3" fillId="8" borderId="12" xfId="0" applyNumberFormat="1" applyFont="1" applyFill="1" applyBorder="1" applyProtection="1"/>
    <xf numFmtId="0" fontId="2" fillId="10" borderId="0" xfId="0" applyFont="1" applyFill="1" applyBorder="1" applyAlignment="1" applyProtection="1">
      <alignment horizontal="left"/>
    </xf>
    <xf numFmtId="1" fontId="0" fillId="0" borderId="0" xfId="0" applyNumberFormat="1" applyFill="1" applyAlignment="1" applyProtection="1">
      <alignment horizontal="right"/>
    </xf>
    <xf numFmtId="3" fontId="0" fillId="0" borderId="0" xfId="0" applyNumberFormat="1" applyFill="1" applyProtection="1"/>
    <xf numFmtId="1" fontId="40" fillId="0" borderId="0" xfId="0" applyNumberFormat="1" applyFont="1" applyFill="1" applyProtection="1"/>
    <xf numFmtId="0" fontId="17" fillId="0" borderId="0" xfId="0" applyFont="1" applyBorder="1" applyAlignment="1" applyProtection="1">
      <alignment horizontal="left"/>
    </xf>
    <xf numFmtId="42" fontId="17" fillId="10" borderId="12" xfId="0" applyNumberFormat="1" applyFont="1" applyFill="1" applyBorder="1" applyProtection="1"/>
    <xf numFmtId="1" fontId="8" fillId="0" borderId="0" xfId="0" applyNumberFormat="1" applyFont="1" applyAlignment="1" applyProtection="1">
      <alignment horizontal="left"/>
    </xf>
    <xf numFmtId="1" fontId="0" fillId="0" borderId="0" xfId="0" applyNumberFormat="1" applyProtection="1"/>
    <xf numFmtId="1" fontId="41" fillId="0" borderId="0" xfId="0" applyNumberFormat="1" applyFont="1" applyAlignment="1" applyProtection="1">
      <alignment horizontal="right"/>
    </xf>
    <xf numFmtId="14" fontId="40" fillId="2" borderId="0" xfId="0" applyNumberFormat="1" applyFont="1" applyFill="1" applyProtection="1"/>
    <xf numFmtId="1" fontId="42" fillId="0" borderId="0" xfId="0" applyNumberFormat="1" applyFont="1" applyProtection="1"/>
    <xf numFmtId="1" fontId="42" fillId="0" borderId="0" xfId="0" applyNumberFormat="1" applyFont="1" applyAlignment="1" applyProtection="1">
      <alignment horizontal="right"/>
    </xf>
    <xf numFmtId="10" fontId="41" fillId="8" borderId="0" xfId="0" applyNumberFormat="1" applyFont="1" applyFill="1" applyProtection="1"/>
    <xf numFmtId="1" fontId="40" fillId="0" borderId="0" xfId="0" applyNumberFormat="1" applyFont="1" applyProtection="1"/>
    <xf numFmtId="1" fontId="40" fillId="0" borderId="0" xfId="0" applyNumberFormat="1" applyFont="1" applyAlignment="1" applyProtection="1">
      <alignment horizontal="right"/>
    </xf>
    <xf numFmtId="0" fontId="0" fillId="0" borderId="0" xfId="0" applyProtection="1"/>
    <xf numFmtId="1" fontId="0" fillId="0" borderId="0" xfId="0" applyNumberFormat="1" applyAlignment="1" applyProtection="1">
      <alignment horizontal="right"/>
    </xf>
    <xf numFmtId="4" fontId="43" fillId="2" borderId="0" xfId="0" applyNumberFormat="1" applyFont="1" applyFill="1" applyBorder="1" applyAlignment="1" applyProtection="1">
      <alignment horizontal="left"/>
      <protection locked="0"/>
    </xf>
    <xf numFmtId="41" fontId="2" fillId="5" borderId="12" xfId="0" applyNumberFormat="1" applyFont="1" applyFill="1" applyBorder="1" applyProtection="1"/>
    <xf numFmtId="41" fontId="3" fillId="5" borderId="12" xfId="0" applyNumberFormat="1" applyFont="1" applyFill="1" applyBorder="1" applyProtection="1"/>
    <xf numFmtId="41" fontId="3" fillId="11" borderId="12" xfId="0" applyNumberFormat="1" applyFont="1" applyFill="1" applyBorder="1" applyProtection="1"/>
    <xf numFmtId="41" fontId="2" fillId="2" borderId="12" xfId="0" applyNumberFormat="1" applyFont="1" applyFill="1" applyBorder="1" applyProtection="1"/>
    <xf numFmtId="41" fontId="2" fillId="8" borderId="12" xfId="0" applyNumberFormat="1" applyFont="1" applyFill="1" applyBorder="1" applyProtection="1"/>
    <xf numFmtId="42" fontId="2" fillId="5" borderId="12" xfId="0" applyNumberFormat="1" applyFont="1" applyFill="1" applyBorder="1" applyProtection="1"/>
    <xf numFmtId="41" fontId="19" fillId="10" borderId="12" xfId="1" applyNumberFormat="1" applyFont="1" applyFill="1" applyBorder="1" applyAlignment="1" applyProtection="1">
      <alignment horizontal="center"/>
    </xf>
    <xf numFmtId="42" fontId="2" fillId="2" borderId="12" xfId="0" applyNumberFormat="1" applyFont="1" applyFill="1" applyBorder="1" applyProtection="1"/>
    <xf numFmtId="42" fontId="2" fillId="0" borderId="12" xfId="0" applyNumberFormat="1" applyFont="1" applyFill="1" applyBorder="1" applyProtection="1">
      <protection locked="0"/>
    </xf>
    <xf numFmtId="174" fontId="31" fillId="8" borderId="21" xfId="0" applyNumberFormat="1" applyFont="1" applyFill="1" applyBorder="1" applyAlignment="1" applyProtection="1">
      <alignment horizontal="center" vertical="top"/>
    </xf>
    <xf numFmtId="42" fontId="2" fillId="0" borderId="12" xfId="0" applyNumberFormat="1" applyFont="1" applyFill="1" applyBorder="1" applyProtection="1"/>
    <xf numFmtId="0" fontId="2" fillId="0" borderId="22" xfId="0" applyFont="1" applyFill="1" applyBorder="1" applyProtection="1"/>
    <xf numFmtId="0" fontId="4" fillId="0" borderId="22" xfId="0" applyFont="1" applyFill="1" applyBorder="1" applyProtection="1"/>
    <xf numFmtId="14" fontId="2" fillId="0" borderId="22" xfId="0" applyNumberFormat="1" applyFont="1" applyFill="1" applyBorder="1" applyProtection="1"/>
    <xf numFmtId="0" fontId="2" fillId="0" borderId="23" xfId="0" applyFont="1" applyFill="1" applyBorder="1" applyProtection="1"/>
    <xf numFmtId="0" fontId="2" fillId="0" borderId="23" xfId="0" applyFont="1" applyFill="1" applyBorder="1" applyAlignment="1" applyProtection="1">
      <alignment horizontal="left"/>
      <protection locked="0"/>
    </xf>
    <xf numFmtId="1" fontId="37" fillId="0" borderId="23" xfId="0" applyNumberFormat="1" applyFont="1" applyFill="1" applyBorder="1" applyAlignment="1" applyProtection="1">
      <alignment horizontal="center"/>
    </xf>
    <xf numFmtId="0" fontId="37" fillId="0" borderId="23" xfId="0" applyFont="1" applyFill="1" applyBorder="1" applyAlignment="1" applyProtection="1">
      <alignment horizontal="center"/>
    </xf>
    <xf numFmtId="0" fontId="2" fillId="0" borderId="23" xfId="0" applyFont="1" applyFill="1" applyBorder="1" applyAlignment="1" applyProtection="1">
      <alignment horizontal="center"/>
    </xf>
    <xf numFmtId="0" fontId="32" fillId="0" borderId="23" xfId="0" applyFont="1" applyFill="1" applyBorder="1" applyAlignment="1" applyProtection="1">
      <alignment horizontal="center"/>
    </xf>
    <xf numFmtId="0" fontId="11" fillId="0" borderId="23" xfId="0" applyFont="1" applyFill="1" applyBorder="1" applyProtection="1"/>
    <xf numFmtId="41" fontId="3" fillId="0" borderId="23" xfId="0" applyNumberFormat="1" applyFont="1" applyFill="1" applyBorder="1" applyProtection="1"/>
    <xf numFmtId="41" fontId="2" fillId="0" borderId="23" xfId="0" applyNumberFormat="1" applyFont="1" applyFill="1" applyBorder="1" applyProtection="1"/>
    <xf numFmtId="42" fontId="2" fillId="0" borderId="23" xfId="0" applyNumberFormat="1" applyFont="1" applyFill="1" applyBorder="1" applyProtection="1"/>
    <xf numFmtId="165" fontId="17" fillId="0" borderId="23" xfId="0" applyNumberFormat="1" applyFont="1" applyFill="1" applyBorder="1" applyAlignment="1" applyProtection="1">
      <alignment horizontal="center"/>
    </xf>
    <xf numFmtId="42" fontId="2" fillId="0" borderId="23" xfId="0" applyNumberFormat="1" applyFont="1" applyFill="1" applyBorder="1" applyProtection="1">
      <protection locked="0"/>
    </xf>
    <xf numFmtId="165" fontId="2" fillId="0" borderId="23" xfId="0" applyNumberFormat="1" applyFont="1" applyFill="1" applyBorder="1" applyProtection="1"/>
    <xf numFmtId="165" fontId="3" fillId="0" borderId="23" xfId="0" applyNumberFormat="1" applyFont="1" applyFill="1" applyBorder="1" applyProtection="1"/>
    <xf numFmtId="10" fontId="2" fillId="0" borderId="23" xfId="2" applyNumberFormat="1" applyFont="1" applyFill="1" applyBorder="1" applyProtection="1"/>
    <xf numFmtId="10" fontId="3" fillId="0" borderId="23" xfId="2" applyNumberFormat="1" applyFont="1" applyFill="1" applyBorder="1" applyAlignment="1" applyProtection="1">
      <alignment horizontal="center"/>
    </xf>
    <xf numFmtId="165" fontId="2" fillId="0" borderId="22" xfId="0" applyNumberFormat="1" applyFont="1" applyFill="1" applyBorder="1" applyProtection="1"/>
    <xf numFmtId="0" fontId="17" fillId="0" borderId="23" xfId="0" applyFont="1" applyFill="1" applyBorder="1" applyAlignment="1" applyProtection="1">
      <alignment horizontal="center"/>
    </xf>
    <xf numFmtId="0" fontId="3" fillId="0" borderId="23" xfId="0" applyFont="1" applyFill="1" applyBorder="1" applyProtection="1"/>
    <xf numFmtId="165" fontId="17" fillId="0" borderId="23" xfId="0" applyNumberFormat="1" applyFont="1" applyFill="1" applyBorder="1" applyAlignment="1" applyProtection="1">
      <alignment horizontal="left"/>
    </xf>
    <xf numFmtId="165" fontId="22" fillId="0" borderId="23" xfId="0" applyNumberFormat="1" applyFont="1" applyFill="1" applyBorder="1" applyAlignment="1" applyProtection="1">
      <alignment horizontal="right"/>
    </xf>
    <xf numFmtId="165" fontId="19" fillId="0" borderId="23" xfId="0" applyNumberFormat="1" applyFont="1" applyFill="1" applyBorder="1" applyAlignment="1" applyProtection="1">
      <alignment horizontal="left"/>
    </xf>
    <xf numFmtId="0" fontId="17" fillId="10" borderId="0" xfId="0" applyFont="1" applyFill="1" applyBorder="1" applyProtection="1"/>
    <xf numFmtId="0" fontId="37" fillId="0" borderId="25" xfId="0" applyFont="1" applyFill="1" applyBorder="1" applyProtection="1"/>
    <xf numFmtId="0" fontId="37" fillId="12" borderId="26" xfId="0" applyFont="1" applyFill="1" applyBorder="1" applyProtection="1"/>
    <xf numFmtId="0" fontId="2" fillId="12" borderId="26" xfId="0" applyFont="1" applyFill="1" applyBorder="1" applyProtection="1"/>
    <xf numFmtId="0" fontId="2" fillId="12" borderId="24" xfId="0" applyFont="1" applyFill="1" applyBorder="1" applyProtection="1"/>
    <xf numFmtId="10" fontId="3" fillId="10" borderId="12" xfId="0" applyNumberFormat="1" applyFont="1" applyFill="1" applyBorder="1" applyProtection="1"/>
    <xf numFmtId="42" fontId="2" fillId="10" borderId="0" xfId="0" applyNumberFormat="1" applyFont="1" applyFill="1" applyBorder="1" applyProtection="1"/>
    <xf numFmtId="42" fontId="2" fillId="8" borderId="0" xfId="0" applyNumberFormat="1" applyFont="1" applyFill="1" applyBorder="1" applyProtection="1"/>
    <xf numFmtId="42" fontId="2" fillId="11" borderId="0" xfId="0" applyNumberFormat="1" applyFont="1" applyFill="1" applyBorder="1" applyProtection="1"/>
    <xf numFmtId="42" fontId="3" fillId="11" borderId="0" xfId="0" applyNumberFormat="1" applyFont="1" applyFill="1" applyBorder="1" applyProtection="1"/>
    <xf numFmtId="42" fontId="2" fillId="10" borderId="12" xfId="0" applyNumberFormat="1" applyFont="1" applyFill="1" applyBorder="1" applyProtection="1"/>
    <xf numFmtId="42" fontId="3" fillId="10" borderId="12" xfId="0" applyNumberFormat="1" applyFont="1" applyFill="1" applyBorder="1" applyProtection="1"/>
    <xf numFmtId="165" fontId="3" fillId="0" borderId="25" xfId="0" applyNumberFormat="1" applyFont="1" applyFill="1" applyBorder="1" applyProtection="1"/>
    <xf numFmtId="0" fontId="46" fillId="10" borderId="27" xfId="0" applyFont="1" applyFill="1" applyBorder="1" applyAlignment="1" applyProtection="1">
      <alignment vertical="top"/>
    </xf>
    <xf numFmtId="0" fontId="31" fillId="10" borderId="12" xfId="0" applyFont="1" applyFill="1" applyBorder="1" applyAlignment="1" applyProtection="1">
      <alignment vertical="top"/>
    </xf>
    <xf numFmtId="0" fontId="44" fillId="10" borderId="12" xfId="0" applyFont="1" applyFill="1" applyBorder="1" applyAlignment="1" applyProtection="1">
      <alignment vertical="top"/>
    </xf>
    <xf numFmtId="0" fontId="45" fillId="10" borderId="12" xfId="0" applyFont="1" applyFill="1" applyBorder="1" applyAlignment="1" applyProtection="1">
      <alignment vertical="top"/>
    </xf>
    <xf numFmtId="42" fontId="3" fillId="8" borderId="12" xfId="0" applyNumberFormat="1" applyFont="1" applyFill="1" applyBorder="1" applyProtection="1"/>
    <xf numFmtId="42" fontId="3" fillId="0" borderId="12" xfId="0" applyNumberFormat="1" applyFont="1" applyFill="1" applyBorder="1" applyProtection="1"/>
    <xf numFmtId="42" fontId="17" fillId="8" borderId="12" xfId="0" applyNumberFormat="1" applyFont="1" applyFill="1" applyBorder="1" applyAlignment="1" applyProtection="1">
      <alignment horizontal="left"/>
    </xf>
    <xf numFmtId="42" fontId="17" fillId="0" borderId="12" xfId="0" applyNumberFormat="1" applyFont="1" applyFill="1" applyBorder="1" applyAlignment="1" applyProtection="1">
      <alignment horizontal="left"/>
    </xf>
    <xf numFmtId="42" fontId="22" fillId="5" borderId="12" xfId="0" applyNumberFormat="1" applyFont="1" applyFill="1" applyBorder="1" applyAlignment="1" applyProtection="1">
      <alignment horizontal="right"/>
    </xf>
    <xf numFmtId="42" fontId="2" fillId="11" borderId="12" xfId="0" applyNumberFormat="1" applyFont="1" applyFill="1" applyBorder="1" applyProtection="1"/>
    <xf numFmtId="42" fontId="3" fillId="5" borderId="12" xfId="0" applyNumberFormat="1" applyFont="1" applyFill="1" applyBorder="1" applyProtection="1"/>
    <xf numFmtId="42" fontId="3" fillId="11" borderId="12" xfId="0" applyNumberFormat="1" applyFont="1" applyFill="1" applyBorder="1" applyProtection="1"/>
    <xf numFmtId="42" fontId="2" fillId="11" borderId="12" xfId="0" applyNumberFormat="1" applyFont="1" applyFill="1" applyBorder="1" applyProtection="1">
      <protection locked="0"/>
    </xf>
    <xf numFmtId="175" fontId="2" fillId="10" borderId="0" xfId="0" applyNumberFormat="1" applyFont="1" applyFill="1" applyBorder="1" applyProtection="1"/>
    <xf numFmtId="170" fontId="3" fillId="10" borderId="0" xfId="0" applyNumberFormat="1" applyFont="1" applyFill="1" applyBorder="1" applyProtection="1"/>
    <xf numFmtId="0" fontId="2" fillId="4" borderId="28" xfId="0" applyFont="1" applyFill="1" applyBorder="1" applyProtection="1"/>
    <xf numFmtId="4" fontId="2" fillId="10" borderId="29" xfId="0" applyNumberFormat="1" applyFont="1" applyFill="1" applyBorder="1" applyProtection="1"/>
    <xf numFmtId="0" fontId="2" fillId="10" borderId="30" xfId="0" applyFont="1" applyFill="1" applyBorder="1" applyProtection="1"/>
    <xf numFmtId="4" fontId="2" fillId="10" borderId="31" xfId="0" applyNumberFormat="1" applyFont="1" applyFill="1" applyBorder="1" applyProtection="1"/>
    <xf numFmtId="0" fontId="2" fillId="10" borderId="32" xfId="0" applyFont="1" applyFill="1" applyBorder="1" applyProtection="1"/>
    <xf numFmtId="4" fontId="3" fillId="10" borderId="34" xfId="0" applyNumberFormat="1" applyFont="1" applyFill="1" applyBorder="1" applyProtection="1"/>
    <xf numFmtId="0" fontId="3" fillId="10" borderId="33" xfId="0" applyFont="1" applyFill="1" applyBorder="1" applyProtection="1"/>
    <xf numFmtId="0" fontId="47" fillId="0" borderId="0" xfId="0" applyFont="1" applyAlignment="1">
      <alignment vertical="center"/>
    </xf>
    <xf numFmtId="0" fontId="48" fillId="0" borderId="0" xfId="0" applyFont="1"/>
    <xf numFmtId="0" fontId="49" fillId="0" borderId="0" xfId="0" applyFont="1" applyAlignment="1">
      <alignment horizontal="left" vertical="center" indent="2"/>
    </xf>
    <xf numFmtId="0" fontId="49" fillId="0" borderId="0" xfId="0" applyFont="1" applyAlignment="1">
      <alignment vertical="center"/>
    </xf>
    <xf numFmtId="0" fontId="51" fillId="0" borderId="0" xfId="0" applyFont="1" applyAlignment="1">
      <alignment vertical="center"/>
    </xf>
    <xf numFmtId="0" fontId="52" fillId="0" borderId="0" xfId="0" applyFont="1"/>
    <xf numFmtId="0" fontId="47" fillId="10" borderId="0" xfId="0" applyFont="1" applyFill="1" applyAlignment="1">
      <alignment vertical="center"/>
    </xf>
    <xf numFmtId="0" fontId="48" fillId="10" borderId="0" xfId="0" applyFont="1" applyFill="1"/>
    <xf numFmtId="0" fontId="49" fillId="10" borderId="0" xfId="0" applyFont="1" applyFill="1" applyAlignment="1">
      <alignment horizontal="left" vertical="center" indent="2"/>
    </xf>
    <xf numFmtId="0" fontId="49" fillId="10" borderId="0" xfId="0" applyFont="1" applyFill="1" applyAlignment="1">
      <alignment vertical="center"/>
    </xf>
    <xf numFmtId="0" fontId="52" fillId="10" borderId="0" xfId="0" applyFont="1" applyFill="1"/>
    <xf numFmtId="0" fontId="7" fillId="4" borderId="0" xfId="0" applyFont="1" applyFill="1" applyBorder="1" applyAlignment="1" applyProtection="1">
      <alignment horizontal="left"/>
    </xf>
    <xf numFmtId="0" fontId="31" fillId="13" borderId="0" xfId="0" applyFont="1" applyFill="1" applyAlignment="1">
      <alignment horizontal="center"/>
    </xf>
    <xf numFmtId="0" fontId="31" fillId="13" borderId="0" xfId="0" applyFont="1" applyFill="1" applyAlignment="1">
      <alignment horizontal="left"/>
    </xf>
    <xf numFmtId="0" fontId="44" fillId="13" borderId="0" xfId="0" applyFont="1" applyFill="1" applyAlignment="1">
      <alignment horizontal="center"/>
    </xf>
    <xf numFmtId="0" fontId="53" fillId="13" borderId="0" xfId="0" applyFont="1" applyFill="1" applyAlignment="1">
      <alignment horizontal="center"/>
    </xf>
    <xf numFmtId="0" fontId="54" fillId="13" borderId="0" xfId="0" applyFont="1" applyFill="1" applyAlignment="1">
      <alignment horizontal="center"/>
    </xf>
    <xf numFmtId="0" fontId="55" fillId="13" borderId="0" xfId="0" applyFont="1" applyFill="1" applyAlignment="1">
      <alignment horizontal="center"/>
    </xf>
    <xf numFmtId="0" fontId="56" fillId="13" borderId="0" xfId="0" applyFont="1" applyFill="1" applyAlignment="1">
      <alignment horizontal="center"/>
    </xf>
    <xf numFmtId="0" fontId="56" fillId="13" borderId="0" xfId="0" applyFont="1" applyFill="1"/>
    <xf numFmtId="0" fontId="31" fillId="4" borderId="35" xfId="0" applyFont="1" applyFill="1" applyBorder="1" applyAlignment="1">
      <alignment horizontal="center"/>
    </xf>
    <xf numFmtId="0" fontId="31" fillId="4" borderId="36" xfId="0" applyFont="1" applyFill="1" applyBorder="1" applyAlignment="1">
      <alignment horizontal="center"/>
    </xf>
    <xf numFmtId="0" fontId="31" fillId="4" borderId="36" xfId="0" applyFont="1" applyFill="1" applyBorder="1" applyAlignment="1">
      <alignment horizontal="left"/>
    </xf>
    <xf numFmtId="0" fontId="44" fillId="4" borderId="36" xfId="0" applyFont="1" applyFill="1" applyBorder="1" applyAlignment="1">
      <alignment horizontal="center"/>
    </xf>
    <xf numFmtId="0" fontId="53" fillId="4" borderId="36" xfId="0" applyFont="1" applyFill="1" applyBorder="1" applyAlignment="1">
      <alignment horizontal="center"/>
    </xf>
    <xf numFmtId="0" fontId="54" fillId="4" borderId="36" xfId="0" applyFont="1" applyFill="1" applyBorder="1" applyAlignment="1">
      <alignment horizontal="center"/>
    </xf>
    <xf numFmtId="0" fontId="55" fillId="4" borderId="36" xfId="0" applyFont="1" applyFill="1" applyBorder="1" applyAlignment="1">
      <alignment horizontal="center"/>
    </xf>
    <xf numFmtId="0" fontId="31" fillId="4" borderId="37" xfId="0" applyFont="1" applyFill="1" applyBorder="1" applyAlignment="1">
      <alignment horizontal="center"/>
    </xf>
    <xf numFmtId="0" fontId="31" fillId="3" borderId="0" xfId="0" applyFont="1" applyFill="1" applyAlignment="1">
      <alignment horizontal="center"/>
    </xf>
    <xf numFmtId="0" fontId="31" fillId="4" borderId="38" xfId="0" applyFont="1" applyFill="1" applyBorder="1" applyAlignment="1">
      <alignment horizontal="center"/>
    </xf>
    <xf numFmtId="0" fontId="31" fillId="4" borderId="0" xfId="0" applyFont="1" applyFill="1" applyAlignment="1">
      <alignment horizontal="center"/>
    </xf>
    <xf numFmtId="0" fontId="31" fillId="4" borderId="0" xfId="0" applyFont="1" applyFill="1" applyAlignment="1">
      <alignment horizontal="left"/>
    </xf>
    <xf numFmtId="0" fontId="44" fillId="4" borderId="0" xfId="0" applyFont="1" applyFill="1" applyAlignment="1">
      <alignment horizontal="center"/>
    </xf>
    <xf numFmtId="0" fontId="53" fillId="4" borderId="0" xfId="0" applyFont="1" applyFill="1" applyAlignment="1">
      <alignment horizontal="center"/>
    </xf>
    <xf numFmtId="0" fontId="54" fillId="4" borderId="0" xfId="0" applyFont="1" applyFill="1" applyAlignment="1">
      <alignment horizontal="center"/>
    </xf>
    <xf numFmtId="0" fontId="55" fillId="4" borderId="0" xfId="0" applyFont="1" applyFill="1" applyAlignment="1">
      <alignment horizontal="center"/>
    </xf>
    <xf numFmtId="0" fontId="31" fillId="4" borderId="39" xfId="0" applyFont="1" applyFill="1" applyBorder="1" applyAlignment="1">
      <alignment horizontal="center"/>
    </xf>
    <xf numFmtId="0" fontId="57" fillId="13" borderId="0" xfId="0" applyFont="1" applyFill="1" applyAlignment="1">
      <alignment horizontal="center"/>
    </xf>
    <xf numFmtId="0" fontId="57" fillId="4" borderId="38" xfId="0" applyFont="1" applyFill="1" applyBorder="1" applyAlignment="1">
      <alignment horizontal="center"/>
    </xf>
    <xf numFmtId="0" fontId="58" fillId="4" borderId="0" xfId="0" applyFont="1" applyFill="1" applyAlignment="1">
      <alignment horizontal="left"/>
    </xf>
    <xf numFmtId="0" fontId="57" fillId="4" borderId="0" xfId="0" applyFont="1" applyFill="1" applyAlignment="1">
      <alignment horizontal="left"/>
    </xf>
    <xf numFmtId="0" fontId="57" fillId="4" borderId="0" xfId="0" applyFont="1" applyFill="1" applyAlignment="1">
      <alignment horizontal="center"/>
    </xf>
    <xf numFmtId="170" fontId="58" fillId="4" borderId="0" xfId="0" applyNumberFormat="1" applyFont="1" applyFill="1" applyAlignment="1">
      <alignment horizontal="center"/>
    </xf>
    <xf numFmtId="170" fontId="58" fillId="0" borderId="0" xfId="0" applyNumberFormat="1" applyFont="1" applyAlignment="1">
      <alignment horizontal="center"/>
    </xf>
    <xf numFmtId="0" fontId="59" fillId="4" borderId="0" xfId="0" applyFont="1" applyFill="1" applyAlignment="1">
      <alignment horizontal="center"/>
    </xf>
    <xf numFmtId="174" fontId="57" fillId="4" borderId="0" xfId="0" applyNumberFormat="1" applyFont="1" applyFill="1" applyAlignment="1">
      <alignment horizontal="center"/>
    </xf>
    <xf numFmtId="0" fontId="60" fillId="4" borderId="0" xfId="0" applyFont="1" applyFill="1" applyAlignment="1">
      <alignment horizontal="center"/>
    </xf>
    <xf numFmtId="0" fontId="61" fillId="4" borderId="0" xfId="0" applyFont="1" applyFill="1" applyAlignment="1">
      <alignment horizontal="center"/>
    </xf>
    <xf numFmtId="0" fontId="62" fillId="4" borderId="0" xfId="0" applyFont="1" applyFill="1" applyAlignment="1">
      <alignment horizontal="center"/>
    </xf>
    <xf numFmtId="0" fontId="57" fillId="4" borderId="39" xfId="0" applyFont="1" applyFill="1" applyBorder="1" applyAlignment="1">
      <alignment horizontal="center"/>
    </xf>
    <xf numFmtId="0" fontId="63" fillId="13" borderId="0" xfId="0" applyFont="1" applyFill="1" applyAlignment="1">
      <alignment horizontal="center"/>
    </xf>
    <xf numFmtId="174" fontId="63" fillId="13" borderId="0" xfId="0" applyNumberFormat="1" applyFont="1" applyFill="1" applyAlignment="1">
      <alignment horizontal="center"/>
    </xf>
    <xf numFmtId="0" fontId="63" fillId="13" borderId="0" xfId="0" applyFont="1" applyFill="1"/>
    <xf numFmtId="0" fontId="57" fillId="3" borderId="0" xfId="0" applyFont="1" applyFill="1" applyAlignment="1">
      <alignment horizontal="center"/>
    </xf>
    <xf numFmtId="0" fontId="64" fillId="4" borderId="0" xfId="0" applyFont="1" applyFill="1" applyAlignment="1">
      <alignment horizontal="left"/>
    </xf>
    <xf numFmtId="0" fontId="65" fillId="13" borderId="0" xfId="0" applyFont="1" applyFill="1" applyAlignment="1">
      <alignment horizontal="center"/>
    </xf>
    <xf numFmtId="0" fontId="65" fillId="4" borderId="38" xfId="0" applyFont="1" applyFill="1" applyBorder="1" applyAlignment="1">
      <alignment horizontal="center"/>
    </xf>
    <xf numFmtId="0" fontId="65" fillId="4" borderId="0" xfId="0" applyFont="1" applyFill="1" applyAlignment="1">
      <alignment horizontal="center"/>
    </xf>
    <xf numFmtId="0" fontId="65" fillId="4" borderId="0" xfId="0" applyFont="1" applyFill="1" applyAlignment="1">
      <alignment horizontal="left"/>
    </xf>
    <xf numFmtId="165" fontId="66" fillId="4" borderId="0" xfId="0" applyNumberFormat="1" applyFont="1" applyFill="1" applyAlignment="1">
      <alignment horizontal="center"/>
    </xf>
    <xf numFmtId="0" fontId="66" fillId="4" borderId="0" xfId="0" applyFont="1" applyFill="1" applyAlignment="1">
      <alignment horizontal="center"/>
    </xf>
    <xf numFmtId="0" fontId="67" fillId="4" borderId="0" xfId="0" applyFont="1" applyFill="1" applyAlignment="1">
      <alignment horizontal="center"/>
    </xf>
    <xf numFmtId="0" fontId="68" fillId="4" borderId="0" xfId="0" applyFont="1" applyFill="1" applyAlignment="1">
      <alignment horizontal="center"/>
    </xf>
    <xf numFmtId="0" fontId="69" fillId="4" borderId="0" xfId="0" applyFont="1" applyFill="1" applyAlignment="1">
      <alignment horizontal="center"/>
    </xf>
    <xf numFmtId="0" fontId="65" fillId="4" borderId="39" xfId="0" applyFont="1" applyFill="1" applyBorder="1" applyAlignment="1">
      <alignment horizontal="center"/>
    </xf>
    <xf numFmtId="0" fontId="70" fillId="13" borderId="0" xfId="0" applyFont="1" applyFill="1" applyAlignment="1">
      <alignment horizontal="center"/>
    </xf>
    <xf numFmtId="0" fontId="70" fillId="13" borderId="0" xfId="0" applyFont="1" applyFill="1"/>
    <xf numFmtId="0" fontId="65" fillId="3" borderId="0" xfId="0" applyFont="1" applyFill="1" applyAlignment="1">
      <alignment horizontal="center"/>
    </xf>
    <xf numFmtId="0" fontId="71" fillId="13" borderId="0" xfId="0" applyFont="1" applyFill="1" applyAlignment="1">
      <alignment horizontal="center"/>
    </xf>
    <xf numFmtId="0" fontId="71" fillId="4" borderId="38" xfId="0" applyFont="1" applyFill="1" applyBorder="1" applyAlignment="1">
      <alignment horizontal="center"/>
    </xf>
    <xf numFmtId="0" fontId="71" fillId="4" borderId="0" xfId="0" applyFont="1" applyFill="1" applyAlignment="1">
      <alignment horizontal="center"/>
    </xf>
    <xf numFmtId="0" fontId="72" fillId="4" borderId="0" xfId="0" applyFont="1" applyFill="1"/>
    <xf numFmtId="165" fontId="73" fillId="4" borderId="0" xfId="0" applyNumberFormat="1" applyFont="1" applyFill="1" applyAlignment="1">
      <alignment horizontal="center"/>
    </xf>
    <xf numFmtId="0" fontId="71" fillId="12" borderId="0" xfId="0" applyFont="1" applyFill="1" applyAlignment="1">
      <alignment horizontal="center"/>
    </xf>
    <xf numFmtId="0" fontId="73" fillId="4" borderId="0" xfId="0" applyFont="1" applyFill="1" applyAlignment="1">
      <alignment horizontal="left"/>
    </xf>
    <xf numFmtId="0" fontId="67" fillId="12" borderId="0" xfId="0" applyFont="1" applyFill="1" applyAlignment="1">
      <alignment horizontal="center"/>
    </xf>
    <xf numFmtId="165" fontId="65" fillId="4" borderId="0" xfId="0" applyNumberFormat="1" applyFont="1" applyFill="1" applyAlignment="1">
      <alignment horizontal="center"/>
    </xf>
    <xf numFmtId="0" fontId="69" fillId="12" borderId="0" xfId="0" applyFont="1" applyFill="1" applyAlignment="1">
      <alignment horizontal="center"/>
    </xf>
    <xf numFmtId="0" fontId="71" fillId="4" borderId="39" xfId="0" applyFont="1" applyFill="1" applyBorder="1" applyAlignment="1">
      <alignment horizontal="center"/>
    </xf>
    <xf numFmtId="0" fontId="70" fillId="13" borderId="0" xfId="0" applyFont="1" applyFill="1" applyAlignment="1">
      <alignment horizontal="left"/>
    </xf>
    <xf numFmtId="0" fontId="71" fillId="3" borderId="0" xfId="0" applyFont="1" applyFill="1" applyAlignment="1">
      <alignment horizontal="center"/>
    </xf>
    <xf numFmtId="0" fontId="74" fillId="4" borderId="0" xfId="0" applyFont="1" applyFill="1" applyAlignment="1">
      <alignment horizontal="center"/>
    </xf>
    <xf numFmtId="10" fontId="75" fillId="4" borderId="0" xfId="0" applyNumberFormat="1" applyFont="1" applyFill="1" applyAlignment="1">
      <alignment horizontal="center"/>
    </xf>
    <xf numFmtId="0" fontId="77" fillId="4" borderId="0" xfId="0" applyFont="1" applyFill="1" applyAlignment="1">
      <alignment horizontal="center"/>
    </xf>
    <xf numFmtId="0" fontId="77" fillId="12" borderId="0" xfId="0" applyFont="1" applyFill="1"/>
    <xf numFmtId="0" fontId="77" fillId="4" borderId="0" xfId="0" applyFont="1" applyFill="1" applyAlignment="1">
      <alignment horizontal="left"/>
    </xf>
    <xf numFmtId="0" fontId="78" fillId="4" borderId="0" xfId="0" applyFont="1" applyFill="1" applyAlignment="1">
      <alignment horizontal="center"/>
    </xf>
    <xf numFmtId="0" fontId="78" fillId="12" borderId="0" xfId="0" applyFont="1" applyFill="1" applyAlignment="1">
      <alignment horizontal="center"/>
    </xf>
    <xf numFmtId="0" fontId="75" fillId="12" borderId="0" xfId="0" applyFont="1" applyFill="1" applyAlignment="1">
      <alignment horizontal="center"/>
    </xf>
    <xf numFmtId="0" fontId="66" fillId="12" borderId="0" xfId="0" applyFont="1" applyFill="1" applyAlignment="1">
      <alignment horizontal="center"/>
    </xf>
    <xf numFmtId="14" fontId="70" fillId="13" borderId="0" xfId="0" applyNumberFormat="1" applyFont="1" applyFill="1" applyAlignment="1">
      <alignment horizontal="center"/>
    </xf>
    <xf numFmtId="0" fontId="79" fillId="13" borderId="0" xfId="0" applyFont="1" applyFill="1" applyAlignment="1">
      <alignment horizontal="center"/>
    </xf>
    <xf numFmtId="0" fontId="80" fillId="4" borderId="0" xfId="0" applyFont="1" applyFill="1" applyAlignment="1">
      <alignment horizontal="center"/>
    </xf>
    <xf numFmtId="0" fontId="81" fillId="4" borderId="0" xfId="0" applyFont="1" applyFill="1" applyAlignment="1">
      <alignment horizontal="center"/>
    </xf>
    <xf numFmtId="0" fontId="65" fillId="3" borderId="41" xfId="0" applyFont="1" applyFill="1" applyBorder="1" applyAlignment="1">
      <alignment horizontal="center"/>
    </xf>
    <xf numFmtId="0" fontId="65" fillId="3" borderId="41" xfId="0" applyFont="1" applyFill="1" applyBorder="1" applyAlignment="1">
      <alignment horizontal="left"/>
    </xf>
    <xf numFmtId="174" fontId="74" fillId="14" borderId="41" xfId="0" applyNumberFormat="1" applyFont="1" applyFill="1" applyBorder="1" applyAlignment="1">
      <alignment horizontal="center"/>
    </xf>
    <xf numFmtId="0" fontId="66" fillId="3" borderId="41" xfId="0" applyFont="1" applyFill="1" applyBorder="1" applyAlignment="1">
      <alignment horizontal="center"/>
    </xf>
    <xf numFmtId="0" fontId="80" fillId="3" borderId="41" xfId="0" applyFont="1" applyFill="1" applyBorder="1" applyAlignment="1">
      <alignment horizontal="center"/>
    </xf>
    <xf numFmtId="0" fontId="68" fillId="3" borderId="41" xfId="0" applyFont="1" applyFill="1" applyBorder="1" applyAlignment="1">
      <alignment horizontal="center"/>
    </xf>
    <xf numFmtId="0" fontId="81" fillId="3" borderId="41" xfId="0" applyFont="1" applyFill="1" applyBorder="1" applyAlignment="1">
      <alignment horizontal="center"/>
    </xf>
    <xf numFmtId="0" fontId="78" fillId="3" borderId="41" xfId="0" applyFont="1" applyFill="1" applyBorder="1" applyAlignment="1">
      <alignment horizontal="center"/>
    </xf>
    <xf numFmtId="170" fontId="74" fillId="14" borderId="41" xfId="2" applyNumberFormat="1" applyFont="1" applyFill="1" applyBorder="1" applyAlignment="1">
      <alignment horizontal="center"/>
    </xf>
    <xf numFmtId="0" fontId="65" fillId="4" borderId="41" xfId="0" applyFont="1" applyFill="1" applyBorder="1" applyAlignment="1" applyProtection="1">
      <alignment horizontal="left"/>
      <protection locked="0"/>
    </xf>
    <xf numFmtId="14" fontId="65" fillId="4" borderId="41" xfId="0" applyNumberFormat="1" applyFont="1" applyFill="1" applyBorder="1" applyAlignment="1" applyProtection="1">
      <alignment horizontal="center"/>
      <protection locked="0"/>
    </xf>
    <xf numFmtId="0" fontId="65" fillId="4" borderId="41" xfId="0" applyFont="1" applyFill="1" applyBorder="1" applyAlignment="1" applyProtection="1">
      <alignment horizontal="center"/>
      <protection locked="0"/>
    </xf>
    <xf numFmtId="166" fontId="65" fillId="4" borderId="41" xfId="0" applyNumberFormat="1" applyFont="1" applyFill="1" applyBorder="1" applyAlignment="1" applyProtection="1">
      <alignment horizontal="center"/>
      <protection locked="0"/>
    </xf>
    <xf numFmtId="0" fontId="65" fillId="4" borderId="41" xfId="2" applyNumberFormat="1" applyFont="1" applyFill="1" applyBorder="1" applyAlignment="1" applyProtection="1">
      <alignment horizontal="center"/>
      <protection locked="0"/>
    </xf>
    <xf numFmtId="174" fontId="65" fillId="8" borderId="41" xfId="0" applyNumberFormat="1" applyFont="1" applyFill="1" applyBorder="1" applyAlignment="1">
      <alignment horizontal="center"/>
    </xf>
    <xf numFmtId="174" fontId="65" fillId="14" borderId="41" xfId="0" applyNumberFormat="1" applyFont="1" applyFill="1" applyBorder="1" applyAlignment="1">
      <alignment horizontal="center"/>
    </xf>
    <xf numFmtId="174" fontId="66" fillId="8" borderId="41" xfId="0" applyNumberFormat="1" applyFont="1" applyFill="1" applyBorder="1" applyAlignment="1">
      <alignment horizontal="center"/>
    </xf>
    <xf numFmtId="174" fontId="80" fillId="8" borderId="41" xfId="0" applyNumberFormat="1" applyFont="1" applyFill="1" applyBorder="1" applyAlignment="1">
      <alignment horizontal="center"/>
    </xf>
    <xf numFmtId="174" fontId="81" fillId="8" borderId="41" xfId="0" applyNumberFormat="1" applyFont="1" applyFill="1" applyBorder="1" applyAlignment="1">
      <alignment horizontal="center"/>
    </xf>
    <xf numFmtId="174" fontId="78" fillId="0" borderId="41" xfId="0" applyNumberFormat="1" applyFont="1" applyBorder="1" applyAlignment="1" applyProtection="1">
      <alignment horizontal="center"/>
      <protection locked="0"/>
    </xf>
    <xf numFmtId="170" fontId="65" fillId="14" borderId="41" xfId="2" applyNumberFormat="1" applyFont="1" applyFill="1" applyBorder="1" applyAlignment="1">
      <alignment horizontal="center"/>
    </xf>
    <xf numFmtId="1" fontId="70" fillId="13" borderId="0" xfId="0" applyNumberFormat="1" applyFont="1" applyFill="1" applyAlignment="1">
      <alignment horizontal="center"/>
    </xf>
    <xf numFmtId="9" fontId="70" fillId="13" borderId="0" xfId="0" applyNumberFormat="1" applyFont="1" applyFill="1" applyAlignment="1">
      <alignment horizontal="center"/>
    </xf>
    <xf numFmtId="10" fontId="70" fillId="13" borderId="0" xfId="0" applyNumberFormat="1" applyFont="1" applyFill="1" applyAlignment="1">
      <alignment horizontal="center"/>
    </xf>
    <xf numFmtId="165" fontId="70" fillId="13" borderId="0" xfId="0" applyNumberFormat="1" applyFont="1" applyFill="1" applyAlignment="1">
      <alignment horizontal="left"/>
    </xf>
    <xf numFmtId="165" fontId="70" fillId="13" borderId="0" xfId="0" applyNumberFormat="1" applyFont="1" applyFill="1" applyAlignment="1">
      <alignment horizontal="right"/>
    </xf>
    <xf numFmtId="165" fontId="70" fillId="13" borderId="0" xfId="0" applyNumberFormat="1" applyFont="1" applyFill="1"/>
    <xf numFmtId="176" fontId="70" fillId="13" borderId="0" xfId="0" applyNumberFormat="1" applyFont="1" applyFill="1"/>
    <xf numFmtId="2" fontId="70" fillId="13" borderId="0" xfId="0" applyNumberFormat="1" applyFont="1" applyFill="1" applyAlignment="1">
      <alignment horizontal="center"/>
    </xf>
    <xf numFmtId="0" fontId="67" fillId="3" borderId="41" xfId="0" applyFont="1" applyFill="1" applyBorder="1" applyAlignment="1">
      <alignment horizontal="center"/>
    </xf>
    <xf numFmtId="0" fontId="69" fillId="3" borderId="41" xfId="0" applyFont="1" applyFill="1" applyBorder="1" applyAlignment="1">
      <alignment horizontal="center"/>
    </xf>
    <xf numFmtId="0" fontId="65" fillId="4" borderId="42" xfId="0" applyFont="1" applyFill="1" applyBorder="1" applyAlignment="1">
      <alignment horizontal="center"/>
    </xf>
    <xf numFmtId="0" fontId="65" fillId="4" borderId="43" xfId="0" applyFont="1" applyFill="1" applyBorder="1" applyAlignment="1">
      <alignment horizontal="center"/>
    </xf>
    <xf numFmtId="0" fontId="65" fillId="4" borderId="43" xfId="0" applyFont="1" applyFill="1" applyBorder="1" applyAlignment="1">
      <alignment horizontal="left"/>
    </xf>
    <xf numFmtId="0" fontId="66" fillId="4" borderId="43" xfId="0" applyFont="1" applyFill="1" applyBorder="1" applyAlignment="1">
      <alignment horizontal="center"/>
    </xf>
    <xf numFmtId="0" fontId="67" fillId="4" borderId="43" xfId="0" applyFont="1" applyFill="1" applyBorder="1" applyAlignment="1">
      <alignment horizontal="center"/>
    </xf>
    <xf numFmtId="0" fontId="68" fillId="4" borderId="43" xfId="0" applyFont="1" applyFill="1" applyBorder="1" applyAlignment="1">
      <alignment horizontal="center"/>
    </xf>
    <xf numFmtId="0" fontId="69" fillId="4" borderId="43" xfId="0" applyFont="1" applyFill="1" applyBorder="1" applyAlignment="1">
      <alignment horizontal="center"/>
    </xf>
    <xf numFmtId="0" fontId="65" fillId="4" borderId="44" xfId="0" applyFont="1" applyFill="1" applyBorder="1" applyAlignment="1">
      <alignment horizontal="center"/>
    </xf>
    <xf numFmtId="0" fontId="82" fillId="13" borderId="0" xfId="0" applyFont="1" applyFill="1" applyAlignment="1">
      <alignment horizontal="center"/>
    </xf>
    <xf numFmtId="0" fontId="82" fillId="13" borderId="0" xfId="0" applyFont="1" applyFill="1" applyAlignment="1">
      <alignment horizontal="left"/>
    </xf>
    <xf numFmtId="0" fontId="84" fillId="13" borderId="0" xfId="0" applyFont="1" applyFill="1" applyAlignment="1">
      <alignment horizontal="center"/>
    </xf>
    <xf numFmtId="0" fontId="83" fillId="13" borderId="0" xfId="0" applyFont="1" applyFill="1" applyAlignment="1">
      <alignment horizontal="left"/>
    </xf>
    <xf numFmtId="0" fontId="31" fillId="3" borderId="0" xfId="0" applyFont="1" applyFill="1" applyAlignment="1">
      <alignment horizontal="left"/>
    </xf>
    <xf numFmtId="0" fontId="44" fillId="3" borderId="0" xfId="0" applyFont="1" applyFill="1" applyAlignment="1">
      <alignment horizontal="center"/>
    </xf>
    <xf numFmtId="0" fontId="53" fillId="3" borderId="0" xfId="0" applyFont="1" applyFill="1" applyAlignment="1">
      <alignment horizontal="center"/>
    </xf>
    <xf numFmtId="0" fontId="54" fillId="3" borderId="0" xfId="0" applyFont="1" applyFill="1" applyAlignment="1">
      <alignment horizontal="center"/>
    </xf>
    <xf numFmtId="0" fontId="55" fillId="3" borderId="0" xfId="0" applyFont="1" applyFill="1" applyAlignment="1">
      <alignment horizontal="center"/>
    </xf>
    <xf numFmtId="1" fontId="86" fillId="13" borderId="0" xfId="0" applyNumberFormat="1" applyFont="1" applyFill="1" applyAlignment="1" applyProtection="1">
      <alignment horizontal="right"/>
    </xf>
    <xf numFmtId="0" fontId="65" fillId="4" borderId="0" xfId="0" applyFont="1" applyFill="1" applyAlignment="1">
      <alignment horizontal="center"/>
    </xf>
    <xf numFmtId="0" fontId="76" fillId="15" borderId="0" xfId="0" applyFont="1" applyFill="1" applyAlignment="1">
      <alignment horizontal="center"/>
    </xf>
    <xf numFmtId="0" fontId="77" fillId="4" borderId="41" xfId="0" applyFont="1" applyFill="1" applyBorder="1" applyAlignment="1" applyProtection="1">
      <alignment horizontal="left"/>
      <protection locked="0"/>
    </xf>
    <xf numFmtId="1" fontId="87" fillId="0" borderId="0" xfId="0" applyNumberFormat="1" applyFont="1" applyProtection="1"/>
    <xf numFmtId="3" fontId="0" fillId="16" borderId="0" xfId="0" applyNumberFormat="1" applyFill="1" applyProtection="1"/>
    <xf numFmtId="1" fontId="0" fillId="0" borderId="0" xfId="0" applyNumberFormat="1" applyAlignment="1" applyProtection="1">
      <alignment horizontal="left"/>
    </xf>
    <xf numFmtId="1" fontId="2" fillId="0" borderId="0" xfId="0" applyNumberFormat="1" applyFont="1" applyProtection="1"/>
    <xf numFmtId="1" fontId="0" fillId="0" borderId="0" xfId="0" applyNumberFormat="1" applyAlignment="1" applyProtection="1">
      <alignment wrapText="1"/>
    </xf>
    <xf numFmtId="1" fontId="2" fillId="0" borderId="0" xfId="0" applyNumberFormat="1" applyFont="1" applyAlignment="1" applyProtection="1">
      <alignment horizontal="left"/>
    </xf>
    <xf numFmtId="1" fontId="3" fillId="0" borderId="0" xfId="0" applyNumberFormat="1" applyFont="1" applyFill="1" applyAlignment="1" applyProtection="1">
      <alignment horizontal="right"/>
    </xf>
    <xf numFmtId="14" fontId="43" fillId="15" borderId="0" xfId="0" applyNumberFormat="1" applyFont="1" applyFill="1" applyProtection="1"/>
    <xf numFmtId="1" fontId="3" fillId="0" borderId="0" xfId="0" applyNumberFormat="1" applyFont="1" applyAlignment="1" applyProtection="1">
      <alignment horizontal="center"/>
    </xf>
    <xf numFmtId="1" fontId="3" fillId="0" borderId="0" xfId="0" applyNumberFormat="1" applyFont="1" applyProtection="1"/>
    <xf numFmtId="3" fontId="2" fillId="0" borderId="0" xfId="0" applyNumberFormat="1" applyFont="1" applyBorder="1" applyAlignment="1" applyProtection="1">
      <alignment horizontal="right"/>
    </xf>
    <xf numFmtId="10" fontId="2" fillId="0" borderId="0" xfId="0" applyNumberFormat="1" applyFont="1" applyBorder="1" applyAlignment="1" applyProtection="1">
      <alignment horizontal="right"/>
    </xf>
    <xf numFmtId="170" fontId="2" fillId="2" borderId="0" xfId="0" applyNumberFormat="1" applyFont="1" applyFill="1" applyBorder="1" applyAlignment="1" applyProtection="1">
      <alignment horizontal="left"/>
      <protection locked="0"/>
    </xf>
    <xf numFmtId="170" fontId="17" fillId="10" borderId="12" xfId="0" applyNumberFormat="1" applyFont="1" applyFill="1" applyBorder="1" applyAlignment="1" applyProtection="1">
      <alignment horizontal="center"/>
    </xf>
    <xf numFmtId="0" fontId="51" fillId="10" borderId="0" xfId="0" applyFont="1" applyFill="1" applyAlignment="1"/>
    <xf numFmtId="0" fontId="2" fillId="4" borderId="12" xfId="0" applyFont="1" applyFill="1" applyBorder="1" applyAlignment="1" applyProtection="1">
      <alignment horizontal="left"/>
      <protection locked="0"/>
    </xf>
    <xf numFmtId="10" fontId="3" fillId="5" borderId="12" xfId="2" applyNumberFormat="1" applyFont="1" applyFill="1" applyBorder="1" applyAlignment="1" applyProtection="1">
      <alignment horizontal="center"/>
    </xf>
    <xf numFmtId="0" fontId="65" fillId="4" borderId="0" xfId="0" applyFont="1" applyFill="1" applyAlignment="1">
      <alignment horizontal="center"/>
    </xf>
    <xf numFmtId="0" fontId="77" fillId="12" borderId="0" xfId="0" applyFont="1" applyFill="1" applyAlignment="1">
      <alignment horizontal="center" wrapText="1"/>
    </xf>
    <xf numFmtId="0" fontId="77" fillId="12" borderId="40" xfId="0" applyFont="1" applyFill="1" applyBorder="1" applyAlignment="1">
      <alignment horizontal="center" wrapText="1"/>
    </xf>
    <xf numFmtId="0" fontId="65" fillId="4" borderId="0" xfId="0" applyFont="1" applyFill="1" applyAlignment="1">
      <alignment horizontal="center" wrapText="1"/>
    </xf>
    <xf numFmtId="0" fontId="65" fillId="4" borderId="40" xfId="0" applyFont="1" applyFill="1" applyBorder="1" applyAlignment="1">
      <alignment horizontal="center" wrapText="1"/>
    </xf>
    <xf numFmtId="0" fontId="74" fillId="12" borderId="0" xfId="0" applyFont="1" applyFill="1" applyAlignment="1">
      <alignment horizontal="center"/>
    </xf>
    <xf numFmtId="0" fontId="2" fillId="4" borderId="1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165" fontId="3" fillId="10" borderId="12" xfId="0" applyNumberFormat="1" applyFont="1" applyFill="1" applyBorder="1" applyAlignment="1" applyProtection="1"/>
    <xf numFmtId="0" fontId="3" fillId="10" borderId="12" xfId="0" applyFont="1" applyFill="1" applyBorder="1" applyAlignment="1" applyProtection="1"/>
    <xf numFmtId="0" fontId="2" fillId="4" borderId="20"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15" xfId="0" applyFont="1" applyFill="1" applyBorder="1" applyAlignment="1" applyProtection="1">
      <protection locked="0"/>
    </xf>
    <xf numFmtId="0" fontId="2" fillId="4" borderId="19" xfId="0" applyFont="1" applyFill="1" applyBorder="1" applyAlignment="1" applyProtection="1">
      <protection locked="0"/>
    </xf>
    <xf numFmtId="0" fontId="2" fillId="4" borderId="16" xfId="0" applyFont="1" applyFill="1" applyBorder="1" applyAlignment="1" applyProtection="1">
      <protection locked="0"/>
    </xf>
    <xf numFmtId="22" fontId="2" fillId="0" borderId="0" xfId="0" applyNumberFormat="1" applyFont="1" applyBorder="1" applyAlignment="1" applyProtection="1">
      <alignment horizontal="left"/>
    </xf>
    <xf numFmtId="1" fontId="86" fillId="10" borderId="12" xfId="0" applyNumberFormat="1" applyFont="1" applyFill="1" applyBorder="1" applyAlignment="1" applyProtection="1">
      <alignment horizontal="center"/>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CCECFF"/>
      <color rgb="FFFFFF99"/>
      <color rgb="FF99CCFF"/>
      <color rgb="FFFFCC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78441</xdr:rowOff>
    </xdr:from>
    <xdr:to>
      <xdr:col>17</xdr:col>
      <xdr:colOff>9524</xdr:colOff>
      <xdr:row>4</xdr:row>
      <xdr:rowOff>152400</xdr:rowOff>
    </xdr:to>
    <xdr:pic>
      <xdr:nvPicPr>
        <xdr:cNvPr id="2" name="Picture 83" descr="vosabb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246529"/>
          <a:ext cx="1746436" cy="611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332815</xdr:colOff>
      <xdr:row>2</xdr:row>
      <xdr:rowOff>17369</xdr:rowOff>
    </xdr:from>
    <xdr:to>
      <xdr:col>14</xdr:col>
      <xdr:colOff>156883</xdr:colOff>
      <xdr:row>4</xdr:row>
      <xdr:rowOff>122144</xdr:rowOff>
    </xdr:to>
    <xdr:pic>
      <xdr:nvPicPr>
        <xdr:cNvPr id="2" name="Picture 83" descr="vosabb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17</xdr:row>
      <xdr:rowOff>47624</xdr:rowOff>
    </xdr:from>
    <xdr:to>
      <xdr:col>7</xdr:col>
      <xdr:colOff>317500</xdr:colOff>
      <xdr:row>21</xdr:row>
      <xdr:rowOff>34017</xdr:rowOff>
    </xdr:to>
    <xdr:pic>
      <xdr:nvPicPr>
        <xdr:cNvPr id="2" name="Picture 83" descr="vosabb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2204" y="7508874"/>
          <a:ext cx="1736725" cy="62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63"/>
  <sheetViews>
    <sheetView zoomScale="85" zoomScaleNormal="85" workbookViewId="0">
      <selection activeCell="B2" sqref="B2"/>
    </sheetView>
  </sheetViews>
  <sheetFormatPr defaultRowHeight="12.75" x14ac:dyDescent="0.2"/>
  <cols>
    <col min="1" max="3" width="2.7109375" style="57" customWidth="1"/>
    <col min="4" max="15" width="9.140625" style="57"/>
    <col min="16" max="16" width="19" style="57" bestFit="1" customWidth="1"/>
    <col min="17" max="17" width="9.140625" style="57"/>
    <col min="18" max="20" width="2.7109375" style="57" customWidth="1"/>
    <col min="21" max="16384" width="9.140625" style="57"/>
  </cols>
  <sheetData>
    <row r="1" spans="2:19" ht="13.5" thickBot="1" x14ac:dyDescent="0.25"/>
    <row r="2" spans="2:19" x14ac:dyDescent="0.2">
      <c r="B2" s="19"/>
      <c r="C2" s="20"/>
      <c r="D2" s="20"/>
      <c r="E2" s="20"/>
      <c r="F2" s="20"/>
      <c r="G2" s="20"/>
      <c r="H2" s="20"/>
      <c r="I2" s="20"/>
      <c r="J2" s="20"/>
      <c r="K2" s="20"/>
      <c r="L2" s="20"/>
      <c r="M2" s="20"/>
      <c r="N2" s="20"/>
      <c r="O2" s="20"/>
      <c r="P2" s="20"/>
      <c r="Q2" s="20"/>
      <c r="R2" s="20"/>
      <c r="S2" s="23"/>
    </row>
    <row r="3" spans="2:19" x14ac:dyDescent="0.2">
      <c r="B3" s="24"/>
      <c r="C3" s="25"/>
      <c r="D3" s="25"/>
      <c r="E3" s="25"/>
      <c r="F3" s="25"/>
      <c r="G3" s="25"/>
      <c r="H3" s="25"/>
      <c r="I3" s="25"/>
      <c r="J3" s="25"/>
      <c r="K3" s="25"/>
      <c r="L3" s="25"/>
      <c r="M3" s="25"/>
      <c r="N3" s="25"/>
      <c r="O3" s="25"/>
      <c r="P3" s="25"/>
      <c r="Q3" s="25"/>
      <c r="R3" s="25"/>
      <c r="S3" s="28"/>
    </row>
    <row r="4" spans="2:19" ht="18" x14ac:dyDescent="0.25">
      <c r="B4" s="24"/>
      <c r="C4" s="30" t="s">
        <v>76</v>
      </c>
      <c r="D4" s="25"/>
      <c r="E4" s="25"/>
      <c r="F4" s="25"/>
      <c r="G4" s="25"/>
      <c r="H4" s="25"/>
      <c r="I4" s="25"/>
      <c r="J4" s="25"/>
      <c r="K4" s="25"/>
      <c r="L4" s="25"/>
      <c r="M4" s="25"/>
      <c r="N4" s="25"/>
      <c r="O4" s="25"/>
      <c r="P4" s="25"/>
      <c r="Q4" s="25"/>
      <c r="R4" s="25"/>
      <c r="S4" s="28"/>
    </row>
    <row r="5" spans="2:19" ht="15.75" x14ac:dyDescent="0.25">
      <c r="B5" s="24"/>
      <c r="C5" s="58"/>
      <c r="D5" s="25"/>
      <c r="E5" s="25"/>
      <c r="F5" s="25"/>
      <c r="G5" s="25"/>
      <c r="H5" s="25"/>
      <c r="I5" s="25"/>
      <c r="J5" s="25"/>
      <c r="K5" s="25"/>
      <c r="L5" s="25"/>
      <c r="M5" s="25"/>
      <c r="N5" s="25"/>
      <c r="O5" s="25"/>
      <c r="P5" s="25"/>
      <c r="Q5" s="25"/>
      <c r="R5" s="25"/>
      <c r="S5" s="28"/>
    </row>
    <row r="6" spans="2:19" x14ac:dyDescent="0.2">
      <c r="B6" s="24"/>
      <c r="C6" s="130"/>
      <c r="D6" s="131"/>
      <c r="E6" s="130"/>
      <c r="F6" s="130"/>
      <c r="G6" s="130"/>
      <c r="H6" s="130"/>
      <c r="I6" s="130"/>
      <c r="J6" s="130"/>
      <c r="K6" s="130"/>
      <c r="L6" s="130"/>
      <c r="M6" s="130"/>
      <c r="N6" s="131"/>
      <c r="O6" s="132"/>
      <c r="P6" s="130"/>
      <c r="Q6" s="130"/>
      <c r="R6" s="130"/>
      <c r="S6" s="28"/>
    </row>
    <row r="7" spans="2:19" x14ac:dyDescent="0.2">
      <c r="B7" s="24"/>
      <c r="C7" s="130"/>
      <c r="D7" s="130" t="s">
        <v>77</v>
      </c>
      <c r="E7" s="130"/>
      <c r="F7" s="130"/>
      <c r="G7" s="130"/>
      <c r="H7" s="130"/>
      <c r="I7" s="133" t="s">
        <v>78</v>
      </c>
      <c r="J7" s="130"/>
      <c r="K7" s="130"/>
      <c r="L7" s="130"/>
      <c r="M7" s="130"/>
      <c r="N7" s="130"/>
      <c r="O7" s="131" t="s">
        <v>79</v>
      </c>
      <c r="P7" s="134">
        <v>44409</v>
      </c>
      <c r="Q7" s="130"/>
      <c r="R7" s="130"/>
      <c r="S7" s="28"/>
    </row>
    <row r="8" spans="2:19" s="59" customFormat="1" x14ac:dyDescent="0.2">
      <c r="B8" s="29"/>
      <c r="C8" s="130"/>
      <c r="D8" s="130" t="s">
        <v>80</v>
      </c>
      <c r="E8" s="130"/>
      <c r="F8" s="130"/>
      <c r="G8" s="130"/>
      <c r="H8" s="130"/>
      <c r="I8" s="130"/>
      <c r="J8" s="130"/>
      <c r="K8" s="130"/>
      <c r="L8" s="130"/>
      <c r="M8" s="130"/>
      <c r="N8" s="130"/>
      <c r="O8" s="130"/>
      <c r="P8" s="135"/>
      <c r="Q8" s="136"/>
      <c r="R8" s="135"/>
      <c r="S8" s="35"/>
    </row>
    <row r="9" spans="2:19" x14ac:dyDescent="0.2">
      <c r="B9" s="24"/>
      <c r="C9" s="130"/>
      <c r="D9" s="130"/>
      <c r="E9" s="130"/>
      <c r="F9" s="130"/>
      <c r="G9" s="130"/>
      <c r="H9" s="130"/>
      <c r="I9" s="130"/>
      <c r="J9" s="130"/>
      <c r="K9" s="130"/>
      <c r="L9" s="130"/>
      <c r="M9" s="130"/>
      <c r="N9" s="130"/>
      <c r="O9" s="130"/>
      <c r="P9" s="130"/>
      <c r="Q9" s="137"/>
      <c r="R9" s="138"/>
      <c r="S9" s="28"/>
    </row>
    <row r="10" spans="2:19" x14ac:dyDescent="0.2">
      <c r="B10" s="24"/>
      <c r="C10" s="130"/>
      <c r="D10" s="130" t="s">
        <v>413</v>
      </c>
      <c r="E10" s="130"/>
      <c r="F10" s="130"/>
      <c r="G10" s="130"/>
      <c r="H10" s="130"/>
      <c r="I10" s="130"/>
      <c r="J10" s="130"/>
      <c r="K10" s="130"/>
      <c r="L10" s="130"/>
      <c r="M10" s="130"/>
      <c r="N10" s="130"/>
      <c r="O10" s="130"/>
      <c r="P10" s="130"/>
      <c r="Q10" s="137"/>
      <c r="R10" s="138"/>
      <c r="S10" s="28"/>
    </row>
    <row r="11" spans="2:19" x14ac:dyDescent="0.2">
      <c r="B11" s="24"/>
      <c r="C11" s="130"/>
      <c r="D11" s="130" t="s">
        <v>414</v>
      </c>
      <c r="E11" s="130"/>
      <c r="F11" s="130"/>
      <c r="G11" s="130"/>
      <c r="H11" s="130"/>
      <c r="I11" s="130"/>
      <c r="J11" s="130"/>
      <c r="K11" s="130"/>
      <c r="L11" s="130"/>
      <c r="M11" s="130"/>
      <c r="N11" s="130"/>
      <c r="O11" s="130"/>
      <c r="P11" s="130"/>
      <c r="Q11" s="137"/>
      <c r="R11" s="138"/>
      <c r="S11" s="28"/>
    </row>
    <row r="12" spans="2:19" x14ac:dyDescent="0.2">
      <c r="B12" s="24"/>
      <c r="C12" s="130"/>
      <c r="D12" s="130" t="s">
        <v>272</v>
      </c>
      <c r="E12" s="130"/>
      <c r="F12" s="130"/>
      <c r="G12" s="130"/>
      <c r="H12" s="130"/>
      <c r="I12" s="130"/>
      <c r="J12" s="130"/>
      <c r="K12" s="130"/>
      <c r="L12" s="130"/>
      <c r="M12" s="130"/>
      <c r="N12" s="130"/>
      <c r="O12" s="130"/>
      <c r="P12" s="130"/>
      <c r="Q12" s="130"/>
      <c r="R12" s="138"/>
      <c r="S12" s="28"/>
    </row>
    <row r="13" spans="2:19" x14ac:dyDescent="0.2">
      <c r="B13" s="24"/>
      <c r="C13" s="130"/>
      <c r="D13" s="130" t="s">
        <v>409</v>
      </c>
      <c r="E13" s="130"/>
      <c r="F13" s="130"/>
      <c r="G13" s="130"/>
      <c r="H13" s="130"/>
      <c r="I13" s="130"/>
      <c r="J13" s="130"/>
      <c r="K13" s="130"/>
      <c r="L13" s="130"/>
      <c r="M13" s="130"/>
      <c r="N13" s="130"/>
      <c r="O13" s="130"/>
      <c r="P13" s="130"/>
      <c r="Q13" s="130"/>
      <c r="R13" s="130"/>
      <c r="S13" s="28"/>
    </row>
    <row r="14" spans="2:19" x14ac:dyDescent="0.2">
      <c r="B14" s="24"/>
      <c r="C14" s="130"/>
      <c r="D14" s="130" t="s">
        <v>426</v>
      </c>
      <c r="E14" s="130"/>
      <c r="F14" s="130"/>
      <c r="G14" s="130"/>
      <c r="H14" s="130"/>
      <c r="I14" s="130"/>
      <c r="J14" s="130"/>
      <c r="K14" s="130"/>
      <c r="L14" s="130"/>
      <c r="M14" s="130"/>
      <c r="N14" s="130"/>
      <c r="O14" s="130"/>
      <c r="P14" s="130"/>
      <c r="Q14" s="130"/>
      <c r="R14" s="130"/>
      <c r="S14" s="28"/>
    </row>
    <row r="15" spans="2:19" x14ac:dyDescent="0.2">
      <c r="B15" s="24"/>
      <c r="C15" s="130"/>
      <c r="D15" s="130" t="s">
        <v>410</v>
      </c>
      <c r="E15" s="130"/>
      <c r="F15" s="130"/>
      <c r="G15" s="130"/>
      <c r="H15" s="130"/>
      <c r="I15" s="130"/>
      <c r="J15" s="130"/>
      <c r="K15" s="130"/>
      <c r="L15" s="130"/>
      <c r="M15" s="130"/>
      <c r="N15" s="130"/>
      <c r="O15" s="130"/>
      <c r="P15" s="130"/>
      <c r="Q15" s="130"/>
      <c r="R15" s="130"/>
      <c r="S15" s="28"/>
    </row>
    <row r="16" spans="2:19" x14ac:dyDescent="0.2">
      <c r="B16" s="24"/>
      <c r="C16" s="130"/>
      <c r="D16" s="130"/>
      <c r="E16" s="130"/>
      <c r="F16" s="130"/>
      <c r="G16" s="130"/>
      <c r="H16" s="130"/>
      <c r="I16" s="130"/>
      <c r="J16" s="130"/>
      <c r="K16" s="130"/>
      <c r="L16" s="130"/>
      <c r="M16" s="130"/>
      <c r="N16" s="130"/>
      <c r="O16" s="130"/>
      <c r="P16" s="130"/>
      <c r="Q16" s="130"/>
      <c r="R16" s="130"/>
      <c r="S16" s="28"/>
    </row>
    <row r="17" spans="2:19" x14ac:dyDescent="0.2">
      <c r="B17" s="24"/>
      <c r="C17" s="137" t="s">
        <v>81</v>
      </c>
      <c r="D17" s="131" t="s">
        <v>82</v>
      </c>
      <c r="E17" s="130"/>
      <c r="F17" s="130"/>
      <c r="G17" s="130"/>
      <c r="H17" s="130"/>
      <c r="I17" s="130"/>
      <c r="J17" s="130"/>
      <c r="K17" s="130"/>
      <c r="L17" s="130"/>
      <c r="M17" s="130"/>
      <c r="N17" s="130"/>
      <c r="O17" s="130"/>
      <c r="P17" s="130"/>
      <c r="Q17" s="130"/>
      <c r="R17" s="130"/>
      <c r="S17" s="28"/>
    </row>
    <row r="18" spans="2:19" x14ac:dyDescent="0.2">
      <c r="B18" s="24"/>
      <c r="C18" s="137"/>
      <c r="D18" s="131"/>
      <c r="E18" s="130"/>
      <c r="F18" s="130"/>
      <c r="G18" s="130"/>
      <c r="H18" s="130"/>
      <c r="I18" s="130"/>
      <c r="J18" s="130"/>
      <c r="K18" s="130"/>
      <c r="L18" s="130"/>
      <c r="M18" s="130"/>
      <c r="N18" s="130"/>
      <c r="O18" s="130"/>
      <c r="P18" s="130"/>
      <c r="Q18" s="130"/>
      <c r="R18" s="130"/>
      <c r="S18" s="28"/>
    </row>
    <row r="19" spans="2:19" x14ac:dyDescent="0.2">
      <c r="B19" s="24"/>
      <c r="C19" s="130"/>
      <c r="D19" s="131" t="s">
        <v>83</v>
      </c>
      <c r="E19" s="130"/>
      <c r="F19" s="130"/>
      <c r="G19" s="130"/>
      <c r="H19" s="130"/>
      <c r="I19" s="130"/>
      <c r="J19" s="130"/>
      <c r="K19" s="130"/>
      <c r="L19" s="130"/>
      <c r="M19" s="130"/>
      <c r="N19" s="130"/>
      <c r="O19" s="130"/>
      <c r="P19" s="130"/>
      <c r="Q19" s="130"/>
      <c r="R19" s="130"/>
      <c r="S19" s="28"/>
    </row>
    <row r="20" spans="2:19" x14ac:dyDescent="0.2">
      <c r="B20" s="24"/>
      <c r="C20" s="130"/>
      <c r="D20" s="279" t="s">
        <v>263</v>
      </c>
      <c r="E20" s="130"/>
      <c r="F20" s="130"/>
      <c r="G20" s="130"/>
      <c r="H20" s="130"/>
      <c r="I20" s="130"/>
      <c r="J20" s="130"/>
      <c r="K20" s="130"/>
      <c r="L20" s="130"/>
      <c r="M20" s="130"/>
      <c r="N20" s="130"/>
      <c r="O20" s="130"/>
      <c r="P20" s="130"/>
      <c r="Q20" s="130"/>
      <c r="R20" s="130"/>
      <c r="S20" s="28"/>
    </row>
    <row r="21" spans="2:19" x14ac:dyDescent="0.2">
      <c r="B21" s="24"/>
      <c r="C21" s="130"/>
      <c r="D21" s="279" t="s">
        <v>84</v>
      </c>
      <c r="E21" s="130"/>
      <c r="F21" s="130"/>
      <c r="G21" s="130"/>
      <c r="H21" s="130"/>
      <c r="I21" s="130"/>
      <c r="J21" s="130"/>
      <c r="K21" s="130"/>
      <c r="L21" s="130"/>
      <c r="M21" s="130"/>
      <c r="N21" s="130"/>
      <c r="O21" s="130"/>
      <c r="P21" s="130"/>
      <c r="Q21" s="130"/>
      <c r="R21" s="130"/>
      <c r="S21" s="28"/>
    </row>
    <row r="22" spans="2:19" x14ac:dyDescent="0.2">
      <c r="B22" s="24"/>
      <c r="C22" s="130"/>
      <c r="D22" s="279" t="s">
        <v>85</v>
      </c>
      <c r="E22" s="130"/>
      <c r="F22" s="130"/>
      <c r="G22" s="130"/>
      <c r="H22" s="130"/>
      <c r="I22" s="130"/>
      <c r="J22" s="130"/>
      <c r="K22" s="130"/>
      <c r="L22" s="130"/>
      <c r="M22" s="130"/>
      <c r="N22" s="130"/>
      <c r="O22" s="130"/>
      <c r="P22" s="130"/>
      <c r="Q22" s="130"/>
      <c r="R22" s="130"/>
      <c r="S22" s="28"/>
    </row>
    <row r="23" spans="2:19" x14ac:dyDescent="0.2">
      <c r="B23" s="24"/>
      <c r="C23" s="130"/>
      <c r="D23" s="279" t="s">
        <v>86</v>
      </c>
      <c r="E23" s="130"/>
      <c r="F23" s="130"/>
      <c r="G23" s="130"/>
      <c r="H23" s="130"/>
      <c r="I23" s="130"/>
      <c r="J23" s="130"/>
      <c r="K23" s="130"/>
      <c r="L23" s="130"/>
      <c r="M23" s="130"/>
      <c r="N23" s="130"/>
      <c r="O23" s="130"/>
      <c r="P23" s="130"/>
      <c r="Q23" s="130"/>
      <c r="R23" s="130"/>
      <c r="S23" s="28"/>
    </row>
    <row r="24" spans="2:19" x14ac:dyDescent="0.2">
      <c r="B24" s="24"/>
      <c r="C24" s="130"/>
      <c r="D24" s="279" t="s">
        <v>87</v>
      </c>
      <c r="E24" s="130"/>
      <c r="F24" s="130"/>
      <c r="G24" s="130"/>
      <c r="H24" s="130"/>
      <c r="I24" s="130"/>
      <c r="J24" s="130"/>
      <c r="K24" s="130"/>
      <c r="L24" s="130"/>
      <c r="M24" s="130"/>
      <c r="N24" s="130"/>
      <c r="O24" s="130"/>
      <c r="P24" s="130"/>
      <c r="Q24" s="130"/>
      <c r="R24" s="130"/>
      <c r="S24" s="28"/>
    </row>
    <row r="25" spans="2:19" x14ac:dyDescent="0.2">
      <c r="B25" s="24"/>
      <c r="C25" s="130"/>
      <c r="D25" s="279" t="s">
        <v>88</v>
      </c>
      <c r="E25" s="130"/>
      <c r="F25" s="130"/>
      <c r="G25" s="130"/>
      <c r="H25" s="130"/>
      <c r="I25" s="130"/>
      <c r="J25" s="130"/>
      <c r="K25" s="130"/>
      <c r="L25" s="130"/>
      <c r="M25" s="130"/>
      <c r="N25" s="130"/>
      <c r="O25" s="130"/>
      <c r="P25" s="130"/>
      <c r="Q25" s="130"/>
      <c r="R25" s="130"/>
      <c r="S25" s="28"/>
    </row>
    <row r="26" spans="2:19" x14ac:dyDescent="0.2">
      <c r="B26" s="24"/>
      <c r="C26" s="130"/>
      <c r="D26" s="279"/>
      <c r="E26" s="130"/>
      <c r="F26" s="130"/>
      <c r="G26" s="130"/>
      <c r="H26" s="130"/>
      <c r="I26" s="130"/>
      <c r="J26" s="130"/>
      <c r="K26" s="130"/>
      <c r="L26" s="130"/>
      <c r="M26" s="130"/>
      <c r="N26" s="130"/>
      <c r="O26" s="130"/>
      <c r="P26" s="130"/>
      <c r="Q26" s="130"/>
      <c r="R26" s="130"/>
      <c r="S26" s="28"/>
    </row>
    <row r="27" spans="2:19" x14ac:dyDescent="0.2">
      <c r="B27" s="24"/>
      <c r="C27" s="130"/>
      <c r="D27" s="279" t="s">
        <v>89</v>
      </c>
      <c r="E27" s="130"/>
      <c r="F27" s="130"/>
      <c r="G27" s="130"/>
      <c r="H27" s="130"/>
      <c r="I27" s="130"/>
      <c r="J27" s="130"/>
      <c r="K27" s="130"/>
      <c r="L27" s="130"/>
      <c r="M27" s="130"/>
      <c r="N27" s="130"/>
      <c r="O27" s="130"/>
      <c r="P27" s="130"/>
      <c r="Q27" s="130"/>
      <c r="R27" s="130"/>
      <c r="S27" s="28"/>
    </row>
    <row r="28" spans="2:19" x14ac:dyDescent="0.2">
      <c r="B28" s="24"/>
      <c r="C28" s="130"/>
      <c r="D28" s="279" t="s">
        <v>90</v>
      </c>
      <c r="E28" s="130"/>
      <c r="F28" s="130"/>
      <c r="G28" s="130"/>
      <c r="H28" s="130"/>
      <c r="I28" s="130"/>
      <c r="J28" s="130"/>
      <c r="K28" s="130"/>
      <c r="L28" s="130"/>
      <c r="M28" s="130"/>
      <c r="N28" s="130"/>
      <c r="O28" s="130"/>
      <c r="P28" s="130"/>
      <c r="Q28" s="130"/>
      <c r="R28" s="130"/>
      <c r="S28" s="28"/>
    </row>
    <row r="29" spans="2:19" x14ac:dyDescent="0.2">
      <c r="B29" s="24"/>
      <c r="C29" s="130"/>
      <c r="D29" s="279" t="s">
        <v>270</v>
      </c>
      <c r="E29" s="130"/>
      <c r="F29" s="130"/>
      <c r="G29" s="130"/>
      <c r="H29" s="130"/>
      <c r="I29" s="130"/>
      <c r="J29" s="130"/>
      <c r="K29" s="130"/>
      <c r="L29" s="130"/>
      <c r="M29" s="130"/>
      <c r="N29" s="130"/>
      <c r="O29" s="130"/>
      <c r="P29" s="130"/>
      <c r="Q29" s="130"/>
      <c r="R29" s="130"/>
      <c r="S29" s="28"/>
    </row>
    <row r="30" spans="2:19" x14ac:dyDescent="0.2">
      <c r="B30" s="24"/>
      <c r="C30" s="130"/>
      <c r="D30" s="131"/>
      <c r="E30" s="130"/>
      <c r="F30" s="130"/>
      <c r="G30" s="130"/>
      <c r="H30" s="130"/>
      <c r="I30" s="130"/>
      <c r="J30" s="130"/>
      <c r="K30" s="130"/>
      <c r="L30" s="130"/>
      <c r="M30" s="130"/>
      <c r="N30" s="130"/>
      <c r="O30" s="130"/>
      <c r="P30" s="130"/>
      <c r="Q30" s="130"/>
      <c r="R30" s="130"/>
      <c r="S30" s="28"/>
    </row>
    <row r="31" spans="2:19" x14ac:dyDescent="0.2">
      <c r="B31" s="24"/>
      <c r="C31" s="130"/>
      <c r="D31" s="130" t="s">
        <v>91</v>
      </c>
      <c r="E31" s="130"/>
      <c r="F31" s="130"/>
      <c r="G31" s="130"/>
      <c r="H31" s="130"/>
      <c r="I31" s="130"/>
      <c r="J31" s="130"/>
      <c r="K31" s="130"/>
      <c r="L31" s="130"/>
      <c r="M31" s="130"/>
      <c r="N31" s="130"/>
      <c r="O31" s="130"/>
      <c r="P31" s="130"/>
      <c r="Q31" s="130"/>
      <c r="R31" s="130"/>
      <c r="S31" s="28"/>
    </row>
    <row r="32" spans="2:19" x14ac:dyDescent="0.2">
      <c r="B32" s="24"/>
      <c r="C32" s="130"/>
      <c r="D32" s="130" t="s">
        <v>92</v>
      </c>
      <c r="E32" s="130"/>
      <c r="F32" s="130"/>
      <c r="G32" s="130"/>
      <c r="H32" s="130"/>
      <c r="I32" s="130"/>
      <c r="J32" s="130"/>
      <c r="K32" s="130"/>
      <c r="L32" s="130"/>
      <c r="M32" s="130"/>
      <c r="N32" s="130"/>
      <c r="O32" s="130"/>
      <c r="P32" s="130"/>
      <c r="Q32" s="130"/>
      <c r="R32" s="130"/>
      <c r="S32" s="28"/>
    </row>
    <row r="33" spans="2:19" x14ac:dyDescent="0.2">
      <c r="B33" s="24"/>
      <c r="C33" s="130"/>
      <c r="D33" s="130" t="s">
        <v>93</v>
      </c>
      <c r="E33" s="130"/>
      <c r="F33" s="130"/>
      <c r="G33" s="130"/>
      <c r="H33" s="130"/>
      <c r="I33" s="130"/>
      <c r="J33" s="130"/>
      <c r="K33" s="130"/>
      <c r="L33" s="130"/>
      <c r="M33" s="130"/>
      <c r="N33" s="130"/>
      <c r="O33" s="130"/>
      <c r="P33" s="130"/>
      <c r="Q33" s="130"/>
      <c r="R33" s="130"/>
      <c r="S33" s="28"/>
    </row>
    <row r="34" spans="2:19" x14ac:dyDescent="0.2">
      <c r="B34" s="24"/>
      <c r="C34" s="130"/>
      <c r="D34" s="130"/>
      <c r="E34" s="130"/>
      <c r="F34" s="130"/>
      <c r="G34" s="130"/>
      <c r="H34" s="130"/>
      <c r="I34" s="130"/>
      <c r="J34" s="130"/>
      <c r="K34" s="130"/>
      <c r="L34" s="130"/>
      <c r="M34" s="130"/>
      <c r="N34" s="130"/>
      <c r="O34" s="130"/>
      <c r="P34" s="130"/>
      <c r="Q34" s="130"/>
      <c r="R34" s="130"/>
      <c r="S34" s="28"/>
    </row>
    <row r="35" spans="2:19" x14ac:dyDescent="0.2">
      <c r="B35" s="24"/>
      <c r="C35" s="130"/>
      <c r="D35" s="140" t="s">
        <v>239</v>
      </c>
      <c r="E35" s="130"/>
      <c r="F35" s="130"/>
      <c r="G35" s="130"/>
      <c r="H35" s="130"/>
      <c r="I35" s="130"/>
      <c r="J35" s="130"/>
      <c r="K35" s="130"/>
      <c r="L35" s="130"/>
      <c r="M35" s="130"/>
      <c r="N35" s="130"/>
      <c r="O35" s="130"/>
      <c r="P35" s="130"/>
      <c r="Q35" s="130"/>
      <c r="R35" s="130"/>
      <c r="S35" s="28"/>
    </row>
    <row r="36" spans="2:19" x14ac:dyDescent="0.2">
      <c r="B36" s="24"/>
      <c r="C36" s="130"/>
      <c r="D36" s="141" t="s">
        <v>260</v>
      </c>
      <c r="E36" s="130"/>
      <c r="F36" s="130"/>
      <c r="G36" s="130"/>
      <c r="H36" s="130"/>
      <c r="I36" s="130"/>
      <c r="J36" s="130"/>
      <c r="K36" s="130"/>
      <c r="L36" s="130"/>
      <c r="M36" s="130"/>
      <c r="N36" s="130"/>
      <c r="O36" s="130"/>
      <c r="P36" s="130"/>
      <c r="Q36" s="130"/>
      <c r="R36" s="130"/>
      <c r="S36" s="28"/>
    </row>
    <row r="37" spans="2:19" x14ac:dyDescent="0.2">
      <c r="B37" s="24"/>
      <c r="C37" s="130"/>
      <c r="D37" s="141" t="s">
        <v>240</v>
      </c>
      <c r="E37" s="130"/>
      <c r="F37" s="130"/>
      <c r="G37" s="130"/>
      <c r="H37" s="130"/>
      <c r="I37" s="130"/>
      <c r="J37" s="130"/>
      <c r="K37" s="130"/>
      <c r="L37" s="130"/>
      <c r="M37" s="130"/>
      <c r="N37" s="130"/>
      <c r="O37" s="130"/>
      <c r="P37" s="130"/>
      <c r="Q37" s="130"/>
      <c r="R37" s="130"/>
      <c r="S37" s="28"/>
    </row>
    <row r="38" spans="2:19" x14ac:dyDescent="0.2">
      <c r="B38" s="24"/>
      <c r="C38" s="130"/>
      <c r="D38" s="142" t="s">
        <v>241</v>
      </c>
      <c r="E38" s="130"/>
      <c r="F38" s="130"/>
      <c r="G38" s="130"/>
      <c r="H38" s="130"/>
      <c r="I38" s="130"/>
      <c r="J38" s="130"/>
      <c r="K38" s="130"/>
      <c r="L38" s="130"/>
      <c r="M38" s="130"/>
      <c r="N38" s="130"/>
      <c r="O38" s="130"/>
      <c r="P38" s="130"/>
      <c r="Q38" s="130"/>
      <c r="R38" s="130"/>
      <c r="S38" s="28"/>
    </row>
    <row r="39" spans="2:19" x14ac:dyDescent="0.2">
      <c r="B39" s="24"/>
      <c r="C39" s="130"/>
      <c r="D39" s="143" t="s">
        <v>242</v>
      </c>
      <c r="E39" s="130"/>
      <c r="F39" s="130"/>
      <c r="G39" s="130"/>
      <c r="H39" s="130"/>
      <c r="I39" s="130"/>
      <c r="J39" s="130"/>
      <c r="K39" s="130"/>
      <c r="L39" s="130"/>
      <c r="M39" s="130"/>
      <c r="N39" s="130"/>
      <c r="O39" s="130"/>
      <c r="P39" s="130"/>
      <c r="Q39" s="130"/>
      <c r="R39" s="130"/>
      <c r="S39" s="28"/>
    </row>
    <row r="40" spans="2:19" x14ac:dyDescent="0.2">
      <c r="B40" s="24"/>
      <c r="C40" s="130"/>
      <c r="D40" s="141" t="s">
        <v>262</v>
      </c>
      <c r="E40" s="130"/>
      <c r="F40" s="130"/>
      <c r="G40" s="130"/>
      <c r="H40" s="130"/>
      <c r="I40" s="130"/>
      <c r="J40" s="130"/>
      <c r="K40" s="130"/>
      <c r="L40" s="130"/>
      <c r="M40" s="130"/>
      <c r="N40" s="130"/>
      <c r="O40" s="130"/>
      <c r="P40" s="130"/>
      <c r="Q40" s="130"/>
      <c r="R40" s="130"/>
      <c r="S40" s="28"/>
    </row>
    <row r="41" spans="2:19" x14ac:dyDescent="0.2">
      <c r="B41" s="24"/>
      <c r="C41" s="130"/>
      <c r="D41" s="141" t="s">
        <v>243</v>
      </c>
      <c r="E41" s="130"/>
      <c r="F41" s="130"/>
      <c r="G41" s="130"/>
      <c r="H41" s="130"/>
      <c r="I41" s="130"/>
      <c r="J41" s="130"/>
      <c r="K41" s="130"/>
      <c r="L41" s="130"/>
      <c r="M41" s="130"/>
      <c r="N41" s="130"/>
      <c r="O41" s="130"/>
      <c r="P41" s="130"/>
      <c r="Q41" s="130"/>
      <c r="R41" s="130"/>
      <c r="S41" s="28"/>
    </row>
    <row r="42" spans="2:19" x14ac:dyDescent="0.2">
      <c r="B42" s="24"/>
      <c r="C42" s="130"/>
      <c r="D42" s="143" t="s">
        <v>244</v>
      </c>
      <c r="E42" s="130"/>
      <c r="F42" s="130"/>
      <c r="G42" s="130"/>
      <c r="H42" s="130"/>
      <c r="I42" s="130"/>
      <c r="J42" s="130"/>
      <c r="K42" s="130"/>
      <c r="L42" s="130"/>
      <c r="M42" s="130"/>
      <c r="N42" s="130"/>
      <c r="O42" s="130"/>
      <c r="P42" s="130"/>
      <c r="Q42" s="130"/>
      <c r="R42" s="130"/>
      <c r="S42" s="28"/>
    </row>
    <row r="43" spans="2:19" x14ac:dyDescent="0.2">
      <c r="B43" s="24"/>
      <c r="C43" s="130"/>
      <c r="D43" s="141" t="s">
        <v>249</v>
      </c>
      <c r="E43" s="130"/>
      <c r="F43" s="130"/>
      <c r="G43" s="130"/>
      <c r="H43" s="130"/>
      <c r="I43" s="130"/>
      <c r="J43" s="130"/>
      <c r="K43" s="130"/>
      <c r="L43" s="130"/>
      <c r="M43" s="130"/>
      <c r="N43" s="130"/>
      <c r="O43" s="130"/>
      <c r="P43" s="130"/>
      <c r="Q43" s="130"/>
      <c r="R43" s="130"/>
      <c r="S43" s="28"/>
    </row>
    <row r="44" spans="2:19" x14ac:dyDescent="0.2">
      <c r="B44" s="24"/>
      <c r="C44" s="130"/>
      <c r="D44" s="144" t="s">
        <v>250</v>
      </c>
      <c r="E44" s="130"/>
      <c r="F44" s="130"/>
      <c r="G44" s="130"/>
      <c r="H44" s="130"/>
      <c r="I44" s="130"/>
      <c r="J44" s="130"/>
      <c r="K44" s="130"/>
      <c r="L44" s="130"/>
      <c r="M44" s="130"/>
      <c r="N44" s="130"/>
      <c r="O44" s="130"/>
      <c r="P44" s="130"/>
      <c r="Q44" s="130"/>
      <c r="R44" s="130"/>
      <c r="S44" s="28"/>
    </row>
    <row r="45" spans="2:19" x14ac:dyDescent="0.2">
      <c r="B45" s="24"/>
      <c r="C45" s="130"/>
      <c r="D45" s="143" t="s">
        <v>245</v>
      </c>
      <c r="E45" s="130"/>
      <c r="F45" s="130"/>
      <c r="G45" s="130"/>
      <c r="H45" s="130"/>
      <c r="I45" s="130"/>
      <c r="J45" s="130"/>
      <c r="K45" s="130"/>
      <c r="L45" s="130"/>
      <c r="M45" s="130"/>
      <c r="N45" s="130"/>
      <c r="O45" s="130"/>
      <c r="P45" s="130"/>
      <c r="Q45" s="130"/>
      <c r="R45" s="130"/>
      <c r="S45" s="28"/>
    </row>
    <row r="46" spans="2:19" x14ac:dyDescent="0.2">
      <c r="B46" s="24"/>
      <c r="C46" s="130"/>
      <c r="D46" s="141" t="s">
        <v>264</v>
      </c>
      <c r="E46" s="130"/>
      <c r="F46" s="130"/>
      <c r="G46" s="130"/>
      <c r="H46" s="130"/>
      <c r="I46" s="130"/>
      <c r="J46" s="130"/>
      <c r="K46" s="130"/>
      <c r="L46" s="130"/>
      <c r="M46" s="130"/>
      <c r="N46" s="130"/>
      <c r="O46" s="130"/>
      <c r="P46" s="130"/>
      <c r="Q46" s="130"/>
      <c r="R46" s="130"/>
      <c r="S46" s="28"/>
    </row>
    <row r="47" spans="2:19" x14ac:dyDescent="0.2">
      <c r="B47" s="24"/>
      <c r="C47" s="130"/>
      <c r="D47" s="141" t="s">
        <v>246</v>
      </c>
      <c r="E47" s="130"/>
      <c r="F47" s="130"/>
      <c r="G47" s="130"/>
      <c r="H47" s="130"/>
      <c r="I47" s="130"/>
      <c r="J47" s="130"/>
      <c r="K47" s="130"/>
      <c r="L47" s="130"/>
      <c r="M47" s="130"/>
      <c r="N47" s="130"/>
      <c r="O47" s="130"/>
      <c r="P47" s="130"/>
      <c r="Q47" s="130"/>
      <c r="R47" s="130"/>
      <c r="S47" s="28"/>
    </row>
    <row r="48" spans="2:19" x14ac:dyDescent="0.2">
      <c r="B48" s="24"/>
      <c r="C48" s="130"/>
      <c r="D48" s="141" t="s">
        <v>251</v>
      </c>
      <c r="E48" s="130"/>
      <c r="F48" s="130"/>
      <c r="G48" s="130"/>
      <c r="H48" s="130"/>
      <c r="I48" s="130"/>
      <c r="J48" s="130"/>
      <c r="K48" s="130"/>
      <c r="L48" s="130"/>
      <c r="M48" s="130"/>
      <c r="N48" s="130"/>
      <c r="O48" s="130"/>
      <c r="P48" s="130"/>
      <c r="Q48" s="130"/>
      <c r="R48" s="130"/>
      <c r="S48" s="28"/>
    </row>
    <row r="49" spans="2:19" x14ac:dyDescent="0.2">
      <c r="B49" s="24"/>
      <c r="C49" s="130"/>
      <c r="D49" s="141"/>
      <c r="E49" s="130"/>
      <c r="F49" s="130"/>
      <c r="G49" s="130"/>
      <c r="H49" s="130"/>
      <c r="I49" s="130"/>
      <c r="J49" s="130"/>
      <c r="K49" s="130"/>
      <c r="L49" s="130"/>
      <c r="M49" s="130"/>
      <c r="N49" s="130"/>
      <c r="O49" s="130"/>
      <c r="P49" s="130"/>
      <c r="Q49" s="130"/>
      <c r="R49" s="130"/>
      <c r="S49" s="28"/>
    </row>
    <row r="50" spans="2:19" x14ac:dyDescent="0.2">
      <c r="B50" s="24"/>
      <c r="C50" s="130"/>
      <c r="D50" s="145" t="s">
        <v>247</v>
      </c>
      <c r="E50" s="130"/>
      <c r="F50" s="130"/>
      <c r="G50" s="130"/>
      <c r="H50" s="130"/>
      <c r="I50" s="130"/>
      <c r="J50" s="130"/>
      <c r="K50" s="130"/>
      <c r="L50" s="130"/>
      <c r="M50" s="130"/>
      <c r="N50" s="130"/>
      <c r="O50" s="130"/>
      <c r="P50" s="130"/>
      <c r="Q50" s="130"/>
      <c r="R50" s="130"/>
      <c r="S50" s="28"/>
    </row>
    <row r="51" spans="2:19" x14ac:dyDescent="0.2">
      <c r="B51" s="24"/>
      <c r="C51" s="130"/>
      <c r="D51" s="130" t="s">
        <v>94</v>
      </c>
      <c r="E51" s="130"/>
      <c r="F51" s="130"/>
      <c r="G51" s="130"/>
      <c r="H51" s="130"/>
      <c r="I51" s="130"/>
      <c r="J51" s="130"/>
      <c r="K51" s="130"/>
      <c r="L51" s="130"/>
      <c r="M51" s="130"/>
      <c r="N51" s="130"/>
      <c r="O51" s="130"/>
      <c r="P51" s="130"/>
      <c r="Q51" s="130"/>
      <c r="R51" s="130"/>
      <c r="S51" s="28"/>
    </row>
    <row r="52" spans="2:19" x14ac:dyDescent="0.2">
      <c r="B52" s="24"/>
      <c r="C52" s="130"/>
      <c r="D52" s="130" t="s">
        <v>95</v>
      </c>
      <c r="E52" s="130"/>
      <c r="F52" s="130"/>
      <c r="G52" s="130"/>
      <c r="H52" s="130"/>
      <c r="I52" s="130"/>
      <c r="J52" s="130"/>
      <c r="K52" s="130"/>
      <c r="L52" s="130"/>
      <c r="M52" s="130"/>
      <c r="N52" s="130"/>
      <c r="O52" s="130"/>
      <c r="P52" s="130"/>
      <c r="Q52" s="130"/>
      <c r="R52" s="130"/>
      <c r="S52" s="28"/>
    </row>
    <row r="53" spans="2:19" x14ac:dyDescent="0.2">
      <c r="B53" s="24"/>
      <c r="C53" s="130"/>
      <c r="D53" s="130" t="s">
        <v>96</v>
      </c>
      <c r="E53" s="130"/>
      <c r="F53" s="130"/>
      <c r="G53" s="130"/>
      <c r="H53" s="130"/>
      <c r="I53" s="130"/>
      <c r="J53" s="130"/>
      <c r="K53" s="130"/>
      <c r="L53" s="130"/>
      <c r="M53" s="130"/>
      <c r="N53" s="130"/>
      <c r="O53" s="130"/>
      <c r="P53" s="130"/>
      <c r="Q53" s="130"/>
      <c r="R53" s="130"/>
      <c r="S53" s="28"/>
    </row>
    <row r="54" spans="2:19" x14ac:dyDescent="0.2">
      <c r="B54" s="24"/>
      <c r="C54" s="130"/>
      <c r="D54" s="130" t="s">
        <v>97</v>
      </c>
      <c r="E54" s="130"/>
      <c r="F54" s="130"/>
      <c r="G54" s="130"/>
      <c r="H54" s="130"/>
      <c r="I54" s="130"/>
      <c r="J54" s="130"/>
      <c r="K54" s="130"/>
      <c r="L54" s="130"/>
      <c r="M54" s="130"/>
      <c r="N54" s="130"/>
      <c r="O54" s="130"/>
      <c r="P54" s="130"/>
      <c r="Q54" s="130"/>
      <c r="R54" s="130"/>
      <c r="S54" s="28"/>
    </row>
    <row r="55" spans="2:19" x14ac:dyDescent="0.2">
      <c r="B55" s="24"/>
      <c r="C55" s="130"/>
      <c r="D55" s="130"/>
      <c r="E55" s="130"/>
      <c r="F55" s="130"/>
      <c r="G55" s="130"/>
      <c r="H55" s="130"/>
      <c r="I55" s="130"/>
      <c r="J55" s="130"/>
      <c r="K55" s="130"/>
      <c r="L55" s="130"/>
      <c r="M55" s="130"/>
      <c r="N55" s="130"/>
      <c r="O55" s="130"/>
      <c r="P55" s="130"/>
      <c r="Q55" s="130"/>
      <c r="R55" s="130"/>
      <c r="S55" s="28"/>
    </row>
    <row r="56" spans="2:19" x14ac:dyDescent="0.2">
      <c r="B56" s="24"/>
      <c r="C56" s="130"/>
      <c r="D56" s="130" t="s">
        <v>98</v>
      </c>
      <c r="E56" s="130"/>
      <c r="F56" s="130"/>
      <c r="G56" s="130"/>
      <c r="H56" s="130"/>
      <c r="I56" s="130"/>
      <c r="J56" s="130"/>
      <c r="K56" s="130"/>
      <c r="L56" s="130"/>
      <c r="M56" s="130"/>
      <c r="N56" s="130"/>
      <c r="O56" s="130"/>
      <c r="P56" s="130"/>
      <c r="Q56" s="130"/>
      <c r="R56" s="130"/>
      <c r="S56" s="28"/>
    </row>
    <row r="57" spans="2:19" x14ac:dyDescent="0.2">
      <c r="B57" s="24"/>
      <c r="C57" s="130"/>
      <c r="D57" s="141" t="s">
        <v>248</v>
      </c>
      <c r="E57" s="130"/>
      <c r="F57" s="130"/>
      <c r="G57" s="130"/>
      <c r="H57" s="130"/>
      <c r="I57" s="130"/>
      <c r="J57" s="130"/>
      <c r="K57" s="130"/>
      <c r="L57" s="130"/>
      <c r="M57" s="130"/>
      <c r="N57" s="130"/>
      <c r="O57" s="130"/>
      <c r="P57" s="130"/>
      <c r="Q57" s="130"/>
      <c r="R57" s="130"/>
      <c r="S57" s="28"/>
    </row>
    <row r="58" spans="2:19" x14ac:dyDescent="0.2">
      <c r="B58" s="24"/>
      <c r="C58" s="130"/>
      <c r="D58" s="130" t="s">
        <v>99</v>
      </c>
      <c r="E58" s="130"/>
      <c r="F58" s="130"/>
      <c r="G58" s="130"/>
      <c r="H58" s="130"/>
      <c r="I58" s="130"/>
      <c r="J58" s="130"/>
      <c r="K58" s="130"/>
      <c r="L58" s="130"/>
      <c r="M58" s="130"/>
      <c r="N58" s="130"/>
      <c r="O58" s="130"/>
      <c r="P58" s="130"/>
      <c r="Q58" s="130"/>
      <c r="R58" s="130"/>
      <c r="S58" s="28"/>
    </row>
    <row r="59" spans="2:19" x14ac:dyDescent="0.2">
      <c r="B59" s="24"/>
      <c r="C59" s="130"/>
      <c r="D59" s="130" t="s">
        <v>100</v>
      </c>
      <c r="E59" s="130"/>
      <c r="F59" s="130"/>
      <c r="G59" s="130"/>
      <c r="H59" s="130"/>
      <c r="I59" s="130"/>
      <c r="J59" s="130"/>
      <c r="K59" s="130"/>
      <c r="L59" s="130"/>
      <c r="M59" s="130"/>
      <c r="N59" s="130"/>
      <c r="O59" s="130"/>
      <c r="P59" s="130"/>
      <c r="Q59" s="130"/>
      <c r="R59" s="130"/>
      <c r="S59" s="28"/>
    </row>
    <row r="60" spans="2:19" x14ac:dyDescent="0.2">
      <c r="B60" s="24"/>
      <c r="C60" s="130"/>
      <c r="D60" s="130"/>
      <c r="E60" s="130"/>
      <c r="F60" s="130"/>
      <c r="G60" s="130"/>
      <c r="H60" s="130"/>
      <c r="I60" s="130"/>
      <c r="J60" s="130"/>
      <c r="K60" s="130"/>
      <c r="L60" s="130"/>
      <c r="M60" s="130"/>
      <c r="N60" s="130"/>
      <c r="O60" s="130"/>
      <c r="P60" s="130"/>
      <c r="Q60" s="130"/>
      <c r="R60" s="130"/>
      <c r="S60" s="28"/>
    </row>
    <row r="61" spans="2:19" x14ac:dyDescent="0.2">
      <c r="B61" s="24"/>
      <c r="C61" s="130"/>
      <c r="D61" s="130" t="s">
        <v>101</v>
      </c>
      <c r="E61" s="130"/>
      <c r="F61" s="130"/>
      <c r="G61" s="130"/>
      <c r="H61" s="130"/>
      <c r="I61" s="130"/>
      <c r="J61" s="130"/>
      <c r="K61" s="130"/>
      <c r="L61" s="130"/>
      <c r="M61" s="130"/>
      <c r="N61" s="130"/>
      <c r="O61" s="130"/>
      <c r="P61" s="130"/>
      <c r="Q61" s="130"/>
      <c r="R61" s="130"/>
      <c r="S61" s="28"/>
    </row>
    <row r="62" spans="2:19" x14ac:dyDescent="0.2">
      <c r="B62" s="24"/>
      <c r="C62" s="130"/>
      <c r="D62" s="130" t="s">
        <v>102</v>
      </c>
      <c r="E62" s="130"/>
      <c r="F62" s="130"/>
      <c r="G62" s="130"/>
      <c r="H62" s="130"/>
      <c r="I62" s="130"/>
      <c r="J62" s="130"/>
      <c r="K62" s="130"/>
      <c r="L62" s="130"/>
      <c r="M62" s="130"/>
      <c r="N62" s="130"/>
      <c r="O62" s="130"/>
      <c r="P62" s="130"/>
      <c r="Q62" s="130"/>
      <c r="R62" s="130"/>
      <c r="S62" s="28"/>
    </row>
    <row r="63" spans="2:19" x14ac:dyDescent="0.2">
      <c r="B63" s="24"/>
      <c r="C63" s="130"/>
      <c r="D63" s="130" t="s">
        <v>103</v>
      </c>
      <c r="E63" s="130"/>
      <c r="F63" s="130"/>
      <c r="G63" s="130"/>
      <c r="H63" s="130"/>
      <c r="I63" s="130"/>
      <c r="J63" s="130"/>
      <c r="K63" s="130"/>
      <c r="L63" s="130"/>
      <c r="M63" s="130"/>
      <c r="N63" s="130"/>
      <c r="O63" s="130"/>
      <c r="P63" s="130"/>
      <c r="Q63" s="130"/>
      <c r="R63" s="130"/>
      <c r="S63" s="28"/>
    </row>
    <row r="64" spans="2:19" x14ac:dyDescent="0.2">
      <c r="B64" s="24"/>
      <c r="C64" s="130"/>
      <c r="D64" s="130" t="s">
        <v>104</v>
      </c>
      <c r="E64" s="130"/>
      <c r="F64" s="130"/>
      <c r="G64" s="130"/>
      <c r="H64" s="130"/>
      <c r="I64" s="130"/>
      <c r="J64" s="130"/>
      <c r="K64" s="130"/>
      <c r="L64" s="130"/>
      <c r="M64" s="130"/>
      <c r="N64" s="130"/>
      <c r="O64" s="130"/>
      <c r="P64" s="130"/>
      <c r="Q64" s="130"/>
      <c r="R64" s="130"/>
      <c r="S64" s="28"/>
    </row>
    <row r="65" spans="2:21" x14ac:dyDescent="0.2">
      <c r="B65" s="24"/>
      <c r="C65" s="130"/>
      <c r="D65" s="130"/>
      <c r="E65" s="130"/>
      <c r="F65" s="130"/>
      <c r="G65" s="130"/>
      <c r="H65" s="130"/>
      <c r="I65" s="130"/>
      <c r="J65" s="130"/>
      <c r="K65" s="130"/>
      <c r="L65" s="130"/>
      <c r="M65" s="130"/>
      <c r="N65" s="130"/>
      <c r="O65" s="130"/>
      <c r="P65" s="130"/>
      <c r="Q65" s="130"/>
      <c r="R65" s="130"/>
      <c r="S65" s="28"/>
      <c r="U65" s="128"/>
    </row>
    <row r="66" spans="2:21" x14ac:dyDescent="0.2">
      <c r="B66" s="24"/>
      <c r="C66" s="130"/>
      <c r="D66" s="279" t="s">
        <v>105</v>
      </c>
      <c r="E66" s="130"/>
      <c r="F66" s="130"/>
      <c r="G66" s="130"/>
      <c r="H66" s="130"/>
      <c r="I66" s="130"/>
      <c r="J66" s="130"/>
      <c r="K66" s="130"/>
      <c r="L66" s="130"/>
      <c r="M66" s="130"/>
      <c r="N66" s="130"/>
      <c r="O66" s="130"/>
      <c r="P66" s="130"/>
      <c r="Q66" s="130"/>
      <c r="R66" s="130"/>
      <c r="S66" s="28"/>
      <c r="U66" s="129"/>
    </row>
    <row r="67" spans="2:21" x14ac:dyDescent="0.2">
      <c r="B67" s="24"/>
      <c r="C67" s="130"/>
      <c r="D67" s="279" t="s">
        <v>233</v>
      </c>
      <c r="E67" s="130"/>
      <c r="F67" s="130"/>
      <c r="G67" s="130"/>
      <c r="H67" s="130"/>
      <c r="I67" s="130"/>
      <c r="J67" s="130"/>
      <c r="K67" s="130"/>
      <c r="L67" s="130"/>
      <c r="M67" s="130"/>
      <c r="N67" s="130"/>
      <c r="O67" s="130"/>
      <c r="P67" s="130"/>
      <c r="Q67" s="130"/>
      <c r="R67" s="130"/>
      <c r="S67" s="28"/>
      <c r="U67" s="128"/>
    </row>
    <row r="68" spans="2:21" x14ac:dyDescent="0.2">
      <c r="B68" s="24"/>
      <c r="C68" s="130"/>
      <c r="D68" s="279" t="s">
        <v>234</v>
      </c>
      <c r="E68" s="130"/>
      <c r="F68" s="130"/>
      <c r="G68" s="130"/>
      <c r="H68" s="130"/>
      <c r="I68" s="130"/>
      <c r="J68" s="130"/>
      <c r="K68" s="130"/>
      <c r="L68" s="130"/>
      <c r="M68" s="130"/>
      <c r="N68" s="130"/>
      <c r="O68" s="130"/>
      <c r="P68" s="130"/>
      <c r="Q68" s="130"/>
      <c r="R68" s="130"/>
      <c r="S68" s="28"/>
    </row>
    <row r="69" spans="2:21" x14ac:dyDescent="0.2">
      <c r="B69" s="24"/>
      <c r="C69" s="130"/>
      <c r="D69" s="279" t="s">
        <v>231</v>
      </c>
      <c r="E69" s="130"/>
      <c r="F69" s="130"/>
      <c r="G69" s="130"/>
      <c r="H69" s="130"/>
      <c r="I69" s="130"/>
      <c r="J69" s="130"/>
      <c r="K69" s="130"/>
      <c r="L69" s="130"/>
      <c r="M69" s="130"/>
      <c r="N69" s="130"/>
      <c r="O69" s="130"/>
      <c r="P69" s="130"/>
      <c r="Q69" s="130"/>
      <c r="R69" s="130"/>
      <c r="S69" s="28"/>
    </row>
    <row r="70" spans="2:21" x14ac:dyDescent="0.2">
      <c r="B70" s="24"/>
      <c r="C70" s="130"/>
      <c r="D70" s="130"/>
      <c r="E70" s="130"/>
      <c r="F70" s="130"/>
      <c r="G70" s="130"/>
      <c r="H70" s="130"/>
      <c r="I70" s="130"/>
      <c r="J70" s="130"/>
      <c r="K70" s="130"/>
      <c r="L70" s="130"/>
      <c r="M70" s="130"/>
      <c r="N70" s="130"/>
      <c r="O70" s="130"/>
      <c r="P70" s="130"/>
      <c r="Q70" s="130"/>
      <c r="R70" s="130"/>
      <c r="S70" s="28"/>
    </row>
    <row r="71" spans="2:21" x14ac:dyDescent="0.2">
      <c r="B71" s="24"/>
      <c r="C71" s="130"/>
      <c r="D71" s="130" t="s">
        <v>256</v>
      </c>
      <c r="E71" s="130"/>
      <c r="F71" s="130"/>
      <c r="G71" s="130"/>
      <c r="H71" s="130"/>
      <c r="I71" s="130"/>
      <c r="J71" s="130"/>
      <c r="K71" s="130"/>
      <c r="L71" s="130"/>
      <c r="M71" s="130"/>
      <c r="N71" s="130"/>
      <c r="O71" s="130"/>
      <c r="P71" s="130"/>
      <c r="Q71" s="130"/>
      <c r="R71" s="130"/>
      <c r="S71" s="28"/>
    </row>
    <row r="72" spans="2:21" x14ac:dyDescent="0.2">
      <c r="B72" s="24"/>
      <c r="C72" s="130"/>
      <c r="D72" s="130" t="s">
        <v>254</v>
      </c>
      <c r="E72" s="130"/>
      <c r="F72" s="130"/>
      <c r="G72" s="130"/>
      <c r="H72" s="130"/>
      <c r="I72" s="130"/>
      <c r="J72" s="130"/>
      <c r="K72" s="130"/>
      <c r="L72" s="130"/>
      <c r="M72" s="130"/>
      <c r="N72" s="130"/>
      <c r="O72" s="130"/>
      <c r="P72" s="130"/>
      <c r="Q72" s="130"/>
      <c r="R72" s="130"/>
      <c r="S72" s="28"/>
    </row>
    <row r="73" spans="2:21" x14ac:dyDescent="0.2">
      <c r="B73" s="24"/>
      <c r="C73" s="130"/>
      <c r="D73" s="130" t="s">
        <v>255</v>
      </c>
      <c r="E73" s="130"/>
      <c r="F73" s="130"/>
      <c r="G73" s="130"/>
      <c r="H73" s="130"/>
      <c r="I73" s="130"/>
      <c r="J73" s="130"/>
      <c r="K73" s="130"/>
      <c r="L73" s="130"/>
      <c r="M73" s="130"/>
      <c r="N73" s="130"/>
      <c r="O73" s="130"/>
      <c r="P73" s="130"/>
      <c r="Q73" s="130"/>
      <c r="R73" s="130"/>
      <c r="S73" s="28"/>
    </row>
    <row r="74" spans="2:21" x14ac:dyDescent="0.2">
      <c r="B74" s="24"/>
      <c r="C74" s="130"/>
      <c r="D74" s="130"/>
      <c r="E74" s="130"/>
      <c r="F74" s="130"/>
      <c r="G74" s="130"/>
      <c r="H74" s="130"/>
      <c r="I74" s="130"/>
      <c r="J74" s="130"/>
      <c r="K74" s="130"/>
      <c r="L74" s="130"/>
      <c r="M74" s="130"/>
      <c r="N74" s="130"/>
      <c r="O74" s="130"/>
      <c r="P74" s="130"/>
      <c r="Q74" s="130"/>
      <c r="R74" s="130"/>
      <c r="S74" s="28"/>
    </row>
    <row r="75" spans="2:21" x14ac:dyDescent="0.2">
      <c r="B75" s="24"/>
      <c r="C75" s="130"/>
      <c r="D75" s="139" t="s">
        <v>28</v>
      </c>
      <c r="E75" s="130"/>
      <c r="F75" s="130"/>
      <c r="G75" s="130"/>
      <c r="H75" s="130"/>
      <c r="I75" s="130"/>
      <c r="J75" s="130"/>
      <c r="K75" s="130"/>
      <c r="L75" s="130"/>
      <c r="M75" s="130"/>
      <c r="N75" s="130"/>
      <c r="O75" s="130"/>
      <c r="P75" s="130"/>
      <c r="Q75" s="130"/>
      <c r="R75" s="130"/>
      <c r="S75" s="28"/>
    </row>
    <row r="76" spans="2:21" x14ac:dyDescent="0.2">
      <c r="B76" s="24"/>
      <c r="C76" s="130"/>
      <c r="D76" s="130" t="s">
        <v>265</v>
      </c>
      <c r="E76" s="130"/>
      <c r="F76" s="130"/>
      <c r="G76" s="130"/>
      <c r="H76" s="130"/>
      <c r="I76" s="130"/>
      <c r="J76" s="130"/>
      <c r="K76" s="130"/>
      <c r="L76" s="130"/>
      <c r="M76" s="130"/>
      <c r="N76" s="130"/>
      <c r="O76" s="130"/>
      <c r="P76" s="130"/>
      <c r="Q76" s="130"/>
      <c r="R76" s="130"/>
      <c r="S76" s="28"/>
    </row>
    <row r="77" spans="2:21" x14ac:dyDescent="0.2">
      <c r="B77" s="24"/>
      <c r="C77" s="130"/>
      <c r="D77" s="130"/>
      <c r="E77" s="130"/>
      <c r="F77" s="130"/>
      <c r="G77" s="130"/>
      <c r="H77" s="130"/>
      <c r="I77" s="130"/>
      <c r="J77" s="130"/>
      <c r="K77" s="130"/>
      <c r="L77" s="130"/>
      <c r="M77" s="130"/>
      <c r="N77" s="130"/>
      <c r="O77" s="130"/>
      <c r="P77" s="130"/>
      <c r="Q77" s="130"/>
      <c r="R77" s="130"/>
      <c r="S77" s="28"/>
    </row>
    <row r="78" spans="2:21" hidden="1" x14ac:dyDescent="0.2">
      <c r="B78" s="24"/>
      <c r="C78" s="130"/>
      <c r="D78" s="139" t="s">
        <v>106</v>
      </c>
      <c r="E78" s="130"/>
      <c r="F78" s="130"/>
      <c r="G78" s="130"/>
      <c r="H78" s="130"/>
      <c r="I78" s="130"/>
      <c r="J78" s="130"/>
      <c r="K78" s="130"/>
      <c r="L78" s="130"/>
      <c r="M78" s="130"/>
      <c r="N78" s="130"/>
      <c r="O78" s="130"/>
      <c r="P78" s="130"/>
      <c r="Q78" s="130"/>
      <c r="R78" s="130"/>
      <c r="S78" s="28"/>
    </row>
    <row r="79" spans="2:21" hidden="1" x14ac:dyDescent="0.2">
      <c r="B79" s="24"/>
      <c r="C79" s="130"/>
      <c r="D79" s="130" t="s">
        <v>282</v>
      </c>
      <c r="E79" s="130"/>
      <c r="F79" s="130"/>
      <c r="G79" s="130"/>
      <c r="H79" s="130"/>
      <c r="I79" s="130"/>
      <c r="J79" s="130"/>
      <c r="K79" s="130"/>
      <c r="L79" s="130"/>
      <c r="M79" s="130"/>
      <c r="N79" s="130"/>
      <c r="O79" s="130"/>
      <c r="P79" s="130"/>
      <c r="Q79" s="130"/>
      <c r="R79" s="130"/>
      <c r="S79" s="28"/>
    </row>
    <row r="80" spans="2:21" hidden="1" x14ac:dyDescent="0.2">
      <c r="B80" s="24"/>
      <c r="C80" s="130"/>
      <c r="D80" s="130"/>
      <c r="E80" s="130"/>
      <c r="F80" s="130"/>
      <c r="G80" s="130"/>
      <c r="H80" s="130"/>
      <c r="I80" s="130"/>
      <c r="J80" s="130"/>
      <c r="K80" s="130"/>
      <c r="L80" s="130"/>
      <c r="M80" s="130"/>
      <c r="N80" s="130"/>
      <c r="O80" s="130"/>
      <c r="P80" s="130"/>
      <c r="Q80" s="130"/>
      <c r="R80" s="130"/>
      <c r="S80" s="28"/>
    </row>
    <row r="81" spans="2:19" x14ac:dyDescent="0.2">
      <c r="B81" s="24"/>
      <c r="C81" s="130"/>
      <c r="D81" s="139" t="s">
        <v>107</v>
      </c>
      <c r="E81" s="130"/>
      <c r="F81" s="130"/>
      <c r="G81" s="130"/>
      <c r="H81" s="130"/>
      <c r="I81" s="130"/>
      <c r="J81" s="130"/>
      <c r="K81" s="130"/>
      <c r="L81" s="130"/>
      <c r="M81" s="130"/>
      <c r="N81" s="130"/>
      <c r="O81" s="130"/>
      <c r="P81" s="130"/>
      <c r="Q81" s="130"/>
      <c r="R81" s="130"/>
      <c r="S81" s="28"/>
    </row>
    <row r="82" spans="2:19" x14ac:dyDescent="0.2">
      <c r="B82" s="24"/>
      <c r="C82" s="130"/>
      <c r="D82" s="130" t="s">
        <v>108</v>
      </c>
      <c r="E82" s="130"/>
      <c r="F82" s="130"/>
      <c r="G82" s="130"/>
      <c r="H82" s="130"/>
      <c r="I82" s="130"/>
      <c r="J82" s="130"/>
      <c r="K82" s="130"/>
      <c r="L82" s="130"/>
      <c r="M82" s="130"/>
      <c r="N82" s="130"/>
      <c r="O82" s="130"/>
      <c r="P82" s="130"/>
      <c r="Q82" s="138"/>
      <c r="R82" s="130"/>
      <c r="S82" s="28"/>
    </row>
    <row r="83" spans="2:19" x14ac:dyDescent="0.2">
      <c r="B83" s="24"/>
      <c r="C83" s="130"/>
      <c r="D83" s="130"/>
      <c r="E83" s="130"/>
      <c r="F83" s="130"/>
      <c r="G83" s="130"/>
      <c r="H83" s="130"/>
      <c r="I83" s="130"/>
      <c r="J83" s="130"/>
      <c r="K83" s="130"/>
      <c r="L83" s="130"/>
      <c r="M83" s="130"/>
      <c r="N83" s="130"/>
      <c r="O83" s="130"/>
      <c r="P83" s="130"/>
      <c r="Q83" s="138"/>
      <c r="R83" s="130"/>
      <c r="S83" s="28"/>
    </row>
    <row r="84" spans="2:19" x14ac:dyDescent="0.2">
      <c r="B84" s="24"/>
      <c r="C84" s="130"/>
      <c r="D84" s="139" t="s">
        <v>109</v>
      </c>
      <c r="E84" s="130"/>
      <c r="F84" s="130"/>
      <c r="G84" s="130"/>
      <c r="H84" s="130"/>
      <c r="I84" s="130"/>
      <c r="J84" s="130"/>
      <c r="K84" s="130"/>
      <c r="L84" s="130"/>
      <c r="M84" s="130"/>
      <c r="N84" s="130"/>
      <c r="O84" s="130"/>
      <c r="P84" s="130"/>
      <c r="Q84" s="138"/>
      <c r="R84" s="130"/>
      <c r="S84" s="28"/>
    </row>
    <row r="85" spans="2:19" x14ac:dyDescent="0.2">
      <c r="B85" s="24"/>
      <c r="C85" s="130"/>
      <c r="D85" s="130" t="s">
        <v>257</v>
      </c>
      <c r="E85" s="130"/>
      <c r="F85" s="130"/>
      <c r="G85" s="130"/>
      <c r="H85" s="130"/>
      <c r="I85" s="130"/>
      <c r="J85" s="130"/>
      <c r="K85" s="130"/>
      <c r="L85" s="130"/>
      <c r="M85" s="130"/>
      <c r="N85" s="130"/>
      <c r="O85" s="130"/>
      <c r="P85" s="130"/>
      <c r="Q85" s="130"/>
      <c r="R85" s="130"/>
      <c r="S85" s="28"/>
    </row>
    <row r="86" spans="2:19" x14ac:dyDescent="0.2">
      <c r="B86" s="24"/>
      <c r="C86" s="130"/>
      <c r="D86" s="130" t="s">
        <v>258</v>
      </c>
      <c r="E86" s="130"/>
      <c r="F86" s="130"/>
      <c r="G86" s="130"/>
      <c r="H86" s="130"/>
      <c r="I86" s="130"/>
      <c r="J86" s="130"/>
      <c r="K86" s="130"/>
      <c r="L86" s="130"/>
      <c r="M86" s="130"/>
      <c r="N86" s="130"/>
      <c r="O86" s="130"/>
      <c r="P86" s="130"/>
      <c r="Q86" s="130"/>
      <c r="R86" s="130"/>
      <c r="S86" s="28"/>
    </row>
    <row r="87" spans="2:19" ht="13.5" thickBot="1" x14ac:dyDescent="0.25">
      <c r="B87" s="120"/>
      <c r="C87" s="146"/>
      <c r="D87" s="146"/>
      <c r="E87" s="146"/>
      <c r="F87" s="146"/>
      <c r="G87" s="146"/>
      <c r="H87" s="146"/>
      <c r="I87" s="146"/>
      <c r="J87" s="146"/>
      <c r="K87" s="146"/>
      <c r="L87" s="146"/>
      <c r="M87" s="146"/>
      <c r="N87" s="146"/>
      <c r="O87" s="146"/>
      <c r="P87" s="146"/>
      <c r="Q87" s="146"/>
      <c r="R87" s="146"/>
      <c r="S87" s="121"/>
    </row>
    <row r="88" spans="2:19" x14ac:dyDescent="0.2">
      <c r="B88" s="19"/>
      <c r="C88" s="147"/>
      <c r="D88" s="147"/>
      <c r="E88" s="147"/>
      <c r="F88" s="147"/>
      <c r="G88" s="147"/>
      <c r="H88" s="147"/>
      <c r="I88" s="147"/>
      <c r="J88" s="147"/>
      <c r="K88" s="147"/>
      <c r="L88" s="147"/>
      <c r="M88" s="147"/>
      <c r="N88" s="147"/>
      <c r="O88" s="147"/>
      <c r="P88" s="147"/>
      <c r="Q88" s="147"/>
      <c r="R88" s="147"/>
      <c r="S88" s="23"/>
    </row>
    <row r="89" spans="2:19" x14ac:dyDescent="0.2">
      <c r="B89" s="24"/>
      <c r="C89" s="137" t="s">
        <v>110</v>
      </c>
      <c r="D89" s="131" t="s">
        <v>111</v>
      </c>
      <c r="E89" s="130"/>
      <c r="F89" s="130"/>
      <c r="G89" s="130"/>
      <c r="H89" s="130"/>
      <c r="I89" s="130"/>
      <c r="J89" s="130"/>
      <c r="K89" s="130"/>
      <c r="L89" s="130"/>
      <c r="M89" s="130"/>
      <c r="N89" s="130"/>
      <c r="O89" s="130"/>
      <c r="P89" s="130"/>
      <c r="Q89" s="130"/>
      <c r="R89" s="130"/>
      <c r="S89" s="28"/>
    </row>
    <row r="90" spans="2:19" x14ac:dyDescent="0.2">
      <c r="B90" s="24"/>
      <c r="C90" s="137"/>
      <c r="D90" s="131"/>
      <c r="E90" s="130"/>
      <c r="F90" s="130"/>
      <c r="G90" s="130"/>
      <c r="H90" s="130"/>
      <c r="I90" s="130"/>
      <c r="J90" s="130"/>
      <c r="K90" s="130"/>
      <c r="L90" s="130"/>
      <c r="M90" s="130"/>
      <c r="N90" s="130"/>
      <c r="O90" s="130"/>
      <c r="P90" s="130"/>
      <c r="Q90" s="130"/>
      <c r="R90" s="130"/>
      <c r="S90" s="28"/>
    </row>
    <row r="91" spans="2:19" x14ac:dyDescent="0.2">
      <c r="B91" s="24"/>
      <c r="C91" s="137"/>
      <c r="D91" s="139" t="s">
        <v>43</v>
      </c>
      <c r="E91" s="130"/>
      <c r="F91" s="130"/>
      <c r="G91" s="130"/>
      <c r="H91" s="130"/>
      <c r="I91" s="130"/>
      <c r="J91" s="130"/>
      <c r="K91" s="130"/>
      <c r="L91" s="130"/>
      <c r="M91" s="130"/>
      <c r="N91" s="130"/>
      <c r="O91" s="130"/>
      <c r="P91" s="130"/>
      <c r="Q91" s="130"/>
      <c r="R91" s="130"/>
      <c r="S91" s="28"/>
    </row>
    <row r="92" spans="2:19" x14ac:dyDescent="0.2">
      <c r="B92" s="24"/>
      <c r="C92" s="137"/>
      <c r="D92" s="130" t="s">
        <v>112</v>
      </c>
      <c r="E92" s="130"/>
      <c r="F92" s="130"/>
      <c r="G92" s="130"/>
      <c r="H92" s="130"/>
      <c r="I92" s="130"/>
      <c r="J92" s="130"/>
      <c r="K92" s="130"/>
      <c r="L92" s="130"/>
      <c r="M92" s="130"/>
      <c r="N92" s="130"/>
      <c r="O92" s="130"/>
      <c r="P92" s="130"/>
      <c r="Q92" s="130"/>
      <c r="R92" s="130"/>
      <c r="S92" s="28"/>
    </row>
    <row r="93" spans="2:19" x14ac:dyDescent="0.2">
      <c r="B93" s="24"/>
      <c r="C93" s="137"/>
      <c r="D93" s="130" t="s">
        <v>259</v>
      </c>
      <c r="E93" s="130"/>
      <c r="F93" s="130"/>
      <c r="G93" s="130"/>
      <c r="H93" s="130"/>
      <c r="I93" s="130"/>
      <c r="J93" s="130"/>
      <c r="K93" s="130"/>
      <c r="L93" s="130"/>
      <c r="M93" s="130"/>
      <c r="N93" s="130"/>
      <c r="O93" s="130"/>
      <c r="P93" s="130"/>
      <c r="Q93" s="130"/>
      <c r="R93" s="130"/>
      <c r="S93" s="28"/>
    </row>
    <row r="94" spans="2:19" x14ac:dyDescent="0.2">
      <c r="B94" s="24"/>
      <c r="C94" s="137"/>
      <c r="D94" s="130" t="s">
        <v>113</v>
      </c>
      <c r="E94" s="130"/>
      <c r="F94" s="130"/>
      <c r="G94" s="130"/>
      <c r="H94" s="130"/>
      <c r="I94" s="130"/>
      <c r="J94" s="130"/>
      <c r="K94" s="130"/>
      <c r="L94" s="130"/>
      <c r="M94" s="130"/>
      <c r="N94" s="130"/>
      <c r="O94" s="130"/>
      <c r="P94" s="130"/>
      <c r="Q94" s="130"/>
      <c r="R94" s="130"/>
      <c r="S94" s="28"/>
    </row>
    <row r="95" spans="2:19" x14ac:dyDescent="0.2">
      <c r="B95" s="24"/>
      <c r="C95" s="137"/>
      <c r="D95" s="130"/>
      <c r="E95" s="130"/>
      <c r="F95" s="130"/>
      <c r="G95" s="130"/>
      <c r="H95" s="130"/>
      <c r="I95" s="130"/>
      <c r="J95" s="130"/>
      <c r="K95" s="130"/>
      <c r="L95" s="130"/>
      <c r="M95" s="130"/>
      <c r="N95" s="130"/>
      <c r="O95" s="130"/>
      <c r="P95" s="130"/>
      <c r="Q95" s="130"/>
      <c r="R95" s="130"/>
      <c r="S95" s="28"/>
    </row>
    <row r="96" spans="2:19" x14ac:dyDescent="0.2">
      <c r="B96" s="24"/>
      <c r="C96" s="137"/>
      <c r="D96" s="139" t="s">
        <v>114</v>
      </c>
      <c r="E96" s="130"/>
      <c r="F96" s="130"/>
      <c r="G96" s="130"/>
      <c r="H96" s="130"/>
      <c r="I96" s="130"/>
      <c r="J96" s="130"/>
      <c r="K96" s="130"/>
      <c r="L96" s="130"/>
      <c r="M96" s="130"/>
      <c r="N96" s="130"/>
      <c r="O96" s="130"/>
      <c r="P96" s="130"/>
      <c r="Q96" s="130"/>
      <c r="R96" s="130"/>
      <c r="S96" s="28"/>
    </row>
    <row r="97" spans="2:19" x14ac:dyDescent="0.2">
      <c r="B97" s="24"/>
      <c r="C97" s="137"/>
      <c r="D97" s="130" t="s">
        <v>115</v>
      </c>
      <c r="E97" s="130"/>
      <c r="F97" s="130"/>
      <c r="G97" s="130"/>
      <c r="H97" s="130"/>
      <c r="I97" s="130"/>
      <c r="J97" s="130"/>
      <c r="K97" s="130"/>
      <c r="L97" s="130"/>
      <c r="M97" s="130"/>
      <c r="N97" s="130"/>
      <c r="O97" s="130"/>
      <c r="P97" s="130"/>
      <c r="Q97" s="130"/>
      <c r="R97" s="130"/>
      <c r="S97" s="28"/>
    </row>
    <row r="98" spans="2:19" x14ac:dyDescent="0.2">
      <c r="B98" s="24"/>
      <c r="C98" s="137"/>
      <c r="D98" s="130" t="s">
        <v>116</v>
      </c>
      <c r="E98" s="130"/>
      <c r="F98" s="130"/>
      <c r="G98" s="130"/>
      <c r="H98" s="130"/>
      <c r="I98" s="130"/>
      <c r="J98" s="130"/>
      <c r="K98" s="130"/>
      <c r="L98" s="130"/>
      <c r="M98" s="130"/>
      <c r="N98" s="130"/>
      <c r="O98" s="130"/>
      <c r="P98" s="130"/>
      <c r="Q98" s="130"/>
      <c r="R98" s="130"/>
      <c r="S98" s="28"/>
    </row>
    <row r="99" spans="2:19" x14ac:dyDescent="0.2">
      <c r="B99" s="24"/>
      <c r="C99" s="137"/>
      <c r="D99" s="130" t="s">
        <v>117</v>
      </c>
      <c r="E99" s="130"/>
      <c r="F99" s="130"/>
      <c r="G99" s="130"/>
      <c r="H99" s="130"/>
      <c r="I99" s="130"/>
      <c r="J99" s="130"/>
      <c r="K99" s="130"/>
      <c r="L99" s="130"/>
      <c r="M99" s="130"/>
      <c r="N99" s="130"/>
      <c r="O99" s="130"/>
      <c r="P99" s="130"/>
      <c r="Q99" s="130"/>
      <c r="R99" s="130"/>
      <c r="S99" s="28"/>
    </row>
    <row r="100" spans="2:19" x14ac:dyDescent="0.2">
      <c r="B100" s="24"/>
      <c r="C100" s="137"/>
      <c r="D100" s="130" t="s">
        <v>118</v>
      </c>
      <c r="E100" s="130"/>
      <c r="F100" s="130"/>
      <c r="G100" s="130"/>
      <c r="H100" s="130"/>
      <c r="I100" s="130"/>
      <c r="J100" s="130"/>
      <c r="K100" s="130"/>
      <c r="L100" s="130"/>
      <c r="M100" s="130"/>
      <c r="N100" s="130"/>
      <c r="O100" s="130"/>
      <c r="P100" s="130"/>
      <c r="Q100" s="130"/>
      <c r="R100" s="130"/>
      <c r="S100" s="28"/>
    </row>
    <row r="101" spans="2:19" x14ac:dyDescent="0.2">
      <c r="B101" s="24"/>
      <c r="C101" s="137"/>
      <c r="D101" s="130"/>
      <c r="E101" s="130"/>
      <c r="F101" s="130"/>
      <c r="G101" s="130"/>
      <c r="H101" s="130"/>
      <c r="I101" s="130"/>
      <c r="J101" s="130"/>
      <c r="K101" s="130"/>
      <c r="L101" s="130"/>
      <c r="M101" s="130"/>
      <c r="N101" s="130"/>
      <c r="O101" s="130"/>
      <c r="P101" s="130"/>
      <c r="Q101" s="130"/>
      <c r="R101" s="130"/>
      <c r="S101" s="28"/>
    </row>
    <row r="102" spans="2:19" x14ac:dyDescent="0.2">
      <c r="B102" s="24"/>
      <c r="C102" s="137" t="s">
        <v>119</v>
      </c>
      <c r="D102" s="131" t="s">
        <v>120</v>
      </c>
      <c r="E102" s="130"/>
      <c r="F102" s="130"/>
      <c r="G102" s="130"/>
      <c r="H102" s="130"/>
      <c r="I102" s="130"/>
      <c r="J102" s="130"/>
      <c r="K102" s="130"/>
      <c r="L102" s="130"/>
      <c r="M102" s="130"/>
      <c r="N102" s="130"/>
      <c r="O102" s="130"/>
      <c r="P102" s="130"/>
      <c r="Q102" s="130"/>
      <c r="R102" s="130"/>
      <c r="S102" s="28"/>
    </row>
    <row r="103" spans="2:19" x14ac:dyDescent="0.2">
      <c r="B103" s="24"/>
      <c r="C103" s="137"/>
      <c r="D103" s="131"/>
      <c r="E103" s="130"/>
      <c r="F103" s="130"/>
      <c r="G103" s="130"/>
      <c r="H103" s="130"/>
      <c r="I103" s="130"/>
      <c r="J103" s="130"/>
      <c r="K103" s="130"/>
      <c r="L103" s="130"/>
      <c r="M103" s="130"/>
      <c r="N103" s="130"/>
      <c r="O103" s="130"/>
      <c r="P103" s="130"/>
      <c r="Q103" s="130"/>
      <c r="R103" s="130"/>
      <c r="S103" s="28"/>
    </row>
    <row r="104" spans="2:19" x14ac:dyDescent="0.2">
      <c r="B104" s="24"/>
      <c r="C104" s="137"/>
      <c r="D104" s="130" t="s">
        <v>121</v>
      </c>
      <c r="E104" s="130"/>
      <c r="F104" s="130"/>
      <c r="G104" s="130"/>
      <c r="H104" s="130"/>
      <c r="I104" s="130"/>
      <c r="J104" s="130"/>
      <c r="K104" s="130"/>
      <c r="L104" s="130"/>
      <c r="M104" s="130"/>
      <c r="N104" s="130"/>
      <c r="O104" s="130"/>
      <c r="P104" s="130"/>
      <c r="Q104" s="130"/>
      <c r="R104" s="130"/>
      <c r="S104" s="28"/>
    </row>
    <row r="105" spans="2:19" x14ac:dyDescent="0.2">
      <c r="B105" s="24"/>
      <c r="C105" s="137"/>
      <c r="D105" s="130" t="s">
        <v>122</v>
      </c>
      <c r="E105" s="130"/>
      <c r="F105" s="130"/>
      <c r="G105" s="130"/>
      <c r="H105" s="130"/>
      <c r="I105" s="130"/>
      <c r="J105" s="130"/>
      <c r="K105" s="130"/>
      <c r="L105" s="130"/>
      <c r="M105" s="130"/>
      <c r="N105" s="130"/>
      <c r="O105" s="130"/>
      <c r="P105" s="130"/>
      <c r="Q105" s="130"/>
      <c r="R105" s="130"/>
      <c r="S105" s="28"/>
    </row>
    <row r="106" spans="2:19" x14ac:dyDescent="0.2">
      <c r="B106" s="24"/>
      <c r="C106" s="137"/>
      <c r="D106" s="130" t="s">
        <v>123</v>
      </c>
      <c r="E106" s="130"/>
      <c r="F106" s="130"/>
      <c r="G106" s="130"/>
      <c r="H106" s="130"/>
      <c r="I106" s="130"/>
      <c r="J106" s="130"/>
      <c r="K106" s="130"/>
      <c r="L106" s="130"/>
      <c r="M106" s="130"/>
      <c r="N106" s="130"/>
      <c r="O106" s="130"/>
      <c r="P106" s="130"/>
      <c r="Q106" s="130"/>
      <c r="R106" s="130"/>
      <c r="S106" s="28"/>
    </row>
    <row r="107" spans="2:19" x14ac:dyDescent="0.2">
      <c r="B107" s="24"/>
      <c r="C107" s="137"/>
      <c r="D107" s="130" t="s">
        <v>411</v>
      </c>
      <c r="E107" s="130"/>
      <c r="F107" s="130"/>
      <c r="G107" s="130"/>
      <c r="H107" s="130"/>
      <c r="I107" s="130"/>
      <c r="J107" s="130"/>
      <c r="K107" s="130"/>
      <c r="L107" s="130"/>
      <c r="M107" s="130"/>
      <c r="N107" s="130"/>
      <c r="O107" s="130"/>
      <c r="P107" s="130"/>
      <c r="Q107" s="130"/>
      <c r="R107" s="130"/>
      <c r="S107" s="28"/>
    </row>
    <row r="108" spans="2:19" x14ac:dyDescent="0.2">
      <c r="B108" s="24"/>
      <c r="C108" s="137"/>
      <c r="D108" s="130" t="s">
        <v>124</v>
      </c>
      <c r="E108" s="130"/>
      <c r="F108" s="130"/>
      <c r="G108" s="130"/>
      <c r="H108" s="130"/>
      <c r="I108" s="130"/>
      <c r="J108" s="130"/>
      <c r="K108" s="130"/>
      <c r="L108" s="130"/>
      <c r="M108" s="130"/>
      <c r="N108" s="130"/>
      <c r="O108" s="130"/>
      <c r="P108" s="130"/>
      <c r="Q108" s="130"/>
      <c r="R108" s="130"/>
      <c r="S108" s="28"/>
    </row>
    <row r="109" spans="2:19" x14ac:dyDescent="0.2">
      <c r="B109" s="24"/>
      <c r="C109" s="137"/>
      <c r="D109" s="130" t="s">
        <v>125</v>
      </c>
      <c r="E109" s="130"/>
      <c r="F109" s="130"/>
      <c r="G109" s="130"/>
      <c r="H109" s="130"/>
      <c r="I109" s="130"/>
      <c r="J109" s="130"/>
      <c r="K109" s="130"/>
      <c r="L109" s="130"/>
      <c r="M109" s="130"/>
      <c r="N109" s="130"/>
      <c r="O109" s="130"/>
      <c r="P109" s="130"/>
      <c r="Q109" s="130"/>
      <c r="R109" s="130"/>
      <c r="S109" s="28"/>
    </row>
    <row r="110" spans="2:19" x14ac:dyDescent="0.2">
      <c r="B110" s="24"/>
      <c r="C110" s="137"/>
      <c r="D110" s="130" t="s">
        <v>126</v>
      </c>
      <c r="E110" s="130"/>
      <c r="F110" s="130"/>
      <c r="G110" s="130"/>
      <c r="H110" s="130"/>
      <c r="I110" s="130"/>
      <c r="J110" s="130"/>
      <c r="K110" s="130"/>
      <c r="L110" s="130"/>
      <c r="M110" s="130"/>
      <c r="N110" s="130"/>
      <c r="O110" s="130"/>
      <c r="P110" s="130"/>
      <c r="Q110" s="130"/>
      <c r="R110" s="130"/>
      <c r="S110" s="28"/>
    </row>
    <row r="111" spans="2:19" x14ac:dyDescent="0.2">
      <c r="B111" s="24"/>
      <c r="C111" s="137"/>
      <c r="D111" s="130"/>
      <c r="E111" s="130"/>
      <c r="F111" s="130"/>
      <c r="G111" s="130"/>
      <c r="H111" s="130"/>
      <c r="I111" s="130"/>
      <c r="J111" s="130"/>
      <c r="K111" s="130"/>
      <c r="L111" s="130"/>
      <c r="M111" s="130"/>
      <c r="N111" s="130"/>
      <c r="O111" s="130"/>
      <c r="P111" s="130"/>
      <c r="Q111" s="130"/>
      <c r="R111" s="130"/>
      <c r="S111" s="28"/>
    </row>
    <row r="112" spans="2:19" x14ac:dyDescent="0.2">
      <c r="B112" s="24"/>
      <c r="C112" s="137"/>
      <c r="D112" s="130" t="s">
        <v>127</v>
      </c>
      <c r="E112" s="130"/>
      <c r="F112" s="130"/>
      <c r="G112" s="130"/>
      <c r="H112" s="130"/>
      <c r="I112" s="130"/>
      <c r="J112" s="130"/>
      <c r="K112" s="130"/>
      <c r="L112" s="130"/>
      <c r="M112" s="130"/>
      <c r="N112" s="130"/>
      <c r="O112" s="130"/>
      <c r="P112" s="130"/>
      <c r="Q112" s="130"/>
      <c r="R112" s="130"/>
      <c r="S112" s="28"/>
    </row>
    <row r="113" spans="2:19" x14ac:dyDescent="0.2">
      <c r="B113" s="24"/>
      <c r="C113" s="137"/>
      <c r="D113" s="130" t="s">
        <v>128</v>
      </c>
      <c r="E113" s="130"/>
      <c r="F113" s="130"/>
      <c r="G113" s="130"/>
      <c r="H113" s="130"/>
      <c r="I113" s="130"/>
      <c r="J113" s="130"/>
      <c r="K113" s="130"/>
      <c r="L113" s="130"/>
      <c r="M113" s="130"/>
      <c r="N113" s="130"/>
      <c r="O113" s="130"/>
      <c r="P113" s="130"/>
      <c r="Q113" s="130"/>
      <c r="R113" s="130"/>
      <c r="S113" s="28"/>
    </row>
    <row r="114" spans="2:19" x14ac:dyDescent="0.2">
      <c r="B114" s="24"/>
      <c r="C114" s="137"/>
      <c r="D114" s="130"/>
      <c r="E114" s="130"/>
      <c r="F114" s="130"/>
      <c r="G114" s="130"/>
      <c r="H114" s="130"/>
      <c r="I114" s="130"/>
      <c r="J114" s="130"/>
      <c r="K114" s="130"/>
      <c r="L114" s="130"/>
      <c r="M114" s="130"/>
      <c r="N114" s="130"/>
      <c r="O114" s="130"/>
      <c r="P114" s="130"/>
      <c r="Q114" s="130"/>
      <c r="R114" s="130"/>
      <c r="S114" s="28"/>
    </row>
    <row r="115" spans="2:19" x14ac:dyDescent="0.2">
      <c r="B115" s="24"/>
      <c r="C115" s="137"/>
      <c r="D115" s="130" t="s">
        <v>129</v>
      </c>
      <c r="E115" s="130"/>
      <c r="F115" s="130"/>
      <c r="G115" s="130"/>
      <c r="H115" s="130"/>
      <c r="I115" s="130"/>
      <c r="J115" s="130"/>
      <c r="K115" s="130"/>
      <c r="L115" s="130"/>
      <c r="M115" s="130"/>
      <c r="N115" s="130"/>
      <c r="O115" s="130"/>
      <c r="P115" s="130"/>
      <c r="Q115" s="130"/>
      <c r="R115" s="130"/>
      <c r="S115" s="28"/>
    </row>
    <row r="116" spans="2:19" x14ac:dyDescent="0.2">
      <c r="B116" s="24"/>
      <c r="C116" s="137"/>
      <c r="D116" s="130" t="s">
        <v>130</v>
      </c>
      <c r="E116" s="130"/>
      <c r="F116" s="130"/>
      <c r="G116" s="130"/>
      <c r="H116" s="130"/>
      <c r="I116" s="130"/>
      <c r="J116" s="130"/>
      <c r="K116" s="130"/>
      <c r="L116" s="130"/>
      <c r="M116" s="130"/>
      <c r="N116" s="130"/>
      <c r="O116" s="130"/>
      <c r="P116" s="130"/>
      <c r="Q116" s="130"/>
      <c r="R116" s="130"/>
      <c r="S116" s="28"/>
    </row>
    <row r="117" spans="2:19" x14ac:dyDescent="0.2">
      <c r="B117" s="24"/>
      <c r="C117" s="137"/>
      <c r="D117" s="130"/>
      <c r="E117" s="130"/>
      <c r="F117" s="130"/>
      <c r="G117" s="130"/>
      <c r="H117" s="130"/>
      <c r="I117" s="130"/>
      <c r="J117" s="130"/>
      <c r="K117" s="130"/>
      <c r="L117" s="130"/>
      <c r="M117" s="130"/>
      <c r="N117" s="130"/>
      <c r="O117" s="130"/>
      <c r="P117" s="130"/>
      <c r="Q117" s="130"/>
      <c r="R117" s="130"/>
      <c r="S117" s="28"/>
    </row>
    <row r="118" spans="2:19" x14ac:dyDescent="0.2">
      <c r="B118" s="24"/>
      <c r="C118" s="137"/>
      <c r="D118" s="130" t="s">
        <v>131</v>
      </c>
      <c r="E118" s="130"/>
      <c r="F118" s="130"/>
      <c r="G118" s="130"/>
      <c r="H118" s="130"/>
      <c r="I118" s="130"/>
      <c r="J118" s="130"/>
      <c r="K118" s="130"/>
      <c r="L118" s="130"/>
      <c r="M118" s="130"/>
      <c r="N118" s="130"/>
      <c r="O118" s="130"/>
      <c r="P118" s="130"/>
      <c r="Q118" s="130"/>
      <c r="R118" s="130"/>
      <c r="S118" s="28"/>
    </row>
    <row r="119" spans="2:19" x14ac:dyDescent="0.2">
      <c r="B119" s="24"/>
      <c r="C119" s="137"/>
      <c r="D119" s="130" t="s">
        <v>132</v>
      </c>
      <c r="E119" s="130"/>
      <c r="F119" s="130"/>
      <c r="G119" s="130"/>
      <c r="H119" s="130"/>
      <c r="I119" s="130"/>
      <c r="J119" s="130"/>
      <c r="K119" s="130"/>
      <c r="L119" s="130"/>
      <c r="M119" s="130"/>
      <c r="N119" s="130"/>
      <c r="O119" s="130"/>
      <c r="P119" s="130"/>
      <c r="Q119" s="130"/>
      <c r="R119" s="130"/>
      <c r="S119" s="28"/>
    </row>
    <row r="120" spans="2:19" x14ac:dyDescent="0.2">
      <c r="B120" s="24"/>
      <c r="C120" s="137"/>
      <c r="D120" s="130" t="s">
        <v>133</v>
      </c>
      <c r="E120" s="130"/>
      <c r="F120" s="130"/>
      <c r="G120" s="130"/>
      <c r="H120" s="130"/>
      <c r="I120" s="130"/>
      <c r="J120" s="130"/>
      <c r="K120" s="130"/>
      <c r="L120" s="130"/>
      <c r="M120" s="130"/>
      <c r="N120" s="130"/>
      <c r="O120" s="130"/>
      <c r="P120" s="130"/>
      <c r="Q120" s="130"/>
      <c r="R120" s="130"/>
      <c r="S120" s="28"/>
    </row>
    <row r="121" spans="2:19" x14ac:dyDescent="0.2">
      <c r="B121" s="24"/>
      <c r="C121" s="137"/>
      <c r="D121" s="130"/>
      <c r="E121" s="130"/>
      <c r="F121" s="130"/>
      <c r="G121" s="130"/>
      <c r="H121" s="130"/>
      <c r="I121" s="130"/>
      <c r="J121" s="130"/>
      <c r="K121" s="130"/>
      <c r="L121" s="130"/>
      <c r="M121" s="130"/>
      <c r="N121" s="130"/>
      <c r="O121" s="130"/>
      <c r="P121" s="130"/>
      <c r="Q121" s="130"/>
      <c r="R121" s="130"/>
      <c r="S121" s="28"/>
    </row>
    <row r="122" spans="2:19" x14ac:dyDescent="0.2">
      <c r="B122" s="24"/>
      <c r="C122" s="137"/>
      <c r="D122" s="130" t="s">
        <v>113</v>
      </c>
      <c r="E122" s="130"/>
      <c r="F122" s="130"/>
      <c r="G122" s="130"/>
      <c r="H122" s="130"/>
      <c r="I122" s="130"/>
      <c r="J122" s="130"/>
      <c r="K122" s="130"/>
      <c r="L122" s="130"/>
      <c r="M122" s="130"/>
      <c r="N122" s="130"/>
      <c r="O122" s="130"/>
      <c r="P122" s="130"/>
      <c r="Q122" s="130"/>
      <c r="R122" s="130"/>
      <c r="S122" s="28"/>
    </row>
    <row r="123" spans="2:19" x14ac:dyDescent="0.2">
      <c r="B123" s="24"/>
      <c r="C123" s="137"/>
      <c r="D123" s="130"/>
      <c r="E123" s="130"/>
      <c r="F123" s="130"/>
      <c r="G123" s="130"/>
      <c r="H123" s="130"/>
      <c r="I123" s="130"/>
      <c r="J123" s="130"/>
      <c r="K123" s="130"/>
      <c r="L123" s="130"/>
      <c r="M123" s="130"/>
      <c r="N123" s="130"/>
      <c r="O123" s="130"/>
      <c r="P123" s="130"/>
      <c r="Q123" s="130"/>
      <c r="R123" s="130"/>
      <c r="S123" s="28"/>
    </row>
    <row r="124" spans="2:19" x14ac:dyDescent="0.2">
      <c r="B124" s="24"/>
      <c r="C124" s="137"/>
      <c r="D124" s="130" t="s">
        <v>134</v>
      </c>
      <c r="E124" s="130"/>
      <c r="F124" s="130"/>
      <c r="G124" s="130"/>
      <c r="H124" s="130"/>
      <c r="I124" s="130"/>
      <c r="J124" s="130"/>
      <c r="K124" s="130"/>
      <c r="L124" s="130"/>
      <c r="M124" s="130"/>
      <c r="N124" s="130"/>
      <c r="O124" s="130"/>
      <c r="P124" s="130"/>
      <c r="Q124" s="130"/>
      <c r="R124" s="130"/>
      <c r="S124" s="28"/>
    </row>
    <row r="125" spans="2:19" x14ac:dyDescent="0.2">
      <c r="B125" s="24"/>
      <c r="C125" s="137"/>
      <c r="D125" s="130" t="s">
        <v>135</v>
      </c>
      <c r="E125" s="130"/>
      <c r="F125" s="130"/>
      <c r="G125" s="130"/>
      <c r="H125" s="130"/>
      <c r="I125" s="130"/>
      <c r="J125" s="130"/>
      <c r="K125" s="130"/>
      <c r="L125" s="130"/>
      <c r="M125" s="130"/>
      <c r="N125" s="130"/>
      <c r="O125" s="130"/>
      <c r="P125" s="130"/>
      <c r="Q125" s="130"/>
      <c r="R125" s="130"/>
      <c r="S125" s="28"/>
    </row>
    <row r="126" spans="2:19" x14ac:dyDescent="0.2">
      <c r="B126" s="24"/>
      <c r="C126" s="137"/>
      <c r="D126" s="130"/>
      <c r="E126" s="130"/>
      <c r="F126" s="130"/>
      <c r="G126" s="130"/>
      <c r="H126" s="130"/>
      <c r="I126" s="130"/>
      <c r="J126" s="130"/>
      <c r="K126" s="130"/>
      <c r="L126" s="130"/>
      <c r="M126" s="130"/>
      <c r="N126" s="130"/>
      <c r="O126" s="130"/>
      <c r="P126" s="130"/>
      <c r="Q126" s="130"/>
      <c r="R126" s="130"/>
      <c r="S126" s="28"/>
    </row>
    <row r="127" spans="2:19" x14ac:dyDescent="0.2">
      <c r="B127" s="24"/>
      <c r="C127" s="137" t="s">
        <v>136</v>
      </c>
      <c r="D127" s="131" t="s">
        <v>137</v>
      </c>
      <c r="E127" s="130"/>
      <c r="F127" s="130"/>
      <c r="G127" s="130"/>
      <c r="H127" s="130"/>
      <c r="I127" s="130"/>
      <c r="J127" s="130"/>
      <c r="K127" s="130"/>
      <c r="L127" s="130"/>
      <c r="M127" s="130"/>
      <c r="N127" s="130"/>
      <c r="O127" s="130"/>
      <c r="P127" s="130"/>
      <c r="Q127" s="130"/>
      <c r="R127" s="130"/>
      <c r="S127" s="28"/>
    </row>
    <row r="128" spans="2:19" x14ac:dyDescent="0.2">
      <c r="B128" s="24"/>
      <c r="C128" s="137"/>
      <c r="D128" s="131"/>
      <c r="E128" s="130"/>
      <c r="F128" s="130"/>
      <c r="G128" s="130"/>
      <c r="H128" s="130"/>
      <c r="I128" s="130"/>
      <c r="J128" s="130"/>
      <c r="K128" s="130"/>
      <c r="L128" s="130"/>
      <c r="M128" s="130"/>
      <c r="N128" s="130"/>
      <c r="O128" s="130"/>
      <c r="P128" s="130"/>
      <c r="Q128" s="130"/>
      <c r="R128" s="130"/>
      <c r="S128" s="28"/>
    </row>
    <row r="129" spans="2:19" x14ac:dyDescent="0.2">
      <c r="B129" s="24"/>
      <c r="C129" s="137"/>
      <c r="D129" s="130" t="s">
        <v>138</v>
      </c>
      <c r="E129" s="130"/>
      <c r="F129" s="130"/>
      <c r="G129" s="130"/>
      <c r="H129" s="130"/>
      <c r="I129" s="130"/>
      <c r="J129" s="130"/>
      <c r="K129" s="130"/>
      <c r="L129" s="130"/>
      <c r="M129" s="130"/>
      <c r="N129" s="130"/>
      <c r="O129" s="130"/>
      <c r="P129" s="130"/>
      <c r="Q129" s="130"/>
      <c r="R129" s="130"/>
      <c r="S129" s="28"/>
    </row>
    <row r="130" spans="2:19" x14ac:dyDescent="0.2">
      <c r="B130" s="24"/>
      <c r="C130" s="137"/>
      <c r="D130" s="130" t="s">
        <v>139</v>
      </c>
      <c r="E130" s="130"/>
      <c r="F130" s="130"/>
      <c r="G130" s="130"/>
      <c r="H130" s="130"/>
      <c r="I130" s="130"/>
      <c r="J130" s="130"/>
      <c r="K130" s="130"/>
      <c r="L130" s="130"/>
      <c r="M130" s="130"/>
      <c r="N130" s="130"/>
      <c r="O130" s="130"/>
      <c r="P130" s="130"/>
      <c r="Q130" s="130"/>
      <c r="R130" s="130"/>
      <c r="S130" s="28"/>
    </row>
    <row r="131" spans="2:19" x14ac:dyDescent="0.2">
      <c r="B131" s="24"/>
      <c r="C131" s="137"/>
      <c r="D131" s="130" t="s">
        <v>140</v>
      </c>
      <c r="E131" s="130"/>
      <c r="F131" s="130"/>
      <c r="G131" s="130"/>
      <c r="H131" s="130"/>
      <c r="I131" s="130"/>
      <c r="J131" s="130"/>
      <c r="K131" s="130"/>
      <c r="L131" s="130"/>
      <c r="M131" s="130"/>
      <c r="N131" s="130"/>
      <c r="O131" s="130"/>
      <c r="P131" s="130"/>
      <c r="Q131" s="130"/>
      <c r="R131" s="130"/>
      <c r="S131" s="28"/>
    </row>
    <row r="132" spans="2:19" x14ac:dyDescent="0.2">
      <c r="B132" s="24"/>
      <c r="C132" s="137"/>
      <c r="D132" s="130" t="s">
        <v>141</v>
      </c>
      <c r="E132" s="130"/>
      <c r="F132" s="130"/>
      <c r="G132" s="130"/>
      <c r="H132" s="130"/>
      <c r="I132" s="130"/>
      <c r="J132" s="130"/>
      <c r="K132" s="130"/>
      <c r="L132" s="130"/>
      <c r="M132" s="130"/>
      <c r="N132" s="130"/>
      <c r="O132" s="130"/>
      <c r="P132" s="130"/>
      <c r="Q132" s="130"/>
      <c r="R132" s="130"/>
      <c r="S132" s="28"/>
    </row>
    <row r="133" spans="2:19" x14ac:dyDescent="0.2">
      <c r="B133" s="24"/>
      <c r="C133" s="137"/>
      <c r="D133" s="130"/>
      <c r="E133" s="130"/>
      <c r="F133" s="130"/>
      <c r="G133" s="130"/>
      <c r="H133" s="130"/>
      <c r="I133" s="130"/>
      <c r="J133" s="130"/>
      <c r="K133" s="130"/>
      <c r="L133" s="130"/>
      <c r="M133" s="130"/>
      <c r="N133" s="130"/>
      <c r="O133" s="130"/>
      <c r="P133" s="130"/>
      <c r="Q133" s="130"/>
      <c r="R133" s="130"/>
      <c r="S133" s="28"/>
    </row>
    <row r="134" spans="2:19" x14ac:dyDescent="0.2">
      <c r="B134" s="24"/>
      <c r="C134" s="137"/>
      <c r="D134" s="130" t="s">
        <v>113</v>
      </c>
      <c r="E134" s="130"/>
      <c r="F134" s="130"/>
      <c r="G134" s="130"/>
      <c r="H134" s="130"/>
      <c r="I134" s="130"/>
      <c r="J134" s="130"/>
      <c r="K134" s="130"/>
      <c r="L134" s="130"/>
      <c r="M134" s="130"/>
      <c r="N134" s="130"/>
      <c r="O134" s="130"/>
      <c r="P134" s="130"/>
      <c r="Q134" s="130"/>
      <c r="R134" s="130"/>
      <c r="S134" s="28"/>
    </row>
    <row r="135" spans="2:19" x14ac:dyDescent="0.2">
      <c r="B135" s="24"/>
      <c r="C135" s="137"/>
      <c r="D135" s="130"/>
      <c r="E135" s="130"/>
      <c r="F135" s="130"/>
      <c r="G135" s="130"/>
      <c r="H135" s="130"/>
      <c r="I135" s="130"/>
      <c r="J135" s="130"/>
      <c r="K135" s="130"/>
      <c r="L135" s="130"/>
      <c r="M135" s="130"/>
      <c r="N135" s="130"/>
      <c r="O135" s="130"/>
      <c r="P135" s="130"/>
      <c r="Q135" s="130"/>
      <c r="R135" s="130"/>
      <c r="S135" s="28"/>
    </row>
    <row r="136" spans="2:19" x14ac:dyDescent="0.2">
      <c r="B136" s="24"/>
      <c r="C136" s="137"/>
      <c r="D136" s="130" t="s">
        <v>134</v>
      </c>
      <c r="E136" s="130"/>
      <c r="F136" s="130"/>
      <c r="G136" s="130"/>
      <c r="H136" s="130"/>
      <c r="I136" s="130"/>
      <c r="J136" s="130"/>
      <c r="K136" s="130"/>
      <c r="L136" s="130"/>
      <c r="M136" s="130"/>
      <c r="N136" s="130"/>
      <c r="O136" s="130"/>
      <c r="P136" s="130"/>
      <c r="Q136" s="130"/>
      <c r="R136" s="130"/>
      <c r="S136" s="28"/>
    </row>
    <row r="137" spans="2:19" x14ac:dyDescent="0.2">
      <c r="B137" s="24"/>
      <c r="C137" s="137"/>
      <c r="D137" s="130" t="s">
        <v>135</v>
      </c>
      <c r="E137" s="130"/>
      <c r="F137" s="130"/>
      <c r="G137" s="130"/>
      <c r="H137" s="130"/>
      <c r="I137" s="130"/>
      <c r="J137" s="130"/>
      <c r="K137" s="130"/>
      <c r="L137" s="130"/>
      <c r="M137" s="130"/>
      <c r="N137" s="130"/>
      <c r="O137" s="130"/>
      <c r="P137" s="130"/>
      <c r="Q137" s="130"/>
      <c r="R137" s="130"/>
      <c r="S137" s="28"/>
    </row>
    <row r="138" spans="2:19" x14ac:dyDescent="0.2">
      <c r="B138" s="24"/>
      <c r="C138" s="137"/>
      <c r="D138" s="130"/>
      <c r="E138" s="130"/>
      <c r="F138" s="130"/>
      <c r="G138" s="130"/>
      <c r="H138" s="130"/>
      <c r="I138" s="130"/>
      <c r="J138" s="130"/>
      <c r="K138" s="130"/>
      <c r="L138" s="130"/>
      <c r="M138" s="130"/>
      <c r="N138" s="130"/>
      <c r="O138" s="130"/>
      <c r="P138" s="130"/>
      <c r="Q138" s="130"/>
      <c r="R138" s="130"/>
      <c r="S138" s="28"/>
    </row>
    <row r="139" spans="2:19" x14ac:dyDescent="0.2">
      <c r="B139" s="24"/>
      <c r="C139" s="137"/>
      <c r="D139" s="139" t="s">
        <v>114</v>
      </c>
      <c r="E139" s="130"/>
      <c r="F139" s="130"/>
      <c r="G139" s="130"/>
      <c r="H139" s="130"/>
      <c r="I139" s="130"/>
      <c r="J139" s="130"/>
      <c r="K139" s="130"/>
      <c r="L139" s="130"/>
      <c r="M139" s="130"/>
      <c r="N139" s="130"/>
      <c r="O139" s="130"/>
      <c r="P139" s="130"/>
      <c r="Q139" s="130"/>
      <c r="R139" s="130"/>
      <c r="S139" s="28"/>
    </row>
    <row r="140" spans="2:19" x14ac:dyDescent="0.2">
      <c r="B140" s="24"/>
      <c r="C140" s="137"/>
      <c r="D140" s="130" t="s">
        <v>142</v>
      </c>
      <c r="E140" s="130"/>
      <c r="F140" s="130"/>
      <c r="G140" s="130"/>
      <c r="H140" s="130"/>
      <c r="I140" s="130"/>
      <c r="J140" s="130"/>
      <c r="K140" s="130"/>
      <c r="L140" s="130"/>
      <c r="M140" s="130"/>
      <c r="N140" s="130"/>
      <c r="O140" s="130"/>
      <c r="P140" s="130"/>
      <c r="Q140" s="130"/>
      <c r="R140" s="130"/>
      <c r="S140" s="28"/>
    </row>
    <row r="141" spans="2:19" x14ac:dyDescent="0.2">
      <c r="B141" s="24"/>
      <c r="C141" s="137"/>
      <c r="D141" s="130" t="s">
        <v>143</v>
      </c>
      <c r="E141" s="130"/>
      <c r="F141" s="130"/>
      <c r="G141" s="130"/>
      <c r="H141" s="130"/>
      <c r="I141" s="130"/>
      <c r="J141" s="130"/>
      <c r="K141" s="130"/>
      <c r="L141" s="130"/>
      <c r="M141" s="130"/>
      <c r="N141" s="130"/>
      <c r="O141" s="130"/>
      <c r="P141" s="130"/>
      <c r="Q141" s="130"/>
      <c r="R141" s="130"/>
      <c r="S141" s="28"/>
    </row>
    <row r="142" spans="2:19" x14ac:dyDescent="0.2">
      <c r="B142" s="24"/>
      <c r="C142" s="137"/>
      <c r="D142" s="130" t="s">
        <v>144</v>
      </c>
      <c r="E142" s="130"/>
      <c r="F142" s="130"/>
      <c r="G142" s="130"/>
      <c r="H142" s="130"/>
      <c r="I142" s="130"/>
      <c r="J142" s="130"/>
      <c r="K142" s="130"/>
      <c r="L142" s="130"/>
      <c r="M142" s="130"/>
      <c r="N142" s="130"/>
      <c r="O142" s="130"/>
      <c r="P142" s="130"/>
      <c r="Q142" s="130"/>
      <c r="R142" s="130"/>
      <c r="S142" s="28"/>
    </row>
    <row r="143" spans="2:19" x14ac:dyDescent="0.2">
      <c r="B143" s="24"/>
      <c r="C143" s="137"/>
      <c r="D143" s="130" t="s">
        <v>145</v>
      </c>
      <c r="E143" s="130"/>
      <c r="F143" s="130"/>
      <c r="G143" s="130"/>
      <c r="H143" s="130"/>
      <c r="I143" s="130"/>
      <c r="J143" s="130"/>
      <c r="K143" s="130"/>
      <c r="L143" s="130"/>
      <c r="M143" s="130"/>
      <c r="N143" s="130"/>
      <c r="O143" s="130"/>
      <c r="P143" s="130"/>
      <c r="Q143" s="130"/>
      <c r="R143" s="130"/>
      <c r="S143" s="28"/>
    </row>
    <row r="144" spans="2:19" x14ac:dyDescent="0.2">
      <c r="B144" s="24"/>
      <c r="C144" s="137"/>
      <c r="D144" s="130" t="s">
        <v>146</v>
      </c>
      <c r="E144" s="130"/>
      <c r="F144" s="130"/>
      <c r="G144" s="130"/>
      <c r="H144" s="130"/>
      <c r="I144" s="130"/>
      <c r="J144" s="130"/>
      <c r="K144" s="130"/>
      <c r="L144" s="130"/>
      <c r="M144" s="130"/>
      <c r="N144" s="130"/>
      <c r="O144" s="130"/>
      <c r="P144" s="130"/>
      <c r="Q144" s="130"/>
      <c r="R144" s="130"/>
      <c r="S144" s="28"/>
    </row>
    <row r="145" spans="2:19" x14ac:dyDescent="0.2">
      <c r="B145" s="24"/>
      <c r="C145" s="137"/>
      <c r="D145" s="130" t="s">
        <v>147</v>
      </c>
      <c r="E145" s="130"/>
      <c r="F145" s="130"/>
      <c r="G145" s="130"/>
      <c r="H145" s="130"/>
      <c r="I145" s="130"/>
      <c r="J145" s="130"/>
      <c r="K145" s="130"/>
      <c r="L145" s="130"/>
      <c r="M145" s="130"/>
      <c r="N145" s="130"/>
      <c r="O145" s="130"/>
      <c r="P145" s="130"/>
      <c r="Q145" s="130"/>
      <c r="R145" s="130"/>
      <c r="S145" s="28"/>
    </row>
    <row r="146" spans="2:19" x14ac:dyDescent="0.2">
      <c r="B146" s="24"/>
      <c r="C146" s="137"/>
      <c r="D146" s="130" t="s">
        <v>148</v>
      </c>
      <c r="E146" s="130"/>
      <c r="F146" s="130"/>
      <c r="G146" s="130"/>
      <c r="H146" s="130"/>
      <c r="I146" s="130"/>
      <c r="J146" s="130"/>
      <c r="K146" s="130"/>
      <c r="L146" s="130"/>
      <c r="M146" s="130"/>
      <c r="N146" s="130"/>
      <c r="O146" s="130"/>
      <c r="P146" s="130"/>
      <c r="Q146" s="130"/>
      <c r="R146" s="130"/>
      <c r="S146" s="28"/>
    </row>
    <row r="147" spans="2:19" x14ac:dyDescent="0.2">
      <c r="B147" s="24"/>
      <c r="C147" s="137"/>
      <c r="D147" s="130"/>
      <c r="E147" s="130"/>
      <c r="F147" s="130"/>
      <c r="G147" s="130"/>
      <c r="H147" s="130"/>
      <c r="I147" s="130"/>
      <c r="J147" s="130"/>
      <c r="K147" s="130"/>
      <c r="L147" s="130"/>
      <c r="M147" s="130"/>
      <c r="N147" s="130"/>
      <c r="O147" s="130"/>
      <c r="P147" s="130"/>
      <c r="Q147" s="130"/>
      <c r="R147" s="130"/>
      <c r="S147" s="28"/>
    </row>
    <row r="148" spans="2:19" x14ac:dyDescent="0.2">
      <c r="B148" s="24"/>
      <c r="C148" s="137" t="s">
        <v>149</v>
      </c>
      <c r="D148" s="131" t="s">
        <v>150</v>
      </c>
      <c r="E148" s="130"/>
      <c r="F148" s="130"/>
      <c r="G148" s="130"/>
      <c r="H148" s="130"/>
      <c r="I148" s="130"/>
      <c r="J148" s="130"/>
      <c r="K148" s="130"/>
      <c r="L148" s="130"/>
      <c r="M148" s="130"/>
      <c r="N148" s="130"/>
      <c r="O148" s="130"/>
      <c r="P148" s="130"/>
      <c r="Q148" s="130"/>
      <c r="R148" s="130"/>
      <c r="S148" s="28"/>
    </row>
    <row r="149" spans="2:19" x14ac:dyDescent="0.2">
      <c r="B149" s="24"/>
      <c r="C149" s="137"/>
      <c r="D149" s="131"/>
      <c r="E149" s="130"/>
      <c r="F149" s="130"/>
      <c r="G149" s="130"/>
      <c r="H149" s="130"/>
      <c r="I149" s="130"/>
      <c r="J149" s="130"/>
      <c r="K149" s="130"/>
      <c r="L149" s="130"/>
      <c r="M149" s="130"/>
      <c r="N149" s="130"/>
      <c r="O149" s="130"/>
      <c r="P149" s="130"/>
      <c r="Q149" s="130"/>
      <c r="R149" s="130"/>
      <c r="S149" s="28"/>
    </row>
    <row r="150" spans="2:19" x14ac:dyDescent="0.2">
      <c r="B150" s="24"/>
      <c r="C150" s="137"/>
      <c r="D150" s="130" t="s">
        <v>427</v>
      </c>
      <c r="E150" s="130"/>
      <c r="F150" s="130"/>
      <c r="G150" s="130"/>
      <c r="H150" s="130"/>
      <c r="I150" s="130"/>
      <c r="J150" s="130"/>
      <c r="K150" s="130"/>
      <c r="L150" s="130"/>
      <c r="M150" s="130"/>
      <c r="N150" s="130"/>
      <c r="O150" s="130"/>
      <c r="P150" s="130"/>
      <c r="Q150" s="130"/>
      <c r="R150" s="130"/>
      <c r="S150" s="28"/>
    </row>
    <row r="151" spans="2:19" x14ac:dyDescent="0.2">
      <c r="B151" s="24"/>
      <c r="C151" s="137"/>
      <c r="D151" s="130"/>
      <c r="E151" s="130"/>
      <c r="F151" s="130"/>
      <c r="G151" s="130"/>
      <c r="H151" s="130"/>
      <c r="I151" s="130"/>
      <c r="J151" s="130"/>
      <c r="K151" s="130"/>
      <c r="L151" s="130"/>
      <c r="M151" s="130"/>
      <c r="N151" s="130"/>
      <c r="O151" s="130"/>
      <c r="P151" s="130"/>
      <c r="Q151" s="130"/>
      <c r="R151" s="130"/>
      <c r="S151" s="28"/>
    </row>
    <row r="152" spans="2:19" x14ac:dyDescent="0.2">
      <c r="B152" s="24"/>
      <c r="C152" s="137" t="s">
        <v>280</v>
      </c>
      <c r="D152" s="131" t="s">
        <v>281</v>
      </c>
      <c r="E152" s="130"/>
      <c r="F152" s="130"/>
      <c r="G152" s="130"/>
      <c r="H152" s="130"/>
      <c r="I152" s="130"/>
      <c r="J152" s="130"/>
      <c r="K152" s="130"/>
      <c r="L152" s="130"/>
      <c r="M152" s="130"/>
      <c r="N152" s="130"/>
      <c r="O152" s="130"/>
      <c r="P152" s="130"/>
      <c r="Q152" s="130"/>
      <c r="R152" s="130"/>
      <c r="S152" s="28"/>
    </row>
    <row r="153" spans="2:19" x14ac:dyDescent="0.2">
      <c r="B153" s="24"/>
      <c r="C153" s="137"/>
      <c r="D153" s="130"/>
      <c r="E153" s="130"/>
      <c r="F153" s="130"/>
      <c r="G153" s="130"/>
      <c r="H153" s="130"/>
      <c r="I153" s="130"/>
      <c r="J153" s="130"/>
      <c r="K153" s="130"/>
      <c r="L153" s="130"/>
      <c r="M153" s="130"/>
      <c r="N153" s="130"/>
      <c r="O153" s="130"/>
      <c r="P153" s="130"/>
      <c r="Q153" s="130"/>
      <c r="R153" s="130"/>
      <c r="S153" s="28"/>
    </row>
    <row r="154" spans="2:19" x14ac:dyDescent="0.2">
      <c r="B154" s="24"/>
      <c r="C154" s="137"/>
      <c r="D154" s="130" t="s">
        <v>412</v>
      </c>
      <c r="E154" s="130"/>
      <c r="F154" s="130"/>
      <c r="G154" s="130"/>
      <c r="H154" s="130"/>
      <c r="I154" s="130"/>
      <c r="J154" s="130"/>
      <c r="K154" s="130"/>
      <c r="L154" s="130"/>
      <c r="M154" s="130"/>
      <c r="N154" s="130"/>
      <c r="O154" s="130"/>
      <c r="P154" s="130"/>
      <c r="Q154" s="130"/>
      <c r="R154" s="130"/>
      <c r="S154" s="28"/>
    </row>
    <row r="155" spans="2:19" x14ac:dyDescent="0.2">
      <c r="B155" s="24"/>
      <c r="C155" s="137"/>
      <c r="D155" s="130"/>
      <c r="E155" s="130"/>
      <c r="F155" s="130"/>
      <c r="G155" s="130"/>
      <c r="H155" s="130"/>
      <c r="I155" s="130"/>
      <c r="J155" s="130"/>
      <c r="K155" s="130"/>
      <c r="L155" s="130"/>
      <c r="M155" s="130"/>
      <c r="N155" s="130"/>
      <c r="O155" s="130"/>
      <c r="P155" s="130"/>
      <c r="Q155" s="130"/>
      <c r="R155" s="130"/>
      <c r="S155" s="28"/>
    </row>
    <row r="156" spans="2:19" x14ac:dyDescent="0.2">
      <c r="B156" s="24"/>
      <c r="C156" s="137"/>
      <c r="D156" s="131" t="s">
        <v>151</v>
      </c>
      <c r="E156" s="130"/>
      <c r="F156" s="130"/>
      <c r="G156" s="130"/>
      <c r="H156" s="130"/>
      <c r="I156" s="130"/>
      <c r="J156" s="130"/>
      <c r="K156" s="130"/>
      <c r="L156" s="130"/>
      <c r="M156" s="130"/>
      <c r="N156" s="130"/>
      <c r="O156" s="130"/>
      <c r="P156" s="130"/>
      <c r="Q156" s="130"/>
      <c r="R156" s="130"/>
      <c r="S156" s="28"/>
    </row>
    <row r="157" spans="2:19" x14ac:dyDescent="0.2">
      <c r="B157" s="24"/>
      <c r="C157" s="137"/>
      <c r="D157" s="131" t="s">
        <v>152</v>
      </c>
      <c r="E157" s="130"/>
      <c r="F157" s="130"/>
      <c r="G157" s="130"/>
      <c r="H157" s="130"/>
      <c r="I157" s="130"/>
      <c r="J157" s="130"/>
      <c r="K157" s="130"/>
      <c r="L157" s="130"/>
      <c r="M157" s="130"/>
      <c r="N157" s="130"/>
      <c r="O157" s="130"/>
      <c r="P157" s="130"/>
      <c r="Q157" s="130"/>
      <c r="R157" s="130"/>
      <c r="S157" s="28"/>
    </row>
    <row r="158" spans="2:19" x14ac:dyDescent="0.2">
      <c r="B158" s="24"/>
      <c r="C158" s="137"/>
      <c r="D158" s="131" t="s">
        <v>153</v>
      </c>
      <c r="E158" s="130"/>
      <c r="F158" s="131" t="s">
        <v>154</v>
      </c>
      <c r="G158" s="130"/>
      <c r="H158" s="130"/>
      <c r="I158" s="130"/>
      <c r="J158" s="130"/>
      <c r="K158" s="130"/>
      <c r="L158" s="130"/>
      <c r="M158" s="130"/>
      <c r="N158" s="130"/>
      <c r="O158" s="130"/>
      <c r="P158" s="130"/>
      <c r="Q158" s="130"/>
      <c r="R158" s="130"/>
      <c r="S158" s="28"/>
    </row>
    <row r="159" spans="2:19" x14ac:dyDescent="0.2">
      <c r="B159" s="24"/>
      <c r="C159" s="137"/>
      <c r="D159" s="131" t="s">
        <v>268</v>
      </c>
      <c r="E159" s="130"/>
      <c r="F159" s="131" t="s">
        <v>271</v>
      </c>
      <c r="G159" s="130"/>
      <c r="H159" s="130"/>
      <c r="I159" s="130"/>
      <c r="J159" s="130"/>
      <c r="K159" s="130"/>
      <c r="L159" s="130"/>
      <c r="M159" s="130"/>
      <c r="N159" s="130"/>
      <c r="O159" s="130"/>
      <c r="P159" s="130"/>
      <c r="Q159" s="130"/>
      <c r="R159" s="130"/>
      <c r="S159" s="28"/>
    </row>
    <row r="160" spans="2:19" x14ac:dyDescent="0.2">
      <c r="B160" s="24"/>
      <c r="C160" s="130"/>
      <c r="D160" s="130"/>
      <c r="E160" s="130"/>
      <c r="F160" s="130"/>
      <c r="G160" s="130"/>
      <c r="H160" s="130"/>
      <c r="I160" s="130"/>
      <c r="J160" s="130"/>
      <c r="K160" s="130"/>
      <c r="L160" s="130"/>
      <c r="M160" s="130"/>
      <c r="N160" s="130"/>
      <c r="O160" s="130"/>
      <c r="P160" s="130"/>
      <c r="Q160" s="130"/>
      <c r="R160" s="130"/>
      <c r="S160" s="28"/>
    </row>
    <row r="161" spans="2:19" x14ac:dyDescent="0.2">
      <c r="B161" s="24"/>
      <c r="C161" s="25"/>
      <c r="D161" s="25"/>
      <c r="E161" s="25"/>
      <c r="F161" s="25"/>
      <c r="G161" s="25"/>
      <c r="H161" s="25"/>
      <c r="I161" s="25"/>
      <c r="J161" s="25"/>
      <c r="K161" s="25"/>
      <c r="L161" s="25"/>
      <c r="M161" s="25"/>
      <c r="N161" s="25"/>
      <c r="O161" s="25"/>
      <c r="P161" s="25"/>
      <c r="Q161" s="25"/>
      <c r="R161" s="25"/>
      <c r="S161" s="28"/>
    </row>
    <row r="162" spans="2:19" ht="13.5" thickBot="1" x14ac:dyDescent="0.25">
      <c r="B162" s="49"/>
      <c r="C162" s="50"/>
      <c r="D162" s="50"/>
      <c r="E162" s="50"/>
      <c r="F162" s="50"/>
      <c r="G162" s="50"/>
      <c r="H162" s="50"/>
      <c r="I162" s="50"/>
      <c r="J162" s="50"/>
      <c r="K162" s="50"/>
      <c r="L162" s="50"/>
      <c r="M162" s="50"/>
      <c r="N162" s="50"/>
      <c r="O162" s="50"/>
      <c r="P162" s="50"/>
      <c r="Q162" s="50"/>
      <c r="R162" s="53" t="s">
        <v>75</v>
      </c>
      <c r="S162" s="54"/>
    </row>
    <row r="163" spans="2:19" ht="15.75" x14ac:dyDescent="0.25">
      <c r="D163" s="16"/>
      <c r="E163" s="16"/>
      <c r="F163" s="16"/>
      <c r="G163" s="16"/>
      <c r="H163" s="16"/>
      <c r="I163" s="16"/>
      <c r="J163" s="16"/>
      <c r="K163" s="16"/>
      <c r="L163" s="16"/>
      <c r="M163" s="16"/>
      <c r="N163" s="16"/>
      <c r="O163" s="16"/>
      <c r="P163" s="16"/>
      <c r="Q163" s="16"/>
      <c r="R163" s="60"/>
      <c r="S163" s="16"/>
    </row>
  </sheetData>
  <sheetProtection algorithmName="SHA-512" hashValue="TDtVv2ih8W1Ts8BhD9mf/JmVmzVs5dawBkVywOYBAvrUz8+ASsEKJxvzJOFhJT0nQUPDDhJiXFjfhiJxof6/bg==" saltValue="GE/2cbSoof1LhsYJsVikCg==" spinCount="100000" sheet="1" objects="1" scenarios="1"/>
  <pageMargins left="0.7" right="0.7" top="0.75" bottom="0.75" header="0.3" footer="0.3"/>
  <pageSetup paperSize="9" scale="60" orientation="portrait" r:id="rId1"/>
  <headerFooter>
    <oddFooter>&amp;L&amp;F&amp;CPagina&amp;&amp;[Pagina]&amp;R&amp;A</oddFooter>
  </headerFooter>
  <rowBreaks count="1" manualBreakCount="1">
    <brk id="87"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98"/>
  <sheetViews>
    <sheetView tabSelected="1" zoomScale="85" zoomScaleNormal="85" workbookViewId="0">
      <selection activeCell="B2" sqref="B2"/>
    </sheetView>
  </sheetViews>
  <sheetFormatPr defaultColWidth="9.7109375" defaultRowHeight="13.5" customHeight="1" x14ac:dyDescent="0.2"/>
  <cols>
    <col min="1" max="1" width="2.7109375" style="16" customWidth="1"/>
    <col min="2" max="4" width="2.5703125" style="16" customWidth="1"/>
    <col min="5" max="5" width="25" style="16" customWidth="1"/>
    <col min="6" max="6" width="11.7109375" style="17" customWidth="1"/>
    <col min="7" max="7" width="9.7109375" style="18" customWidth="1"/>
    <col min="8" max="8" width="2.7109375" style="18" customWidth="1"/>
    <col min="9" max="10" width="12.85546875" style="16" customWidth="1"/>
    <col min="11" max="11" width="2.140625" style="16" customWidth="1"/>
    <col min="12" max="12" width="1.7109375" style="16" customWidth="1"/>
    <col min="13" max="13" width="13.7109375" style="16" customWidth="1"/>
    <col min="14" max="14" width="12.7109375" style="16" customWidth="1"/>
    <col min="15" max="16" width="11.85546875" style="16" customWidth="1"/>
    <col min="17" max="18" width="12.42578125" style="16" customWidth="1"/>
    <col min="19" max="19" width="2.28515625" style="16" customWidth="1"/>
    <col min="20" max="21" width="2.7109375" style="16" customWidth="1"/>
    <col min="22" max="16384" width="9.7109375" style="16"/>
  </cols>
  <sheetData>
    <row r="1" spans="2:23" ht="13.5" customHeight="1" thickBot="1" x14ac:dyDescent="0.25"/>
    <row r="2" spans="2:23" ht="13.5" customHeight="1" thickBot="1" x14ac:dyDescent="0.25">
      <c r="B2" s="19"/>
      <c r="C2" s="20"/>
      <c r="D2" s="20"/>
      <c r="E2" s="20"/>
      <c r="F2" s="21"/>
      <c r="G2" s="22"/>
      <c r="H2" s="22"/>
      <c r="I2" s="20"/>
      <c r="J2" s="20"/>
      <c r="K2" s="372"/>
      <c r="L2" s="20"/>
      <c r="M2" s="20"/>
      <c r="N2" s="20"/>
      <c r="O2" s="20"/>
      <c r="P2" s="20"/>
      <c r="Q2" s="20"/>
      <c r="R2" s="20"/>
      <c r="S2" s="20"/>
      <c r="T2" s="23"/>
    </row>
    <row r="3" spans="2:23" ht="13.5" customHeight="1" thickBot="1" x14ac:dyDescent="0.25">
      <c r="B3" s="24"/>
      <c r="C3" s="25"/>
      <c r="D3" s="25"/>
      <c r="E3" s="25"/>
      <c r="F3" s="26"/>
      <c r="G3" s="27"/>
      <c r="H3" s="27"/>
      <c r="I3" s="25"/>
      <c r="J3" s="25"/>
      <c r="K3" s="319"/>
      <c r="L3" s="25"/>
      <c r="M3" s="25"/>
      <c r="N3" s="25"/>
      <c r="O3" s="25"/>
      <c r="P3" s="25"/>
      <c r="Q3" s="25"/>
      <c r="R3" s="25"/>
      <c r="S3" s="25"/>
      <c r="T3" s="28"/>
    </row>
    <row r="4" spans="2:23" s="36" customFormat="1" ht="18" customHeight="1" thickBot="1" x14ac:dyDescent="0.3">
      <c r="B4" s="29"/>
      <c r="C4" s="30" t="s">
        <v>41</v>
      </c>
      <c r="D4" s="31"/>
      <c r="E4" s="31"/>
      <c r="F4" s="31"/>
      <c r="G4" s="107">
        <f>tabellen!B2</f>
        <v>2021</v>
      </c>
      <c r="H4" s="390" t="str">
        <f>tabellen!C2</f>
        <v>vanaf 1 juli</v>
      </c>
      <c r="I4" s="33"/>
      <c r="J4" s="31"/>
      <c r="K4" s="31"/>
      <c r="L4" s="320"/>
      <c r="M4" s="31"/>
      <c r="N4" s="34"/>
      <c r="O4" s="31"/>
      <c r="P4" s="31"/>
      <c r="Q4" s="31"/>
      <c r="R4" s="31"/>
      <c r="S4" s="31"/>
      <c r="T4" s="35"/>
    </row>
    <row r="5" spans="2:23" s="36" customFormat="1" ht="12.75" customHeight="1" thickBot="1" x14ac:dyDescent="0.3">
      <c r="B5" s="29"/>
      <c r="C5" s="30"/>
      <c r="D5" s="31"/>
      <c r="E5" s="31"/>
      <c r="F5" s="32"/>
      <c r="G5" s="32"/>
      <c r="H5" s="33"/>
      <c r="I5" s="31"/>
      <c r="J5" s="31"/>
      <c r="K5" s="320"/>
      <c r="L5" s="31"/>
      <c r="M5" s="34"/>
      <c r="N5" s="31"/>
      <c r="O5" s="31"/>
      <c r="P5" s="31"/>
      <c r="Q5" s="31"/>
      <c r="R5" s="31"/>
      <c r="S5" s="31"/>
      <c r="T5" s="35"/>
    </row>
    <row r="6" spans="2:23" ht="12.75" customHeight="1" thickBot="1" x14ac:dyDescent="0.25">
      <c r="B6" s="24"/>
      <c r="C6" s="25"/>
      <c r="D6" s="25"/>
      <c r="E6" s="37"/>
      <c r="F6" s="26"/>
      <c r="G6" s="27"/>
      <c r="H6" s="27"/>
      <c r="I6" s="127">
        <f ca="1">TODAY()</f>
        <v>44413</v>
      </c>
      <c r="J6" s="38"/>
      <c r="K6" s="321"/>
      <c r="L6" s="25"/>
      <c r="M6" s="38"/>
      <c r="N6" s="38"/>
      <c r="O6" s="25"/>
      <c r="P6" s="25"/>
      <c r="Q6" s="25"/>
      <c r="R6" s="25"/>
      <c r="S6" s="25"/>
      <c r="T6" s="28"/>
    </row>
    <row r="7" spans="2:23" ht="12.75" customHeight="1" thickBot="1" x14ac:dyDescent="0.25">
      <c r="B7" s="24"/>
      <c r="C7" s="148"/>
      <c r="D7" s="148"/>
      <c r="E7" s="149"/>
      <c r="F7" s="150"/>
      <c r="G7" s="151"/>
      <c r="H7" s="151"/>
      <c r="I7" s="148"/>
      <c r="J7" s="148"/>
      <c r="K7" s="322"/>
      <c r="L7" s="148"/>
      <c r="M7" s="148"/>
      <c r="N7" s="148"/>
      <c r="O7" s="148"/>
      <c r="P7" s="130"/>
      <c r="Q7" s="130"/>
      <c r="R7" s="130"/>
      <c r="S7" s="130"/>
      <c r="T7" s="28"/>
    </row>
    <row r="8" spans="2:23" ht="12.75" customHeight="1" thickBot="1" x14ac:dyDescent="0.25">
      <c r="B8" s="24"/>
      <c r="C8" s="148"/>
      <c r="D8" s="152" t="s">
        <v>42</v>
      </c>
      <c r="E8" s="149"/>
      <c r="F8" s="150"/>
      <c r="G8" s="151"/>
      <c r="H8" s="151"/>
      <c r="I8" s="148"/>
      <c r="J8" s="148"/>
      <c r="K8" s="322"/>
      <c r="L8" s="148"/>
      <c r="M8" s="152" t="s">
        <v>292</v>
      </c>
      <c r="N8" s="152"/>
      <c r="O8" s="152"/>
      <c r="P8" s="131"/>
      <c r="Q8" s="131"/>
      <c r="R8" s="371">
        <f>R12-1</f>
        <v>0.67145850816908093</v>
      </c>
      <c r="S8" s="130"/>
      <c r="T8" s="28"/>
    </row>
    <row r="9" spans="2:23" ht="12.75" customHeight="1" thickBot="1" x14ac:dyDescent="0.25">
      <c r="B9" s="24"/>
      <c r="C9" s="148"/>
      <c r="D9" s="148"/>
      <c r="E9" s="149"/>
      <c r="F9" s="150"/>
      <c r="G9" s="151"/>
      <c r="H9" s="151"/>
      <c r="I9" s="148"/>
      <c r="J9" s="148"/>
      <c r="K9" s="322"/>
      <c r="L9" s="148"/>
      <c r="M9" s="148"/>
      <c r="N9" s="148"/>
      <c r="O9" s="148"/>
      <c r="P9" s="130"/>
      <c r="Q9" s="130"/>
      <c r="R9" s="130"/>
      <c r="S9" s="130"/>
      <c r="T9" s="28"/>
    </row>
    <row r="10" spans="2:23" ht="12.75" customHeight="1" thickBot="1" x14ac:dyDescent="0.25">
      <c r="B10" s="39"/>
      <c r="C10" s="152"/>
      <c r="D10" s="148" t="s">
        <v>43</v>
      </c>
      <c r="E10" s="148"/>
      <c r="F10" s="148"/>
      <c r="G10" s="148"/>
      <c r="H10" s="148"/>
      <c r="I10" s="540" t="s">
        <v>44</v>
      </c>
      <c r="J10" s="540"/>
      <c r="K10" s="323"/>
      <c r="L10" s="148"/>
      <c r="M10" s="188" t="s">
        <v>293</v>
      </c>
      <c r="N10" s="148"/>
      <c r="O10" s="148"/>
      <c r="P10" s="130"/>
      <c r="Q10" s="130"/>
      <c r="R10" s="370">
        <f>I28/I18</f>
        <v>1.2093499253796858</v>
      </c>
      <c r="S10" s="130"/>
      <c r="T10" s="28"/>
    </row>
    <row r="11" spans="2:23" ht="12.75" customHeight="1" thickBot="1" x14ac:dyDescent="0.25">
      <c r="B11" s="24"/>
      <c r="C11" s="148"/>
      <c r="D11" s="148" t="s">
        <v>45</v>
      </c>
      <c r="E11" s="148"/>
      <c r="F11" s="150"/>
      <c r="G11" s="151"/>
      <c r="H11" s="151"/>
      <c r="I11" s="154">
        <v>32487</v>
      </c>
      <c r="J11" s="558">
        <f ca="1">YEAR(I6)-YEAR(I11)</f>
        <v>33</v>
      </c>
      <c r="K11" s="324"/>
      <c r="L11" s="199"/>
      <c r="M11" s="191" t="s">
        <v>294</v>
      </c>
      <c r="N11" s="200"/>
      <c r="O11" s="148"/>
      <c r="P11" s="130"/>
      <c r="Q11" s="130"/>
      <c r="R11" s="370">
        <f>I65/I28</f>
        <v>1.3821132106526672</v>
      </c>
      <c r="S11" s="130"/>
      <c r="T11" s="28"/>
    </row>
    <row r="12" spans="2:23" ht="12.75" customHeight="1" thickBot="1" x14ac:dyDescent="0.25">
      <c r="B12" s="24"/>
      <c r="C12" s="148"/>
      <c r="D12" s="152"/>
      <c r="E12" s="148"/>
      <c r="F12" s="150"/>
      <c r="G12" s="151"/>
      <c r="H12" s="151"/>
      <c r="I12" s="148"/>
      <c r="J12" s="201">
        <f>YEAR(I11)</f>
        <v>1988</v>
      </c>
      <c r="K12" s="325"/>
      <c r="L12" s="199"/>
      <c r="M12" s="187" t="s">
        <v>295</v>
      </c>
      <c r="N12" s="202"/>
      <c r="O12" s="148"/>
      <c r="P12" s="130"/>
      <c r="Q12" s="130"/>
      <c r="R12" s="370">
        <f>I65/I18</f>
        <v>1.6714585081690809</v>
      </c>
      <c r="S12" s="130"/>
      <c r="T12" s="28"/>
    </row>
    <row r="13" spans="2:23" ht="12.75" customHeight="1" thickBot="1" x14ac:dyDescent="0.25">
      <c r="B13" s="24"/>
      <c r="C13" s="148"/>
      <c r="D13" s="156" t="s">
        <v>285</v>
      </c>
      <c r="E13" s="148"/>
      <c r="F13" s="148"/>
      <c r="G13" s="148"/>
      <c r="H13" s="148"/>
      <c r="I13" s="175" t="s">
        <v>59</v>
      </c>
      <c r="J13" s="151" t="s">
        <v>284</v>
      </c>
      <c r="K13" s="326"/>
      <c r="L13" s="202"/>
      <c r="M13" s="202"/>
      <c r="N13" s="202"/>
      <c r="O13" s="148"/>
      <c r="P13" s="130"/>
      <c r="Q13" s="130"/>
      <c r="R13" s="130"/>
      <c r="S13" s="130"/>
      <c r="T13" s="28"/>
    </row>
    <row r="14" spans="2:23" ht="12.75" customHeight="1" thickBot="1" x14ac:dyDescent="0.25">
      <c r="B14" s="24"/>
      <c r="C14" s="148"/>
      <c r="D14" s="150" t="s">
        <v>47</v>
      </c>
      <c r="E14" s="148"/>
      <c r="F14" s="148"/>
      <c r="G14" s="150"/>
      <c r="H14" s="151"/>
      <c r="I14" s="157" t="s">
        <v>6</v>
      </c>
      <c r="J14" s="202">
        <f>IF(AND(I14&gt;0,I14&lt;16),0,100)</f>
        <v>100</v>
      </c>
      <c r="K14" s="345"/>
      <c r="L14" s="346"/>
      <c r="M14" s="346"/>
      <c r="N14" s="346"/>
      <c r="O14" s="347"/>
      <c r="P14" s="348"/>
      <c r="Q14" s="348"/>
      <c r="R14" s="348"/>
      <c r="S14" s="348"/>
      <c r="T14" s="28"/>
    </row>
    <row r="15" spans="2:23" ht="12.75" customHeight="1" thickBot="1" x14ac:dyDescent="0.25">
      <c r="B15" s="24"/>
      <c r="C15" s="148"/>
      <c r="D15" s="150" t="s">
        <v>48</v>
      </c>
      <c r="E15" s="148"/>
      <c r="F15" s="148" t="s">
        <v>49</v>
      </c>
      <c r="G15" s="151">
        <f>VLOOKUP(I14,saltab2020aug,18,FALSE)</f>
        <v>12</v>
      </c>
      <c r="H15" s="151"/>
      <c r="I15" s="157">
        <v>7</v>
      </c>
      <c r="J15" s="158" t="str">
        <f>IF(AND(I15&gt;0,I15&lt;G15+1),"",W15)</f>
        <v/>
      </c>
      <c r="K15" s="327"/>
      <c r="L15" s="168"/>
      <c r="M15" s="148"/>
      <c r="N15" s="150"/>
      <c r="O15" s="148"/>
      <c r="P15" s="130"/>
      <c r="Q15" s="130"/>
      <c r="R15" s="130"/>
      <c r="S15" s="130"/>
      <c r="T15" s="28"/>
      <c r="W15" s="40" t="s">
        <v>50</v>
      </c>
    </row>
    <row r="16" spans="2:23" ht="12.75" customHeight="1" thickBot="1" x14ac:dyDescent="0.25">
      <c r="B16" s="24"/>
      <c r="C16" s="148"/>
      <c r="D16" s="150" t="s">
        <v>51</v>
      </c>
      <c r="E16" s="148"/>
      <c r="F16" s="148"/>
      <c r="G16" s="151"/>
      <c r="H16" s="151"/>
      <c r="I16" s="308">
        <f>VLOOKUP(I14,saltab2020aug,I15+1,FALSE)*5/12+VLOOKUP(I14,saltab2020aug,I15+1,FALSE)*4/12+VLOOKUP(I14,saltab2020aug,I15+1,FALSE)*3/12</f>
        <v>3797</v>
      </c>
      <c r="J16" s="155"/>
      <c r="K16" s="328"/>
      <c r="L16" s="148"/>
      <c r="M16" s="152" t="s">
        <v>296</v>
      </c>
      <c r="N16" s="148"/>
      <c r="O16" s="148"/>
      <c r="P16" s="130"/>
      <c r="Q16" s="130"/>
      <c r="R16" s="130"/>
      <c r="S16" s="130"/>
      <c r="T16" s="28"/>
    </row>
    <row r="17" spans="2:20" thickBot="1" x14ac:dyDescent="0.25">
      <c r="B17" s="24"/>
      <c r="C17" s="148"/>
      <c r="D17" s="148" t="s">
        <v>52</v>
      </c>
      <c r="E17" s="148"/>
      <c r="F17" s="150"/>
      <c r="G17" s="151"/>
      <c r="H17" s="151"/>
      <c r="I17" s="159">
        <v>1</v>
      </c>
      <c r="J17" s="155"/>
      <c r="K17" s="328"/>
      <c r="L17" s="148"/>
      <c r="M17" s="148"/>
      <c r="N17" s="148"/>
      <c r="O17" s="148"/>
      <c r="P17" s="130"/>
      <c r="Q17" s="130"/>
      <c r="R17" s="130"/>
      <c r="S17" s="130"/>
      <c r="T17" s="28"/>
    </row>
    <row r="18" spans="2:20" thickBot="1" x14ac:dyDescent="0.25">
      <c r="B18" s="24"/>
      <c r="C18" s="148"/>
      <c r="D18" s="150" t="s">
        <v>53</v>
      </c>
      <c r="E18" s="148"/>
      <c r="F18" s="148"/>
      <c r="G18" s="151"/>
      <c r="H18" s="151"/>
      <c r="I18" s="309">
        <f>+I16*I17</f>
        <v>3797</v>
      </c>
      <c r="J18" s="310">
        <f>I18*12</f>
        <v>45564</v>
      </c>
      <c r="K18" s="329"/>
      <c r="L18" s="148"/>
      <c r="M18" s="152" t="s">
        <v>297</v>
      </c>
      <c r="N18" s="148"/>
      <c r="O18" s="148"/>
      <c r="P18" s="130"/>
      <c r="Q18" s="130" t="s">
        <v>59</v>
      </c>
      <c r="R18" s="130" t="s">
        <v>60</v>
      </c>
      <c r="S18" s="130"/>
      <c r="T18" s="28"/>
    </row>
    <row r="19" spans="2:20" thickBot="1" x14ac:dyDescent="0.25">
      <c r="B19" s="24"/>
      <c r="C19" s="148"/>
      <c r="D19" s="148"/>
      <c r="E19" s="148"/>
      <c r="F19" s="150"/>
      <c r="G19" s="151"/>
      <c r="H19" s="151"/>
      <c r="I19" s="160"/>
      <c r="J19" s="155"/>
      <c r="K19" s="328"/>
      <c r="L19" s="148"/>
      <c r="M19" s="148" t="s">
        <v>20</v>
      </c>
      <c r="N19" s="148"/>
      <c r="O19" s="148"/>
      <c r="P19" s="130"/>
      <c r="Q19" s="351">
        <f>IF(J29/I17&lt;tabellen!E7,0,(J29-tabellen!E7*I17)/12*tabellen!D7)</f>
        <v>267.98655216666663</v>
      </c>
      <c r="R19" s="351">
        <f>IF(J29/I17&lt;tabellen!E7,0,(J29-tabellen!E7*I17)*tabellen!D7)</f>
        <v>3215.8386259999997</v>
      </c>
      <c r="S19" s="130"/>
      <c r="T19" s="28"/>
    </row>
    <row r="20" spans="2:20" thickBot="1" x14ac:dyDescent="0.25">
      <c r="B20" s="24"/>
      <c r="C20" s="148"/>
      <c r="D20" s="152" t="s">
        <v>395</v>
      </c>
      <c r="E20" s="148"/>
      <c r="F20" s="150"/>
      <c r="G20" s="151"/>
      <c r="H20" s="151"/>
      <c r="I20" s="175" t="s">
        <v>59</v>
      </c>
      <c r="J20" s="151" t="s">
        <v>284</v>
      </c>
      <c r="K20" s="326"/>
      <c r="L20" s="148"/>
      <c r="M20" s="148" t="s">
        <v>21</v>
      </c>
      <c r="N20" s="148"/>
      <c r="O20" s="148"/>
      <c r="P20" s="130"/>
      <c r="Q20" s="351">
        <f>IF(J29/I17&lt;tabellen!E8,0,(J29-tabellen!E8*I17)/12*tabellen!D8)</f>
        <v>7.4931345000000009</v>
      </c>
      <c r="R20" s="351">
        <f>IF(J29/I17&lt;tabellen!E8,0,(J29-tabellen!E8*I17)*tabellen!D8)</f>
        <v>89.917614</v>
      </c>
      <c r="S20" s="130"/>
      <c r="T20" s="28"/>
    </row>
    <row r="21" spans="2:20" thickBot="1" x14ac:dyDescent="0.25">
      <c r="B21" s="24"/>
      <c r="C21" s="148"/>
      <c r="D21" s="150" t="s">
        <v>55</v>
      </c>
      <c r="E21" s="148"/>
      <c r="F21" s="150"/>
      <c r="G21" s="538">
        <f>tabellen!D32</f>
        <v>0.08</v>
      </c>
      <c r="H21" s="163"/>
      <c r="I21" s="311">
        <f>ROUND(IF((I$18+I$24)*G21&lt;I17*tabellen!D31,I17*tabellen!D31,(I$18+I$24)*G21),2)</f>
        <v>307.67</v>
      </c>
      <c r="J21" s="312">
        <f>I21*12</f>
        <v>3692.04</v>
      </c>
      <c r="K21" s="330"/>
      <c r="L21" s="148"/>
      <c r="M21" s="148" t="s">
        <v>291</v>
      </c>
      <c r="N21" s="148"/>
      <c r="O21" s="148"/>
      <c r="P21" s="130"/>
      <c r="Q21" s="351">
        <f>J29/12*tabellen!D9</f>
        <v>0</v>
      </c>
      <c r="R21" s="351">
        <f>J29*tabellen!D9</f>
        <v>0</v>
      </c>
      <c r="S21" s="130"/>
      <c r="T21" s="28"/>
    </row>
    <row r="22" spans="2:20" thickBot="1" x14ac:dyDescent="0.25">
      <c r="B22" s="24"/>
      <c r="C22" s="148"/>
      <c r="D22" s="150" t="s">
        <v>56</v>
      </c>
      <c r="E22" s="148"/>
      <c r="F22" s="150"/>
      <c r="G22" s="538">
        <f>tabellen!D33</f>
        <v>0.08</v>
      </c>
      <c r="H22" s="164"/>
      <c r="I22" s="311">
        <f>ROUND(+(I$18+I$24)*G22,2)</f>
        <v>307.67</v>
      </c>
      <c r="J22" s="312">
        <f t="shared" ref="J22:J24" si="0">I22*12</f>
        <v>3692.04</v>
      </c>
      <c r="K22" s="330"/>
      <c r="L22" s="148"/>
      <c r="M22" s="148"/>
      <c r="N22" s="148"/>
      <c r="O22" s="148"/>
      <c r="P22" s="130"/>
      <c r="Q22" s="352">
        <f>SUM(Q19:Q21)</f>
        <v>275.47968666666662</v>
      </c>
      <c r="R22" s="352">
        <f>SUM(R19:R21)</f>
        <v>3305.7562399999997</v>
      </c>
      <c r="S22" s="130"/>
      <c r="T22" s="28"/>
    </row>
    <row r="23" spans="2:20" hidden="1" thickBot="1" x14ac:dyDescent="0.25">
      <c r="B23" s="24"/>
      <c r="C23" s="148"/>
      <c r="D23" s="148" t="s">
        <v>273</v>
      </c>
      <c r="E23" s="148"/>
      <c r="F23" s="150"/>
      <c r="G23" s="164"/>
      <c r="H23" s="164"/>
      <c r="I23" s="312">
        <f>I18*1%*(1+8%+7.4%)*12*0</f>
        <v>0</v>
      </c>
      <c r="J23" s="312">
        <f t="shared" si="0"/>
        <v>0</v>
      </c>
      <c r="K23" s="330"/>
      <c r="L23" s="187"/>
      <c r="M23" s="148"/>
      <c r="N23" s="295"/>
      <c r="O23" s="148"/>
      <c r="P23" s="130"/>
      <c r="Q23" s="130"/>
      <c r="R23" s="130"/>
      <c r="S23" s="130"/>
      <c r="T23" s="28"/>
    </row>
    <row r="24" spans="2:20" thickBot="1" x14ac:dyDescent="0.25">
      <c r="B24" s="24"/>
      <c r="C24" s="148"/>
      <c r="D24" s="150" t="s">
        <v>287</v>
      </c>
      <c r="E24" s="148"/>
      <c r="F24" s="261"/>
      <c r="G24" s="157" t="s">
        <v>54</v>
      </c>
      <c r="H24" s="151"/>
      <c r="I24" s="311">
        <f>ROUND(IF(G24="ja",VLOOKUP(I14,uitlooptoeslag,2,FALSE))*IF(I17&gt;1,1,I17),2)</f>
        <v>48.93</v>
      </c>
      <c r="J24" s="312">
        <f t="shared" si="0"/>
        <v>587.16</v>
      </c>
      <c r="K24" s="330"/>
      <c r="L24" s="148"/>
      <c r="M24" s="152" t="s">
        <v>269</v>
      </c>
      <c r="N24" s="148"/>
      <c r="O24" s="148"/>
      <c r="P24" s="130"/>
      <c r="Q24" s="130"/>
      <c r="R24" s="130"/>
      <c r="S24" s="130"/>
      <c r="T24" s="28"/>
    </row>
    <row r="25" spans="2:20" thickBot="1" x14ac:dyDescent="0.25">
      <c r="B25" s="24"/>
      <c r="C25" s="148"/>
      <c r="D25" s="150" t="s">
        <v>36</v>
      </c>
      <c r="E25" s="148"/>
      <c r="F25" s="165"/>
      <c r="G25" s="166">
        <f>IF(J14=100,0,I14)</f>
        <v>0</v>
      </c>
      <c r="H25" s="164"/>
      <c r="I25" s="311">
        <f>VLOOKUP(G25,eindejaarsuitkering_OOP,2,TRUE)*I17/12</f>
        <v>0</v>
      </c>
      <c r="J25" s="312">
        <f>I25*12</f>
        <v>0</v>
      </c>
      <c r="K25" s="330"/>
      <c r="L25" s="148"/>
      <c r="M25" s="148" t="s">
        <v>289</v>
      </c>
      <c r="N25" s="148"/>
      <c r="O25" s="148"/>
      <c r="P25" s="130"/>
      <c r="Q25" s="351">
        <f>I28</f>
        <v>4591.9016666666666</v>
      </c>
      <c r="R25" s="351">
        <f>J28</f>
        <v>55102.82</v>
      </c>
      <c r="S25" s="130"/>
      <c r="T25" s="28"/>
    </row>
    <row r="26" spans="2:20" thickBot="1" x14ac:dyDescent="0.25">
      <c r="B26" s="24"/>
      <c r="C26" s="148"/>
      <c r="D26" s="148" t="s">
        <v>28</v>
      </c>
      <c r="E26" s="152"/>
      <c r="F26" s="161" t="s">
        <v>57</v>
      </c>
      <c r="G26" s="157" t="s">
        <v>54</v>
      </c>
      <c r="H26" s="151"/>
      <c r="I26" s="311">
        <f>J26/12</f>
        <v>130.63166666666666</v>
      </c>
      <c r="J26" s="312">
        <f>ROUND(IF(G26="ja",VLOOKUP(F26,bindingstoelage,2,FALSE))*IF(I17&gt;1,1,I17),2)</f>
        <v>1567.58</v>
      </c>
      <c r="K26" s="330"/>
      <c r="L26" s="148"/>
      <c r="M26" s="148" t="s">
        <v>298</v>
      </c>
      <c r="N26" s="148"/>
      <c r="O26" s="148"/>
      <c r="P26" s="130"/>
      <c r="Q26" s="351">
        <f>Q22</f>
        <v>275.47968666666662</v>
      </c>
      <c r="R26" s="351">
        <f>R22</f>
        <v>3305.7562399999997</v>
      </c>
      <c r="S26" s="130"/>
      <c r="T26" s="28"/>
    </row>
    <row r="27" spans="2:20" s="42" customFormat="1" thickBot="1" x14ac:dyDescent="0.25">
      <c r="B27" s="39"/>
      <c r="C27" s="152"/>
      <c r="D27" s="152" t="s">
        <v>288</v>
      </c>
      <c r="E27" s="152"/>
      <c r="F27" s="167"/>
      <c r="G27" s="168"/>
      <c r="H27" s="168"/>
      <c r="I27" s="309">
        <f>SUM(I21:I26)</f>
        <v>794.90166666666664</v>
      </c>
      <c r="J27" s="310">
        <f>SUM(J21:J26)</f>
        <v>9538.82</v>
      </c>
      <c r="K27" s="329"/>
      <c r="L27" s="152"/>
      <c r="M27" s="152"/>
      <c r="N27" s="152"/>
      <c r="O27" s="152"/>
      <c r="P27" s="131"/>
      <c r="Q27" s="353">
        <f>Q25-Q26</f>
        <v>4316.4219800000001</v>
      </c>
      <c r="R27" s="353">
        <f>R25-R26</f>
        <v>51797.063759999997</v>
      </c>
      <c r="S27" s="131"/>
      <c r="T27" s="41"/>
    </row>
    <row r="28" spans="2:20" s="42" customFormat="1" thickBot="1" x14ac:dyDescent="0.25">
      <c r="B28" s="39"/>
      <c r="C28" s="152"/>
      <c r="D28" s="152" t="s">
        <v>289</v>
      </c>
      <c r="E28" s="152"/>
      <c r="F28" s="167"/>
      <c r="G28" s="168"/>
      <c r="H28" s="168"/>
      <c r="I28" s="309">
        <f>I18+I27</f>
        <v>4591.9016666666666</v>
      </c>
      <c r="J28" s="309">
        <f>J18+J27</f>
        <v>55102.82</v>
      </c>
      <c r="K28" s="329"/>
      <c r="L28" s="152"/>
      <c r="M28" s="152" t="s">
        <v>74</v>
      </c>
      <c r="N28" s="152"/>
      <c r="O28" s="152"/>
      <c r="P28" s="131"/>
      <c r="Q28" s="131"/>
      <c r="R28" s="131"/>
      <c r="S28" s="131"/>
      <c r="T28" s="41"/>
    </row>
    <row r="29" spans="2:20" thickBot="1" x14ac:dyDescent="0.25">
      <c r="B29" s="24"/>
      <c r="C29" s="148"/>
      <c r="D29" s="148" t="s">
        <v>58</v>
      </c>
      <c r="E29" s="148"/>
      <c r="F29" s="148"/>
      <c r="G29" s="151"/>
      <c r="H29" s="151"/>
      <c r="I29" s="313">
        <f>J29/12</f>
        <v>4591.9016666666666</v>
      </c>
      <c r="J29" s="313">
        <f>J18+J27</f>
        <v>55102.82</v>
      </c>
      <c r="K29" s="331"/>
      <c r="L29" s="148"/>
      <c r="M29" s="148" t="s">
        <v>299</v>
      </c>
      <c r="N29" s="148"/>
      <c r="O29" s="148"/>
      <c r="P29" s="130"/>
      <c r="Q29" s="351">
        <f>Q27</f>
        <v>4316.4219800000001</v>
      </c>
      <c r="R29" s="351">
        <f>R27</f>
        <v>51797.063759999997</v>
      </c>
      <c r="S29" s="130"/>
      <c r="T29" s="28"/>
    </row>
    <row r="30" spans="2:20" hidden="1" thickBot="1" x14ac:dyDescent="0.25">
      <c r="B30" s="24"/>
      <c r="C30" s="148"/>
      <c r="D30" s="290" t="s">
        <v>266</v>
      </c>
      <c r="E30" s="148"/>
      <c r="F30" s="150"/>
      <c r="G30" s="151"/>
      <c r="H30" s="151"/>
      <c r="I30" s="289">
        <v>0</v>
      </c>
      <c r="J30" s="155"/>
      <c r="K30" s="328"/>
      <c r="L30" s="148"/>
      <c r="M30" s="148"/>
      <c r="N30" s="148"/>
      <c r="O30" s="148"/>
      <c r="P30" s="130"/>
      <c r="Q30" s="351"/>
      <c r="R30" s="351"/>
      <c r="S30" s="130"/>
      <c r="T30" s="28"/>
    </row>
    <row r="31" spans="2:20" thickBot="1" x14ac:dyDescent="0.25">
      <c r="B31" s="24"/>
      <c r="C31" s="148"/>
      <c r="D31" s="152"/>
      <c r="E31" s="148"/>
      <c r="F31" s="150"/>
      <c r="G31" s="151"/>
      <c r="H31" s="151"/>
      <c r="I31" s="171"/>
      <c r="J31" s="155"/>
      <c r="K31" s="328"/>
      <c r="L31" s="148"/>
      <c r="M31" s="148" t="s">
        <v>300</v>
      </c>
      <c r="N31" s="148"/>
      <c r="O31" s="148"/>
      <c r="P31" s="130"/>
      <c r="Q31" s="351">
        <f>IF(Q27&gt;tabellen!H10,tabellen!H10,Q27)*tabellen!C12</f>
        <v>302.14953860000003</v>
      </c>
      <c r="R31" s="351">
        <f>J38</f>
        <v>3625.7944632000003</v>
      </c>
      <c r="S31" s="130"/>
      <c r="T31" s="28"/>
    </row>
    <row r="32" spans="2:20" s="45" customFormat="1" thickBot="1" x14ac:dyDescent="0.25">
      <c r="B32" s="43"/>
      <c r="C32" s="172"/>
      <c r="D32" s="152" t="s">
        <v>286</v>
      </c>
      <c r="E32" s="172"/>
      <c r="F32" s="173"/>
      <c r="G32" s="174"/>
      <c r="H32" s="174"/>
      <c r="I32" s="175"/>
      <c r="J32" s="175"/>
      <c r="K32" s="332"/>
      <c r="L32" s="177"/>
      <c r="M32" s="162"/>
      <c r="N32" s="177"/>
      <c r="O32" s="148"/>
      <c r="P32" s="130"/>
      <c r="Q32" s="352">
        <f>(Q29+Q31)</f>
        <v>4618.5715185999998</v>
      </c>
      <c r="R32" s="352">
        <f>(R29+R31)</f>
        <v>55422.858223199997</v>
      </c>
      <c r="S32" s="130"/>
      <c r="T32" s="44"/>
    </row>
    <row r="33" spans="2:20" thickBot="1" x14ac:dyDescent="0.25">
      <c r="B33" s="24"/>
      <c r="C33" s="148"/>
      <c r="D33" s="187" t="s">
        <v>290</v>
      </c>
      <c r="E33" s="148"/>
      <c r="F33" s="150"/>
      <c r="G33" s="151"/>
      <c r="H33" s="151"/>
      <c r="I33" s="175" t="s">
        <v>59</v>
      </c>
      <c r="J33" s="175" t="s">
        <v>60</v>
      </c>
      <c r="K33" s="332"/>
      <c r="L33" s="168"/>
      <c r="M33" s="314"/>
      <c r="N33" s="314"/>
      <c r="O33" s="148"/>
      <c r="P33" s="130"/>
      <c r="Q33" s="130"/>
      <c r="R33" s="130"/>
      <c r="S33" s="130"/>
      <c r="T33" s="46"/>
    </row>
    <row r="34" spans="2:20" thickBot="1" x14ac:dyDescent="0.25">
      <c r="B34" s="24"/>
      <c r="C34" s="148"/>
      <c r="D34" s="150" t="s">
        <v>61</v>
      </c>
      <c r="E34" s="148" t="s">
        <v>20</v>
      </c>
      <c r="F34" s="150"/>
      <c r="G34" s="151"/>
      <c r="H34" s="151"/>
      <c r="I34" s="317">
        <f>IF($J$29/$I$17&lt;tabellen!E7,0,($J$29-tabellen!E7)/12)*tabellen!$C7</f>
        <v>607.2784795</v>
      </c>
      <c r="J34" s="315">
        <f>I34*12</f>
        <v>7287.341754</v>
      </c>
      <c r="K34" s="331"/>
      <c r="L34" s="160"/>
      <c r="M34" s="152"/>
      <c r="N34" s="148"/>
      <c r="O34" s="148"/>
      <c r="P34" s="130"/>
      <c r="Q34" s="130"/>
      <c r="R34" s="130"/>
      <c r="S34" s="130"/>
      <c r="T34" s="46"/>
    </row>
    <row r="35" spans="2:20" thickBot="1" x14ac:dyDescent="0.25">
      <c r="B35" s="24"/>
      <c r="C35" s="148"/>
      <c r="D35" s="150" t="s">
        <v>62</v>
      </c>
      <c r="E35" s="148" t="s">
        <v>63</v>
      </c>
      <c r="F35" s="150"/>
      <c r="G35" s="151"/>
      <c r="H35" s="151"/>
      <c r="I35" s="315">
        <f>IF($J$29/$I$17&lt;tabellen!E8,0,($J$29-tabellen!E8)*$I$17/12)*tabellen!$C8</f>
        <v>17.483980500000001</v>
      </c>
      <c r="J35" s="315">
        <f>I35*12</f>
        <v>209.80776600000002</v>
      </c>
      <c r="K35" s="331"/>
      <c r="L35" s="160"/>
      <c r="M35" s="148"/>
      <c r="N35" s="354"/>
      <c r="O35" s="180"/>
      <c r="P35" s="130"/>
      <c r="Q35" s="350"/>
      <c r="R35" s="350"/>
      <c r="S35" s="130"/>
      <c r="T35" s="46"/>
    </row>
    <row r="36" spans="2:20" thickBot="1" x14ac:dyDescent="0.25">
      <c r="B36" s="24"/>
      <c r="C36" s="148"/>
      <c r="D36" s="150" t="s">
        <v>64</v>
      </c>
      <c r="E36" s="148" t="s">
        <v>291</v>
      </c>
      <c r="F36" s="150"/>
      <c r="G36" s="150"/>
      <c r="H36" s="151"/>
      <c r="I36" s="315">
        <f>$I$29*tabellen!$C9</f>
        <v>119.38944333333333</v>
      </c>
      <c r="J36" s="315">
        <f>$J$29*tabellen!$C9</f>
        <v>1432.6733199999999</v>
      </c>
      <c r="K36" s="331"/>
      <c r="L36" s="160"/>
      <c r="M36" s="148"/>
      <c r="N36" s="354"/>
      <c r="O36" s="180"/>
      <c r="P36" s="130"/>
      <c r="Q36" s="350"/>
      <c r="R36" s="350"/>
      <c r="S36" s="130"/>
      <c r="T36" s="46"/>
    </row>
    <row r="37" spans="2:20" ht="15.75" thickBot="1" x14ac:dyDescent="0.25">
      <c r="B37" s="24"/>
      <c r="C37" s="148"/>
      <c r="D37" s="150" t="s">
        <v>65</v>
      </c>
      <c r="E37" s="148" t="s">
        <v>66</v>
      </c>
      <c r="F37" s="150"/>
      <c r="G37" s="151"/>
      <c r="H37" s="151"/>
      <c r="I37" s="315">
        <f>IF(R27&gt;tabellen!$G$10,tabellen!$G$10,R27)*(tabellen!$C10+tabellen!$C11)/12</f>
        <v>376.82363885399997</v>
      </c>
      <c r="J37" s="315">
        <f>12*I37</f>
        <v>4521.8836662479998</v>
      </c>
      <c r="K37" s="331"/>
      <c r="L37" s="160"/>
      <c r="M37" s="385"/>
      <c r="N37" s="386"/>
      <c r="O37" s="386"/>
      <c r="P37" s="386"/>
      <c r="Q37" s="386"/>
      <c r="R37" s="386"/>
      <c r="S37" s="130"/>
      <c r="T37" s="46"/>
    </row>
    <row r="38" spans="2:20" ht="15.75" thickBot="1" x14ac:dyDescent="0.25">
      <c r="B38" s="24"/>
      <c r="C38" s="148"/>
      <c r="D38" s="150" t="s">
        <v>67</v>
      </c>
      <c r="E38" s="148" t="s">
        <v>68</v>
      </c>
      <c r="F38" s="150"/>
      <c r="G38" s="151"/>
      <c r="H38" s="151"/>
      <c r="I38" s="315">
        <f>Q31</f>
        <v>302.14953860000003</v>
      </c>
      <c r="J38" s="315">
        <f>I38*12</f>
        <v>3625.7944632000003</v>
      </c>
      <c r="K38" s="331"/>
      <c r="L38" s="160"/>
      <c r="M38" s="387"/>
      <c r="N38" s="386"/>
      <c r="O38" s="386"/>
      <c r="P38" s="386"/>
      <c r="Q38" s="386"/>
      <c r="R38" s="386"/>
      <c r="S38" s="130"/>
      <c r="T38" s="46"/>
    </row>
    <row r="39" spans="2:20" ht="15.75" thickBot="1" x14ac:dyDescent="0.25">
      <c r="B39" s="24"/>
      <c r="C39" s="148"/>
      <c r="D39" s="150" t="s">
        <v>69</v>
      </c>
      <c r="E39" s="148" t="s">
        <v>70</v>
      </c>
      <c r="F39" s="150"/>
      <c r="G39" s="151"/>
      <c r="H39" s="151"/>
      <c r="I39" s="315">
        <f>IF(Q27&gt;tabellen!$G$13*$I$17/12,tabellen!$G$13*$I$17/12,Q27)*tabellen!$C13</f>
        <v>29.351669464</v>
      </c>
      <c r="J39" s="315">
        <f>I39*12</f>
        <v>352.22003356800002</v>
      </c>
      <c r="K39" s="331"/>
      <c r="L39" s="160"/>
      <c r="M39" s="387"/>
      <c r="N39" s="386"/>
      <c r="O39" s="386"/>
      <c r="P39" s="386"/>
      <c r="Q39" s="386"/>
      <c r="R39" s="386"/>
      <c r="S39" s="130"/>
      <c r="T39" s="46"/>
    </row>
    <row r="40" spans="2:20" ht="15.75" thickBot="1" x14ac:dyDescent="0.25">
      <c r="B40" s="24"/>
      <c r="C40" s="148"/>
      <c r="D40" s="150"/>
      <c r="E40" s="148"/>
      <c r="F40" s="150"/>
      <c r="G40" s="151"/>
      <c r="H40" s="151"/>
      <c r="I40" s="366">
        <f>SUM(I34:I39)</f>
        <v>1452.4767502513334</v>
      </c>
      <c r="J40" s="366">
        <f>SUM(J34:J39)</f>
        <v>17429.721003015999</v>
      </c>
      <c r="K40" s="331"/>
      <c r="L40" s="160"/>
      <c r="M40" s="387"/>
      <c r="N40" s="386"/>
      <c r="O40" s="386"/>
      <c r="P40" s="386"/>
      <c r="Q40" s="386"/>
      <c r="R40" s="386"/>
      <c r="S40" s="130"/>
      <c r="T40" s="46"/>
    </row>
    <row r="41" spans="2:20" thickBot="1" x14ac:dyDescent="0.25">
      <c r="B41" s="24"/>
      <c r="C41" s="148"/>
      <c r="D41" s="150" t="s">
        <v>310</v>
      </c>
      <c r="E41" s="148"/>
      <c r="F41" s="150"/>
      <c r="G41" s="178"/>
      <c r="H41" s="151"/>
      <c r="I41" s="354"/>
      <c r="J41" s="354"/>
      <c r="K41" s="331"/>
      <c r="L41" s="373"/>
      <c r="M41" s="386"/>
      <c r="N41" s="386"/>
      <c r="O41" s="386"/>
      <c r="P41" s="386"/>
      <c r="Q41" s="386"/>
      <c r="R41" s="386"/>
      <c r="S41" s="374"/>
      <c r="T41" s="46"/>
    </row>
    <row r="42" spans="2:20" thickBot="1" x14ac:dyDescent="0.25">
      <c r="B42" s="24"/>
      <c r="C42" s="148"/>
      <c r="D42" s="150"/>
      <c r="E42" s="148" t="s">
        <v>311</v>
      </c>
      <c r="F42" s="150"/>
      <c r="G42" s="151"/>
      <c r="H42" s="151"/>
      <c r="I42" s="315">
        <f>J42/12</f>
        <v>215.821099</v>
      </c>
      <c r="J42" s="315">
        <f>R27*tabellen!C14</f>
        <v>2589.853188</v>
      </c>
      <c r="K42" s="331"/>
      <c r="L42" s="375"/>
      <c r="M42" s="386"/>
      <c r="N42" s="386"/>
      <c r="O42" s="386"/>
      <c r="P42" s="386"/>
      <c r="Q42" s="386"/>
      <c r="R42" s="386"/>
      <c r="S42" s="376"/>
      <c r="T42" s="46"/>
    </row>
    <row r="43" spans="2:20" ht="15.75" thickBot="1" x14ac:dyDescent="0.25">
      <c r="B43" s="24"/>
      <c r="C43" s="148"/>
      <c r="D43" s="150"/>
      <c r="E43" s="148" t="s">
        <v>354</v>
      </c>
      <c r="F43" s="150"/>
      <c r="G43" s="151"/>
      <c r="H43" s="151"/>
      <c r="I43" s="315">
        <f>J43/12</f>
        <v>0</v>
      </c>
      <c r="J43" s="318">
        <f>J64*tabellen!C17</f>
        <v>0</v>
      </c>
      <c r="K43" s="331"/>
      <c r="L43" s="160"/>
      <c r="M43" s="385" t="s">
        <v>417</v>
      </c>
      <c r="N43" s="386"/>
      <c r="O43" s="386"/>
      <c r="P43" s="386"/>
      <c r="Q43" s="386"/>
      <c r="R43" s="386"/>
      <c r="S43" s="130"/>
      <c r="T43" s="46"/>
    </row>
    <row r="44" spans="2:20" ht="15.75" thickBot="1" x14ac:dyDescent="0.25">
      <c r="B44" s="24"/>
      <c r="C44" s="148"/>
      <c r="D44" s="130"/>
      <c r="E44" s="148" t="s">
        <v>71</v>
      </c>
      <c r="F44" s="150"/>
      <c r="G44" s="151"/>
      <c r="H44" s="151"/>
      <c r="I44" s="315">
        <f>J44/12</f>
        <v>86.32843960000001</v>
      </c>
      <c r="J44" s="316">
        <f>R27*tabellen!C15</f>
        <v>1035.9412752000001</v>
      </c>
      <c r="K44" s="333"/>
      <c r="L44" s="160"/>
      <c r="M44" s="388" t="s">
        <v>318</v>
      </c>
      <c r="N44" s="386"/>
      <c r="O44" s="386"/>
      <c r="P44" s="386"/>
      <c r="Q44" s="386"/>
      <c r="R44" s="386"/>
      <c r="S44" s="130"/>
      <c r="T44" s="46"/>
    </row>
    <row r="45" spans="2:20" ht="15.75" thickBot="1" x14ac:dyDescent="0.25">
      <c r="B45" s="24"/>
      <c r="C45" s="148"/>
      <c r="D45" s="130"/>
      <c r="E45" s="148"/>
      <c r="F45" s="150"/>
      <c r="G45" s="151"/>
      <c r="H45" s="151"/>
      <c r="I45" s="369">
        <f>SUM(I42:I44)</f>
        <v>302.14953860000003</v>
      </c>
      <c r="J45" s="369">
        <f>SUM(J42:J44)</f>
        <v>3625.7944631999999</v>
      </c>
      <c r="K45" s="334"/>
      <c r="L45" s="160"/>
      <c r="M45" s="388" t="s">
        <v>319</v>
      </c>
      <c r="N45" s="386"/>
      <c r="O45" s="386"/>
      <c r="P45" s="386"/>
      <c r="Q45" s="386"/>
      <c r="R45" s="386"/>
      <c r="S45" s="130"/>
      <c r="T45" s="46"/>
    </row>
    <row r="46" spans="2:20" s="42" customFormat="1" ht="15.75" thickBot="1" x14ac:dyDescent="0.25">
      <c r="B46" s="39"/>
      <c r="C46" s="152"/>
      <c r="D46" s="165"/>
      <c r="E46" s="148"/>
      <c r="F46" s="150"/>
      <c r="G46" s="151"/>
      <c r="H46" s="151"/>
      <c r="I46" s="170"/>
      <c r="J46" s="170"/>
      <c r="K46" s="356"/>
      <c r="L46" s="377"/>
      <c r="M46" s="388" t="s">
        <v>320</v>
      </c>
      <c r="N46" s="386"/>
      <c r="O46" s="386"/>
      <c r="P46" s="386"/>
      <c r="Q46" s="386"/>
      <c r="R46" s="386"/>
      <c r="S46" s="378"/>
      <c r="T46" s="47"/>
    </row>
    <row r="47" spans="2:20" ht="15.75" thickBot="1" x14ac:dyDescent="0.25">
      <c r="B47" s="24"/>
      <c r="C47" s="148"/>
      <c r="D47" s="152" t="s">
        <v>72</v>
      </c>
      <c r="E47" s="152"/>
      <c r="F47" s="167"/>
      <c r="G47" s="168"/>
      <c r="H47" s="168"/>
      <c r="I47" s="367">
        <f>I40+I45</f>
        <v>1754.6262888513334</v>
      </c>
      <c r="J47" s="367">
        <f>J40+J45</f>
        <v>21055.515466215998</v>
      </c>
      <c r="K47" s="336"/>
      <c r="L47" s="180"/>
      <c r="M47" s="387" t="s">
        <v>330</v>
      </c>
      <c r="N47" s="386"/>
      <c r="O47" s="386"/>
      <c r="P47" s="386"/>
      <c r="Q47" s="386"/>
      <c r="R47" s="386"/>
      <c r="S47" s="130"/>
      <c r="T47" s="46"/>
    </row>
    <row r="48" spans="2:20" s="36" customFormat="1" ht="15.75" thickBot="1" x14ac:dyDescent="0.25">
      <c r="B48" s="29"/>
      <c r="C48" s="148"/>
      <c r="D48" s="170"/>
      <c r="E48" s="152"/>
      <c r="F48" s="150"/>
      <c r="G48" s="151"/>
      <c r="H48" s="151"/>
      <c r="I48" s="179"/>
      <c r="J48" s="179"/>
      <c r="K48" s="337"/>
      <c r="L48" s="349"/>
      <c r="M48" s="387" t="s">
        <v>321</v>
      </c>
      <c r="N48" s="386"/>
      <c r="O48" s="386"/>
      <c r="P48" s="386"/>
      <c r="Q48" s="386"/>
      <c r="R48" s="386"/>
      <c r="S48" s="131"/>
      <c r="T48" s="35"/>
    </row>
    <row r="49" spans="2:20" ht="15.75" thickBot="1" x14ac:dyDescent="0.25">
      <c r="B49" s="24"/>
      <c r="C49" s="181"/>
      <c r="D49" s="152" t="s">
        <v>73</v>
      </c>
      <c r="E49" s="181"/>
      <c r="F49" s="182"/>
      <c r="G49" s="183"/>
      <c r="H49" s="183"/>
      <c r="I49" s="541">
        <f>+I47/I18</f>
        <v>0.46210858278939515</v>
      </c>
      <c r="J49" s="541"/>
      <c r="K49" s="334"/>
      <c r="L49" s="148"/>
      <c r="M49" s="387" t="s">
        <v>331</v>
      </c>
      <c r="N49" s="386"/>
      <c r="O49" s="386"/>
      <c r="P49" s="386"/>
      <c r="Q49" s="386"/>
      <c r="R49" s="386"/>
      <c r="S49" s="130"/>
      <c r="T49" s="46"/>
    </row>
    <row r="50" spans="2:20" ht="15.75" thickBot="1" x14ac:dyDescent="0.25">
      <c r="B50" s="24"/>
      <c r="C50" s="148"/>
      <c r="D50" s="148"/>
      <c r="E50" s="148"/>
      <c r="F50" s="150"/>
      <c r="G50" s="151"/>
      <c r="H50" s="151"/>
      <c r="I50" s="170"/>
      <c r="J50" s="170"/>
      <c r="K50" s="338"/>
      <c r="L50" s="130"/>
      <c r="M50" s="387" t="s">
        <v>332</v>
      </c>
      <c r="N50" s="386"/>
      <c r="O50" s="386"/>
      <c r="P50" s="386"/>
      <c r="Q50" s="386"/>
      <c r="R50" s="386"/>
      <c r="S50" s="130"/>
      <c r="T50" s="28"/>
    </row>
    <row r="51" spans="2:20" ht="15.75" thickBot="1" x14ac:dyDescent="0.25">
      <c r="B51" s="24"/>
      <c r="C51" s="25"/>
      <c r="D51" s="25"/>
      <c r="E51" s="25"/>
      <c r="F51" s="26"/>
      <c r="G51" s="27"/>
      <c r="H51" s="27"/>
      <c r="I51" s="48"/>
      <c r="J51" s="48"/>
      <c r="K51" s="334"/>
      <c r="L51" s="148"/>
      <c r="M51" s="387" t="s">
        <v>322</v>
      </c>
      <c r="N51" s="386"/>
      <c r="O51" s="386"/>
      <c r="P51" s="386"/>
      <c r="Q51" s="386"/>
      <c r="R51" s="386"/>
      <c r="S51" s="130"/>
      <c r="T51" s="46"/>
    </row>
    <row r="52" spans="2:20" ht="15.75" thickBot="1" x14ac:dyDescent="0.25">
      <c r="B52" s="24"/>
      <c r="C52" s="148"/>
      <c r="D52" s="148"/>
      <c r="E52" s="148"/>
      <c r="F52" s="150"/>
      <c r="G52" s="151"/>
      <c r="H52" s="151"/>
      <c r="I52" s="170"/>
      <c r="J52" s="170"/>
      <c r="K52" s="339"/>
      <c r="L52" s="176"/>
      <c r="M52" s="387" t="s">
        <v>333</v>
      </c>
      <c r="N52" s="386"/>
      <c r="O52" s="386"/>
      <c r="P52" s="386"/>
      <c r="Q52" s="386"/>
      <c r="R52" s="386"/>
      <c r="S52" s="138"/>
      <c r="T52" s="46"/>
    </row>
    <row r="53" spans="2:20" ht="15.75" thickBot="1" x14ac:dyDescent="0.25">
      <c r="B53" s="24"/>
      <c r="C53" s="172"/>
      <c r="D53" s="152" t="s">
        <v>301</v>
      </c>
      <c r="E53" s="172"/>
      <c r="F53" s="173"/>
      <c r="G53" s="174"/>
      <c r="H53" s="174"/>
      <c r="I53" s="166" t="s">
        <v>59</v>
      </c>
      <c r="J53" s="177" t="s">
        <v>60</v>
      </c>
      <c r="K53" s="340"/>
      <c r="L53" s="148"/>
      <c r="M53" s="387" t="s">
        <v>334</v>
      </c>
      <c r="N53" s="386"/>
      <c r="O53" s="386"/>
      <c r="P53" s="386"/>
      <c r="Q53" s="386"/>
      <c r="R53" s="386"/>
      <c r="S53" s="130"/>
      <c r="T53" s="46"/>
    </row>
    <row r="54" spans="2:20" ht="15.75" thickBot="1" x14ac:dyDescent="0.25">
      <c r="B54" s="24"/>
      <c r="C54" s="148"/>
      <c r="D54" s="152"/>
      <c r="E54" s="148"/>
      <c r="F54" s="150"/>
      <c r="G54" s="151"/>
      <c r="H54" s="151"/>
      <c r="I54" s="184"/>
      <c r="J54" s="152"/>
      <c r="K54" s="335"/>
      <c r="L54" s="152"/>
      <c r="M54" s="388"/>
      <c r="N54" s="386"/>
      <c r="O54" s="386"/>
      <c r="P54" s="386"/>
      <c r="Q54" s="386"/>
      <c r="R54" s="386"/>
      <c r="S54" s="131"/>
      <c r="T54" s="46"/>
    </row>
    <row r="55" spans="2:20" ht="13.5" customHeight="1" thickBot="1" x14ac:dyDescent="0.3">
      <c r="B55" s="24"/>
      <c r="C55" s="152"/>
      <c r="D55" s="358" t="s">
        <v>302</v>
      </c>
      <c r="E55" s="152"/>
      <c r="F55" s="167"/>
      <c r="G55" s="168"/>
      <c r="H55" s="168"/>
      <c r="I55" s="361">
        <v>0</v>
      </c>
      <c r="J55" s="362">
        <v>0</v>
      </c>
      <c r="K55" s="335"/>
      <c r="L55" s="152"/>
      <c r="M55" s="539" t="s">
        <v>335</v>
      </c>
      <c r="N55" s="386"/>
      <c r="O55" s="386"/>
      <c r="P55" s="386"/>
      <c r="Q55" s="386"/>
      <c r="R55" s="386"/>
      <c r="S55" s="131"/>
      <c r="T55" s="46"/>
    </row>
    <row r="56" spans="2:20" thickBot="1" x14ac:dyDescent="0.25">
      <c r="B56" s="24"/>
      <c r="C56" s="152"/>
      <c r="D56" s="358" t="s">
        <v>303</v>
      </c>
      <c r="E56" s="152"/>
      <c r="F56" s="167"/>
      <c r="G56" s="168"/>
      <c r="H56" s="168"/>
      <c r="I56" s="361">
        <v>0</v>
      </c>
      <c r="J56" s="362">
        <v>0</v>
      </c>
      <c r="K56" s="341"/>
      <c r="L56" s="190"/>
      <c r="M56" s="386" t="s">
        <v>323</v>
      </c>
      <c r="N56" s="386"/>
      <c r="O56" s="386"/>
      <c r="P56" s="386"/>
      <c r="Q56" s="386"/>
      <c r="R56" s="386"/>
      <c r="S56" s="344"/>
      <c r="T56" s="46"/>
    </row>
    <row r="57" spans="2:20" thickBot="1" x14ac:dyDescent="0.25">
      <c r="B57" s="24"/>
      <c r="C57" s="187"/>
      <c r="D57" s="358" t="s">
        <v>304</v>
      </c>
      <c r="E57" s="187"/>
      <c r="F57" s="188"/>
      <c r="G57" s="177"/>
      <c r="H57" s="189"/>
      <c r="I57" s="363">
        <v>0</v>
      </c>
      <c r="J57" s="364">
        <f>IF($I$29/$I$17&lt;tabellen!E7,0,(+$I$29-tabellen!E7*I17)*tabellen!$D7)</f>
        <v>0</v>
      </c>
      <c r="K57" s="341"/>
      <c r="L57" s="190"/>
      <c r="M57" s="386" t="s">
        <v>324</v>
      </c>
      <c r="N57" s="386"/>
      <c r="O57" s="386"/>
      <c r="P57" s="386"/>
      <c r="Q57" s="386"/>
      <c r="R57" s="386"/>
      <c r="S57" s="344"/>
      <c r="T57" s="46"/>
    </row>
    <row r="58" spans="2:20" thickBot="1" x14ac:dyDescent="0.25">
      <c r="B58" s="24"/>
      <c r="C58" s="187"/>
      <c r="D58" s="358" t="s">
        <v>305</v>
      </c>
      <c r="E58" s="187"/>
      <c r="F58" s="188"/>
      <c r="G58" s="177"/>
      <c r="H58" s="189"/>
      <c r="I58" s="363">
        <v>0</v>
      </c>
      <c r="J58" s="364">
        <f>IF($I$29/$I$17&lt;tabellen!E8,0,(+$I$29-tabellen!E8*$I$17)*tabellen!$D8)</f>
        <v>0</v>
      </c>
      <c r="K58" s="341"/>
      <c r="L58" s="190"/>
      <c r="M58" s="386"/>
      <c r="N58" s="386"/>
      <c r="O58" s="386"/>
      <c r="P58" s="386"/>
      <c r="Q58" s="386"/>
      <c r="R58" s="386"/>
      <c r="S58" s="344"/>
      <c r="T58" s="46"/>
    </row>
    <row r="59" spans="2:20" ht="15.75" thickBot="1" x14ac:dyDescent="0.3">
      <c r="B59" s="24"/>
      <c r="C59" s="187"/>
      <c r="D59" s="358" t="s">
        <v>306</v>
      </c>
      <c r="E59" s="187"/>
      <c r="F59" s="188"/>
      <c r="G59" s="177"/>
      <c r="H59" s="189"/>
      <c r="I59" s="363">
        <v>0</v>
      </c>
      <c r="J59" s="364">
        <f>$I$29*tabellen!$D9</f>
        <v>0</v>
      </c>
      <c r="K59" s="342"/>
      <c r="L59" s="196"/>
      <c r="M59" s="389" t="s">
        <v>418</v>
      </c>
      <c r="N59" s="386"/>
      <c r="O59" s="386"/>
      <c r="P59" s="386"/>
      <c r="Q59" s="386"/>
      <c r="R59" s="386"/>
      <c r="S59" s="139"/>
      <c r="T59" s="46"/>
    </row>
    <row r="60" spans="2:20" thickBot="1" x14ac:dyDescent="0.25">
      <c r="B60" s="24"/>
      <c r="C60" s="192"/>
      <c r="D60" s="359" t="s">
        <v>307</v>
      </c>
      <c r="E60" s="192"/>
      <c r="F60" s="193"/>
      <c r="G60" s="194"/>
      <c r="H60" s="195"/>
      <c r="I60" s="365">
        <f>SUM(I57:I59)</f>
        <v>0</v>
      </c>
      <c r="J60" s="365">
        <f>SUM(J57:J59)</f>
        <v>0</v>
      </c>
      <c r="K60" s="343"/>
      <c r="L60" s="196"/>
      <c r="M60" s="386" t="s">
        <v>419</v>
      </c>
      <c r="N60" s="386"/>
      <c r="O60" s="386"/>
      <c r="P60" s="386"/>
      <c r="Q60" s="386"/>
      <c r="R60" s="386"/>
      <c r="S60" s="139"/>
      <c r="T60" s="46"/>
    </row>
    <row r="61" spans="2:20" thickBot="1" x14ac:dyDescent="0.25">
      <c r="B61" s="24"/>
      <c r="C61" s="192"/>
      <c r="D61" s="358"/>
      <c r="E61" s="192"/>
      <c r="F61" s="193"/>
      <c r="G61" s="194"/>
      <c r="H61" s="195"/>
      <c r="I61" s="197"/>
      <c r="J61" s="197"/>
      <c r="K61" s="335"/>
      <c r="L61" s="152"/>
      <c r="M61" s="386" t="s">
        <v>327</v>
      </c>
      <c r="N61" s="386"/>
      <c r="O61" s="386"/>
      <c r="P61" s="386"/>
      <c r="Q61" s="386"/>
      <c r="R61" s="386"/>
      <c r="S61" s="131"/>
      <c r="T61" s="46"/>
    </row>
    <row r="62" spans="2:20" thickBot="1" x14ac:dyDescent="0.25">
      <c r="B62" s="24"/>
      <c r="C62" s="152"/>
      <c r="D62" s="360" t="s">
        <v>308</v>
      </c>
      <c r="E62" s="192"/>
      <c r="F62" s="167"/>
      <c r="G62" s="168"/>
      <c r="H62" s="168"/>
      <c r="I62" s="367">
        <f>I47+I60</f>
        <v>1754.6262888513334</v>
      </c>
      <c r="J62" s="367">
        <f>I29-J60+I23</f>
        <v>4591.9016666666666</v>
      </c>
      <c r="K62" s="334"/>
      <c r="L62" s="148"/>
      <c r="M62" s="386" t="s">
        <v>420</v>
      </c>
      <c r="N62" s="386"/>
      <c r="O62" s="386"/>
      <c r="P62" s="386"/>
      <c r="Q62" s="386"/>
      <c r="R62" s="386"/>
      <c r="S62" s="130"/>
      <c r="T62" s="46"/>
    </row>
    <row r="63" spans="2:20" thickBot="1" x14ac:dyDescent="0.25">
      <c r="B63" s="24"/>
      <c r="C63" s="148"/>
      <c r="D63" s="358"/>
      <c r="E63" s="148"/>
      <c r="F63" s="150"/>
      <c r="G63" s="151"/>
      <c r="H63" s="151"/>
      <c r="I63" s="170"/>
      <c r="J63" s="170"/>
      <c r="K63" s="335"/>
      <c r="L63" s="152"/>
      <c r="M63" s="169"/>
      <c r="N63" s="152"/>
      <c r="O63" s="152"/>
      <c r="P63" s="131"/>
      <c r="Q63" s="131"/>
      <c r="R63" s="131"/>
      <c r="S63" s="131"/>
      <c r="T63" s="46"/>
    </row>
    <row r="64" spans="2:20" thickBot="1" x14ac:dyDescent="0.25">
      <c r="B64" s="24"/>
      <c r="C64" s="152"/>
      <c r="D64" s="358"/>
      <c r="E64" s="152"/>
      <c r="F64" s="167"/>
      <c r="G64" s="168"/>
      <c r="H64" s="168"/>
      <c r="I64" s="355"/>
      <c r="J64" s="355"/>
      <c r="K64" s="334"/>
      <c r="L64" s="148"/>
      <c r="M64" s="155"/>
      <c r="N64" s="148"/>
      <c r="O64" s="148"/>
      <c r="P64" s="130"/>
      <c r="Q64" s="130"/>
      <c r="R64" s="130"/>
      <c r="S64" s="130"/>
      <c r="T64" s="46"/>
    </row>
    <row r="65" spans="2:22" ht="15.75" thickBot="1" x14ac:dyDescent="0.25">
      <c r="B65" s="24"/>
      <c r="C65" s="148"/>
      <c r="D65" s="357" t="s">
        <v>309</v>
      </c>
      <c r="E65" s="148"/>
      <c r="F65" s="150"/>
      <c r="G65" s="151"/>
      <c r="H65" s="151"/>
      <c r="I65" s="368">
        <f>I28+I62</f>
        <v>6346.5279555180005</v>
      </c>
      <c r="J65" s="368">
        <f>J28+J62</f>
        <v>59694.721666666665</v>
      </c>
      <c r="K65" s="335"/>
      <c r="L65" s="152"/>
      <c r="M65" s="169"/>
      <c r="N65" s="152"/>
      <c r="O65" s="152"/>
      <c r="P65" s="131"/>
      <c r="Q65" s="131"/>
      <c r="R65" s="131"/>
      <c r="S65" s="131"/>
      <c r="T65" s="46"/>
    </row>
    <row r="66" spans="2:22" thickBot="1" x14ac:dyDescent="0.25">
      <c r="B66" s="24"/>
      <c r="C66" s="152"/>
      <c r="D66" s="185"/>
      <c r="E66" s="152"/>
      <c r="F66" s="167"/>
      <c r="G66" s="168"/>
      <c r="H66" s="168"/>
      <c r="I66" s="355"/>
      <c r="J66" s="355"/>
      <c r="K66" s="334"/>
      <c r="L66" s="148"/>
      <c r="M66" s="148"/>
      <c r="N66" s="148"/>
      <c r="O66" s="148"/>
      <c r="P66" s="130"/>
      <c r="Q66" s="130"/>
      <c r="R66" s="130"/>
      <c r="S66" s="130"/>
      <c r="T66" s="46"/>
    </row>
    <row r="67" spans="2:22" ht="12.75" x14ac:dyDescent="0.2">
      <c r="B67" s="24"/>
      <c r="C67" s="25"/>
      <c r="D67" s="25"/>
      <c r="E67" s="25"/>
      <c r="F67" s="26"/>
      <c r="G67" s="27"/>
      <c r="H67" s="27"/>
      <c r="I67" s="48"/>
      <c r="J67" s="48"/>
      <c r="K67" s="48"/>
      <c r="L67" s="48"/>
      <c r="M67" s="48"/>
      <c r="N67" s="25"/>
      <c r="O67" s="25"/>
      <c r="P67" s="25"/>
      <c r="Q67" s="25"/>
      <c r="R67" s="25"/>
      <c r="S67" s="25"/>
      <c r="T67" s="28"/>
    </row>
    <row r="68" spans="2:22" ht="13.5" customHeight="1" thickBot="1" x14ac:dyDescent="0.25">
      <c r="B68" s="49"/>
      <c r="C68" s="50"/>
      <c r="D68" s="51"/>
      <c r="E68" s="50"/>
      <c r="F68" s="52"/>
      <c r="G68" s="50"/>
      <c r="H68" s="50"/>
      <c r="I68" s="50"/>
      <c r="J68" s="50"/>
      <c r="K68" s="50"/>
      <c r="L68" s="50"/>
      <c r="M68" s="50"/>
      <c r="N68" s="50"/>
      <c r="O68" s="53"/>
      <c r="P68" s="53"/>
      <c r="Q68" s="53"/>
      <c r="R68" s="53" t="s">
        <v>75</v>
      </c>
      <c r="S68" s="53"/>
      <c r="T68" s="54"/>
    </row>
    <row r="69" spans="2:22" ht="12.75" x14ac:dyDescent="0.2"/>
    <row r="70" spans="2:22" ht="12.75" x14ac:dyDescent="0.2"/>
    <row r="71" spans="2:22" ht="12.75" x14ac:dyDescent="0.2"/>
    <row r="72" spans="2:22" ht="12.75" x14ac:dyDescent="0.2"/>
    <row r="73" spans="2:22" ht="12.75" x14ac:dyDescent="0.2"/>
    <row r="74" spans="2:22" ht="12.75" x14ac:dyDescent="0.2">
      <c r="V74" s="55" t="s">
        <v>5</v>
      </c>
    </row>
    <row r="75" spans="2:22" ht="12.75" x14ac:dyDescent="0.2">
      <c r="V75" s="55" t="s">
        <v>6</v>
      </c>
    </row>
    <row r="76" spans="2:22" ht="12.75" x14ac:dyDescent="0.2">
      <c r="V76" s="55" t="s">
        <v>7</v>
      </c>
    </row>
    <row r="77" spans="2:22" ht="12.75" x14ac:dyDescent="0.2">
      <c r="V77" s="55" t="s">
        <v>8</v>
      </c>
    </row>
    <row r="78" spans="2:22" ht="12.75" x14ac:dyDescent="0.2">
      <c r="V78" s="56">
        <v>1</v>
      </c>
    </row>
    <row r="79" spans="2:22" ht="12.75" x14ac:dyDescent="0.2">
      <c r="V79" s="56">
        <v>2</v>
      </c>
    </row>
    <row r="80" spans="2:22" ht="12.75" x14ac:dyDescent="0.2">
      <c r="V80" s="56">
        <v>3</v>
      </c>
    </row>
    <row r="81" spans="6:22" ht="12.75" x14ac:dyDescent="0.2">
      <c r="V81" s="56">
        <v>4</v>
      </c>
    </row>
    <row r="82" spans="6:22" ht="12.75" x14ac:dyDescent="0.2">
      <c r="V82" s="56">
        <v>5</v>
      </c>
    </row>
    <row r="83" spans="6:22" ht="12.75" x14ac:dyDescent="0.2">
      <c r="V83" s="56">
        <v>6</v>
      </c>
    </row>
    <row r="84" spans="6:22" ht="12.75" x14ac:dyDescent="0.2">
      <c r="F84" s="16"/>
      <c r="G84" s="16"/>
      <c r="H84" s="16"/>
      <c r="V84" s="56">
        <v>7</v>
      </c>
    </row>
    <row r="85" spans="6:22" ht="12.75" x14ac:dyDescent="0.2">
      <c r="F85" s="16"/>
      <c r="G85" s="16"/>
      <c r="H85" s="16"/>
      <c r="V85" s="56">
        <v>8</v>
      </c>
    </row>
    <row r="86" spans="6:22" ht="12.75" x14ac:dyDescent="0.2">
      <c r="F86" s="16"/>
      <c r="G86" s="16"/>
      <c r="H86" s="16"/>
      <c r="V86" s="56">
        <v>9</v>
      </c>
    </row>
    <row r="87" spans="6:22" ht="12.75" x14ac:dyDescent="0.2">
      <c r="F87" s="16"/>
      <c r="G87" s="16"/>
      <c r="H87" s="16"/>
      <c r="V87" s="56">
        <v>10</v>
      </c>
    </row>
    <row r="88" spans="6:22" ht="12.75" x14ac:dyDescent="0.2">
      <c r="F88" s="16"/>
      <c r="G88" s="16"/>
      <c r="H88" s="16"/>
      <c r="V88" s="56">
        <v>11</v>
      </c>
    </row>
    <row r="89" spans="6:22" ht="12.75" x14ac:dyDescent="0.2">
      <c r="F89" s="16"/>
      <c r="G89" s="16"/>
      <c r="H89" s="16"/>
      <c r="V89" s="56">
        <v>12</v>
      </c>
    </row>
    <row r="90" spans="6:22" ht="12.75" x14ac:dyDescent="0.2">
      <c r="F90" s="16"/>
      <c r="G90" s="16"/>
      <c r="H90" s="16"/>
      <c r="V90" s="56">
        <v>13</v>
      </c>
    </row>
    <row r="91" spans="6:22" ht="12.75" x14ac:dyDescent="0.2">
      <c r="F91" s="16"/>
      <c r="G91" s="16"/>
      <c r="H91" s="16"/>
      <c r="V91" s="56">
        <v>14</v>
      </c>
    </row>
    <row r="92" spans="6:22" ht="12.75" x14ac:dyDescent="0.2">
      <c r="F92" s="16"/>
      <c r="G92" s="16"/>
      <c r="H92" s="16"/>
      <c r="V92" s="56">
        <v>15</v>
      </c>
    </row>
    <row r="93" spans="6:22" ht="12.75" x14ac:dyDescent="0.2">
      <c r="F93" s="16"/>
      <c r="G93" s="16"/>
      <c r="H93" s="16"/>
      <c r="V93" s="56">
        <v>16</v>
      </c>
    </row>
    <row r="94" spans="6:22" ht="13.5" customHeight="1" x14ac:dyDescent="0.2">
      <c r="F94" s="16"/>
      <c r="G94" s="16"/>
      <c r="H94" s="16"/>
      <c r="V94" s="56">
        <v>17</v>
      </c>
    </row>
    <row r="95" spans="6:22" ht="13.5" customHeight="1" x14ac:dyDescent="0.2">
      <c r="V95" s="56" t="s">
        <v>9</v>
      </c>
    </row>
    <row r="96" spans="6:22" ht="13.5" customHeight="1" x14ac:dyDescent="0.2">
      <c r="V96" s="56" t="s">
        <v>10</v>
      </c>
    </row>
    <row r="97" spans="22:22" ht="13.5" customHeight="1" x14ac:dyDescent="0.2">
      <c r="V97" s="56" t="s">
        <v>11</v>
      </c>
    </row>
    <row r="98" spans="22:22" ht="13.5" customHeight="1" x14ac:dyDescent="0.2">
      <c r="V98" s="56" t="s">
        <v>12</v>
      </c>
    </row>
  </sheetData>
  <sheetProtection algorithmName="SHA-512" hashValue="sfDgELJwiOvM0Q7aPfGvncXm9NMOniD8TjSyOyXgKvQ0gS9fOmQAARBZBirn6guPyDTppGZwVE6khBUzVVdElA==" saltValue="jYNDFBpMTz+fDae1bwX50g==" spinCount="100000" sheet="1" objects="1" scenarios="1"/>
  <mergeCells count="2">
    <mergeCell ref="I10:J10"/>
    <mergeCell ref="I49:J49"/>
  </mergeCells>
  <dataValidations count="5">
    <dataValidation type="list" allowBlank="1" showInputMessage="1" showErrorMessage="1" sqref="I14" xr:uid="{00000000-0002-0000-0100-000000000000}">
      <formula1>$V$74:$V$98</formula1>
    </dataValidation>
    <dataValidation type="list" allowBlank="1" showInputMessage="1" showErrorMessage="1" sqref="H26 H24" xr:uid="{00000000-0002-0000-0100-000001000000}">
      <formula1>#REF!</formula1>
    </dataValidation>
    <dataValidation type="list" allowBlank="1" showInputMessage="1" showErrorMessage="1" sqref="F26" xr:uid="{00000000-0002-0000-0100-000002000000}">
      <formula1>"Leraar,Directie,OOP S9,OOP &lt;S9"</formula1>
    </dataValidation>
    <dataValidation type="list" allowBlank="1" showInputMessage="1" showErrorMessage="1" sqref="G26 G24" xr:uid="{00000000-0002-0000-0100-000003000000}">
      <formula1>"ja,nee"</formula1>
    </dataValidation>
    <dataValidation type="list" allowBlank="1" showInputMessage="1" showErrorMessage="1" sqref="H41" xr:uid="{00000000-0002-0000-0100-000004000000}">
      <formula1>"1,2,3"</formula1>
    </dataValidation>
  </dataValidations>
  <pageMargins left="0.7" right="0.7" top="0.75" bottom="0.75" header="0.3" footer="0.3"/>
  <pageSetup paperSize="9" scale="53" orientation="portrait" r:id="rId1"/>
  <headerFooter>
    <oddFooter>&amp;L&amp;F&amp;CPagina &amp;P&amp;R&amp;A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149"/>
  <sheetViews>
    <sheetView zoomScaleNormal="100" workbookViewId="0">
      <selection activeCell="B2" sqref="B2"/>
    </sheetView>
  </sheetViews>
  <sheetFormatPr defaultColWidth="9.140625" defaultRowHeight="12.75" x14ac:dyDescent="0.2"/>
  <cols>
    <col min="1" max="1" width="3.5703125" style="391" customWidth="1"/>
    <col min="2" max="2" width="2.5703125" style="407" customWidth="1"/>
    <col min="3" max="3" width="3.42578125" style="407" customWidth="1"/>
    <col min="4" max="4" width="15.5703125" style="516" customWidth="1"/>
    <col min="5" max="5" width="9.5703125" style="407" customWidth="1"/>
    <col min="6" max="8" width="6.5703125" style="407" customWidth="1"/>
    <col min="9" max="9" width="7.5703125" style="407" customWidth="1"/>
    <col min="10" max="10" width="8" style="407" customWidth="1"/>
    <col min="11" max="12" width="8.140625" style="407" customWidth="1"/>
    <col min="13" max="13" width="9.5703125" style="407" customWidth="1"/>
    <col min="14" max="14" width="11.28515625" style="407" customWidth="1"/>
    <col min="15" max="15" width="0.85546875" style="407" customWidth="1"/>
    <col min="16" max="20" width="8.5703125" style="407" customWidth="1"/>
    <col min="21" max="21" width="10.42578125" style="517" customWidth="1"/>
    <col min="22" max="22" width="13.85546875" style="407" customWidth="1"/>
    <col min="23" max="23" width="0.85546875" style="407" customWidth="1"/>
    <col min="24" max="24" width="10.28515625" style="517" customWidth="1"/>
    <col min="25" max="25" width="8.5703125" style="518" hidden="1" customWidth="1"/>
    <col min="26" max="26" width="0.85546875" style="407" customWidth="1"/>
    <col min="27" max="30" width="8.5703125" style="407" customWidth="1"/>
    <col min="31" max="31" width="10.28515625" style="407" customWidth="1"/>
    <col min="32" max="32" width="8.5703125" style="519" customWidth="1"/>
    <col min="33" max="33" width="0.85546875" style="407" customWidth="1"/>
    <col min="34" max="34" width="9.5703125" style="519" customWidth="1"/>
    <col min="35" max="35" width="9.28515625" style="519" customWidth="1"/>
    <col min="36" max="36" width="10.140625" style="520" customWidth="1"/>
    <col min="37" max="37" width="0.85546875" style="407" customWidth="1"/>
    <col min="38" max="38" width="9.5703125" style="407" customWidth="1"/>
    <col min="39" max="39" width="1.140625" style="407" customWidth="1"/>
    <col min="40" max="40" width="10.5703125" style="407" bestFit="1" customWidth="1"/>
    <col min="41" max="41" width="12.5703125" style="407" customWidth="1"/>
    <col min="42" max="42" width="0.85546875" style="407" customWidth="1"/>
    <col min="43" max="43" width="11.140625" style="407" customWidth="1"/>
    <col min="44" max="44" width="13.140625" style="407" customWidth="1"/>
    <col min="45" max="45" width="1.5703125" style="407" customWidth="1"/>
    <col min="46" max="46" width="2.5703125" style="407" customWidth="1"/>
    <col min="47" max="48" width="2.7109375" style="391" customWidth="1"/>
    <col min="49" max="53" width="10.7109375" style="397" customWidth="1"/>
    <col min="54" max="54" width="10.7109375" style="397" hidden="1" customWidth="1"/>
    <col min="55" max="61" width="10.7109375" style="397" customWidth="1"/>
    <col min="62" max="62" width="12" style="397" customWidth="1"/>
    <col min="63" max="63" width="11.42578125" style="397" customWidth="1"/>
    <col min="64" max="68" width="10.7109375" style="397" customWidth="1"/>
    <col min="69" max="71" width="10.7109375" style="398" customWidth="1"/>
    <col min="72" max="77" width="14.28515625" style="397" customWidth="1"/>
    <col min="78" max="78" width="14.85546875" style="391" customWidth="1"/>
    <col min="79" max="79" width="14.28515625" style="391" customWidth="1"/>
    <col min="80" max="16384" width="9.140625" style="407"/>
  </cols>
  <sheetData>
    <row r="1" spans="1:79" s="391" customFormat="1" ht="13.5" customHeight="1" x14ac:dyDescent="0.2">
      <c r="D1" s="392"/>
      <c r="U1" s="393"/>
      <c r="X1" s="393"/>
      <c r="Y1" s="394"/>
      <c r="AF1" s="395"/>
      <c r="AH1" s="395"/>
      <c r="AI1" s="395"/>
      <c r="AJ1" s="396"/>
      <c r="AW1" s="397"/>
      <c r="AX1" s="397"/>
      <c r="AY1" s="397"/>
      <c r="AZ1" s="397"/>
      <c r="BA1" s="397"/>
      <c r="BB1" s="397"/>
      <c r="BC1" s="397"/>
      <c r="BD1" s="397"/>
      <c r="BE1" s="397"/>
      <c r="BF1" s="397"/>
      <c r="BG1" s="397"/>
      <c r="BH1" s="397"/>
      <c r="BI1" s="397"/>
      <c r="BJ1" s="397"/>
      <c r="BK1" s="397"/>
      <c r="BL1" s="397"/>
      <c r="BM1" s="397"/>
      <c r="BN1" s="397"/>
      <c r="BO1" s="397"/>
      <c r="BP1" s="397"/>
      <c r="BQ1" s="398"/>
      <c r="BR1" s="398"/>
      <c r="BS1" s="398"/>
      <c r="BT1" s="397"/>
      <c r="BU1" s="397"/>
      <c r="BV1" s="397"/>
      <c r="BW1" s="397"/>
      <c r="BX1" s="397"/>
      <c r="BY1" s="397"/>
    </row>
    <row r="2" spans="1:79" ht="12" customHeight="1" x14ac:dyDescent="0.2">
      <c r="B2" s="399"/>
      <c r="C2" s="400"/>
      <c r="D2" s="401"/>
      <c r="E2" s="400"/>
      <c r="F2" s="400"/>
      <c r="G2" s="400"/>
      <c r="H2" s="400"/>
      <c r="I2" s="400"/>
      <c r="J2" s="400"/>
      <c r="K2" s="400"/>
      <c r="L2" s="400"/>
      <c r="M2" s="400"/>
      <c r="N2" s="400"/>
      <c r="O2" s="400"/>
      <c r="P2" s="400"/>
      <c r="Q2" s="400"/>
      <c r="R2" s="400"/>
      <c r="S2" s="400"/>
      <c r="T2" s="400"/>
      <c r="U2" s="402"/>
      <c r="V2" s="400"/>
      <c r="W2" s="400"/>
      <c r="X2" s="402"/>
      <c r="Y2" s="403"/>
      <c r="Z2" s="400"/>
      <c r="AA2" s="400"/>
      <c r="AB2" s="400"/>
      <c r="AC2" s="400"/>
      <c r="AD2" s="400"/>
      <c r="AE2" s="400"/>
      <c r="AF2" s="404"/>
      <c r="AG2" s="400"/>
      <c r="AH2" s="404"/>
      <c r="AI2" s="404"/>
      <c r="AJ2" s="405"/>
      <c r="AK2" s="400"/>
      <c r="AL2" s="400"/>
      <c r="AM2" s="400"/>
      <c r="AN2" s="400"/>
      <c r="AO2" s="400"/>
      <c r="AP2" s="400"/>
      <c r="AQ2" s="400"/>
      <c r="AR2" s="400"/>
      <c r="AS2" s="400"/>
      <c r="AT2" s="406"/>
    </row>
    <row r="3" spans="1:79" ht="12" customHeight="1" x14ac:dyDescent="0.2">
      <c r="B3" s="408"/>
      <c r="C3" s="409"/>
      <c r="D3" s="410"/>
      <c r="E3" s="409"/>
      <c r="F3" s="409"/>
      <c r="G3" s="409"/>
      <c r="H3" s="409"/>
      <c r="I3" s="409"/>
      <c r="J3" s="409"/>
      <c r="K3" s="409"/>
      <c r="L3" s="409"/>
      <c r="M3" s="409"/>
      <c r="N3" s="409"/>
      <c r="O3" s="409"/>
      <c r="P3" s="409"/>
      <c r="Q3" s="409"/>
      <c r="R3" s="409"/>
      <c r="S3" s="409"/>
      <c r="T3" s="409"/>
      <c r="U3" s="411"/>
      <c r="V3" s="409"/>
      <c r="W3" s="409"/>
      <c r="X3" s="411"/>
      <c r="Y3" s="412"/>
      <c r="Z3" s="409"/>
      <c r="AA3" s="409"/>
      <c r="AB3" s="409"/>
      <c r="AC3" s="409"/>
      <c r="AD3" s="409"/>
      <c r="AE3" s="409"/>
      <c r="AF3" s="413"/>
      <c r="AG3" s="409"/>
      <c r="AH3" s="413"/>
      <c r="AI3" s="413"/>
      <c r="AJ3" s="414"/>
      <c r="AK3" s="409"/>
      <c r="AL3" s="409"/>
      <c r="AM3" s="409"/>
      <c r="AN3" s="409"/>
      <c r="AO3" s="409"/>
      <c r="AP3" s="409"/>
      <c r="AQ3" s="409"/>
      <c r="AR3" s="409"/>
      <c r="AS3" s="409"/>
      <c r="AT3" s="415"/>
    </row>
    <row r="4" spans="1:79" s="432" customFormat="1" ht="18.75" customHeight="1" x14ac:dyDescent="0.3">
      <c r="A4" s="416"/>
      <c r="B4" s="417"/>
      <c r="C4" s="418" t="str">
        <f>"WERKGEVERSLASTEN VO "&amp;tabellen!B2</f>
        <v>WERKGEVERSLASTEN VO 2021</v>
      </c>
      <c r="D4" s="419"/>
      <c r="E4" s="420"/>
      <c r="F4" s="420"/>
      <c r="G4" s="420"/>
      <c r="H4" s="420"/>
      <c r="I4" s="420"/>
      <c r="J4" s="418" t="s">
        <v>336</v>
      </c>
      <c r="K4" s="420"/>
      <c r="L4" s="420"/>
      <c r="M4" s="420"/>
      <c r="N4" s="420"/>
      <c r="O4" s="420"/>
      <c r="P4" s="421"/>
      <c r="Q4" s="422">
        <f>AQ11</f>
        <v>0.6516667249644037</v>
      </c>
      <c r="R4" s="420"/>
      <c r="S4" s="420"/>
      <c r="T4" s="420"/>
      <c r="U4" s="423"/>
      <c r="V4" s="424"/>
      <c r="W4" s="420"/>
      <c r="X4" s="423"/>
      <c r="Y4" s="425"/>
      <c r="Z4" s="420"/>
      <c r="AA4" s="420"/>
      <c r="AB4" s="420"/>
      <c r="AC4" s="420"/>
      <c r="AD4" s="420"/>
      <c r="AE4" s="420"/>
      <c r="AF4" s="426"/>
      <c r="AG4" s="420"/>
      <c r="AH4" s="426"/>
      <c r="AI4" s="426"/>
      <c r="AJ4" s="427"/>
      <c r="AK4" s="420"/>
      <c r="AL4" s="420"/>
      <c r="AM4" s="420"/>
      <c r="AN4" s="420"/>
      <c r="AO4" s="420"/>
      <c r="AP4" s="420"/>
      <c r="AQ4" s="420"/>
      <c r="AR4" s="420"/>
      <c r="AS4" s="420"/>
      <c r="AT4" s="428"/>
      <c r="AU4" s="416"/>
      <c r="AV4" s="416"/>
      <c r="AW4" s="429"/>
      <c r="AX4" s="429"/>
      <c r="AY4" s="429"/>
      <c r="AZ4" s="429"/>
      <c r="BA4" s="429"/>
      <c r="BB4" s="429"/>
      <c r="BC4" s="429"/>
      <c r="BD4" s="429"/>
      <c r="BE4" s="429"/>
      <c r="BF4" s="429"/>
      <c r="BG4" s="429"/>
      <c r="BH4" s="429"/>
      <c r="BI4" s="430"/>
      <c r="BJ4" s="429"/>
      <c r="BK4" s="429"/>
      <c r="BL4" s="429"/>
      <c r="BM4" s="429"/>
      <c r="BN4" s="429"/>
      <c r="BO4" s="429"/>
      <c r="BP4" s="429"/>
      <c r="BQ4" s="431"/>
      <c r="BR4" s="431"/>
      <c r="BS4" s="431"/>
      <c r="BT4" s="429"/>
      <c r="BU4" s="429"/>
      <c r="BV4" s="429"/>
      <c r="BW4" s="429"/>
      <c r="BX4" s="429"/>
      <c r="BY4" s="429"/>
      <c r="BZ4" s="416"/>
      <c r="CA4" s="416"/>
    </row>
    <row r="5" spans="1:79" ht="13.5" customHeight="1" x14ac:dyDescent="0.25">
      <c r="B5" s="408"/>
      <c r="C5" s="433" t="s">
        <v>415</v>
      </c>
      <c r="D5" s="410"/>
      <c r="E5" s="409"/>
      <c r="F5" s="409"/>
      <c r="G5" s="409"/>
      <c r="H5" s="409"/>
      <c r="I5" s="409"/>
      <c r="J5" s="409"/>
      <c r="K5" s="409"/>
      <c r="L5" s="409"/>
      <c r="M5" s="409"/>
      <c r="N5" s="409"/>
      <c r="O5" s="409"/>
      <c r="P5" s="409"/>
      <c r="Q5" s="409"/>
      <c r="R5" s="409"/>
      <c r="S5" s="409"/>
      <c r="T5" s="409"/>
      <c r="U5" s="411"/>
      <c r="V5" s="409"/>
      <c r="W5" s="409"/>
      <c r="X5" s="411"/>
      <c r="Y5" s="412"/>
      <c r="Z5" s="409"/>
      <c r="AA5" s="409"/>
      <c r="AB5" s="409"/>
      <c r="AC5" s="409"/>
      <c r="AD5" s="409"/>
      <c r="AE5" s="409"/>
      <c r="AF5" s="413"/>
      <c r="AG5" s="409"/>
      <c r="AH5" s="413"/>
      <c r="AI5" s="413"/>
      <c r="AJ5" s="414"/>
      <c r="AK5" s="409"/>
      <c r="AL5" s="409"/>
      <c r="AM5" s="409"/>
      <c r="AN5" s="409"/>
      <c r="AO5" s="409"/>
      <c r="AP5" s="409"/>
      <c r="AQ5" s="409"/>
      <c r="AR5" s="409"/>
      <c r="AS5" s="409"/>
      <c r="AT5" s="415"/>
    </row>
    <row r="6" spans="1:79" s="446" customFormat="1" ht="12" customHeight="1" x14ac:dyDescent="0.2">
      <c r="A6" s="434"/>
      <c r="B6" s="435"/>
      <c r="C6" s="436"/>
      <c r="D6" s="437"/>
      <c r="E6" s="436"/>
      <c r="F6" s="436"/>
      <c r="G6" s="436"/>
      <c r="H6" s="436"/>
      <c r="I6" s="522"/>
      <c r="J6" s="436"/>
      <c r="K6" s="436"/>
      <c r="L6" s="436"/>
      <c r="M6" s="436"/>
      <c r="N6" s="436"/>
      <c r="O6" s="436"/>
      <c r="P6" s="436"/>
      <c r="Q6" s="436"/>
      <c r="R6" s="436"/>
      <c r="S6" s="436"/>
      <c r="T6" s="522"/>
      <c r="U6" s="438"/>
      <c r="V6" s="436"/>
      <c r="W6" s="436"/>
      <c r="X6" s="439"/>
      <c r="Y6" s="440"/>
      <c r="Z6" s="436"/>
      <c r="AA6" s="436"/>
      <c r="AB6" s="436"/>
      <c r="AC6" s="436"/>
      <c r="AD6" s="436"/>
      <c r="AE6" s="436"/>
      <c r="AF6" s="441"/>
      <c r="AG6" s="436"/>
      <c r="AH6" s="441"/>
      <c r="AI6" s="441"/>
      <c r="AJ6" s="442"/>
      <c r="AK6" s="436"/>
      <c r="AL6" s="436"/>
      <c r="AM6" s="436"/>
      <c r="AN6" s="436"/>
      <c r="AO6" s="436"/>
      <c r="AP6" s="436"/>
      <c r="AQ6" s="436"/>
      <c r="AR6" s="436"/>
      <c r="AS6" s="436"/>
      <c r="AT6" s="443"/>
      <c r="AU6" s="434"/>
      <c r="AV6" s="434"/>
      <c r="AW6" s="444"/>
      <c r="AX6" s="444"/>
      <c r="AY6" s="444"/>
      <c r="AZ6" s="444"/>
      <c r="BA6" s="444"/>
      <c r="BB6" s="444"/>
      <c r="BC6" s="444"/>
      <c r="BD6" s="444"/>
      <c r="BE6" s="444"/>
      <c r="BF6" s="444"/>
      <c r="BG6" s="444"/>
      <c r="BH6" s="444"/>
      <c r="BI6" s="444"/>
      <c r="BJ6" s="444"/>
      <c r="BK6" s="444"/>
      <c r="BL6" s="444"/>
      <c r="BM6" s="444"/>
      <c r="BN6" s="444"/>
      <c r="BO6" s="444"/>
      <c r="BP6" s="444"/>
      <c r="BQ6" s="445"/>
      <c r="BR6" s="445"/>
      <c r="BS6" s="445"/>
      <c r="BT6" s="444"/>
      <c r="BU6" s="444"/>
      <c r="BV6" s="444"/>
      <c r="BW6" s="444"/>
      <c r="BX6" s="444"/>
      <c r="BY6" s="444"/>
      <c r="BZ6" s="434"/>
      <c r="CA6" s="434"/>
    </row>
    <row r="7" spans="1:79" s="459" customFormat="1" ht="12" customHeight="1" x14ac:dyDescent="0.2">
      <c r="A7" s="447"/>
      <c r="B7" s="448"/>
      <c r="C7" s="449"/>
      <c r="D7" s="449"/>
      <c r="E7" s="449"/>
      <c r="F7" s="450"/>
      <c r="G7" s="449"/>
      <c r="H7" s="449"/>
      <c r="I7" s="449"/>
      <c r="J7" s="449"/>
      <c r="K7" s="449"/>
      <c r="L7" s="449"/>
      <c r="M7" s="449"/>
      <c r="N7" s="449"/>
      <c r="O7" s="449"/>
      <c r="P7" s="436"/>
      <c r="Q7" s="449"/>
      <c r="R7" s="450"/>
      <c r="S7" s="449"/>
      <c r="T7" s="449"/>
      <c r="U7" s="451"/>
      <c r="V7" s="452"/>
      <c r="W7" s="449"/>
      <c r="X7" s="453"/>
      <c r="Y7" s="454"/>
      <c r="Z7" s="449"/>
      <c r="AA7" s="449"/>
      <c r="AB7" s="449"/>
      <c r="AC7" s="449"/>
      <c r="AD7" s="455"/>
      <c r="AE7" s="455"/>
      <c r="AF7" s="441"/>
      <c r="AG7" s="449"/>
      <c r="AH7" s="441"/>
      <c r="AI7" s="441"/>
      <c r="AJ7" s="456"/>
      <c r="AK7" s="449"/>
      <c r="AL7" s="449"/>
      <c r="AM7" s="449"/>
      <c r="AN7" s="452"/>
      <c r="AO7" s="452"/>
      <c r="AP7" s="449"/>
      <c r="AQ7" s="449"/>
      <c r="AR7" s="449"/>
      <c r="AS7" s="449"/>
      <c r="AT7" s="457"/>
      <c r="AU7" s="447"/>
      <c r="AV7" s="447"/>
      <c r="AW7" s="444"/>
      <c r="AX7" s="444"/>
      <c r="AY7" s="444"/>
      <c r="AZ7" s="444"/>
      <c r="BA7" s="444"/>
      <c r="BB7" s="444"/>
      <c r="BC7" s="444"/>
      <c r="BD7" s="444"/>
      <c r="BE7" s="444"/>
      <c r="BF7" s="444"/>
      <c r="BG7" s="444"/>
      <c r="BH7" s="444"/>
      <c r="BI7" s="444"/>
      <c r="BJ7" s="444"/>
      <c r="BK7" s="444"/>
      <c r="BL7" s="444"/>
      <c r="BM7" s="444"/>
      <c r="BN7" s="444"/>
      <c r="BO7" s="444"/>
      <c r="BP7" s="444"/>
      <c r="BQ7" s="458"/>
      <c r="BR7" s="458"/>
      <c r="BS7" s="445"/>
      <c r="BT7" s="444"/>
      <c r="BU7" s="444"/>
      <c r="BV7" s="444"/>
      <c r="BW7" s="444"/>
      <c r="BX7" s="444"/>
      <c r="BY7" s="444"/>
      <c r="BZ7" s="447"/>
      <c r="CA7" s="447"/>
    </row>
    <row r="8" spans="1:79" s="446" customFormat="1" ht="12" customHeight="1" x14ac:dyDescent="0.2">
      <c r="A8" s="434"/>
      <c r="B8" s="435"/>
      <c r="C8" s="436"/>
      <c r="D8" s="437" t="s">
        <v>337</v>
      </c>
      <c r="E8" s="436" t="s">
        <v>338</v>
      </c>
      <c r="F8" s="542" t="s">
        <v>339</v>
      </c>
      <c r="G8" s="542"/>
      <c r="H8" s="436" t="s">
        <v>340</v>
      </c>
      <c r="I8" s="522" t="s">
        <v>398</v>
      </c>
      <c r="J8" s="436" t="s">
        <v>341</v>
      </c>
      <c r="K8" s="436" t="s">
        <v>389</v>
      </c>
      <c r="L8" s="436" t="s">
        <v>389</v>
      </c>
      <c r="M8" s="436" t="s">
        <v>342</v>
      </c>
      <c r="N8" s="460" t="s">
        <v>343</v>
      </c>
      <c r="O8" s="436"/>
      <c r="P8" s="436" t="s">
        <v>344</v>
      </c>
      <c r="Q8" s="436" t="s">
        <v>345</v>
      </c>
      <c r="R8" s="436" t="s">
        <v>346</v>
      </c>
      <c r="S8" s="436" t="s">
        <v>345</v>
      </c>
      <c r="T8" s="437" t="s">
        <v>396</v>
      </c>
      <c r="U8" s="439" t="s">
        <v>347</v>
      </c>
      <c r="V8" s="461" t="s">
        <v>348</v>
      </c>
      <c r="W8" s="436"/>
      <c r="X8" s="439" t="s">
        <v>349</v>
      </c>
      <c r="Y8" s="523" t="s">
        <v>350</v>
      </c>
      <c r="Z8" s="436"/>
      <c r="AA8" s="436" t="s">
        <v>20</v>
      </c>
      <c r="AB8" s="436" t="s">
        <v>21</v>
      </c>
      <c r="AC8" s="462" t="s">
        <v>351</v>
      </c>
      <c r="AD8" s="463" t="s">
        <v>66</v>
      </c>
      <c r="AE8" s="464" t="s">
        <v>352</v>
      </c>
      <c r="AF8" s="465" t="s">
        <v>70</v>
      </c>
      <c r="AG8" s="436"/>
      <c r="AH8" s="466" t="s">
        <v>389</v>
      </c>
      <c r="AI8" s="465" t="s">
        <v>381</v>
      </c>
      <c r="AJ8" s="543" t="s">
        <v>353</v>
      </c>
      <c r="AK8" s="436"/>
      <c r="AL8" s="545" t="s">
        <v>354</v>
      </c>
      <c r="AM8" s="436"/>
      <c r="AN8" s="547" t="s">
        <v>355</v>
      </c>
      <c r="AO8" s="547"/>
      <c r="AP8" s="436"/>
      <c r="AQ8" s="460" t="s">
        <v>356</v>
      </c>
      <c r="AR8" s="460" t="s">
        <v>356</v>
      </c>
      <c r="AS8" s="436"/>
      <c r="AT8" s="443"/>
      <c r="AU8" s="434"/>
      <c r="AV8" s="434"/>
      <c r="AW8" s="444" t="s">
        <v>357</v>
      </c>
      <c r="AX8" s="444" t="s">
        <v>357</v>
      </c>
      <c r="AY8" s="444" t="s">
        <v>357</v>
      </c>
      <c r="AZ8" s="444" t="s">
        <v>357</v>
      </c>
      <c r="BA8" s="444" t="s">
        <v>358</v>
      </c>
      <c r="BB8" s="444" t="s">
        <v>359</v>
      </c>
      <c r="BC8" s="444" t="s">
        <v>357</v>
      </c>
      <c r="BD8" s="444" t="s">
        <v>357</v>
      </c>
      <c r="BE8" s="444" t="s">
        <v>357</v>
      </c>
      <c r="BF8" s="445" t="s">
        <v>20</v>
      </c>
      <c r="BG8" s="445" t="s">
        <v>21</v>
      </c>
      <c r="BH8" s="445" t="s">
        <v>360</v>
      </c>
      <c r="BI8" s="445" t="s">
        <v>361</v>
      </c>
      <c r="BJ8" s="445" t="s">
        <v>362</v>
      </c>
      <c r="BK8" s="445" t="s">
        <v>363</v>
      </c>
      <c r="BL8" s="445"/>
      <c r="BM8" s="445"/>
      <c r="BN8" s="444"/>
      <c r="BO8" s="444"/>
      <c r="BP8" s="444"/>
      <c r="BQ8" s="444"/>
      <c r="BR8" s="444"/>
      <c r="BS8" s="444"/>
      <c r="BT8" s="444"/>
      <c r="BU8" s="444"/>
      <c r="BV8" s="444"/>
      <c r="BW8" s="444"/>
      <c r="BX8" s="444"/>
      <c r="BY8" s="444"/>
      <c r="BZ8" s="434"/>
      <c r="CA8" s="447"/>
    </row>
    <row r="9" spans="1:79" s="446" customFormat="1" ht="12" customHeight="1" x14ac:dyDescent="0.2">
      <c r="A9" s="434"/>
      <c r="B9" s="435"/>
      <c r="C9" s="436"/>
      <c r="D9" s="437"/>
      <c r="E9" s="436"/>
      <c r="F9" s="439" t="s">
        <v>47</v>
      </c>
      <c r="G9" s="439" t="s">
        <v>48</v>
      </c>
      <c r="H9" s="436"/>
      <c r="I9" s="522" t="s">
        <v>397</v>
      </c>
      <c r="J9" s="436" t="s">
        <v>29</v>
      </c>
      <c r="K9" s="465" t="s">
        <v>392</v>
      </c>
      <c r="L9" s="465" t="s">
        <v>393</v>
      </c>
      <c r="M9" s="436" t="s">
        <v>364</v>
      </c>
      <c r="N9" s="439" t="s">
        <v>365</v>
      </c>
      <c r="O9" s="436"/>
      <c r="P9" s="436" t="s">
        <v>366</v>
      </c>
      <c r="Q9" s="436" t="s">
        <v>366</v>
      </c>
      <c r="R9" s="436" t="s">
        <v>367</v>
      </c>
      <c r="S9" s="436" t="s">
        <v>368</v>
      </c>
      <c r="T9" s="522" t="s">
        <v>397</v>
      </c>
      <c r="U9" s="439" t="s">
        <v>369</v>
      </c>
      <c r="V9" s="467" t="s">
        <v>371</v>
      </c>
      <c r="W9" s="436"/>
      <c r="X9" s="439" t="s">
        <v>19</v>
      </c>
      <c r="Y9" s="523" t="s">
        <v>370</v>
      </c>
      <c r="Z9" s="436"/>
      <c r="AA9" s="436"/>
      <c r="AB9" s="436"/>
      <c r="AC9" s="462" t="s">
        <v>372</v>
      </c>
      <c r="AD9" s="462"/>
      <c r="AE9" s="462" t="s">
        <v>14</v>
      </c>
      <c r="AF9" s="442"/>
      <c r="AG9" s="436"/>
      <c r="AH9" s="465" t="s">
        <v>390</v>
      </c>
      <c r="AI9" s="465" t="s">
        <v>391</v>
      </c>
      <c r="AJ9" s="543"/>
      <c r="AK9" s="436"/>
      <c r="AL9" s="545"/>
      <c r="AM9" s="436"/>
      <c r="AN9" s="468" t="s">
        <v>19</v>
      </c>
      <c r="AO9" s="468" t="s">
        <v>373</v>
      </c>
      <c r="AP9" s="436"/>
      <c r="AQ9" s="460" t="s">
        <v>374</v>
      </c>
      <c r="AR9" s="460" t="s">
        <v>375</v>
      </c>
      <c r="AS9" s="436"/>
      <c r="AT9" s="443"/>
      <c r="AU9" s="434"/>
      <c r="AV9" s="434"/>
      <c r="AW9" s="469">
        <f ca="1">NOW()</f>
        <v>44413.920839467595</v>
      </c>
      <c r="AX9" s="444" t="s">
        <v>376</v>
      </c>
      <c r="AY9" s="444" t="s">
        <v>376</v>
      </c>
      <c r="AZ9" s="444" t="s">
        <v>377</v>
      </c>
      <c r="BA9" s="470" t="s">
        <v>47</v>
      </c>
      <c r="BB9" s="444" t="s">
        <v>378</v>
      </c>
      <c r="BC9" s="444" t="s">
        <v>379</v>
      </c>
      <c r="BD9" s="444" t="s">
        <v>380</v>
      </c>
      <c r="BE9" s="444" t="s">
        <v>394</v>
      </c>
      <c r="BF9" s="444"/>
      <c r="BG9" s="444"/>
      <c r="BH9" s="444" t="s">
        <v>381</v>
      </c>
      <c r="BI9" s="444" t="s">
        <v>23</v>
      </c>
      <c r="BJ9" s="444" t="s">
        <v>14</v>
      </c>
      <c r="BK9" s="444" t="s">
        <v>382</v>
      </c>
      <c r="BL9" s="444"/>
      <c r="BM9" s="444"/>
      <c r="BN9" s="444"/>
      <c r="BO9" s="444" t="s">
        <v>376</v>
      </c>
      <c r="BP9" s="444" t="s">
        <v>383</v>
      </c>
      <c r="BQ9" s="444"/>
      <c r="BR9" s="444"/>
      <c r="BS9" s="444"/>
      <c r="BT9" s="444"/>
      <c r="BU9" s="444"/>
      <c r="BV9" s="444"/>
      <c r="BW9" s="444"/>
      <c r="BX9" s="444"/>
      <c r="BY9" s="444"/>
      <c r="BZ9" s="434"/>
      <c r="CA9" s="434"/>
    </row>
    <row r="10" spans="1:79" s="446" customFormat="1" ht="12" customHeight="1" x14ac:dyDescent="0.2">
      <c r="A10" s="434"/>
      <c r="B10" s="435"/>
      <c r="C10" s="436"/>
      <c r="D10" s="437"/>
      <c r="E10" s="436"/>
      <c r="F10" s="436"/>
      <c r="G10" s="436"/>
      <c r="H10" s="436"/>
      <c r="I10" s="522"/>
      <c r="J10" s="436"/>
      <c r="K10" s="436"/>
      <c r="L10" s="436"/>
      <c r="M10" s="436"/>
      <c r="N10" s="436"/>
      <c r="O10" s="436"/>
      <c r="P10" s="436"/>
      <c r="Q10" s="436"/>
      <c r="R10" s="436"/>
      <c r="S10" s="436"/>
      <c r="T10" s="522"/>
      <c r="U10" s="439"/>
      <c r="V10" s="460"/>
      <c r="W10" s="436"/>
      <c r="X10" s="439"/>
      <c r="Y10" s="471"/>
      <c r="Z10" s="436"/>
      <c r="AA10" s="436"/>
      <c r="AB10" s="436"/>
      <c r="AC10" s="436"/>
      <c r="AD10" s="436"/>
      <c r="AE10" s="436"/>
      <c r="AF10" s="441"/>
      <c r="AG10" s="436"/>
      <c r="AH10" s="472"/>
      <c r="AI10" s="472"/>
      <c r="AJ10" s="544"/>
      <c r="AK10" s="436"/>
      <c r="AL10" s="546"/>
      <c r="AM10" s="436"/>
      <c r="AN10" s="460"/>
      <c r="AO10" s="460"/>
      <c r="AP10" s="436"/>
      <c r="AQ10" s="436"/>
      <c r="AR10" s="436"/>
      <c r="AS10" s="436"/>
      <c r="AT10" s="443"/>
      <c r="AU10" s="434"/>
      <c r="AV10" s="434"/>
      <c r="AW10" s="469"/>
      <c r="AX10" s="444"/>
      <c r="AY10" s="444"/>
      <c r="AZ10" s="444" t="s">
        <v>384</v>
      </c>
      <c r="BA10" s="444"/>
      <c r="BB10" s="444"/>
      <c r="BC10" s="444"/>
      <c r="BD10" s="444"/>
      <c r="BE10" s="444"/>
      <c r="BF10" s="444"/>
      <c r="BG10" s="444"/>
      <c r="BH10" s="444"/>
      <c r="BI10" s="444"/>
      <c r="BJ10" s="444"/>
      <c r="BK10" s="444"/>
      <c r="BL10" s="444"/>
      <c r="BM10" s="444"/>
      <c r="BN10" s="444"/>
      <c r="BO10" s="444"/>
      <c r="BP10" s="444"/>
      <c r="BQ10" s="444"/>
      <c r="BR10" s="444"/>
      <c r="BS10" s="469"/>
      <c r="BT10" s="444"/>
      <c r="BU10" s="444"/>
      <c r="BV10" s="444"/>
      <c r="BW10" s="444"/>
      <c r="BX10" s="444"/>
      <c r="BY10" s="444"/>
      <c r="BZ10" s="434"/>
      <c r="CA10" s="434"/>
    </row>
    <row r="11" spans="1:79" s="446" customFormat="1" ht="12" customHeight="1" x14ac:dyDescent="0.2">
      <c r="A11" s="434"/>
      <c r="B11" s="435"/>
      <c r="C11" s="473"/>
      <c r="D11" s="474"/>
      <c r="E11" s="473"/>
      <c r="F11" s="473"/>
      <c r="G11" s="473"/>
      <c r="H11" s="473"/>
      <c r="I11" s="473"/>
      <c r="J11" s="473"/>
      <c r="K11" s="473"/>
      <c r="L11" s="473"/>
      <c r="M11" s="473"/>
      <c r="N11" s="475">
        <f>SUM(N12:N86)</f>
        <v>5759</v>
      </c>
      <c r="O11" s="473"/>
      <c r="P11" s="473"/>
      <c r="Q11" s="473"/>
      <c r="R11" s="473"/>
      <c r="S11" s="473"/>
      <c r="T11" s="473"/>
      <c r="U11" s="476"/>
      <c r="V11" s="475">
        <f>SUM(V12:V86)</f>
        <v>83614</v>
      </c>
      <c r="W11" s="473"/>
      <c r="X11" s="476"/>
      <c r="Y11" s="477"/>
      <c r="Z11" s="473"/>
      <c r="AA11" s="473"/>
      <c r="AB11" s="473"/>
      <c r="AC11" s="473"/>
      <c r="AD11" s="473"/>
      <c r="AE11" s="473"/>
      <c r="AF11" s="478"/>
      <c r="AG11" s="473"/>
      <c r="AH11" s="479"/>
      <c r="AI11" s="479"/>
      <c r="AJ11" s="480"/>
      <c r="AK11" s="473"/>
      <c r="AL11" s="473"/>
      <c r="AM11" s="473"/>
      <c r="AN11" s="475">
        <f>SUM(AN12:AN86)</f>
        <v>9511.9486690700014</v>
      </c>
      <c r="AO11" s="475">
        <f>SUM(AO12:AO86)</f>
        <v>114143.38402884001</v>
      </c>
      <c r="AP11" s="473"/>
      <c r="AQ11" s="481">
        <f>AN11/N11-1</f>
        <v>0.6516667249644037</v>
      </c>
      <c r="AR11" s="481">
        <f>(AN11/(V11/12))-1</f>
        <v>0.36512287450474834</v>
      </c>
      <c r="AS11" s="473"/>
      <c r="AT11" s="443"/>
      <c r="AU11" s="434"/>
      <c r="AV11" s="434"/>
      <c r="AW11" s="469"/>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4"/>
      <c r="BT11" s="444"/>
      <c r="BU11" s="444"/>
      <c r="BV11" s="444"/>
      <c r="BW11" s="444"/>
      <c r="BX11" s="444"/>
      <c r="BY11" s="444"/>
      <c r="BZ11" s="434"/>
      <c r="CA11" s="434"/>
    </row>
    <row r="12" spans="1:79" s="446" customFormat="1" ht="12" customHeight="1" x14ac:dyDescent="0.2">
      <c r="A12" s="434"/>
      <c r="B12" s="435"/>
      <c r="C12" s="473"/>
      <c r="D12" s="482" t="s">
        <v>337</v>
      </c>
      <c r="E12" s="483">
        <v>32487</v>
      </c>
      <c r="F12" s="484" t="s">
        <v>6</v>
      </c>
      <c r="G12" s="484">
        <v>7</v>
      </c>
      <c r="H12" s="485">
        <v>1</v>
      </c>
      <c r="I12" s="524" t="s">
        <v>29</v>
      </c>
      <c r="J12" s="484" t="s">
        <v>388</v>
      </c>
      <c r="K12" s="486" t="s">
        <v>388</v>
      </c>
      <c r="L12" s="486" t="s">
        <v>388</v>
      </c>
      <c r="M12" s="487">
        <f>IF(F12="",0,(VLOOKUP('wgl tot'!F12,saltab2020aug,G12+1,FALSE)))</f>
        <v>3797</v>
      </c>
      <c r="N12" s="488">
        <f t="shared" ref="N12:N75" si="0">M12*H12</f>
        <v>3797</v>
      </c>
      <c r="O12" s="473"/>
      <c r="P12" s="487">
        <f>ROUND(IF((N12+R12)*BC12&lt;H12*tabellen!$D$31,H12*tabellen!$D$31,(N12+R12)*BC12),2)</f>
        <v>307.67</v>
      </c>
      <c r="Q12" s="487">
        <f>ROUND(+(M12+R12)*BD12,2)</f>
        <v>307.67</v>
      </c>
      <c r="R12" s="487">
        <f>ROUND(IF(J12="j",VLOOKUP(BA12,uitlooptoeslag,2,FALSE))*IF(H12&gt;1,1,H12),2)</f>
        <v>48.93</v>
      </c>
      <c r="S12" s="487">
        <f>VLOOKUP(BE12,eindejaarsuitkering_OOP,2,TRUE)*H12/12</f>
        <v>0</v>
      </c>
      <c r="T12" s="487">
        <f>ROUND(VLOOKUP(I12,bindingstoelage,3,FALSE)*IF(H12&gt;1,1,H12),2)</f>
        <v>130.63</v>
      </c>
      <c r="U12" s="489">
        <f>ROUND((SUM(N12:T12)*12),0)</f>
        <v>55103</v>
      </c>
      <c r="V12" s="488">
        <f>ROUND((SUM(N12:T12)*12),0)</f>
        <v>55103</v>
      </c>
      <c r="W12" s="473"/>
      <c r="X12" s="489">
        <f>V12/12</f>
        <v>4591.916666666667</v>
      </c>
      <c r="Y12" s="490">
        <v>0</v>
      </c>
      <c r="Z12" s="473"/>
      <c r="AA12" s="487">
        <f>IF(F12="",0,(IF(U12/H12&lt;tabellen!$E$7,0,(U12-tabellen!$E$7*H12)/12)*tabellen!$C$7))</f>
        <v>607.28117499999996</v>
      </c>
      <c r="AB12" s="487">
        <f>IF(F12="",0,(IF(U12/H12&lt;tabellen!$E$8,0,(U12-tabellen!$E$8*H12)/12)*tabellen!$C$8))</f>
        <v>17.484075000000001</v>
      </c>
      <c r="AC12" s="487">
        <f>U12/12*tabellen!$C$9</f>
        <v>119.38983333333334</v>
      </c>
      <c r="AD12" s="487">
        <f>IF(H12=0,0,IF(BI12&gt;tabellen!$G$10/12,$G$10/12,BI12)*(tabellen!$C$10+tabellen!$C$11))</f>
        <v>376.82484097500009</v>
      </c>
      <c r="AE12" s="487">
        <f>IF(F12="",0,BJ12)</f>
        <v>302.14999999999998</v>
      </c>
      <c r="AF12" s="491">
        <f>IF(F12="",0,(IF(BI12&gt;tabellen!$G$13*H12/12,tabellen!$G$13*H12/12,BI12*tabellen!$C$13)))</f>
        <v>29.351763100000003</v>
      </c>
      <c r="AG12" s="473"/>
      <c r="AH12" s="491">
        <f>IF(F12="",0,IF(K12="j",tabellen!$C$14*BI12,0))</f>
        <v>215.82178750000003</v>
      </c>
      <c r="AI12" s="491">
        <f>IF(F12="",0,IF(L12="j",tabellen!$C$15*BI12,0))</f>
        <v>86.328715000000017</v>
      </c>
      <c r="AJ12" s="492">
        <v>0</v>
      </c>
      <c r="AK12" s="473"/>
      <c r="AL12" s="492">
        <v>0</v>
      </c>
      <c r="AM12" s="473"/>
      <c r="AN12" s="488">
        <f>SUM(X12:AL12)</f>
        <v>6346.5488565750011</v>
      </c>
      <c r="AO12" s="488">
        <f>AN12*12</f>
        <v>76158.586278900009</v>
      </c>
      <c r="AP12" s="473"/>
      <c r="AQ12" s="493">
        <f>IF(AN12=0,"",(AN12/N12-1))</f>
        <v>0.67146401279299472</v>
      </c>
      <c r="AR12" s="493">
        <f t="shared" ref="AR12:AR75" si="1">IF(AN12=0,"",(AN12/(V12/12))-1)</f>
        <v>0.38211324753461717</v>
      </c>
      <c r="AS12" s="473"/>
      <c r="AT12" s="443"/>
      <c r="AU12" s="434"/>
      <c r="AV12" s="434"/>
      <c r="AW12" s="494">
        <f ca="1">YEAR($AW$9)-YEAR(E12)</f>
        <v>33</v>
      </c>
      <c r="AX12" s="494">
        <f ca="1">MONTH($AW$9)-MONTH(E12)</f>
        <v>-4</v>
      </c>
      <c r="AY12" s="494">
        <f ca="1">DAY($AW$9)-DAY(E12)</f>
        <v>-5</v>
      </c>
      <c r="AZ12" s="444">
        <f>IF(AND(F12&gt;0,F12&lt;18),0,100)</f>
        <v>100</v>
      </c>
      <c r="BA12" s="444" t="str">
        <f>F12</f>
        <v>LC</v>
      </c>
      <c r="BB12" s="469">
        <v>42583</v>
      </c>
      <c r="BC12" s="495">
        <v>0.08</v>
      </c>
      <c r="BD12" s="496">
        <f>tabellen!$D$33</f>
        <v>0.08</v>
      </c>
      <c r="BE12" s="494">
        <f>IF(AZ12=100,0,F12)</f>
        <v>0</v>
      </c>
      <c r="BF12" s="497">
        <f>IF(U12/H12&lt;tabellen!$E$7,0,(U12-tabellen!$E$7*H12)/12*tabellen!$D$7)</f>
        <v>267.98774166666664</v>
      </c>
      <c r="BG12" s="497">
        <f>IF(U12/H12&lt;tabellen!$E$8,0,(U12-tabellen!$E$8*H12)/12*tabellen!$D$8)</f>
        <v>7.4931750000000008</v>
      </c>
      <c r="BH12" s="498">
        <f>SUM(BF12:BG12)</f>
        <v>275.48091666666664</v>
      </c>
      <c r="BI12" s="499">
        <f>+V12/12-BH12</f>
        <v>4316.4357500000006</v>
      </c>
      <c r="BJ12" s="499">
        <f>ROUND(IF(BI12&gt;tabellen!$H$12,tabellen!$H$12,BI12)*tabellen!$C$12,2)</f>
        <v>302.14999999999998</v>
      </c>
      <c r="BK12" s="499">
        <f>+'wgl tot'!BI12+'wgl tot'!BJ12</f>
        <v>4618.5857500000002</v>
      </c>
      <c r="BL12" s="500">
        <f>YEAR(E12)</f>
        <v>1988</v>
      </c>
      <c r="BM12" s="500">
        <f>MONTH(E12)</f>
        <v>12</v>
      </c>
      <c r="BN12" s="494">
        <f>DAY(E12)</f>
        <v>10</v>
      </c>
      <c r="BO12" s="469">
        <f>DATE(BL12+61,BM12+6,BN12)</f>
        <v>54949</v>
      </c>
      <c r="BP12" s="469">
        <f ca="1">NOW()</f>
        <v>44413.920839467595</v>
      </c>
      <c r="BQ12" s="444"/>
      <c r="BR12" s="469"/>
      <c r="BS12" s="444"/>
      <c r="BT12" s="501"/>
      <c r="BU12" s="501"/>
      <c r="BV12" s="501"/>
      <c r="BW12" s="501"/>
      <c r="BX12" s="501"/>
      <c r="BY12" s="501"/>
      <c r="BZ12" s="434"/>
      <c r="CA12" s="434"/>
    </row>
    <row r="13" spans="1:79" s="446" customFormat="1" ht="12" customHeight="1" x14ac:dyDescent="0.2">
      <c r="A13" s="434"/>
      <c r="B13" s="435"/>
      <c r="C13" s="473"/>
      <c r="D13" s="482" t="s">
        <v>337</v>
      </c>
      <c r="E13" s="483">
        <v>21916</v>
      </c>
      <c r="F13" s="484">
        <v>1</v>
      </c>
      <c r="G13" s="484">
        <v>5</v>
      </c>
      <c r="H13" s="485">
        <v>1</v>
      </c>
      <c r="I13" s="524" t="s">
        <v>32</v>
      </c>
      <c r="J13" s="484" t="s">
        <v>385</v>
      </c>
      <c r="K13" s="486" t="s">
        <v>388</v>
      </c>
      <c r="L13" s="486" t="s">
        <v>388</v>
      </c>
      <c r="M13" s="487">
        <f>IF(F13="",0,(VLOOKUP('wgl tot'!F13,saltab2020aug,G13+1,FALSE)))</f>
        <v>1962</v>
      </c>
      <c r="N13" s="488">
        <f t="shared" si="0"/>
        <v>1962</v>
      </c>
      <c r="O13" s="473"/>
      <c r="P13" s="487">
        <f>ROUND(IF((M13+Q13)*BC13&lt;H13*tabellen!$D$31,H13*tabellen!$D$31,(M13+R13)*BC13),2)</f>
        <v>156.96</v>
      </c>
      <c r="Q13" s="487">
        <f>ROUND(+(M13+R13)*BD13,2)</f>
        <v>156.96</v>
      </c>
      <c r="R13" s="487">
        <f>ROUND(IF(J13="j",VLOOKUP(BA13,uitlooptoeslag,2,FALSE))*IF(H13&gt;1,1,H13),2)</f>
        <v>0</v>
      </c>
      <c r="S13" s="487">
        <f>VLOOKUP(BE13,eindejaarsuitkering_OOP,2,TRUE)*H13/12</f>
        <v>100</v>
      </c>
      <c r="T13" s="487">
        <f>ROUND(VLOOKUP(I13,bindingstoelage,3,FALSE)*IF(H13&gt;1,1,H13),2)</f>
        <v>0</v>
      </c>
      <c r="U13" s="489">
        <f t="shared" ref="U13:U76" si="2">ROUND((SUM(N13:T13)*12),0)</f>
        <v>28511</v>
      </c>
      <c r="V13" s="488">
        <f>ROUND((SUM(N13:T13)*12),0)</f>
        <v>28511</v>
      </c>
      <c r="W13" s="473"/>
      <c r="X13" s="489">
        <f t="shared" ref="X13:X76" si="3">V13/12</f>
        <v>2375.9166666666665</v>
      </c>
      <c r="Y13" s="490">
        <v>0</v>
      </c>
      <c r="Z13" s="473"/>
      <c r="AA13" s="487">
        <f>IF(F13="",0,(IF(U13/H13&lt;tabellen!$E$7,0,(U13-tabellen!$E$7*H13)/12)*tabellen!$C$7))</f>
        <v>209.06597500000001</v>
      </c>
      <c r="AB13" s="487">
        <f>IF(F13="",0,(IF(U13/H13&lt;tabellen!$E$8,0,(U13-tabellen!$E$8*H13)/12)*tabellen!$C$8))</f>
        <v>3.5232749999999999</v>
      </c>
      <c r="AC13" s="487">
        <f>U13/12*tabellen!$C$9</f>
        <v>61.773833333333329</v>
      </c>
      <c r="AD13" s="487">
        <f>IF(H13=0,0,IF(BI13&gt;tabellen!$G$10/12,$G$10/12,BI13)*(tabellen!$C$10+tabellen!$C$11))</f>
        <v>192.09727273500002</v>
      </c>
      <c r="AE13" s="487">
        <f>IF(F13="",0,BJ13)</f>
        <v>154.03</v>
      </c>
      <c r="AF13" s="491">
        <f>IF(F13="",0,(IF(BI13&gt;tabellen!$G$13*H13/12,tabellen!$G$13*H13/12,BI13*tabellen!$C$13)))</f>
        <v>14.962903259999999</v>
      </c>
      <c r="AG13" s="473"/>
      <c r="AH13" s="491">
        <f>IF(F13="",0,IF(K13="j",tabellen!$C$14*BI13,0))</f>
        <v>110.0213475</v>
      </c>
      <c r="AI13" s="491">
        <f>IF(F13="",0,IF(L13="j",tabellen!$C$15*BI13,0))</f>
        <v>44.008538999999999</v>
      </c>
      <c r="AJ13" s="492">
        <v>0</v>
      </c>
      <c r="AK13" s="473"/>
      <c r="AL13" s="492">
        <v>0</v>
      </c>
      <c r="AM13" s="473"/>
      <c r="AN13" s="488">
        <f t="shared" ref="AN13:AN76" si="4">SUM(X13:AL13)</f>
        <v>3165.3998124949999</v>
      </c>
      <c r="AO13" s="488">
        <f t="shared" ref="AO13:AO76" si="5">AN13*12</f>
        <v>37984.79774994</v>
      </c>
      <c r="AP13" s="473"/>
      <c r="AQ13" s="493">
        <f>IF(AN13=0,"",(AN13/N13-1))</f>
        <v>0.61335362512487257</v>
      </c>
      <c r="AR13" s="493">
        <f t="shared" si="1"/>
        <v>0.33228570551506431</v>
      </c>
      <c r="AS13" s="473"/>
      <c r="AT13" s="443"/>
      <c r="AU13" s="434"/>
      <c r="AV13" s="434"/>
      <c r="AW13" s="494">
        <f ca="1">YEAR($AW$9)-YEAR(E13)</f>
        <v>61</v>
      </c>
      <c r="AX13" s="494">
        <f ca="1">MONTH($AW$9)-MONTH(E13)</f>
        <v>7</v>
      </c>
      <c r="AY13" s="494">
        <f ca="1">DAY($AW$9)-DAY(E13)</f>
        <v>4</v>
      </c>
      <c r="AZ13" s="444">
        <f>IF(AND(F13&gt;0,F13&lt;18),0,100)</f>
        <v>0</v>
      </c>
      <c r="BA13" s="444">
        <f>F13</f>
        <v>1</v>
      </c>
      <c r="BB13" s="469">
        <v>42583</v>
      </c>
      <c r="BC13" s="495">
        <f>$BC$12</f>
        <v>0.08</v>
      </c>
      <c r="BD13" s="496">
        <f>tabellen!$D$33</f>
        <v>0.08</v>
      </c>
      <c r="BE13" s="494">
        <f>IF(AZ13=100,0,F13)</f>
        <v>1</v>
      </c>
      <c r="BF13" s="497">
        <f>IF(U13/H13&lt;tabellen!$E$7,0,(U13-tabellen!$E$7*H13)/12*tabellen!$D$7)</f>
        <v>92.258941666666672</v>
      </c>
      <c r="BG13" s="497">
        <f>IF(U13/H13&lt;tabellen!$E$8,0,(U13-tabellen!$E$8*H13)/12*tabellen!$D$8)</f>
        <v>1.5099750000000001</v>
      </c>
      <c r="BH13" s="498">
        <f t="shared" ref="BH13:BH76" si="6">SUM(BF13:BG13)</f>
        <v>93.768916666666669</v>
      </c>
      <c r="BI13" s="499">
        <v>2200.42695</v>
      </c>
      <c r="BJ13" s="499">
        <f>ROUND(IF(BI13&gt;tabellen!$H$12,tabellen!$H$12,BI13)*tabellen!$C$12,2)</f>
        <v>154.03</v>
      </c>
      <c r="BK13" s="499">
        <f>+'wgl tot'!BI13+'wgl tot'!BJ13</f>
        <v>2354.4569500000002</v>
      </c>
      <c r="BL13" s="500">
        <f>YEAR(E13)</f>
        <v>1960</v>
      </c>
      <c r="BM13" s="500">
        <f>MONTH(E13)</f>
        <v>1</v>
      </c>
      <c r="BN13" s="494">
        <f>DAY(E13)</f>
        <v>1</v>
      </c>
      <c r="BO13" s="469">
        <f t="shared" ref="BO13:BO86" si="7">DATE(BL13+61,BM13+6,BN13)</f>
        <v>44378</v>
      </c>
      <c r="BP13" s="469">
        <f t="shared" ref="BP13:BP86" ca="1" si="8">NOW()</f>
        <v>44413.920839467595</v>
      </c>
      <c r="BQ13" s="444"/>
      <c r="BR13" s="469"/>
      <c r="BS13" s="444"/>
      <c r="BT13" s="501"/>
      <c r="BU13" s="501"/>
      <c r="BV13" s="501"/>
      <c r="BW13" s="501"/>
      <c r="BX13" s="501"/>
      <c r="BY13" s="501"/>
      <c r="BZ13" s="434"/>
      <c r="CA13" s="434"/>
    </row>
    <row r="14" spans="1:79" s="446" customFormat="1" ht="12" customHeight="1" x14ac:dyDescent="0.2">
      <c r="A14" s="434"/>
      <c r="B14" s="435"/>
      <c r="C14" s="473"/>
      <c r="D14" s="482"/>
      <c r="E14" s="483"/>
      <c r="F14" s="484"/>
      <c r="G14" s="484"/>
      <c r="H14" s="485"/>
      <c r="I14" s="524"/>
      <c r="J14" s="484"/>
      <c r="K14" s="486"/>
      <c r="L14" s="486"/>
      <c r="M14" s="487">
        <f>IF(F14="",0,(VLOOKUP('wgl tot'!F14,saltab2020aug,G14+1,FALSE)))</f>
        <v>0</v>
      </c>
      <c r="N14" s="488">
        <f t="shared" si="0"/>
        <v>0</v>
      </c>
      <c r="O14" s="473"/>
      <c r="P14" s="487">
        <f>ROUND(IF((M14+Q14)*BC14&lt;H14*tabellen!$D$31,H14*tabellen!$D$31,(M14+R14)*BC14),2)</f>
        <v>0</v>
      </c>
      <c r="Q14" s="487">
        <f>ROUND(+(M14+R14)*BD14,2)</f>
        <v>0</v>
      </c>
      <c r="R14" s="487">
        <f>ROUND(IF(J14="j",VLOOKUP(BA14,uitlooptoeslag,2,FALSE))*IF(H14&gt;1,1,H14),2)</f>
        <v>0</v>
      </c>
      <c r="S14" s="487">
        <f>VLOOKUP(BE14,eindejaarsuitkering_OOP,2,TRUE)*H14/12</f>
        <v>0</v>
      </c>
      <c r="T14" s="487">
        <f t="shared" ref="T14:T45" si="9">ROUND(IF(I14="",0,VLOOKUP(I14,bindingstoelage,3,FALSE))*IF(H14&gt;1,1,H14),I14)</f>
        <v>0</v>
      </c>
      <c r="U14" s="489">
        <f t="shared" si="2"/>
        <v>0</v>
      </c>
      <c r="V14" s="488">
        <f>ROUND((SUM(N14:T14)*12),0)</f>
        <v>0</v>
      </c>
      <c r="W14" s="473"/>
      <c r="X14" s="489">
        <f t="shared" si="3"/>
        <v>0</v>
      </c>
      <c r="Y14" s="490">
        <v>0</v>
      </c>
      <c r="Z14" s="473"/>
      <c r="AA14" s="487">
        <f>IF(F14="",0,(IF(U14/H14&lt;tabellen!$E$7,0,(U14-tabellen!$E$7*H14)/12)*tabellen!$C$7))</f>
        <v>0</v>
      </c>
      <c r="AB14" s="487">
        <f>IF(F14="",0,(IF(U14/H14&lt;tabellen!$E$8,0,(U14-tabellen!$E$8*H14)/12)*tabellen!$C$8))</f>
        <v>0</v>
      </c>
      <c r="AC14" s="487">
        <f>U14/12*tabellen!$C$9</f>
        <v>0</v>
      </c>
      <c r="AD14" s="487">
        <f>IF(H14=0,0,IF(BI14&gt;tabellen!$G$10/12,$G$10/12,BI14)*(tabellen!$C$10+tabellen!$C$11))</f>
        <v>0</v>
      </c>
      <c r="AE14" s="487">
        <f>IF(F14="",0,BJ14)</f>
        <v>0</v>
      </c>
      <c r="AF14" s="491">
        <f>IF(F14="",0,(IF(BI14&gt;tabellen!$G$13*H14/12,tabellen!$G$13*H14/12,BI14*tabellen!$C$13)))</f>
        <v>0</v>
      </c>
      <c r="AG14" s="473"/>
      <c r="AH14" s="491">
        <f>IF(F14="",0,IF(K14="j",tabellen!$C$14*BI14,0))</f>
        <v>0</v>
      </c>
      <c r="AI14" s="491">
        <f>IF(F14="",0,IF(L14="j",tabellen!$C$15*BI14,0))</f>
        <v>0</v>
      </c>
      <c r="AJ14" s="492">
        <v>0</v>
      </c>
      <c r="AK14" s="473"/>
      <c r="AL14" s="492">
        <v>0</v>
      </c>
      <c r="AM14" s="473"/>
      <c r="AN14" s="488">
        <f t="shared" si="4"/>
        <v>0</v>
      </c>
      <c r="AO14" s="488">
        <f t="shared" si="5"/>
        <v>0</v>
      </c>
      <c r="AP14" s="473"/>
      <c r="AQ14" s="493" t="str">
        <f>IF(AN14=0,"",(AN14/N14-1))</f>
        <v/>
      </c>
      <c r="AR14" s="493" t="str">
        <f t="shared" si="1"/>
        <v/>
      </c>
      <c r="AS14" s="473"/>
      <c r="AT14" s="443"/>
      <c r="AU14" s="434"/>
      <c r="AV14" s="434"/>
      <c r="AW14" s="494">
        <f ca="1">YEAR($AW$9)-YEAR(E14)</f>
        <v>121</v>
      </c>
      <c r="AX14" s="494">
        <f ca="1">MONTH($AW$9)-MONTH(E14)</f>
        <v>7</v>
      </c>
      <c r="AY14" s="494">
        <f ca="1">DAY($AW$9)-DAY(E14)</f>
        <v>5</v>
      </c>
      <c r="AZ14" s="444">
        <f>IF(AND(F14&gt;0,F14&lt;18),0,100)</f>
        <v>100</v>
      </c>
      <c r="BA14" s="444">
        <f>F14</f>
        <v>0</v>
      </c>
      <c r="BB14" s="469">
        <v>42583</v>
      </c>
      <c r="BC14" s="495">
        <f t="shared" ref="BC14:BC86" si="10">$BC$12</f>
        <v>0.08</v>
      </c>
      <c r="BD14" s="496">
        <f>tabellen!$D$33</f>
        <v>0.08</v>
      </c>
      <c r="BE14" s="494">
        <f>IF(AZ14=100,0,F14)</f>
        <v>0</v>
      </c>
      <c r="BF14" s="497" t="e">
        <f>IF(U14/H14&lt;tabellen!$E$7,0,(U14-tabellen!$E$7*H14)/12*tabellen!$D$7)</f>
        <v>#DIV/0!</v>
      </c>
      <c r="BG14" s="497" t="e">
        <f>IF(U14/H14&lt;tabellen!$E$8,0,(U14-tabellen!$E$8*H14)/12*tabellen!$D$8)</f>
        <v>#DIV/0!</v>
      </c>
      <c r="BH14" s="498" t="e">
        <f t="shared" si="6"/>
        <v>#DIV/0!</v>
      </c>
      <c r="BI14" s="499" t="e">
        <v>#DIV/0!</v>
      </c>
      <c r="BJ14" s="499" t="e">
        <f>ROUND(IF(BI14&gt;tabellen!$H$12,tabellen!$H$12,BI14)*tabellen!$C$12,2)</f>
        <v>#DIV/0!</v>
      </c>
      <c r="BK14" s="499" t="e">
        <f>+'wgl tot'!BI14+'wgl tot'!BJ14</f>
        <v>#DIV/0!</v>
      </c>
      <c r="BL14" s="500">
        <f>YEAR(E14)</f>
        <v>1900</v>
      </c>
      <c r="BM14" s="500">
        <f>MONTH(E14)</f>
        <v>1</v>
      </c>
      <c r="BN14" s="494">
        <f>DAY(E14)</f>
        <v>0</v>
      </c>
      <c r="BO14" s="469">
        <f t="shared" si="7"/>
        <v>22462</v>
      </c>
      <c r="BP14" s="469">
        <f t="shared" ca="1" si="8"/>
        <v>44413.920839467595</v>
      </c>
      <c r="BQ14" s="444"/>
      <c r="BR14" s="469"/>
      <c r="BS14" s="444"/>
      <c r="BT14" s="501"/>
      <c r="BU14" s="501"/>
      <c r="BV14" s="501"/>
      <c r="BW14" s="501"/>
      <c r="BX14" s="501"/>
      <c r="BY14" s="501"/>
      <c r="BZ14" s="434"/>
      <c r="CA14" s="434"/>
    </row>
    <row r="15" spans="1:79" s="446" customFormat="1" ht="12" customHeight="1" x14ac:dyDescent="0.2">
      <c r="A15" s="434"/>
      <c r="B15" s="435"/>
      <c r="C15" s="473"/>
      <c r="D15" s="482"/>
      <c r="E15" s="483"/>
      <c r="F15" s="484"/>
      <c r="G15" s="484"/>
      <c r="H15" s="485"/>
      <c r="I15" s="524"/>
      <c r="J15" s="484"/>
      <c r="K15" s="486"/>
      <c r="L15" s="486"/>
      <c r="M15" s="487">
        <f>IF(F15="",0,(VLOOKUP('wgl tot'!F15,saltab2020aug,G15+1,FALSE)))</f>
        <v>0</v>
      </c>
      <c r="N15" s="488">
        <f t="shared" si="0"/>
        <v>0</v>
      </c>
      <c r="O15" s="473"/>
      <c r="P15" s="487">
        <f>ROUND(IF((M15+Q15)*BC15&lt;H15*tabellen!$D$31,H15*tabellen!$D$31,(M15+R15)*BC15),2)</f>
        <v>0</v>
      </c>
      <c r="Q15" s="487">
        <f>ROUND(+(M15+R15)*BD15,2)</f>
        <v>0</v>
      </c>
      <c r="R15" s="487">
        <f>ROUND(IF(J15="j",VLOOKUP(BA15,uitlooptoeslag,2,FALSE))*IF(H15&gt;1,1,H15),2)</f>
        <v>0</v>
      </c>
      <c r="S15" s="487">
        <f>VLOOKUP(BE15,eindejaarsuitkering_OOP,2,TRUE)*H15/12</f>
        <v>0</v>
      </c>
      <c r="T15" s="487">
        <f t="shared" si="9"/>
        <v>0</v>
      </c>
      <c r="U15" s="489">
        <f t="shared" si="2"/>
        <v>0</v>
      </c>
      <c r="V15" s="488">
        <f>ROUND((SUM(N15:T15)*12),0)</f>
        <v>0</v>
      </c>
      <c r="W15" s="473"/>
      <c r="X15" s="489">
        <f t="shared" si="3"/>
        <v>0</v>
      </c>
      <c r="Y15" s="490">
        <v>0</v>
      </c>
      <c r="Z15" s="473"/>
      <c r="AA15" s="487">
        <f>IF(F15="",0,(IF(U15/H15&lt;tabellen!$E$7,0,(U15-tabellen!$E$7*H15)/12)*tabellen!$C$7))</f>
        <v>0</v>
      </c>
      <c r="AB15" s="487">
        <f>IF(F15="",0,(IF(U15/H15&lt;tabellen!$E$8,0,(U15-tabellen!$E$8*H15)/12)*tabellen!$C$8))</f>
        <v>0</v>
      </c>
      <c r="AC15" s="487">
        <f>U15/12*tabellen!$C$9</f>
        <v>0</v>
      </c>
      <c r="AD15" s="487">
        <f>IF(H15=0,0,IF(BI15&gt;tabellen!$G$10/12,$G$10/12,BI15)*(tabellen!$C$10+tabellen!$C$11))</f>
        <v>0</v>
      </c>
      <c r="AE15" s="487">
        <f>IF(F15="",0,BJ15)</f>
        <v>0</v>
      </c>
      <c r="AF15" s="491">
        <f>IF(F15="",0,(IF(BI15&gt;tabellen!$G$13*H15/12,tabellen!$G$13*H15/12,BI15*tabellen!$C$13)))</f>
        <v>0</v>
      </c>
      <c r="AG15" s="473"/>
      <c r="AH15" s="491">
        <f>IF(F15="",0,IF(K15="j",tabellen!$C$14*BI15,0))</f>
        <v>0</v>
      </c>
      <c r="AI15" s="491">
        <f>IF(F15="",0,IF(L15="j",tabellen!$C$15*BI15,0))</f>
        <v>0</v>
      </c>
      <c r="AJ15" s="492">
        <v>0</v>
      </c>
      <c r="AK15" s="473"/>
      <c r="AL15" s="492">
        <v>0</v>
      </c>
      <c r="AM15" s="473"/>
      <c r="AN15" s="488">
        <f t="shared" si="4"/>
        <v>0</v>
      </c>
      <c r="AO15" s="488">
        <f t="shared" si="5"/>
        <v>0</v>
      </c>
      <c r="AP15" s="473"/>
      <c r="AQ15" s="493" t="str">
        <f>IF(AN15=0,"",(AN15/N15-1))</f>
        <v/>
      </c>
      <c r="AR15" s="493" t="str">
        <f t="shared" si="1"/>
        <v/>
      </c>
      <c r="AS15" s="473"/>
      <c r="AT15" s="443"/>
      <c r="AU15" s="434"/>
      <c r="AV15" s="434"/>
      <c r="AW15" s="494">
        <f ca="1">YEAR($AW$9)-YEAR(E15)</f>
        <v>121</v>
      </c>
      <c r="AX15" s="494">
        <f ca="1">MONTH($AW$9)-MONTH(E15)</f>
        <v>7</v>
      </c>
      <c r="AY15" s="494">
        <f ca="1">DAY($AW$9)-DAY(E15)</f>
        <v>5</v>
      </c>
      <c r="AZ15" s="444">
        <f>IF(AND(F15&gt;0,F15&lt;18),0,100)</f>
        <v>100</v>
      </c>
      <c r="BA15" s="444">
        <f>F15</f>
        <v>0</v>
      </c>
      <c r="BB15" s="469">
        <v>42583</v>
      </c>
      <c r="BC15" s="495">
        <f t="shared" si="10"/>
        <v>0.08</v>
      </c>
      <c r="BD15" s="496">
        <f>tabellen!$D$33</f>
        <v>0.08</v>
      </c>
      <c r="BE15" s="494">
        <f>IF(AZ15=100,0,F15)</f>
        <v>0</v>
      </c>
      <c r="BF15" s="497" t="e">
        <f>IF(U15/H15&lt;tabellen!$E$7,0,(U15-tabellen!$E$7*H15)/12*tabellen!$D$7)</f>
        <v>#DIV/0!</v>
      </c>
      <c r="BG15" s="497" t="e">
        <f>IF(U15/H15&lt;tabellen!$E$8,0,(U15-tabellen!$E$8*H15)/12*tabellen!$D$8)</f>
        <v>#DIV/0!</v>
      </c>
      <c r="BH15" s="498" t="e">
        <f t="shared" si="6"/>
        <v>#DIV/0!</v>
      </c>
      <c r="BI15" s="499" t="e">
        <v>#DIV/0!</v>
      </c>
      <c r="BJ15" s="499" t="e">
        <f>ROUND(IF(BI15&gt;tabellen!$H$12,tabellen!$H$12,BI15)*tabellen!$C$12,2)</f>
        <v>#DIV/0!</v>
      </c>
      <c r="BK15" s="499" t="e">
        <f>+'wgl tot'!BI15+'wgl tot'!BJ15</f>
        <v>#DIV/0!</v>
      </c>
      <c r="BL15" s="500">
        <f>YEAR(E15)</f>
        <v>1900</v>
      </c>
      <c r="BM15" s="500">
        <f>MONTH(E15)</f>
        <v>1</v>
      </c>
      <c r="BN15" s="494">
        <f>DAY(E15)</f>
        <v>0</v>
      </c>
      <c r="BO15" s="469">
        <f t="shared" si="7"/>
        <v>22462</v>
      </c>
      <c r="BP15" s="469">
        <f t="shared" ca="1" si="8"/>
        <v>44413.920839467595</v>
      </c>
      <c r="BQ15" s="444"/>
      <c r="BR15" s="469"/>
      <c r="BS15" s="444"/>
      <c r="BT15" s="501"/>
      <c r="BU15" s="501"/>
      <c r="BV15" s="501"/>
      <c r="BW15" s="501"/>
      <c r="BX15" s="501"/>
      <c r="BY15" s="501"/>
      <c r="BZ15" s="434"/>
      <c r="CA15" s="434"/>
    </row>
    <row r="16" spans="1:79" s="446" customFormat="1" ht="12" customHeight="1" x14ac:dyDescent="0.2">
      <c r="A16" s="434"/>
      <c r="B16" s="435"/>
      <c r="C16" s="473"/>
      <c r="D16" s="482"/>
      <c r="E16" s="483"/>
      <c r="F16" s="484"/>
      <c r="G16" s="484"/>
      <c r="H16" s="485"/>
      <c r="I16" s="524"/>
      <c r="J16" s="484"/>
      <c r="K16" s="486"/>
      <c r="L16" s="486"/>
      <c r="M16" s="487">
        <f>IF(F16="",0,(VLOOKUP('wgl tot'!F16,saltab2020aug,G16+1,FALSE)))</f>
        <v>0</v>
      </c>
      <c r="N16" s="488">
        <f t="shared" si="0"/>
        <v>0</v>
      </c>
      <c r="O16" s="473"/>
      <c r="P16" s="487">
        <f>ROUND(IF((M16+Q16)*BC16&lt;H16*tabellen!$D$31,H16*tabellen!$D$31,(M16+R16)*BC16),2)</f>
        <v>0</v>
      </c>
      <c r="Q16" s="487">
        <f>ROUND(+(M16+R16)*BD16,2)</f>
        <v>0</v>
      </c>
      <c r="R16" s="487">
        <f>ROUND(IF(J16="j",VLOOKUP(BA16,uitlooptoeslag,2,FALSE))*IF(H16&gt;1,1,H16),2)</f>
        <v>0</v>
      </c>
      <c r="S16" s="487">
        <f>VLOOKUP(BE16,eindejaarsuitkering_OOP,2,TRUE)*H16/12</f>
        <v>0</v>
      </c>
      <c r="T16" s="487">
        <f t="shared" si="9"/>
        <v>0</v>
      </c>
      <c r="U16" s="489">
        <f t="shared" si="2"/>
        <v>0</v>
      </c>
      <c r="V16" s="488">
        <f>ROUND((SUM(N16:T16)*12),0)</f>
        <v>0</v>
      </c>
      <c r="W16" s="473"/>
      <c r="X16" s="489">
        <f t="shared" si="3"/>
        <v>0</v>
      </c>
      <c r="Y16" s="490">
        <v>0</v>
      </c>
      <c r="Z16" s="473"/>
      <c r="AA16" s="487">
        <f>IF(F16="",0,(IF(U16/H16&lt;tabellen!$E$7,0,(U16-tabellen!$E$7*H16)/12)*tabellen!$C$7))</f>
        <v>0</v>
      </c>
      <c r="AB16" s="487">
        <f>IF(F16="",0,(IF(U16/H16&lt;tabellen!$E$8,0,(U16-tabellen!$E$8*H16)/12)*tabellen!$C$8))</f>
        <v>0</v>
      </c>
      <c r="AC16" s="487">
        <f>U16/12*tabellen!$C$9</f>
        <v>0</v>
      </c>
      <c r="AD16" s="487">
        <f>IF(H16=0,0,IF(BI16&gt;tabellen!$G$10/12,$G$10/12,BI16)*(tabellen!$C$10+tabellen!$C$11))</f>
        <v>0</v>
      </c>
      <c r="AE16" s="487">
        <f>IF(F16="",0,BJ16)</f>
        <v>0</v>
      </c>
      <c r="AF16" s="491">
        <f>IF(F16="",0,(IF(BI16&gt;tabellen!$G$13*H16/12,tabellen!$G$13*H16/12,BI16*tabellen!$C$13)))</f>
        <v>0</v>
      </c>
      <c r="AG16" s="473"/>
      <c r="AH16" s="491">
        <f>IF(F16="",0,IF(K16="j",tabellen!$C$14*BI16,0))</f>
        <v>0</v>
      </c>
      <c r="AI16" s="491">
        <f>IF(F16="",0,IF(L16="j",tabellen!$C$15*BI16,0))</f>
        <v>0</v>
      </c>
      <c r="AJ16" s="492">
        <v>0</v>
      </c>
      <c r="AK16" s="473"/>
      <c r="AL16" s="492">
        <v>0</v>
      </c>
      <c r="AM16" s="473"/>
      <c r="AN16" s="488">
        <f t="shared" si="4"/>
        <v>0</v>
      </c>
      <c r="AO16" s="488">
        <f t="shared" si="5"/>
        <v>0</v>
      </c>
      <c r="AP16" s="473"/>
      <c r="AQ16" s="493" t="str">
        <f>IF(AN16=0,"",(AN16/N16-1))</f>
        <v/>
      </c>
      <c r="AR16" s="493" t="str">
        <f t="shared" si="1"/>
        <v/>
      </c>
      <c r="AS16" s="473"/>
      <c r="AT16" s="443"/>
      <c r="AU16" s="434"/>
      <c r="AV16" s="434"/>
      <c r="AW16" s="494">
        <f ca="1">YEAR($AW$9)-YEAR(E16)</f>
        <v>121</v>
      </c>
      <c r="AX16" s="494">
        <f ca="1">MONTH($AW$9)-MONTH(E16)</f>
        <v>7</v>
      </c>
      <c r="AY16" s="494">
        <f ca="1">DAY($AW$9)-DAY(E16)</f>
        <v>5</v>
      </c>
      <c r="AZ16" s="444">
        <f>IF(AND(F16&gt;0,F16&lt;18),0,100)</f>
        <v>100</v>
      </c>
      <c r="BA16" s="444">
        <f>F16</f>
        <v>0</v>
      </c>
      <c r="BB16" s="469">
        <v>42583</v>
      </c>
      <c r="BC16" s="495">
        <f t="shared" si="10"/>
        <v>0.08</v>
      </c>
      <c r="BD16" s="496">
        <f>tabellen!$D$33</f>
        <v>0.08</v>
      </c>
      <c r="BE16" s="494">
        <f>IF(AZ16=100,0,F16)</f>
        <v>0</v>
      </c>
      <c r="BF16" s="497" t="e">
        <f>IF(U16/H16&lt;tabellen!$E$7,0,(U16-tabellen!$E$7*H16)/12*tabellen!$D$7)</f>
        <v>#DIV/0!</v>
      </c>
      <c r="BG16" s="497" t="e">
        <f>IF(U16/H16&lt;tabellen!$E$8,0,(U16-tabellen!$E$8*H16)/12*tabellen!$D$8)</f>
        <v>#DIV/0!</v>
      </c>
      <c r="BH16" s="498" t="e">
        <f t="shared" si="6"/>
        <v>#DIV/0!</v>
      </c>
      <c r="BI16" s="499" t="e">
        <v>#DIV/0!</v>
      </c>
      <c r="BJ16" s="499" t="e">
        <f>ROUND(IF(BI16&gt;tabellen!$H$12,tabellen!$H$12,BI16)*tabellen!$C$12,2)</f>
        <v>#DIV/0!</v>
      </c>
      <c r="BK16" s="499" t="e">
        <f>+'wgl tot'!BI16+'wgl tot'!BJ16</f>
        <v>#DIV/0!</v>
      </c>
      <c r="BL16" s="500">
        <f>YEAR(E16)</f>
        <v>1900</v>
      </c>
      <c r="BM16" s="500">
        <f>MONTH(E16)</f>
        <v>1</v>
      </c>
      <c r="BN16" s="494">
        <f>DAY(E16)</f>
        <v>0</v>
      </c>
      <c r="BO16" s="469">
        <f t="shared" si="7"/>
        <v>22462</v>
      </c>
      <c r="BP16" s="469">
        <f t="shared" ca="1" si="8"/>
        <v>44413.920839467595</v>
      </c>
      <c r="BQ16" s="444"/>
      <c r="BR16" s="469"/>
      <c r="BS16" s="444"/>
      <c r="BT16" s="501"/>
      <c r="BU16" s="501"/>
      <c r="BV16" s="501"/>
      <c r="BW16" s="501"/>
      <c r="BX16" s="501"/>
      <c r="BY16" s="501"/>
      <c r="BZ16" s="434"/>
      <c r="CA16" s="434"/>
    </row>
    <row r="17" spans="1:79" s="446" customFormat="1" ht="12" customHeight="1" x14ac:dyDescent="0.2">
      <c r="A17" s="434"/>
      <c r="B17" s="435"/>
      <c r="C17" s="473"/>
      <c r="D17" s="482"/>
      <c r="E17" s="483"/>
      <c r="F17" s="484"/>
      <c r="G17" s="484"/>
      <c r="H17" s="485"/>
      <c r="I17" s="524"/>
      <c r="J17" s="484"/>
      <c r="K17" s="486"/>
      <c r="L17" s="486"/>
      <c r="M17" s="487">
        <f>IF(F17="",0,(VLOOKUP('wgl tot'!F17,saltab2020aug,G17+1,FALSE)))</f>
        <v>0</v>
      </c>
      <c r="N17" s="488">
        <f t="shared" si="0"/>
        <v>0</v>
      </c>
      <c r="O17" s="473"/>
      <c r="P17" s="487">
        <f>ROUND(IF((M17+Q17)*BC17&lt;H17*tabellen!$D$31,H17*tabellen!$D$31,(M17+R17)*BC17),2)</f>
        <v>0</v>
      </c>
      <c r="Q17" s="487">
        <f>ROUND(+(M17+R17)*BD17,2)</f>
        <v>0</v>
      </c>
      <c r="R17" s="487">
        <f>ROUND(IF(J17="j",VLOOKUP(BA17,uitlooptoeslag,2,FALSE))*IF(H17&gt;1,1,H17),2)</f>
        <v>0</v>
      </c>
      <c r="S17" s="487">
        <f>VLOOKUP(BE17,eindejaarsuitkering_OOP,2,TRUE)*H17/12</f>
        <v>0</v>
      </c>
      <c r="T17" s="487">
        <f t="shared" si="9"/>
        <v>0</v>
      </c>
      <c r="U17" s="489">
        <f t="shared" si="2"/>
        <v>0</v>
      </c>
      <c r="V17" s="488">
        <f>ROUND((SUM(N17:T17)*12),0)</f>
        <v>0</v>
      </c>
      <c r="W17" s="473"/>
      <c r="X17" s="489">
        <f t="shared" si="3"/>
        <v>0</v>
      </c>
      <c r="Y17" s="490">
        <v>0</v>
      </c>
      <c r="Z17" s="473"/>
      <c r="AA17" s="487">
        <f>IF(F17="",0,(IF(U17/H17&lt;tabellen!$E$7,0,(U17-tabellen!$E$7*H17)/12)*tabellen!$C$7))</f>
        <v>0</v>
      </c>
      <c r="AB17" s="487">
        <f>IF(F17="",0,(IF(U17/H17&lt;tabellen!$E$8,0,(U17-tabellen!$E$8*H17)/12)*tabellen!$C$8))</f>
        <v>0</v>
      </c>
      <c r="AC17" s="487">
        <f>U17/12*tabellen!$C$9</f>
        <v>0</v>
      </c>
      <c r="AD17" s="487">
        <f>IF(H17=0,0,IF(BI17&gt;tabellen!$G$10/12,$G$10/12,BI17)*(tabellen!$C$10+tabellen!$C$11))</f>
        <v>0</v>
      </c>
      <c r="AE17" s="487">
        <f>IF(F17="",0,BJ17)</f>
        <v>0</v>
      </c>
      <c r="AF17" s="491">
        <f>IF(F17="",0,(IF(BI17&gt;tabellen!$G$13*H17/12,tabellen!$G$13*H17/12,BI17*tabellen!$C$13)))</f>
        <v>0</v>
      </c>
      <c r="AG17" s="473"/>
      <c r="AH17" s="491">
        <f>IF(F17="",0,IF(K17="j",tabellen!$C$14*BI17,0))</f>
        <v>0</v>
      </c>
      <c r="AI17" s="491">
        <f>IF(F17="",0,IF(L17="j",tabellen!$C$15*BI17,0))</f>
        <v>0</v>
      </c>
      <c r="AJ17" s="492">
        <v>0</v>
      </c>
      <c r="AK17" s="473"/>
      <c r="AL17" s="492">
        <v>0</v>
      </c>
      <c r="AM17" s="473"/>
      <c r="AN17" s="488">
        <f t="shared" si="4"/>
        <v>0</v>
      </c>
      <c r="AO17" s="488">
        <f t="shared" si="5"/>
        <v>0</v>
      </c>
      <c r="AP17" s="473"/>
      <c r="AQ17" s="493" t="str">
        <f>IF(AN17=0,"",(AN17/N17-1))</f>
        <v/>
      </c>
      <c r="AR17" s="493" t="str">
        <f t="shared" si="1"/>
        <v/>
      </c>
      <c r="AS17" s="473"/>
      <c r="AT17" s="443"/>
      <c r="AU17" s="434"/>
      <c r="AV17" s="434"/>
      <c r="AW17" s="494">
        <f ca="1">YEAR($AW$9)-YEAR(E17)</f>
        <v>121</v>
      </c>
      <c r="AX17" s="494">
        <f ca="1">MONTH($AW$9)-MONTH(E17)</f>
        <v>7</v>
      </c>
      <c r="AY17" s="494">
        <f ca="1">DAY($AW$9)-DAY(E17)</f>
        <v>5</v>
      </c>
      <c r="AZ17" s="444">
        <f>IF(AND(F17&gt;0,F17&lt;18),0,100)</f>
        <v>100</v>
      </c>
      <c r="BA17" s="444">
        <f>F17</f>
        <v>0</v>
      </c>
      <c r="BB17" s="469">
        <v>42583</v>
      </c>
      <c r="BC17" s="495">
        <f t="shared" si="10"/>
        <v>0.08</v>
      </c>
      <c r="BD17" s="496">
        <f>tabellen!$D$33</f>
        <v>0.08</v>
      </c>
      <c r="BE17" s="494">
        <f>IF(AZ17=100,0,F17)</f>
        <v>0</v>
      </c>
      <c r="BF17" s="497" t="e">
        <f>IF(U17/H17&lt;tabellen!$E$7,0,(U17-tabellen!$E$7*H17)/12*tabellen!$D$7)</f>
        <v>#DIV/0!</v>
      </c>
      <c r="BG17" s="497" t="e">
        <f>IF(U17/H17&lt;tabellen!$E$8,0,(U17-tabellen!$E$8*H17)/12*tabellen!$D$8)</f>
        <v>#DIV/0!</v>
      </c>
      <c r="BH17" s="498" t="e">
        <f t="shared" si="6"/>
        <v>#DIV/0!</v>
      </c>
      <c r="BI17" s="499" t="e">
        <v>#DIV/0!</v>
      </c>
      <c r="BJ17" s="499" t="e">
        <f>ROUND(IF(BI17&gt;tabellen!$H$12,tabellen!$H$12,BI17)*tabellen!$C$12,2)</f>
        <v>#DIV/0!</v>
      </c>
      <c r="BK17" s="499" t="e">
        <f>+'wgl tot'!BI17+'wgl tot'!BJ17</f>
        <v>#DIV/0!</v>
      </c>
      <c r="BL17" s="500">
        <f>YEAR(E17)</f>
        <v>1900</v>
      </c>
      <c r="BM17" s="500">
        <f>MONTH(E17)</f>
        <v>1</v>
      </c>
      <c r="BN17" s="494">
        <f>DAY(E17)</f>
        <v>0</v>
      </c>
      <c r="BO17" s="469">
        <f t="shared" si="7"/>
        <v>22462</v>
      </c>
      <c r="BP17" s="469">
        <f t="shared" ca="1" si="8"/>
        <v>44413.920839467595</v>
      </c>
      <c r="BQ17" s="444"/>
      <c r="BR17" s="469"/>
      <c r="BS17" s="444"/>
      <c r="BT17" s="501"/>
      <c r="BU17" s="501"/>
      <c r="BV17" s="501"/>
      <c r="BW17" s="501"/>
      <c r="BX17" s="501"/>
      <c r="BY17" s="501"/>
      <c r="BZ17" s="434"/>
      <c r="CA17" s="434"/>
    </row>
    <row r="18" spans="1:79" s="446" customFormat="1" ht="12" customHeight="1" x14ac:dyDescent="0.2">
      <c r="A18" s="434"/>
      <c r="B18" s="435"/>
      <c r="C18" s="473"/>
      <c r="D18" s="482"/>
      <c r="E18" s="483"/>
      <c r="F18" s="484"/>
      <c r="G18" s="484"/>
      <c r="H18" s="485"/>
      <c r="I18" s="524"/>
      <c r="J18" s="484"/>
      <c r="K18" s="486"/>
      <c r="L18" s="486"/>
      <c r="M18" s="487">
        <f>IF(F18="",0,(VLOOKUP('wgl tot'!F18,saltab2020aug,G18+1,FALSE)))</f>
        <v>0</v>
      </c>
      <c r="N18" s="488">
        <f t="shared" si="0"/>
        <v>0</v>
      </c>
      <c r="O18" s="473"/>
      <c r="P18" s="487">
        <f>ROUND(IF((M18+Q18)*BC18&lt;H18*tabellen!$D$31,H18*tabellen!$D$31,(M18+R18)*BC18),2)</f>
        <v>0</v>
      </c>
      <c r="Q18" s="487">
        <f>ROUND(+(M18+R18)*BD18,2)</f>
        <v>0</v>
      </c>
      <c r="R18" s="487">
        <f>ROUND(IF(J18="j",VLOOKUP(BA18,uitlooptoeslag,2,FALSE))*IF(H18&gt;1,1,H18),2)</f>
        <v>0</v>
      </c>
      <c r="S18" s="487">
        <f>VLOOKUP(BE18,eindejaarsuitkering_OOP,2,TRUE)*H18/12</f>
        <v>0</v>
      </c>
      <c r="T18" s="487">
        <f t="shared" si="9"/>
        <v>0</v>
      </c>
      <c r="U18" s="489">
        <f t="shared" si="2"/>
        <v>0</v>
      </c>
      <c r="V18" s="488">
        <f>ROUND((SUM(N18:T18)*12),0)</f>
        <v>0</v>
      </c>
      <c r="W18" s="473"/>
      <c r="X18" s="489">
        <f t="shared" si="3"/>
        <v>0</v>
      </c>
      <c r="Y18" s="490">
        <v>0</v>
      </c>
      <c r="Z18" s="473"/>
      <c r="AA18" s="487">
        <f>IF(F18="",0,(IF(U18/H18&lt;tabellen!$E$7,0,(U18-tabellen!$E$7*H18)/12)*tabellen!$C$7))</f>
        <v>0</v>
      </c>
      <c r="AB18" s="487">
        <f>IF(F18="",0,(IF(U18/H18&lt;tabellen!$E$8,0,(U18-tabellen!$E$8*H18)/12)*tabellen!$C$8))</f>
        <v>0</v>
      </c>
      <c r="AC18" s="487">
        <f>U18/12*tabellen!$C$9</f>
        <v>0</v>
      </c>
      <c r="AD18" s="487">
        <f>IF(H18=0,0,IF(BI18&gt;tabellen!$G$10/12,$G$10/12,BI18)*(tabellen!$C$10+tabellen!$C$11))</f>
        <v>0</v>
      </c>
      <c r="AE18" s="487">
        <f>IF(F18="",0,BJ18)</f>
        <v>0</v>
      </c>
      <c r="AF18" s="491">
        <f>IF(F18="",0,(IF(BI18&gt;tabellen!$G$13*H18/12,tabellen!$G$13*H18/12,BI18*tabellen!$C$13)))</f>
        <v>0</v>
      </c>
      <c r="AG18" s="473"/>
      <c r="AH18" s="491">
        <f>IF(F18="",0,IF(K18="j",tabellen!$C$14*BI18,0))</f>
        <v>0</v>
      </c>
      <c r="AI18" s="491">
        <f>IF(F18="",0,IF(L18="j",tabellen!$C$15*BI18,0))</f>
        <v>0</v>
      </c>
      <c r="AJ18" s="492">
        <v>0</v>
      </c>
      <c r="AK18" s="473"/>
      <c r="AL18" s="492">
        <v>0</v>
      </c>
      <c r="AM18" s="473"/>
      <c r="AN18" s="488">
        <f t="shared" si="4"/>
        <v>0</v>
      </c>
      <c r="AO18" s="488">
        <f t="shared" si="5"/>
        <v>0</v>
      </c>
      <c r="AP18" s="473"/>
      <c r="AQ18" s="493" t="str">
        <f>IF(AN18=0,"",(AN18/N18-1))</f>
        <v/>
      </c>
      <c r="AR18" s="493" t="str">
        <f t="shared" si="1"/>
        <v/>
      </c>
      <c r="AS18" s="473"/>
      <c r="AT18" s="443"/>
      <c r="AU18" s="434"/>
      <c r="AV18" s="434"/>
      <c r="AW18" s="494">
        <f ca="1">YEAR($AW$9)-YEAR(E18)</f>
        <v>121</v>
      </c>
      <c r="AX18" s="494">
        <f ca="1">MONTH($AW$9)-MONTH(E18)</f>
        <v>7</v>
      </c>
      <c r="AY18" s="494">
        <f ca="1">DAY($AW$9)-DAY(E18)</f>
        <v>5</v>
      </c>
      <c r="AZ18" s="444">
        <f>IF(AND(F18&gt;0,F18&lt;18),0,100)</f>
        <v>100</v>
      </c>
      <c r="BA18" s="444">
        <f>F18</f>
        <v>0</v>
      </c>
      <c r="BB18" s="469">
        <v>42583</v>
      </c>
      <c r="BC18" s="495">
        <f t="shared" si="10"/>
        <v>0.08</v>
      </c>
      <c r="BD18" s="496">
        <f>tabellen!$D$33</f>
        <v>0.08</v>
      </c>
      <c r="BE18" s="494">
        <f>IF(AZ18=100,0,F18)</f>
        <v>0</v>
      </c>
      <c r="BF18" s="497" t="e">
        <f>IF(U18/H18&lt;tabellen!$E$7,0,(U18-tabellen!$E$7*H18)/12*tabellen!$D$7)</f>
        <v>#DIV/0!</v>
      </c>
      <c r="BG18" s="497" t="e">
        <f>IF(U18/H18&lt;tabellen!$E$8,0,(U18-tabellen!$E$8*H18)/12*tabellen!$D$8)</f>
        <v>#DIV/0!</v>
      </c>
      <c r="BH18" s="498" t="e">
        <f t="shared" si="6"/>
        <v>#DIV/0!</v>
      </c>
      <c r="BI18" s="499" t="e">
        <v>#DIV/0!</v>
      </c>
      <c r="BJ18" s="499" t="e">
        <f>ROUND(IF(BI18&gt;tabellen!$H$12,tabellen!$H$12,BI18)*tabellen!$C$12,2)</f>
        <v>#DIV/0!</v>
      </c>
      <c r="BK18" s="499" t="e">
        <f>+'wgl tot'!BI18+'wgl tot'!BJ18</f>
        <v>#DIV/0!</v>
      </c>
      <c r="BL18" s="500">
        <f>YEAR(E18)</f>
        <v>1900</v>
      </c>
      <c r="BM18" s="500">
        <f>MONTH(E18)</f>
        <v>1</v>
      </c>
      <c r="BN18" s="494">
        <f>DAY(E18)</f>
        <v>0</v>
      </c>
      <c r="BO18" s="469">
        <f t="shared" si="7"/>
        <v>22462</v>
      </c>
      <c r="BP18" s="469">
        <f t="shared" ca="1" si="8"/>
        <v>44413.920839467595</v>
      </c>
      <c r="BQ18" s="444"/>
      <c r="BR18" s="469"/>
      <c r="BS18" s="444"/>
      <c r="BT18" s="501"/>
      <c r="BU18" s="501"/>
      <c r="BV18" s="501"/>
      <c r="BW18" s="501"/>
      <c r="BX18" s="501"/>
      <c r="BY18" s="501"/>
      <c r="BZ18" s="434"/>
      <c r="CA18" s="434"/>
    </row>
    <row r="19" spans="1:79" s="446" customFormat="1" ht="12" customHeight="1" x14ac:dyDescent="0.2">
      <c r="A19" s="434"/>
      <c r="B19" s="435"/>
      <c r="C19" s="473"/>
      <c r="D19" s="482"/>
      <c r="E19" s="483"/>
      <c r="F19" s="484"/>
      <c r="G19" s="484"/>
      <c r="H19" s="485"/>
      <c r="I19" s="524"/>
      <c r="J19" s="484"/>
      <c r="K19" s="486"/>
      <c r="L19" s="486"/>
      <c r="M19" s="487">
        <f>IF(F19="",0,(VLOOKUP('wgl tot'!F19,saltab2020aug,G19+1,FALSE)))</f>
        <v>0</v>
      </c>
      <c r="N19" s="488">
        <f t="shared" si="0"/>
        <v>0</v>
      </c>
      <c r="O19" s="473"/>
      <c r="P19" s="487">
        <f>ROUND(IF((M19+Q19)*BC19&lt;H19*tabellen!$D$31,H19*tabellen!$D$31,(M19+R19)*BC19),2)</f>
        <v>0</v>
      </c>
      <c r="Q19" s="487">
        <f>ROUND(+(M19+R19)*BD19,2)</f>
        <v>0</v>
      </c>
      <c r="R19" s="487">
        <f>ROUND(IF(J19="j",VLOOKUP(BA19,uitlooptoeslag,2,FALSE))*IF(H19&gt;1,1,H19),2)</f>
        <v>0</v>
      </c>
      <c r="S19" s="487">
        <f>VLOOKUP(BE19,eindejaarsuitkering_OOP,2,TRUE)*H19/12</f>
        <v>0</v>
      </c>
      <c r="T19" s="487">
        <f t="shared" si="9"/>
        <v>0</v>
      </c>
      <c r="U19" s="489">
        <f t="shared" si="2"/>
        <v>0</v>
      </c>
      <c r="V19" s="488">
        <f>ROUND((SUM(N19:T19)*12),0)</f>
        <v>0</v>
      </c>
      <c r="W19" s="473"/>
      <c r="X19" s="489">
        <f t="shared" si="3"/>
        <v>0</v>
      </c>
      <c r="Y19" s="490">
        <v>0</v>
      </c>
      <c r="Z19" s="473"/>
      <c r="AA19" s="487">
        <f>IF(F19="",0,(IF(U19/H19&lt;tabellen!$E$7,0,(U19-tabellen!$E$7*H19)/12)*tabellen!$C$7))</f>
        <v>0</v>
      </c>
      <c r="AB19" s="487">
        <f>IF(F19="",0,(IF(U19/H19&lt;tabellen!$E$8,0,(U19-tabellen!$E$8*H19)/12)*tabellen!$C$8))</f>
        <v>0</v>
      </c>
      <c r="AC19" s="487">
        <f>U19/12*tabellen!$C$9</f>
        <v>0</v>
      </c>
      <c r="AD19" s="487">
        <f>IF(H19=0,0,IF(BI19&gt;tabellen!$G$10/12,$G$10/12,BI19)*(tabellen!$C$10+tabellen!$C$11))</f>
        <v>0</v>
      </c>
      <c r="AE19" s="487">
        <f>IF(F19="",0,BJ19)</f>
        <v>0</v>
      </c>
      <c r="AF19" s="491">
        <f>IF(F19="",0,(IF(BI19&gt;tabellen!$G$13*H19/12,tabellen!$G$13*H19/12,BI19*tabellen!$C$13)))</f>
        <v>0</v>
      </c>
      <c r="AG19" s="473"/>
      <c r="AH19" s="491">
        <f>IF(F19="",0,IF(K19="j",tabellen!$C$14*BI19,0))</f>
        <v>0</v>
      </c>
      <c r="AI19" s="491">
        <f>IF(F19="",0,IF(L19="j",tabellen!$C$15*BI19,0))</f>
        <v>0</v>
      </c>
      <c r="AJ19" s="492">
        <v>0</v>
      </c>
      <c r="AK19" s="473"/>
      <c r="AL19" s="492">
        <v>0</v>
      </c>
      <c r="AM19" s="473"/>
      <c r="AN19" s="488">
        <f t="shared" si="4"/>
        <v>0</v>
      </c>
      <c r="AO19" s="488">
        <f t="shared" si="5"/>
        <v>0</v>
      </c>
      <c r="AP19" s="473"/>
      <c r="AQ19" s="493" t="str">
        <f>IF(AN19=0,"",(AN19/N19-1))</f>
        <v/>
      </c>
      <c r="AR19" s="493" t="str">
        <f t="shared" si="1"/>
        <v/>
      </c>
      <c r="AS19" s="473"/>
      <c r="AT19" s="443"/>
      <c r="AU19" s="434"/>
      <c r="AV19" s="434"/>
      <c r="AW19" s="494">
        <f ca="1">YEAR($AW$9)-YEAR(E19)</f>
        <v>121</v>
      </c>
      <c r="AX19" s="494">
        <f ca="1">MONTH($AW$9)-MONTH(E19)</f>
        <v>7</v>
      </c>
      <c r="AY19" s="494">
        <f ca="1">DAY($AW$9)-DAY(E19)</f>
        <v>5</v>
      </c>
      <c r="AZ19" s="444">
        <f>IF(AND(F19&gt;0,F19&lt;18),0,100)</f>
        <v>100</v>
      </c>
      <c r="BA19" s="444">
        <f>F19</f>
        <v>0</v>
      </c>
      <c r="BB19" s="469">
        <v>42583</v>
      </c>
      <c r="BC19" s="495">
        <f t="shared" si="10"/>
        <v>0.08</v>
      </c>
      <c r="BD19" s="496">
        <f>tabellen!$D$33</f>
        <v>0.08</v>
      </c>
      <c r="BE19" s="494">
        <f>IF(AZ19=100,0,F19)</f>
        <v>0</v>
      </c>
      <c r="BF19" s="497" t="e">
        <f>IF(U19/H19&lt;tabellen!$E$7,0,(U19-tabellen!$E$7*H19)/12*tabellen!$D$7)</f>
        <v>#DIV/0!</v>
      </c>
      <c r="BG19" s="497" t="e">
        <f>IF(U19/H19&lt;tabellen!$E$8,0,(U19-tabellen!$E$8*H19)/12*tabellen!$D$8)</f>
        <v>#DIV/0!</v>
      </c>
      <c r="BH19" s="498" t="e">
        <f t="shared" si="6"/>
        <v>#DIV/0!</v>
      </c>
      <c r="BI19" s="499" t="e">
        <v>#DIV/0!</v>
      </c>
      <c r="BJ19" s="499" t="e">
        <f>ROUND(IF(BI19&gt;tabellen!$H$12,tabellen!$H$12,BI19)*tabellen!$C$12,2)</f>
        <v>#DIV/0!</v>
      </c>
      <c r="BK19" s="499" t="e">
        <f>+'wgl tot'!BI19+'wgl tot'!BJ19</f>
        <v>#DIV/0!</v>
      </c>
      <c r="BL19" s="500">
        <f>YEAR(E19)</f>
        <v>1900</v>
      </c>
      <c r="BM19" s="500">
        <f>MONTH(E19)</f>
        <v>1</v>
      </c>
      <c r="BN19" s="494">
        <f>DAY(E19)</f>
        <v>0</v>
      </c>
      <c r="BO19" s="469">
        <f t="shared" si="7"/>
        <v>22462</v>
      </c>
      <c r="BP19" s="469">
        <f t="shared" ca="1" si="8"/>
        <v>44413.920839467595</v>
      </c>
      <c r="BQ19" s="444"/>
      <c r="BR19" s="469"/>
      <c r="BS19" s="444"/>
      <c r="BT19" s="501"/>
      <c r="BU19" s="501"/>
      <c r="BV19" s="501"/>
      <c r="BW19" s="501"/>
      <c r="BX19" s="501"/>
      <c r="BY19" s="501"/>
      <c r="BZ19" s="434"/>
      <c r="CA19" s="434"/>
    </row>
    <row r="20" spans="1:79" s="446" customFormat="1" ht="12" customHeight="1" x14ac:dyDescent="0.2">
      <c r="A20" s="434"/>
      <c r="B20" s="435"/>
      <c r="C20" s="473"/>
      <c r="D20" s="482"/>
      <c r="E20" s="483"/>
      <c r="F20" s="484"/>
      <c r="G20" s="484"/>
      <c r="H20" s="485"/>
      <c r="I20" s="524"/>
      <c r="J20" s="484"/>
      <c r="K20" s="486"/>
      <c r="L20" s="486"/>
      <c r="M20" s="487">
        <f>IF(F20="",0,(VLOOKUP('wgl tot'!F20,saltab2020aug,G20+1,FALSE)))</f>
        <v>0</v>
      </c>
      <c r="N20" s="488">
        <f t="shared" si="0"/>
        <v>0</v>
      </c>
      <c r="O20" s="473"/>
      <c r="P20" s="487">
        <f>ROUND(IF((M20+Q20)*BC20&lt;H20*tabellen!$D$31,H20*tabellen!$D$31,(M20+R20)*BC20),2)</f>
        <v>0</v>
      </c>
      <c r="Q20" s="487">
        <f>ROUND(+(M20+R20)*BD20,2)</f>
        <v>0</v>
      </c>
      <c r="R20" s="487">
        <f>ROUND(IF(J20="j",VLOOKUP(BA20,uitlooptoeslag,2,FALSE))*IF(H20&gt;1,1,H20),2)</f>
        <v>0</v>
      </c>
      <c r="S20" s="487">
        <f>VLOOKUP(BE20,eindejaarsuitkering_OOP,2,TRUE)*H20/12</f>
        <v>0</v>
      </c>
      <c r="T20" s="487">
        <f t="shared" si="9"/>
        <v>0</v>
      </c>
      <c r="U20" s="489">
        <f t="shared" si="2"/>
        <v>0</v>
      </c>
      <c r="V20" s="488">
        <f>ROUND((SUM(N20:T20)*12),0)</f>
        <v>0</v>
      </c>
      <c r="W20" s="473"/>
      <c r="X20" s="489">
        <f t="shared" si="3"/>
        <v>0</v>
      </c>
      <c r="Y20" s="490">
        <v>0</v>
      </c>
      <c r="Z20" s="473"/>
      <c r="AA20" s="487">
        <f>IF(F20="",0,(IF(U20/H20&lt;tabellen!$E$7,0,(U20-tabellen!$E$7*H20)/12)*tabellen!$C$7))</f>
        <v>0</v>
      </c>
      <c r="AB20" s="487">
        <f>IF(F20="",0,(IF(U20/H20&lt;tabellen!$E$8,0,(U20-tabellen!$E$8*H20)/12)*tabellen!$C$8))</f>
        <v>0</v>
      </c>
      <c r="AC20" s="487">
        <f>U20/12*tabellen!$C$9</f>
        <v>0</v>
      </c>
      <c r="AD20" s="487">
        <f>IF(H20=0,0,IF(BI20&gt;tabellen!$G$10/12,$G$10/12,BI20)*(tabellen!$C$10+tabellen!$C$11))</f>
        <v>0</v>
      </c>
      <c r="AE20" s="487">
        <f>IF(F20="",0,BJ20)</f>
        <v>0</v>
      </c>
      <c r="AF20" s="491">
        <f>IF(F20="",0,(IF(BI20&gt;tabellen!$G$13*H20/12,tabellen!$G$13*H20/12,BI20*tabellen!$C$13)))</f>
        <v>0</v>
      </c>
      <c r="AG20" s="473"/>
      <c r="AH20" s="491">
        <f>IF(F20="",0,IF(K20="j",tabellen!$C$14*BI20,0))</f>
        <v>0</v>
      </c>
      <c r="AI20" s="491">
        <f>IF(F20="",0,IF(L20="j",tabellen!$C$15*BI20,0))</f>
        <v>0</v>
      </c>
      <c r="AJ20" s="492">
        <v>0</v>
      </c>
      <c r="AK20" s="473"/>
      <c r="AL20" s="492">
        <v>0</v>
      </c>
      <c r="AM20" s="473"/>
      <c r="AN20" s="488">
        <f t="shared" si="4"/>
        <v>0</v>
      </c>
      <c r="AO20" s="488">
        <f t="shared" si="5"/>
        <v>0</v>
      </c>
      <c r="AP20" s="473"/>
      <c r="AQ20" s="493" t="str">
        <f>IF(AN20=0,"",(AN20/N20-1))</f>
        <v/>
      </c>
      <c r="AR20" s="493" t="str">
        <f t="shared" si="1"/>
        <v/>
      </c>
      <c r="AS20" s="473"/>
      <c r="AT20" s="443"/>
      <c r="AU20" s="434"/>
      <c r="AV20" s="434"/>
      <c r="AW20" s="494">
        <f ca="1">YEAR($AW$9)-YEAR(E20)</f>
        <v>121</v>
      </c>
      <c r="AX20" s="494">
        <f ca="1">MONTH($AW$9)-MONTH(E20)</f>
        <v>7</v>
      </c>
      <c r="AY20" s="494">
        <f ca="1">DAY($AW$9)-DAY(E20)</f>
        <v>5</v>
      </c>
      <c r="AZ20" s="444">
        <f>IF(AND(F20&gt;0,F20&lt;18),0,100)</f>
        <v>100</v>
      </c>
      <c r="BA20" s="444">
        <f>F20</f>
        <v>0</v>
      </c>
      <c r="BB20" s="469">
        <v>42583</v>
      </c>
      <c r="BC20" s="495">
        <f t="shared" si="10"/>
        <v>0.08</v>
      </c>
      <c r="BD20" s="496">
        <f>tabellen!$D$33</f>
        <v>0.08</v>
      </c>
      <c r="BE20" s="494">
        <f>IF(AZ20=100,0,F20)</f>
        <v>0</v>
      </c>
      <c r="BF20" s="497" t="e">
        <f>IF(U20/H20&lt;tabellen!$E$7,0,(U20-tabellen!$E$7*H20)/12*tabellen!$D$7)</f>
        <v>#DIV/0!</v>
      </c>
      <c r="BG20" s="497" t="e">
        <f>IF(U20/H20&lt;tabellen!$E$8,0,(U20-tabellen!$E$8*H20)/12*tabellen!$D$8)</f>
        <v>#DIV/0!</v>
      </c>
      <c r="BH20" s="498" t="e">
        <f t="shared" si="6"/>
        <v>#DIV/0!</v>
      </c>
      <c r="BI20" s="499" t="e">
        <v>#DIV/0!</v>
      </c>
      <c r="BJ20" s="499" t="e">
        <f>ROUND(IF(BI20&gt;tabellen!$H$12,tabellen!$H$12,BI20)*tabellen!$C$12,2)</f>
        <v>#DIV/0!</v>
      </c>
      <c r="BK20" s="499" t="e">
        <f>+'wgl tot'!BI20+'wgl tot'!BJ20</f>
        <v>#DIV/0!</v>
      </c>
      <c r="BL20" s="500">
        <f>YEAR(E20)</f>
        <v>1900</v>
      </c>
      <c r="BM20" s="500">
        <f>MONTH(E20)</f>
        <v>1</v>
      </c>
      <c r="BN20" s="494">
        <f>DAY(E20)</f>
        <v>0</v>
      </c>
      <c r="BO20" s="469">
        <f t="shared" si="7"/>
        <v>22462</v>
      </c>
      <c r="BP20" s="469">
        <f t="shared" ca="1" si="8"/>
        <v>44413.920839467595</v>
      </c>
      <c r="BQ20" s="444"/>
      <c r="BR20" s="469"/>
      <c r="BS20" s="444"/>
      <c r="BT20" s="501"/>
      <c r="BU20" s="501"/>
      <c r="BV20" s="501"/>
      <c r="BW20" s="501"/>
      <c r="BX20" s="501"/>
      <c r="BY20" s="501"/>
      <c r="BZ20" s="434"/>
      <c r="CA20" s="434"/>
    </row>
    <row r="21" spans="1:79" s="446" customFormat="1" ht="12" customHeight="1" x14ac:dyDescent="0.2">
      <c r="A21" s="434"/>
      <c r="B21" s="435"/>
      <c r="C21" s="473"/>
      <c r="D21" s="482"/>
      <c r="E21" s="483"/>
      <c r="F21" s="484"/>
      <c r="G21" s="484"/>
      <c r="H21" s="485"/>
      <c r="I21" s="524"/>
      <c r="J21" s="484"/>
      <c r="K21" s="486"/>
      <c r="L21" s="486"/>
      <c r="M21" s="487">
        <f>IF(F21="",0,(VLOOKUP('wgl tot'!F21,saltab2020aug,G21+1,FALSE)))</f>
        <v>0</v>
      </c>
      <c r="N21" s="488">
        <f t="shared" si="0"/>
        <v>0</v>
      </c>
      <c r="O21" s="473"/>
      <c r="P21" s="487">
        <f>ROUND(IF((M21+Q21)*BC21&lt;H21*tabellen!$D$31,H21*tabellen!$D$31,(M21+R21)*BC21),2)</f>
        <v>0</v>
      </c>
      <c r="Q21" s="487">
        <f>ROUND(+(M21+R21)*BD21,2)</f>
        <v>0</v>
      </c>
      <c r="R21" s="487">
        <f>ROUND(IF(J21="j",VLOOKUP(BA21,uitlooptoeslag,2,FALSE))*IF(H21&gt;1,1,H21),2)</f>
        <v>0</v>
      </c>
      <c r="S21" s="487">
        <f>VLOOKUP(BE21,eindejaarsuitkering_OOP,2,TRUE)*H21/12</f>
        <v>0</v>
      </c>
      <c r="T21" s="487">
        <f t="shared" si="9"/>
        <v>0</v>
      </c>
      <c r="U21" s="489">
        <f t="shared" si="2"/>
        <v>0</v>
      </c>
      <c r="V21" s="488">
        <f>ROUND((SUM(N21:T21)*12),0)</f>
        <v>0</v>
      </c>
      <c r="W21" s="473"/>
      <c r="X21" s="489">
        <f t="shared" si="3"/>
        <v>0</v>
      </c>
      <c r="Y21" s="490">
        <v>0</v>
      </c>
      <c r="Z21" s="473"/>
      <c r="AA21" s="487">
        <f>IF(F21="",0,(IF(U21/H21&lt;tabellen!$E$7,0,(U21-tabellen!$E$7*H21)/12)*tabellen!$C$7))</f>
        <v>0</v>
      </c>
      <c r="AB21" s="487">
        <f>IF(F21="",0,(IF(U21/H21&lt;tabellen!$E$8,0,(U21-tabellen!$E$8*H21)/12)*tabellen!$C$8))</f>
        <v>0</v>
      </c>
      <c r="AC21" s="487">
        <f>U21/12*tabellen!$C$9</f>
        <v>0</v>
      </c>
      <c r="AD21" s="487">
        <f>IF(H21=0,0,IF(BI21&gt;tabellen!$G$10/12,$G$10/12,BI21)*(tabellen!$C$10+tabellen!$C$11))</f>
        <v>0</v>
      </c>
      <c r="AE21" s="487">
        <f>IF(F21="",0,BJ21)</f>
        <v>0</v>
      </c>
      <c r="AF21" s="491">
        <f>IF(F21="",0,(IF(BI21&gt;tabellen!$G$13*H21/12,tabellen!$G$13*H21/12,BI21*tabellen!$C$13)))</f>
        <v>0</v>
      </c>
      <c r="AG21" s="473"/>
      <c r="AH21" s="491">
        <f>IF(F21="",0,IF(K21="j",tabellen!$C$14*BI21,0))</f>
        <v>0</v>
      </c>
      <c r="AI21" s="491">
        <f>IF(F21="",0,IF(L21="j",tabellen!$C$15*BI21,0))</f>
        <v>0</v>
      </c>
      <c r="AJ21" s="492">
        <v>0</v>
      </c>
      <c r="AK21" s="473"/>
      <c r="AL21" s="492">
        <v>0</v>
      </c>
      <c r="AM21" s="473"/>
      <c r="AN21" s="488">
        <f t="shared" si="4"/>
        <v>0</v>
      </c>
      <c r="AO21" s="488">
        <f t="shared" si="5"/>
        <v>0</v>
      </c>
      <c r="AP21" s="473"/>
      <c r="AQ21" s="493" t="str">
        <f>IF(AN21=0,"",(AN21/N21-1))</f>
        <v/>
      </c>
      <c r="AR21" s="493" t="str">
        <f t="shared" si="1"/>
        <v/>
      </c>
      <c r="AS21" s="473"/>
      <c r="AT21" s="443"/>
      <c r="AU21" s="434"/>
      <c r="AV21" s="434"/>
      <c r="AW21" s="494">
        <f ca="1">YEAR($AW$9)-YEAR(E21)</f>
        <v>121</v>
      </c>
      <c r="AX21" s="494">
        <f ca="1">MONTH($AW$9)-MONTH(E21)</f>
        <v>7</v>
      </c>
      <c r="AY21" s="494">
        <f ca="1">DAY($AW$9)-DAY(E21)</f>
        <v>5</v>
      </c>
      <c r="AZ21" s="444">
        <f>IF(AND(F21&gt;0,F21&lt;18),0,100)</f>
        <v>100</v>
      </c>
      <c r="BA21" s="444">
        <f>F21</f>
        <v>0</v>
      </c>
      <c r="BB21" s="469">
        <v>42583</v>
      </c>
      <c r="BC21" s="495">
        <f t="shared" si="10"/>
        <v>0.08</v>
      </c>
      <c r="BD21" s="496">
        <f>tabellen!$D$33</f>
        <v>0.08</v>
      </c>
      <c r="BE21" s="494">
        <f>IF(AZ21=100,0,F21)</f>
        <v>0</v>
      </c>
      <c r="BF21" s="497" t="e">
        <f>IF(U21/H21&lt;tabellen!$E$7,0,(U21-tabellen!$E$7*H21)/12*tabellen!$D$7)</f>
        <v>#DIV/0!</v>
      </c>
      <c r="BG21" s="497" t="e">
        <f>IF(U21/H21&lt;tabellen!$E$8,0,(U21-tabellen!$E$8*H21)/12*tabellen!$D$8)</f>
        <v>#DIV/0!</v>
      </c>
      <c r="BH21" s="498" t="e">
        <f t="shared" si="6"/>
        <v>#DIV/0!</v>
      </c>
      <c r="BI21" s="499" t="e">
        <v>#DIV/0!</v>
      </c>
      <c r="BJ21" s="499" t="e">
        <f>ROUND(IF(BI21&gt;tabellen!$H$12,tabellen!$H$12,BI21)*tabellen!$C$12,2)</f>
        <v>#DIV/0!</v>
      </c>
      <c r="BK21" s="499" t="e">
        <f>+'wgl tot'!BI21+'wgl tot'!BJ21</f>
        <v>#DIV/0!</v>
      </c>
      <c r="BL21" s="500">
        <f>YEAR(E21)</f>
        <v>1900</v>
      </c>
      <c r="BM21" s="500">
        <f>MONTH(E21)</f>
        <v>1</v>
      </c>
      <c r="BN21" s="494">
        <f>DAY(E21)</f>
        <v>0</v>
      </c>
      <c r="BO21" s="469">
        <f t="shared" si="7"/>
        <v>22462</v>
      </c>
      <c r="BP21" s="469">
        <f t="shared" ca="1" si="8"/>
        <v>44413.920839467595</v>
      </c>
      <c r="BQ21" s="444"/>
      <c r="BR21" s="469"/>
      <c r="BS21" s="444"/>
      <c r="BT21" s="501"/>
      <c r="BU21" s="501"/>
      <c r="BV21" s="501"/>
      <c r="BW21" s="501"/>
      <c r="BX21" s="501"/>
      <c r="BY21" s="501"/>
      <c r="BZ21" s="434"/>
      <c r="CA21" s="434"/>
    </row>
    <row r="22" spans="1:79" s="446" customFormat="1" ht="12" customHeight="1" x14ac:dyDescent="0.2">
      <c r="A22" s="434"/>
      <c r="B22" s="435"/>
      <c r="C22" s="473"/>
      <c r="D22" s="482"/>
      <c r="E22" s="483"/>
      <c r="F22" s="484"/>
      <c r="G22" s="484"/>
      <c r="H22" s="485"/>
      <c r="I22" s="524"/>
      <c r="J22" s="484"/>
      <c r="K22" s="486"/>
      <c r="L22" s="486"/>
      <c r="M22" s="487">
        <f>IF(F22="",0,(VLOOKUP('wgl tot'!F22,saltab2020aug,G22+1,FALSE)))</f>
        <v>0</v>
      </c>
      <c r="N22" s="488">
        <f t="shared" si="0"/>
        <v>0</v>
      </c>
      <c r="O22" s="473"/>
      <c r="P22" s="487">
        <f>ROUND(IF((M22+Q22)*BC22&lt;H22*tabellen!$D$31,H22*tabellen!$D$31,(M22+R22)*BC22),2)</f>
        <v>0</v>
      </c>
      <c r="Q22" s="487">
        <f>ROUND(+(M22+R22)*BD22,2)</f>
        <v>0</v>
      </c>
      <c r="R22" s="487">
        <f>ROUND(IF(J22="j",VLOOKUP(BA22,uitlooptoeslag,2,FALSE))*IF(H22&gt;1,1,H22),2)</f>
        <v>0</v>
      </c>
      <c r="S22" s="487">
        <f>VLOOKUP(BE22,eindejaarsuitkering_OOP,2,TRUE)*H22/12</f>
        <v>0</v>
      </c>
      <c r="T22" s="487">
        <f t="shared" si="9"/>
        <v>0</v>
      </c>
      <c r="U22" s="489">
        <f t="shared" si="2"/>
        <v>0</v>
      </c>
      <c r="V22" s="488">
        <f>ROUND((SUM(N22:T22)*12),0)</f>
        <v>0</v>
      </c>
      <c r="W22" s="473"/>
      <c r="X22" s="489">
        <f t="shared" si="3"/>
        <v>0</v>
      </c>
      <c r="Y22" s="490">
        <v>0</v>
      </c>
      <c r="Z22" s="473"/>
      <c r="AA22" s="487">
        <f>IF(F22="",0,(IF(U22/H22&lt;tabellen!$E$7,0,(U22-tabellen!$E$7*H22)/12)*tabellen!$C$7))</f>
        <v>0</v>
      </c>
      <c r="AB22" s="487">
        <f>IF(F22="",0,(IF(U22/H22&lt;tabellen!$E$8,0,(U22-tabellen!$E$8*H22)/12)*tabellen!$C$8))</f>
        <v>0</v>
      </c>
      <c r="AC22" s="487">
        <f>U22/12*tabellen!$C$9</f>
        <v>0</v>
      </c>
      <c r="AD22" s="487">
        <f>IF(H22=0,0,IF(BI22&gt;tabellen!$G$10/12,$G$10/12,BI22)*(tabellen!$C$10+tabellen!$C$11))</f>
        <v>0</v>
      </c>
      <c r="AE22" s="487">
        <f>IF(F22="",0,BJ22)</f>
        <v>0</v>
      </c>
      <c r="AF22" s="491">
        <f>IF(F22="",0,(IF(BI22&gt;tabellen!$G$13*H22/12,tabellen!$G$13*H22/12,BI22*tabellen!$C$13)))</f>
        <v>0</v>
      </c>
      <c r="AG22" s="473"/>
      <c r="AH22" s="491">
        <f>IF(F22="",0,IF(K22="j",tabellen!$C$14*BI22,0))</f>
        <v>0</v>
      </c>
      <c r="AI22" s="491">
        <f>IF(F22="",0,IF(L22="j",tabellen!$C$15*BI22,0))</f>
        <v>0</v>
      </c>
      <c r="AJ22" s="492">
        <v>0</v>
      </c>
      <c r="AK22" s="473"/>
      <c r="AL22" s="492">
        <v>0</v>
      </c>
      <c r="AM22" s="473"/>
      <c r="AN22" s="488">
        <f t="shared" si="4"/>
        <v>0</v>
      </c>
      <c r="AO22" s="488">
        <f t="shared" si="5"/>
        <v>0</v>
      </c>
      <c r="AP22" s="473"/>
      <c r="AQ22" s="493" t="str">
        <f>IF(AN22=0,"",(AN22/N22-1))</f>
        <v/>
      </c>
      <c r="AR22" s="493" t="str">
        <f t="shared" si="1"/>
        <v/>
      </c>
      <c r="AS22" s="473"/>
      <c r="AT22" s="443"/>
      <c r="AU22" s="434"/>
      <c r="AV22" s="434"/>
      <c r="AW22" s="494">
        <f ca="1">YEAR($AW$9)-YEAR(E22)</f>
        <v>121</v>
      </c>
      <c r="AX22" s="494">
        <f ca="1">MONTH($AW$9)-MONTH(E22)</f>
        <v>7</v>
      </c>
      <c r="AY22" s="494">
        <f ca="1">DAY($AW$9)-DAY(E22)</f>
        <v>5</v>
      </c>
      <c r="AZ22" s="444">
        <f>IF(AND(F22&gt;0,F22&lt;18),0,100)</f>
        <v>100</v>
      </c>
      <c r="BA22" s="444">
        <f>F22</f>
        <v>0</v>
      </c>
      <c r="BB22" s="469">
        <v>42583</v>
      </c>
      <c r="BC22" s="495">
        <f t="shared" si="10"/>
        <v>0.08</v>
      </c>
      <c r="BD22" s="496">
        <f>tabellen!$D$33</f>
        <v>0.08</v>
      </c>
      <c r="BE22" s="494">
        <f>IF(AZ22=100,0,F22)</f>
        <v>0</v>
      </c>
      <c r="BF22" s="497" t="e">
        <f>IF(U22/H22&lt;tabellen!$E$7,0,(U22-tabellen!$E$7*H22)/12*tabellen!$D$7)</f>
        <v>#DIV/0!</v>
      </c>
      <c r="BG22" s="497" t="e">
        <f>IF(U22/H22&lt;tabellen!$E$8,0,(U22-tabellen!$E$8*H22)/12*tabellen!$D$8)</f>
        <v>#DIV/0!</v>
      </c>
      <c r="BH22" s="498" t="e">
        <f t="shared" si="6"/>
        <v>#DIV/0!</v>
      </c>
      <c r="BI22" s="499" t="e">
        <v>#DIV/0!</v>
      </c>
      <c r="BJ22" s="499" t="e">
        <f>ROUND(IF(BI22&gt;tabellen!$H$12,tabellen!$H$12,BI22)*tabellen!$C$12,2)</f>
        <v>#DIV/0!</v>
      </c>
      <c r="BK22" s="499" t="e">
        <f>+'wgl tot'!BI22+'wgl tot'!BJ22</f>
        <v>#DIV/0!</v>
      </c>
      <c r="BL22" s="500">
        <f>YEAR(E22)</f>
        <v>1900</v>
      </c>
      <c r="BM22" s="500">
        <f>MONTH(E22)</f>
        <v>1</v>
      </c>
      <c r="BN22" s="494">
        <f>DAY(E22)</f>
        <v>0</v>
      </c>
      <c r="BO22" s="469">
        <f t="shared" si="7"/>
        <v>22462</v>
      </c>
      <c r="BP22" s="469">
        <f t="shared" ca="1" si="8"/>
        <v>44413.920839467595</v>
      </c>
      <c r="BQ22" s="444"/>
      <c r="BR22" s="469"/>
      <c r="BS22" s="444"/>
      <c r="BT22" s="501"/>
      <c r="BU22" s="501"/>
      <c r="BV22" s="501"/>
      <c r="BW22" s="501"/>
      <c r="BX22" s="501"/>
      <c r="BY22" s="501"/>
      <c r="BZ22" s="434"/>
      <c r="CA22" s="434"/>
    </row>
    <row r="23" spans="1:79" s="446" customFormat="1" ht="12" customHeight="1" x14ac:dyDescent="0.2">
      <c r="A23" s="434"/>
      <c r="B23" s="435"/>
      <c r="C23" s="473"/>
      <c r="D23" s="482"/>
      <c r="E23" s="483"/>
      <c r="F23" s="484"/>
      <c r="G23" s="484"/>
      <c r="H23" s="485"/>
      <c r="I23" s="524"/>
      <c r="J23" s="484"/>
      <c r="K23" s="486"/>
      <c r="L23" s="486"/>
      <c r="M23" s="487">
        <f>IF(F23="",0,(VLOOKUP('wgl tot'!F23,saltab2020aug,G23+1,FALSE)))</f>
        <v>0</v>
      </c>
      <c r="N23" s="488">
        <f t="shared" si="0"/>
        <v>0</v>
      </c>
      <c r="O23" s="473"/>
      <c r="P23" s="487">
        <f>ROUND(IF((M23+Q23)*BC23&lt;H23*tabellen!$D$31,H23*tabellen!$D$31,(M23+R23)*BC23),2)</f>
        <v>0</v>
      </c>
      <c r="Q23" s="487">
        <f>ROUND(+(M23+R23)*BD23,2)</f>
        <v>0</v>
      </c>
      <c r="R23" s="487">
        <f>ROUND(IF(J23="j",VLOOKUP(BA23,uitlooptoeslag,2,FALSE))*IF(H23&gt;1,1,H23),2)</f>
        <v>0</v>
      </c>
      <c r="S23" s="487">
        <f>VLOOKUP(BE23,eindejaarsuitkering_OOP,2,TRUE)*H23/12</f>
        <v>0</v>
      </c>
      <c r="T23" s="487">
        <f t="shared" si="9"/>
        <v>0</v>
      </c>
      <c r="U23" s="489">
        <f t="shared" si="2"/>
        <v>0</v>
      </c>
      <c r="V23" s="488">
        <f>ROUND((SUM(N23:T23)*12),0)</f>
        <v>0</v>
      </c>
      <c r="W23" s="473"/>
      <c r="X23" s="489">
        <f t="shared" si="3"/>
        <v>0</v>
      </c>
      <c r="Y23" s="490">
        <v>0</v>
      </c>
      <c r="Z23" s="473"/>
      <c r="AA23" s="487">
        <f>IF(F23="",0,(IF(U23/H23&lt;tabellen!$E$7,0,(U23-tabellen!$E$7*H23)/12)*tabellen!$C$7))</f>
        <v>0</v>
      </c>
      <c r="AB23" s="487">
        <f>IF(F23="",0,(IF(U23/H23&lt;tabellen!$E$8,0,(U23-tabellen!$E$8*H23)/12)*tabellen!$C$8))</f>
        <v>0</v>
      </c>
      <c r="AC23" s="487">
        <f>U23/12*tabellen!$C$9</f>
        <v>0</v>
      </c>
      <c r="AD23" s="487">
        <f>IF(H23=0,0,IF(BI23&gt;tabellen!$G$10/12,$G$10/12,BI23)*(tabellen!$C$10+tabellen!$C$11))</f>
        <v>0</v>
      </c>
      <c r="AE23" s="487">
        <f>IF(F23="",0,BJ23)</f>
        <v>0</v>
      </c>
      <c r="AF23" s="491">
        <f>IF(F23="",0,(IF(BI23&gt;tabellen!$G$13*H23/12,tabellen!$G$13*H23/12,BI23*tabellen!$C$13)))</f>
        <v>0</v>
      </c>
      <c r="AG23" s="473"/>
      <c r="AH23" s="491">
        <f>IF(F23="",0,IF(K23="j",tabellen!$C$14*BI23,0))</f>
        <v>0</v>
      </c>
      <c r="AI23" s="491">
        <f>IF(F23="",0,IF(L23="j",tabellen!$C$15*BI23,0))</f>
        <v>0</v>
      </c>
      <c r="AJ23" s="492">
        <v>0</v>
      </c>
      <c r="AK23" s="473"/>
      <c r="AL23" s="492">
        <v>0</v>
      </c>
      <c r="AM23" s="473"/>
      <c r="AN23" s="488">
        <f t="shared" si="4"/>
        <v>0</v>
      </c>
      <c r="AO23" s="488">
        <f t="shared" si="5"/>
        <v>0</v>
      </c>
      <c r="AP23" s="473"/>
      <c r="AQ23" s="493" t="str">
        <f>IF(AN23=0,"",(AN23/N23-1))</f>
        <v/>
      </c>
      <c r="AR23" s="493" t="str">
        <f t="shared" si="1"/>
        <v/>
      </c>
      <c r="AS23" s="473"/>
      <c r="AT23" s="443"/>
      <c r="AU23" s="434"/>
      <c r="AV23" s="434"/>
      <c r="AW23" s="494">
        <f ca="1">YEAR($AW$9)-YEAR(E23)</f>
        <v>121</v>
      </c>
      <c r="AX23" s="494">
        <f ca="1">MONTH($AW$9)-MONTH(E23)</f>
        <v>7</v>
      </c>
      <c r="AY23" s="494">
        <f ca="1">DAY($AW$9)-DAY(E23)</f>
        <v>5</v>
      </c>
      <c r="AZ23" s="444">
        <f>IF(AND(F23&gt;0,F23&lt;18),0,100)</f>
        <v>100</v>
      </c>
      <c r="BA23" s="444">
        <f>F23</f>
        <v>0</v>
      </c>
      <c r="BB23" s="469">
        <v>42583</v>
      </c>
      <c r="BC23" s="495">
        <f t="shared" si="10"/>
        <v>0.08</v>
      </c>
      <c r="BD23" s="496">
        <f>tabellen!$D$33</f>
        <v>0.08</v>
      </c>
      <c r="BE23" s="494">
        <f>IF(AZ23=100,0,F23)</f>
        <v>0</v>
      </c>
      <c r="BF23" s="497" t="e">
        <f>IF(U23/H23&lt;tabellen!$E$7,0,(U23-tabellen!$E$7*H23)/12*tabellen!$D$7)</f>
        <v>#DIV/0!</v>
      </c>
      <c r="BG23" s="497" t="e">
        <f>IF(U23/H23&lt;tabellen!$E$8,0,(U23-tabellen!$E$8*H23)/12*tabellen!$D$8)</f>
        <v>#DIV/0!</v>
      </c>
      <c r="BH23" s="498" t="e">
        <f t="shared" si="6"/>
        <v>#DIV/0!</v>
      </c>
      <c r="BI23" s="499" t="e">
        <v>#DIV/0!</v>
      </c>
      <c r="BJ23" s="499" t="e">
        <f>ROUND(IF(BI23&gt;tabellen!$H$12,tabellen!$H$12,BI23)*tabellen!$C$12,2)</f>
        <v>#DIV/0!</v>
      </c>
      <c r="BK23" s="499" t="e">
        <f>+'wgl tot'!BI23+'wgl tot'!BJ23</f>
        <v>#DIV/0!</v>
      </c>
      <c r="BL23" s="500">
        <f>YEAR(E23)</f>
        <v>1900</v>
      </c>
      <c r="BM23" s="500">
        <f>MONTH(E23)</f>
        <v>1</v>
      </c>
      <c r="BN23" s="494">
        <f>DAY(E23)</f>
        <v>0</v>
      </c>
      <c r="BO23" s="469">
        <f t="shared" si="7"/>
        <v>22462</v>
      </c>
      <c r="BP23" s="469">
        <f t="shared" ca="1" si="8"/>
        <v>44413.920839467595</v>
      </c>
      <c r="BQ23" s="444"/>
      <c r="BR23" s="469"/>
      <c r="BS23" s="444"/>
      <c r="BT23" s="501"/>
      <c r="BU23" s="501"/>
      <c r="BV23" s="501"/>
      <c r="BW23" s="501"/>
      <c r="BX23" s="501"/>
      <c r="BY23" s="501"/>
      <c r="BZ23" s="434"/>
      <c r="CA23" s="434"/>
    </row>
    <row r="24" spans="1:79" s="446" customFormat="1" ht="12" customHeight="1" x14ac:dyDescent="0.2">
      <c r="A24" s="434"/>
      <c r="B24" s="435"/>
      <c r="C24" s="473"/>
      <c r="D24" s="482"/>
      <c r="E24" s="483"/>
      <c r="F24" s="484"/>
      <c r="G24" s="484"/>
      <c r="H24" s="485"/>
      <c r="I24" s="524"/>
      <c r="J24" s="484"/>
      <c r="K24" s="486"/>
      <c r="L24" s="486"/>
      <c r="M24" s="487">
        <f>IF(F24="",0,(VLOOKUP('wgl tot'!F24,saltab2020aug,G24+1,FALSE)))</f>
        <v>0</v>
      </c>
      <c r="N24" s="488">
        <f t="shared" si="0"/>
        <v>0</v>
      </c>
      <c r="O24" s="473"/>
      <c r="P24" s="487">
        <f>ROUND(IF((M24+Q24)*BC24&lt;H24*tabellen!$D$31,H24*tabellen!$D$31,(M24+R24)*BC24),2)</f>
        <v>0</v>
      </c>
      <c r="Q24" s="487">
        <f>ROUND(+(M24+R24)*BD24,2)</f>
        <v>0</v>
      </c>
      <c r="R24" s="487">
        <f>ROUND(IF(J24="j",VLOOKUP(BA24,uitlooptoeslag,2,FALSE))*IF(H24&gt;1,1,H24),2)</f>
        <v>0</v>
      </c>
      <c r="S24" s="487">
        <f>VLOOKUP(BE24,eindejaarsuitkering_OOP,2,TRUE)*H24/12</f>
        <v>0</v>
      </c>
      <c r="T24" s="487">
        <f t="shared" si="9"/>
        <v>0</v>
      </c>
      <c r="U24" s="489">
        <f t="shared" si="2"/>
        <v>0</v>
      </c>
      <c r="V24" s="488">
        <f>ROUND((SUM(N24:T24)*12),0)</f>
        <v>0</v>
      </c>
      <c r="W24" s="473"/>
      <c r="X24" s="489">
        <f t="shared" si="3"/>
        <v>0</v>
      </c>
      <c r="Y24" s="490">
        <v>0</v>
      </c>
      <c r="Z24" s="473"/>
      <c r="AA24" s="487">
        <f>IF(F24="",0,(IF(U24/H24&lt;tabellen!$E$7,0,(U24-tabellen!$E$7*H24)/12)*tabellen!$C$7))</f>
        <v>0</v>
      </c>
      <c r="AB24" s="487">
        <f>IF(F24="",0,(IF(U24/H24&lt;tabellen!$E$8,0,(U24-tabellen!$E$8*H24)/12)*tabellen!$C$8))</f>
        <v>0</v>
      </c>
      <c r="AC24" s="487">
        <f>U24/12*tabellen!$C$9</f>
        <v>0</v>
      </c>
      <c r="AD24" s="487">
        <f>IF(H24=0,0,IF(BI24&gt;tabellen!$G$10/12,$G$10/12,BI24)*(tabellen!$C$10+tabellen!$C$11))</f>
        <v>0</v>
      </c>
      <c r="AE24" s="487">
        <f>IF(F24="",0,BJ24)</f>
        <v>0</v>
      </c>
      <c r="AF24" s="491">
        <f>IF(F24="",0,(IF(BI24&gt;tabellen!$G$13*H24/12,tabellen!$G$13*H24/12,BI24*tabellen!$C$13)))</f>
        <v>0</v>
      </c>
      <c r="AG24" s="473"/>
      <c r="AH24" s="491">
        <f>IF(F24="",0,IF(K24="j",tabellen!$C$14*BI24,0))</f>
        <v>0</v>
      </c>
      <c r="AI24" s="491">
        <f>IF(F24="",0,IF(L24="j",tabellen!$C$15*BI24,0))</f>
        <v>0</v>
      </c>
      <c r="AJ24" s="492">
        <v>0</v>
      </c>
      <c r="AK24" s="473"/>
      <c r="AL24" s="492">
        <v>0</v>
      </c>
      <c r="AM24" s="473"/>
      <c r="AN24" s="488">
        <f t="shared" si="4"/>
        <v>0</v>
      </c>
      <c r="AO24" s="488">
        <f t="shared" si="5"/>
        <v>0</v>
      </c>
      <c r="AP24" s="473"/>
      <c r="AQ24" s="493" t="str">
        <f>IF(AN24=0,"",(AN24/N24-1))</f>
        <v/>
      </c>
      <c r="AR24" s="493" t="str">
        <f t="shared" si="1"/>
        <v/>
      </c>
      <c r="AS24" s="473"/>
      <c r="AT24" s="443"/>
      <c r="AU24" s="434"/>
      <c r="AV24" s="434"/>
      <c r="AW24" s="494">
        <f ca="1">YEAR($AW$9)-YEAR(E24)</f>
        <v>121</v>
      </c>
      <c r="AX24" s="494">
        <f ca="1">MONTH($AW$9)-MONTH(E24)</f>
        <v>7</v>
      </c>
      <c r="AY24" s="494">
        <f ca="1">DAY($AW$9)-DAY(E24)</f>
        <v>5</v>
      </c>
      <c r="AZ24" s="444">
        <f>IF(AND(F24&gt;0,F24&lt;18),0,100)</f>
        <v>100</v>
      </c>
      <c r="BA24" s="444">
        <f>F24</f>
        <v>0</v>
      </c>
      <c r="BB24" s="469">
        <v>42583</v>
      </c>
      <c r="BC24" s="495">
        <f t="shared" si="10"/>
        <v>0.08</v>
      </c>
      <c r="BD24" s="496">
        <f>tabellen!$D$33</f>
        <v>0.08</v>
      </c>
      <c r="BE24" s="494">
        <f>IF(AZ24=100,0,F24)</f>
        <v>0</v>
      </c>
      <c r="BF24" s="497" t="e">
        <f>IF(U24/H24&lt;tabellen!$E$7,0,(U24-tabellen!$E$7*H24)/12*tabellen!$D$7)</f>
        <v>#DIV/0!</v>
      </c>
      <c r="BG24" s="497" t="e">
        <f>IF(U24/H24&lt;tabellen!$E$8,0,(U24-tabellen!$E$8*H24)/12*tabellen!$D$8)</f>
        <v>#DIV/0!</v>
      </c>
      <c r="BH24" s="498" t="e">
        <f t="shared" si="6"/>
        <v>#DIV/0!</v>
      </c>
      <c r="BI24" s="499" t="e">
        <v>#DIV/0!</v>
      </c>
      <c r="BJ24" s="499" t="e">
        <f>ROUND(IF(BI24&gt;tabellen!$H$12,tabellen!$H$12,BI24)*tabellen!$C$12,2)</f>
        <v>#DIV/0!</v>
      </c>
      <c r="BK24" s="499" t="e">
        <f>+'wgl tot'!BI24+'wgl tot'!BJ24</f>
        <v>#DIV/0!</v>
      </c>
      <c r="BL24" s="500">
        <f>YEAR(E24)</f>
        <v>1900</v>
      </c>
      <c r="BM24" s="500">
        <f>MONTH(E24)</f>
        <v>1</v>
      </c>
      <c r="BN24" s="494">
        <f>DAY(E24)</f>
        <v>0</v>
      </c>
      <c r="BO24" s="469">
        <f t="shared" si="7"/>
        <v>22462</v>
      </c>
      <c r="BP24" s="469">
        <f t="shared" ca="1" si="8"/>
        <v>44413.920839467595</v>
      </c>
      <c r="BQ24" s="444"/>
      <c r="BR24" s="469"/>
      <c r="BS24" s="444"/>
      <c r="BT24" s="501"/>
      <c r="BU24" s="501"/>
      <c r="BV24" s="501"/>
      <c r="BW24" s="501"/>
      <c r="BX24" s="501"/>
      <c r="BY24" s="501"/>
      <c r="BZ24" s="434"/>
      <c r="CA24" s="434"/>
    </row>
    <row r="25" spans="1:79" s="446" customFormat="1" ht="12" customHeight="1" x14ac:dyDescent="0.2">
      <c r="A25" s="434"/>
      <c r="B25" s="435"/>
      <c r="C25" s="473"/>
      <c r="D25" s="482"/>
      <c r="E25" s="483"/>
      <c r="F25" s="484"/>
      <c r="G25" s="484"/>
      <c r="H25" s="485"/>
      <c r="I25" s="524"/>
      <c r="J25" s="484"/>
      <c r="K25" s="486"/>
      <c r="L25" s="486"/>
      <c r="M25" s="487">
        <f>IF(F25="",0,(VLOOKUP('wgl tot'!F25,saltab2020aug,G25+1,FALSE)))</f>
        <v>0</v>
      </c>
      <c r="N25" s="488">
        <f t="shared" si="0"/>
        <v>0</v>
      </c>
      <c r="O25" s="473"/>
      <c r="P25" s="487">
        <f>ROUND(IF((M25+Q25)*BC25&lt;H25*tabellen!$D$31,H25*tabellen!$D$31,(M25+R25)*BC25),2)</f>
        <v>0</v>
      </c>
      <c r="Q25" s="487">
        <f>ROUND(+(M25+R25)*BD25,2)</f>
        <v>0</v>
      </c>
      <c r="R25" s="487">
        <f>ROUND(IF(J25="j",VLOOKUP(BA25,uitlooptoeslag,2,FALSE))*IF(H25&gt;1,1,H25),2)</f>
        <v>0</v>
      </c>
      <c r="S25" s="487">
        <f>VLOOKUP(BE25,eindejaarsuitkering_OOP,2,TRUE)*H25/12</f>
        <v>0</v>
      </c>
      <c r="T25" s="487">
        <f t="shared" si="9"/>
        <v>0</v>
      </c>
      <c r="U25" s="489">
        <f t="shared" si="2"/>
        <v>0</v>
      </c>
      <c r="V25" s="488">
        <f>ROUND((SUM(N25:T25)*12),0)</f>
        <v>0</v>
      </c>
      <c r="W25" s="473"/>
      <c r="X25" s="489">
        <f t="shared" si="3"/>
        <v>0</v>
      </c>
      <c r="Y25" s="490">
        <v>0</v>
      </c>
      <c r="Z25" s="473"/>
      <c r="AA25" s="487">
        <f>IF(F25="",0,(IF(U25/H25&lt;tabellen!$E$7,0,(U25-tabellen!$E$7*H25)/12)*tabellen!$C$7))</f>
        <v>0</v>
      </c>
      <c r="AB25" s="487">
        <f>IF(F25="",0,(IF(U25/H25&lt;tabellen!$E$8,0,(U25-tabellen!$E$8*H25)/12)*tabellen!$C$8))</f>
        <v>0</v>
      </c>
      <c r="AC25" s="487">
        <f>U25/12*tabellen!$C$9</f>
        <v>0</v>
      </c>
      <c r="AD25" s="487">
        <f>IF(H25=0,0,IF(BI25&gt;tabellen!$G$10/12,$G$10/12,BI25)*(tabellen!$C$10+tabellen!$C$11))</f>
        <v>0</v>
      </c>
      <c r="AE25" s="487">
        <f>IF(F25="",0,BJ25)</f>
        <v>0</v>
      </c>
      <c r="AF25" s="491">
        <f>IF(F25="",0,(IF(BI25&gt;tabellen!$G$13*H25/12,tabellen!$G$13*H25/12,BI25*tabellen!$C$13)))</f>
        <v>0</v>
      </c>
      <c r="AG25" s="473"/>
      <c r="AH25" s="491">
        <f>IF(F25="",0,IF(K25="j",tabellen!$C$14*BI25,0))</f>
        <v>0</v>
      </c>
      <c r="AI25" s="491">
        <f>IF(F25="",0,IF(L25="j",tabellen!$C$15*BI25,0))</f>
        <v>0</v>
      </c>
      <c r="AJ25" s="492">
        <v>0</v>
      </c>
      <c r="AK25" s="473"/>
      <c r="AL25" s="492">
        <v>0</v>
      </c>
      <c r="AM25" s="473"/>
      <c r="AN25" s="488">
        <f t="shared" si="4"/>
        <v>0</v>
      </c>
      <c r="AO25" s="488">
        <f t="shared" si="5"/>
        <v>0</v>
      </c>
      <c r="AP25" s="473"/>
      <c r="AQ25" s="493" t="str">
        <f>IF(AN25=0,"",(AN25/N25-1))</f>
        <v/>
      </c>
      <c r="AR25" s="493" t="str">
        <f t="shared" si="1"/>
        <v/>
      </c>
      <c r="AS25" s="473"/>
      <c r="AT25" s="443"/>
      <c r="AU25" s="434"/>
      <c r="AV25" s="434"/>
      <c r="AW25" s="494">
        <f ca="1">YEAR($AW$9)-YEAR(E25)</f>
        <v>121</v>
      </c>
      <c r="AX25" s="494">
        <f ca="1">MONTH($AW$9)-MONTH(E25)</f>
        <v>7</v>
      </c>
      <c r="AY25" s="494">
        <f ca="1">DAY($AW$9)-DAY(E25)</f>
        <v>5</v>
      </c>
      <c r="AZ25" s="444">
        <f>IF(AND(F25&gt;0,F25&lt;18),0,100)</f>
        <v>100</v>
      </c>
      <c r="BA25" s="444">
        <f>F25</f>
        <v>0</v>
      </c>
      <c r="BB25" s="469">
        <v>42583</v>
      </c>
      <c r="BC25" s="495">
        <f t="shared" si="10"/>
        <v>0.08</v>
      </c>
      <c r="BD25" s="496">
        <f>tabellen!$D$33</f>
        <v>0.08</v>
      </c>
      <c r="BE25" s="494">
        <f>IF(AZ25=100,0,F25)</f>
        <v>0</v>
      </c>
      <c r="BF25" s="497" t="e">
        <f>IF(U25/H25&lt;tabellen!$E$7,0,(U25-tabellen!$E$7*H25)/12*tabellen!$D$7)</f>
        <v>#DIV/0!</v>
      </c>
      <c r="BG25" s="497" t="e">
        <f>IF(U25/H25&lt;tabellen!$E$8,0,(U25-tabellen!$E$8*H25)/12*tabellen!$D$8)</f>
        <v>#DIV/0!</v>
      </c>
      <c r="BH25" s="498" t="e">
        <f t="shared" si="6"/>
        <v>#DIV/0!</v>
      </c>
      <c r="BI25" s="499" t="e">
        <v>#DIV/0!</v>
      </c>
      <c r="BJ25" s="499" t="e">
        <f>ROUND(IF(BI25&gt;tabellen!$H$12,tabellen!$H$12,BI25)*tabellen!$C$12,2)</f>
        <v>#DIV/0!</v>
      </c>
      <c r="BK25" s="499" t="e">
        <f>+'wgl tot'!BI25+'wgl tot'!BJ25</f>
        <v>#DIV/0!</v>
      </c>
      <c r="BL25" s="500">
        <f>YEAR(E25)</f>
        <v>1900</v>
      </c>
      <c r="BM25" s="500">
        <f>MONTH(E25)</f>
        <v>1</v>
      </c>
      <c r="BN25" s="494">
        <f>DAY(E25)</f>
        <v>0</v>
      </c>
      <c r="BO25" s="469">
        <f t="shared" si="7"/>
        <v>22462</v>
      </c>
      <c r="BP25" s="469">
        <f t="shared" ca="1" si="8"/>
        <v>44413.920839467595</v>
      </c>
      <c r="BQ25" s="444"/>
      <c r="BR25" s="469"/>
      <c r="BS25" s="444"/>
      <c r="BT25" s="501"/>
      <c r="BU25" s="501"/>
      <c r="BV25" s="501"/>
      <c r="BW25" s="501"/>
      <c r="BX25" s="501"/>
      <c r="BY25" s="501"/>
      <c r="BZ25" s="434"/>
      <c r="CA25" s="434"/>
    </row>
    <row r="26" spans="1:79" s="446" customFormat="1" ht="12" customHeight="1" x14ac:dyDescent="0.2">
      <c r="A26" s="434"/>
      <c r="B26" s="435"/>
      <c r="C26" s="473"/>
      <c r="D26" s="482"/>
      <c r="E26" s="483"/>
      <c r="F26" s="484"/>
      <c r="G26" s="484"/>
      <c r="H26" s="485"/>
      <c r="I26" s="524"/>
      <c r="J26" s="484"/>
      <c r="K26" s="486"/>
      <c r="L26" s="486"/>
      <c r="M26" s="487">
        <f>IF(F26="",0,(VLOOKUP('wgl tot'!F26,saltab2020aug,G26+1,FALSE)))</f>
        <v>0</v>
      </c>
      <c r="N26" s="488">
        <f t="shared" si="0"/>
        <v>0</v>
      </c>
      <c r="O26" s="473"/>
      <c r="P26" s="487">
        <f>ROUND(IF((M26+Q26)*BC26&lt;H26*tabellen!$D$31,H26*tabellen!$D$31,(M26+R26)*BC26),2)</f>
        <v>0</v>
      </c>
      <c r="Q26" s="487">
        <f>ROUND(+(M26+R26)*BD26,2)</f>
        <v>0</v>
      </c>
      <c r="R26" s="487">
        <f>ROUND(IF(J26="j",VLOOKUP(BA26,uitlooptoeslag,2,FALSE))*IF(H26&gt;1,1,H26),2)</f>
        <v>0</v>
      </c>
      <c r="S26" s="487">
        <f>VLOOKUP(BE26,eindejaarsuitkering_OOP,2,TRUE)*H26/12</f>
        <v>0</v>
      </c>
      <c r="T26" s="487">
        <f t="shared" si="9"/>
        <v>0</v>
      </c>
      <c r="U26" s="489">
        <f t="shared" si="2"/>
        <v>0</v>
      </c>
      <c r="V26" s="488">
        <f>ROUND((SUM(N26:T26)*12),0)</f>
        <v>0</v>
      </c>
      <c r="W26" s="473"/>
      <c r="X26" s="489">
        <f t="shared" si="3"/>
        <v>0</v>
      </c>
      <c r="Y26" s="490">
        <v>0</v>
      </c>
      <c r="Z26" s="473"/>
      <c r="AA26" s="487">
        <f>IF(F26="",0,(IF(U26/H26&lt;tabellen!$E$7,0,(U26-tabellen!$E$7*H26)/12)*tabellen!$C$7))</f>
        <v>0</v>
      </c>
      <c r="AB26" s="487">
        <f>IF(F26="",0,(IF(U26/H26&lt;tabellen!$E$8,0,(U26-tabellen!$E$8*H26)/12)*tabellen!$C$8))</f>
        <v>0</v>
      </c>
      <c r="AC26" s="487">
        <f>U26/12*tabellen!$C$9</f>
        <v>0</v>
      </c>
      <c r="AD26" s="487">
        <f>IF(H26=0,0,IF(BI26&gt;tabellen!$G$10/12,$G$10/12,BI26)*(tabellen!$C$10+tabellen!$C$11))</f>
        <v>0</v>
      </c>
      <c r="AE26" s="487">
        <f>IF(F26="",0,BJ26)</f>
        <v>0</v>
      </c>
      <c r="AF26" s="491">
        <f>IF(F26="",0,(IF(BI26&gt;tabellen!$G$13*H26/12,tabellen!$G$13*H26/12,BI26*tabellen!$C$13)))</f>
        <v>0</v>
      </c>
      <c r="AG26" s="473"/>
      <c r="AH26" s="491">
        <f>IF(F26="",0,IF(K26="j",tabellen!$C$14*BI26,0))</f>
        <v>0</v>
      </c>
      <c r="AI26" s="491">
        <f>IF(F26="",0,IF(L26="j",tabellen!$C$15*BI26,0))</f>
        <v>0</v>
      </c>
      <c r="AJ26" s="492">
        <v>0</v>
      </c>
      <c r="AK26" s="473"/>
      <c r="AL26" s="492">
        <v>0</v>
      </c>
      <c r="AM26" s="473"/>
      <c r="AN26" s="488">
        <f t="shared" si="4"/>
        <v>0</v>
      </c>
      <c r="AO26" s="488">
        <f t="shared" si="5"/>
        <v>0</v>
      </c>
      <c r="AP26" s="473"/>
      <c r="AQ26" s="493" t="str">
        <f>IF(AN26=0,"",(AN26/N26-1))</f>
        <v/>
      </c>
      <c r="AR26" s="493" t="str">
        <f t="shared" si="1"/>
        <v/>
      </c>
      <c r="AS26" s="473"/>
      <c r="AT26" s="443"/>
      <c r="AU26" s="434"/>
      <c r="AV26" s="434"/>
      <c r="AW26" s="494">
        <f ca="1">YEAR($AW$9)-YEAR(E26)</f>
        <v>121</v>
      </c>
      <c r="AX26" s="494">
        <f ca="1">MONTH($AW$9)-MONTH(E26)</f>
        <v>7</v>
      </c>
      <c r="AY26" s="494">
        <f ca="1">DAY($AW$9)-DAY(E26)</f>
        <v>5</v>
      </c>
      <c r="AZ26" s="444">
        <f>IF(AND(F26&gt;0,F26&lt;18),0,100)</f>
        <v>100</v>
      </c>
      <c r="BA26" s="444">
        <f>F26</f>
        <v>0</v>
      </c>
      <c r="BB26" s="469">
        <v>42583</v>
      </c>
      <c r="BC26" s="495">
        <f t="shared" si="10"/>
        <v>0.08</v>
      </c>
      <c r="BD26" s="496">
        <f>tabellen!$D$33</f>
        <v>0.08</v>
      </c>
      <c r="BE26" s="494">
        <f>IF(AZ26=100,0,F26)</f>
        <v>0</v>
      </c>
      <c r="BF26" s="497" t="e">
        <f>IF(U26/H26&lt;tabellen!$E$7,0,(U26-tabellen!$E$7*H26)/12*tabellen!$D$7)</f>
        <v>#DIV/0!</v>
      </c>
      <c r="BG26" s="497" t="e">
        <f>IF(U26/H26&lt;tabellen!$E$8,0,(U26-tabellen!$E$8*H26)/12*tabellen!$D$8)</f>
        <v>#DIV/0!</v>
      </c>
      <c r="BH26" s="498" t="e">
        <f t="shared" si="6"/>
        <v>#DIV/0!</v>
      </c>
      <c r="BI26" s="499" t="e">
        <v>#DIV/0!</v>
      </c>
      <c r="BJ26" s="499" t="e">
        <f>ROUND(IF(BI26&gt;tabellen!$H$12,tabellen!$H$12,BI26)*tabellen!$C$12,2)</f>
        <v>#DIV/0!</v>
      </c>
      <c r="BK26" s="499" t="e">
        <f>+'wgl tot'!BI26+'wgl tot'!BJ26</f>
        <v>#DIV/0!</v>
      </c>
      <c r="BL26" s="500">
        <f>YEAR(E26)</f>
        <v>1900</v>
      </c>
      <c r="BM26" s="500">
        <f>MONTH(E26)</f>
        <v>1</v>
      </c>
      <c r="BN26" s="494">
        <f>DAY(E26)</f>
        <v>0</v>
      </c>
      <c r="BO26" s="469">
        <f t="shared" si="7"/>
        <v>22462</v>
      </c>
      <c r="BP26" s="469">
        <f t="shared" ca="1" si="8"/>
        <v>44413.920839467595</v>
      </c>
      <c r="BQ26" s="444"/>
      <c r="BR26" s="469"/>
      <c r="BS26" s="444"/>
      <c r="BT26" s="501"/>
      <c r="BU26" s="501"/>
      <c r="BV26" s="501"/>
      <c r="BW26" s="501"/>
      <c r="BX26" s="501"/>
      <c r="BY26" s="501"/>
      <c r="BZ26" s="434"/>
      <c r="CA26" s="434"/>
    </row>
    <row r="27" spans="1:79" s="446" customFormat="1" ht="12" customHeight="1" x14ac:dyDescent="0.2">
      <c r="A27" s="434"/>
      <c r="B27" s="435"/>
      <c r="C27" s="473"/>
      <c r="D27" s="482"/>
      <c r="E27" s="483"/>
      <c r="F27" s="484"/>
      <c r="G27" s="484"/>
      <c r="H27" s="485"/>
      <c r="I27" s="524"/>
      <c r="J27" s="484"/>
      <c r="K27" s="486"/>
      <c r="L27" s="486"/>
      <c r="M27" s="487">
        <f>IF(F27="",0,(VLOOKUP('wgl tot'!F27,saltab2020aug,G27+1,FALSE)))</f>
        <v>0</v>
      </c>
      <c r="N27" s="488">
        <f t="shared" si="0"/>
        <v>0</v>
      </c>
      <c r="O27" s="473"/>
      <c r="P27" s="487">
        <f>ROUND(IF((M27+Q27)*BC27&lt;H27*tabellen!$D$31,H27*tabellen!$D$31,(M27+R27)*BC27),2)</f>
        <v>0</v>
      </c>
      <c r="Q27" s="487">
        <f>ROUND(+(M27+R27)*BD27,2)</f>
        <v>0</v>
      </c>
      <c r="R27" s="487">
        <f>ROUND(IF(J27="j",VLOOKUP(BA27,uitlooptoeslag,2,FALSE))*IF(H27&gt;1,1,H27),2)</f>
        <v>0</v>
      </c>
      <c r="S27" s="487">
        <f>VLOOKUP(BE27,eindejaarsuitkering_OOP,2,TRUE)*H27/12</f>
        <v>0</v>
      </c>
      <c r="T27" s="487">
        <f t="shared" si="9"/>
        <v>0</v>
      </c>
      <c r="U27" s="489">
        <f t="shared" si="2"/>
        <v>0</v>
      </c>
      <c r="V27" s="488">
        <f>ROUND((SUM(N27:T27)*12),0)</f>
        <v>0</v>
      </c>
      <c r="W27" s="473"/>
      <c r="X27" s="489">
        <f t="shared" si="3"/>
        <v>0</v>
      </c>
      <c r="Y27" s="490">
        <v>0</v>
      </c>
      <c r="Z27" s="473"/>
      <c r="AA27" s="487">
        <f>IF(F27="",0,(IF(U27/H27&lt;tabellen!$E$7,0,(U27-tabellen!$E$7*H27)/12)*tabellen!$C$7))</f>
        <v>0</v>
      </c>
      <c r="AB27" s="487">
        <f>IF(F27="",0,(IF(U27/H27&lt;tabellen!$E$8,0,(U27-tabellen!$E$8*H27)/12)*tabellen!$C$8))</f>
        <v>0</v>
      </c>
      <c r="AC27" s="487">
        <f>U27/12*tabellen!$C$9</f>
        <v>0</v>
      </c>
      <c r="AD27" s="487">
        <f>IF(H27=0,0,IF(BI27&gt;tabellen!$G$10/12,$G$10/12,BI27)*(tabellen!$C$10+tabellen!$C$11))</f>
        <v>0</v>
      </c>
      <c r="AE27" s="487">
        <f>IF(F27="",0,BJ27)</f>
        <v>0</v>
      </c>
      <c r="AF27" s="491">
        <f>IF(F27="",0,(IF(BI27&gt;tabellen!$G$13*H27/12,tabellen!$G$13*H27/12,BI27*tabellen!$C$13)))</f>
        <v>0</v>
      </c>
      <c r="AG27" s="473"/>
      <c r="AH27" s="491">
        <f>IF(F27="",0,IF(K27="j",tabellen!$C$14*BI27,0))</f>
        <v>0</v>
      </c>
      <c r="AI27" s="491">
        <f>IF(F27="",0,IF(L27="j",tabellen!$C$15*BI27,0))</f>
        <v>0</v>
      </c>
      <c r="AJ27" s="492">
        <v>0</v>
      </c>
      <c r="AK27" s="473"/>
      <c r="AL27" s="492">
        <v>0</v>
      </c>
      <c r="AM27" s="473"/>
      <c r="AN27" s="488">
        <f t="shared" si="4"/>
        <v>0</v>
      </c>
      <c r="AO27" s="488">
        <f t="shared" si="5"/>
        <v>0</v>
      </c>
      <c r="AP27" s="473"/>
      <c r="AQ27" s="493" t="str">
        <f>IF(AN27=0,"",(AN27/N27-1))</f>
        <v/>
      </c>
      <c r="AR27" s="493" t="str">
        <f t="shared" si="1"/>
        <v/>
      </c>
      <c r="AS27" s="473"/>
      <c r="AT27" s="443"/>
      <c r="AU27" s="434"/>
      <c r="AV27" s="434"/>
      <c r="AW27" s="494">
        <f ca="1">YEAR($AW$9)-YEAR(E27)</f>
        <v>121</v>
      </c>
      <c r="AX27" s="494">
        <f ca="1">MONTH($AW$9)-MONTH(E27)</f>
        <v>7</v>
      </c>
      <c r="AY27" s="494">
        <f ca="1">DAY($AW$9)-DAY(E27)</f>
        <v>5</v>
      </c>
      <c r="AZ27" s="444">
        <f>IF(AND(F27&gt;0,F27&lt;18),0,100)</f>
        <v>100</v>
      </c>
      <c r="BA27" s="444">
        <f>F27</f>
        <v>0</v>
      </c>
      <c r="BB27" s="469">
        <v>42583</v>
      </c>
      <c r="BC27" s="495">
        <f t="shared" si="10"/>
        <v>0.08</v>
      </c>
      <c r="BD27" s="496">
        <f>tabellen!$D$33</f>
        <v>0.08</v>
      </c>
      <c r="BE27" s="494">
        <f>IF(AZ27=100,0,F27)</f>
        <v>0</v>
      </c>
      <c r="BF27" s="497" t="e">
        <f>IF(U27/H27&lt;tabellen!$E$7,0,(U27-tabellen!$E$7*H27)/12*tabellen!$D$7)</f>
        <v>#DIV/0!</v>
      </c>
      <c r="BG27" s="497" t="e">
        <f>IF(U27/H27&lt;tabellen!$E$8,0,(U27-tabellen!$E$8*H27)/12*tabellen!$D$8)</f>
        <v>#DIV/0!</v>
      </c>
      <c r="BH27" s="498" t="e">
        <f t="shared" si="6"/>
        <v>#DIV/0!</v>
      </c>
      <c r="BI27" s="499" t="e">
        <v>#DIV/0!</v>
      </c>
      <c r="BJ27" s="499" t="e">
        <f>ROUND(IF(BI27&gt;tabellen!$H$12,tabellen!$H$12,BI27)*tabellen!$C$12,2)</f>
        <v>#DIV/0!</v>
      </c>
      <c r="BK27" s="499" t="e">
        <f>+'wgl tot'!BI27+'wgl tot'!BJ27</f>
        <v>#DIV/0!</v>
      </c>
      <c r="BL27" s="500">
        <f>YEAR(E27)</f>
        <v>1900</v>
      </c>
      <c r="BM27" s="500">
        <f>MONTH(E27)</f>
        <v>1</v>
      </c>
      <c r="BN27" s="494">
        <f>DAY(E27)</f>
        <v>0</v>
      </c>
      <c r="BO27" s="469">
        <f t="shared" si="7"/>
        <v>22462</v>
      </c>
      <c r="BP27" s="469">
        <f t="shared" ca="1" si="8"/>
        <v>44413.920839467595</v>
      </c>
      <c r="BQ27" s="444"/>
      <c r="BR27" s="469"/>
      <c r="BS27" s="444"/>
      <c r="BT27" s="501"/>
      <c r="BU27" s="501"/>
      <c r="BV27" s="501"/>
      <c r="BW27" s="501"/>
      <c r="BX27" s="501"/>
      <c r="BY27" s="501"/>
      <c r="BZ27" s="434"/>
      <c r="CA27" s="434"/>
    </row>
    <row r="28" spans="1:79" s="446" customFormat="1" ht="12" customHeight="1" x14ac:dyDescent="0.2">
      <c r="A28" s="434"/>
      <c r="B28" s="435"/>
      <c r="C28" s="473"/>
      <c r="D28" s="482"/>
      <c r="E28" s="483"/>
      <c r="F28" s="484"/>
      <c r="G28" s="484"/>
      <c r="H28" s="485"/>
      <c r="I28" s="524"/>
      <c r="J28" s="484"/>
      <c r="K28" s="486"/>
      <c r="L28" s="486"/>
      <c r="M28" s="487">
        <f>IF(F28="",0,(VLOOKUP('wgl tot'!F28,saltab2020aug,G28+1,FALSE)))</f>
        <v>0</v>
      </c>
      <c r="N28" s="488">
        <f t="shared" si="0"/>
        <v>0</v>
      </c>
      <c r="O28" s="473"/>
      <c r="P28" s="487">
        <f>ROUND(IF((M28+Q28)*BC28&lt;H28*tabellen!$D$31,H28*tabellen!$D$31,(M28+R28)*BC28),2)</f>
        <v>0</v>
      </c>
      <c r="Q28" s="487">
        <f>ROUND(+(M28+R28)*BD28,2)</f>
        <v>0</v>
      </c>
      <c r="R28" s="487">
        <f>ROUND(IF(J28="j",VLOOKUP(BA28,uitlooptoeslag,2,FALSE))*IF(H28&gt;1,1,H28),2)</f>
        <v>0</v>
      </c>
      <c r="S28" s="487">
        <f>VLOOKUP(BE28,eindejaarsuitkering_OOP,2,TRUE)*H28/12</f>
        <v>0</v>
      </c>
      <c r="T28" s="487">
        <f t="shared" si="9"/>
        <v>0</v>
      </c>
      <c r="U28" s="489">
        <f t="shared" si="2"/>
        <v>0</v>
      </c>
      <c r="V28" s="488">
        <f>ROUND((SUM(N28:T28)*12),0)</f>
        <v>0</v>
      </c>
      <c r="W28" s="473"/>
      <c r="X28" s="489">
        <f t="shared" si="3"/>
        <v>0</v>
      </c>
      <c r="Y28" s="490">
        <v>0</v>
      </c>
      <c r="Z28" s="473"/>
      <c r="AA28" s="487">
        <f>IF(F28="",0,(IF(U28/H28&lt;tabellen!$E$7,0,(U28-tabellen!$E$7*H28)/12)*tabellen!$C$7))</f>
        <v>0</v>
      </c>
      <c r="AB28" s="487">
        <f>IF(F28="",0,(IF(U28/H28&lt;tabellen!$E$8,0,(U28-tabellen!$E$8*H28)/12)*tabellen!$C$8))</f>
        <v>0</v>
      </c>
      <c r="AC28" s="487">
        <f>U28/12*tabellen!$C$9</f>
        <v>0</v>
      </c>
      <c r="AD28" s="487">
        <f>IF(H28=0,0,IF(BI28&gt;tabellen!$G$10/12,$G$10/12,BI28)*(tabellen!$C$10+tabellen!$C$11))</f>
        <v>0</v>
      </c>
      <c r="AE28" s="487">
        <f>IF(F28="",0,BJ28)</f>
        <v>0</v>
      </c>
      <c r="AF28" s="491">
        <f>IF(F28="",0,(IF(BI28&gt;tabellen!$G$13*H28/12,tabellen!$G$13*H28/12,BI28*tabellen!$C$13)))</f>
        <v>0</v>
      </c>
      <c r="AG28" s="473"/>
      <c r="AH28" s="491">
        <f>IF(F28="",0,IF(K28="j",tabellen!$C$14*BI28,0))</f>
        <v>0</v>
      </c>
      <c r="AI28" s="491">
        <f>IF(F28="",0,IF(L28="j",tabellen!$C$15*BI28,0))</f>
        <v>0</v>
      </c>
      <c r="AJ28" s="492">
        <v>0</v>
      </c>
      <c r="AK28" s="473"/>
      <c r="AL28" s="492">
        <v>0</v>
      </c>
      <c r="AM28" s="473"/>
      <c r="AN28" s="488">
        <f t="shared" si="4"/>
        <v>0</v>
      </c>
      <c r="AO28" s="488">
        <f t="shared" si="5"/>
        <v>0</v>
      </c>
      <c r="AP28" s="473"/>
      <c r="AQ28" s="493" t="str">
        <f>IF(AN28=0,"",(AN28/N28-1))</f>
        <v/>
      </c>
      <c r="AR28" s="493" t="str">
        <f t="shared" si="1"/>
        <v/>
      </c>
      <c r="AS28" s="473"/>
      <c r="AT28" s="443"/>
      <c r="AU28" s="434"/>
      <c r="AV28" s="434"/>
      <c r="AW28" s="494">
        <f ca="1">YEAR($AW$9)-YEAR(E28)</f>
        <v>121</v>
      </c>
      <c r="AX28" s="494">
        <f ca="1">MONTH($AW$9)-MONTH(E28)</f>
        <v>7</v>
      </c>
      <c r="AY28" s="494">
        <f ca="1">DAY($AW$9)-DAY(E28)</f>
        <v>5</v>
      </c>
      <c r="AZ28" s="444">
        <f>IF(AND(F28&gt;0,F28&lt;18),0,100)</f>
        <v>100</v>
      </c>
      <c r="BA28" s="444">
        <f>F28</f>
        <v>0</v>
      </c>
      <c r="BB28" s="469">
        <v>42583</v>
      </c>
      <c r="BC28" s="495">
        <f t="shared" si="10"/>
        <v>0.08</v>
      </c>
      <c r="BD28" s="496">
        <f>tabellen!$D$33</f>
        <v>0.08</v>
      </c>
      <c r="BE28" s="494">
        <f>IF(AZ28=100,0,F28)</f>
        <v>0</v>
      </c>
      <c r="BF28" s="497" t="e">
        <f>IF(U28/H28&lt;tabellen!$E$7,0,(U28-tabellen!$E$7*H28)/12*tabellen!$D$7)</f>
        <v>#DIV/0!</v>
      </c>
      <c r="BG28" s="497" t="e">
        <f>IF(U28/H28&lt;tabellen!$E$8,0,(U28-tabellen!$E$8*H28)/12*tabellen!$D$8)</f>
        <v>#DIV/0!</v>
      </c>
      <c r="BH28" s="498" t="e">
        <f t="shared" si="6"/>
        <v>#DIV/0!</v>
      </c>
      <c r="BI28" s="499" t="e">
        <v>#DIV/0!</v>
      </c>
      <c r="BJ28" s="499" t="e">
        <f>ROUND(IF(BI28&gt;tabellen!$H$12,tabellen!$H$12,BI28)*tabellen!$C$12,2)</f>
        <v>#DIV/0!</v>
      </c>
      <c r="BK28" s="499" t="e">
        <f>+'wgl tot'!BI28+'wgl tot'!BJ28</f>
        <v>#DIV/0!</v>
      </c>
      <c r="BL28" s="500">
        <f>YEAR(E28)</f>
        <v>1900</v>
      </c>
      <c r="BM28" s="500">
        <f>MONTH(E28)</f>
        <v>1</v>
      </c>
      <c r="BN28" s="494">
        <f>DAY(E28)</f>
        <v>0</v>
      </c>
      <c r="BO28" s="469">
        <f t="shared" si="7"/>
        <v>22462</v>
      </c>
      <c r="BP28" s="469">
        <f t="shared" ca="1" si="8"/>
        <v>44413.920839467595</v>
      </c>
      <c r="BQ28" s="444"/>
      <c r="BR28" s="469"/>
      <c r="BS28" s="444"/>
      <c r="BT28" s="501"/>
      <c r="BU28" s="501"/>
      <c r="BV28" s="501"/>
      <c r="BW28" s="501"/>
      <c r="BX28" s="501"/>
      <c r="BY28" s="501"/>
      <c r="BZ28" s="434"/>
      <c r="CA28" s="434"/>
    </row>
    <row r="29" spans="1:79" s="446" customFormat="1" ht="12" customHeight="1" x14ac:dyDescent="0.2">
      <c r="A29" s="434"/>
      <c r="B29" s="435"/>
      <c r="C29" s="473"/>
      <c r="D29" s="482"/>
      <c r="E29" s="483"/>
      <c r="F29" s="484"/>
      <c r="G29" s="484"/>
      <c r="H29" s="485"/>
      <c r="I29" s="524"/>
      <c r="J29" s="484"/>
      <c r="K29" s="486"/>
      <c r="L29" s="486"/>
      <c r="M29" s="487">
        <f>IF(F29="",0,(VLOOKUP('wgl tot'!F29,saltab2020aug,G29+1,FALSE)))</f>
        <v>0</v>
      </c>
      <c r="N29" s="488">
        <f t="shared" si="0"/>
        <v>0</v>
      </c>
      <c r="O29" s="473"/>
      <c r="P29" s="487">
        <f>ROUND(IF((M29+Q29)*BC29&lt;H29*tabellen!$D$31,H29*tabellen!$D$31,(M29+R29)*BC29),2)</f>
        <v>0</v>
      </c>
      <c r="Q29" s="487">
        <f>ROUND(+(M29+R29)*BD29,2)</f>
        <v>0</v>
      </c>
      <c r="R29" s="487">
        <f>ROUND(IF(J29="j",VLOOKUP(BA29,uitlooptoeslag,2,FALSE))*IF(H29&gt;1,1,H29),2)</f>
        <v>0</v>
      </c>
      <c r="S29" s="487">
        <f>VLOOKUP(BE29,eindejaarsuitkering_OOP,2,TRUE)*H29/12</f>
        <v>0</v>
      </c>
      <c r="T29" s="487">
        <f t="shared" si="9"/>
        <v>0</v>
      </c>
      <c r="U29" s="489">
        <f t="shared" si="2"/>
        <v>0</v>
      </c>
      <c r="V29" s="488">
        <f>ROUND((SUM(N29:T29)*12),0)</f>
        <v>0</v>
      </c>
      <c r="W29" s="473"/>
      <c r="X29" s="489">
        <f t="shared" si="3"/>
        <v>0</v>
      </c>
      <c r="Y29" s="490">
        <v>0</v>
      </c>
      <c r="Z29" s="473"/>
      <c r="AA29" s="487">
        <f>IF(F29="",0,(IF(U29/H29&lt;tabellen!$E$7,0,(U29-tabellen!$E$7*H29)/12)*tabellen!$C$7))</f>
        <v>0</v>
      </c>
      <c r="AB29" s="487">
        <f>IF(F29="",0,(IF(U29/H29&lt;tabellen!$E$8,0,(U29-tabellen!$E$8*H29)/12)*tabellen!$C$8))</f>
        <v>0</v>
      </c>
      <c r="AC29" s="487">
        <f>U29/12*tabellen!$C$9</f>
        <v>0</v>
      </c>
      <c r="AD29" s="487">
        <f>IF(H29=0,0,IF(BI29&gt;tabellen!$G$10/12,$G$10/12,BI29)*(tabellen!$C$10+tabellen!$C$11))</f>
        <v>0</v>
      </c>
      <c r="AE29" s="487">
        <f>IF(F29="",0,BJ29)</f>
        <v>0</v>
      </c>
      <c r="AF29" s="491">
        <f>IF(F29="",0,(IF(BI29&gt;tabellen!$G$13*H29/12,tabellen!$G$13*H29/12,BI29*tabellen!$C$13)))</f>
        <v>0</v>
      </c>
      <c r="AG29" s="473"/>
      <c r="AH29" s="491">
        <f>IF(F29="",0,IF(K29="j",tabellen!$C$14*BI29,0))</f>
        <v>0</v>
      </c>
      <c r="AI29" s="491">
        <f>IF(F29="",0,IF(L29="j",tabellen!$C$15*BI29,0))</f>
        <v>0</v>
      </c>
      <c r="AJ29" s="492">
        <v>0</v>
      </c>
      <c r="AK29" s="473"/>
      <c r="AL29" s="492">
        <v>0</v>
      </c>
      <c r="AM29" s="473"/>
      <c r="AN29" s="488">
        <f t="shared" si="4"/>
        <v>0</v>
      </c>
      <c r="AO29" s="488">
        <f t="shared" si="5"/>
        <v>0</v>
      </c>
      <c r="AP29" s="473"/>
      <c r="AQ29" s="493" t="str">
        <f>IF(AN29=0,"",(AN29/N29-1))</f>
        <v/>
      </c>
      <c r="AR29" s="493" t="str">
        <f t="shared" si="1"/>
        <v/>
      </c>
      <c r="AS29" s="473"/>
      <c r="AT29" s="443"/>
      <c r="AU29" s="434"/>
      <c r="AV29" s="434"/>
      <c r="AW29" s="494">
        <f ca="1">YEAR($AW$9)-YEAR(E29)</f>
        <v>121</v>
      </c>
      <c r="AX29" s="494">
        <f ca="1">MONTH($AW$9)-MONTH(E29)</f>
        <v>7</v>
      </c>
      <c r="AY29" s="494">
        <f ca="1">DAY($AW$9)-DAY(E29)</f>
        <v>5</v>
      </c>
      <c r="AZ29" s="444">
        <f>IF(AND(F29&gt;0,F29&lt;18),0,100)</f>
        <v>100</v>
      </c>
      <c r="BA29" s="444">
        <f>F29</f>
        <v>0</v>
      </c>
      <c r="BB29" s="469">
        <v>42583</v>
      </c>
      <c r="BC29" s="495">
        <f t="shared" si="10"/>
        <v>0.08</v>
      </c>
      <c r="BD29" s="496">
        <f>tabellen!$D$33</f>
        <v>0.08</v>
      </c>
      <c r="BE29" s="494">
        <f>IF(AZ29=100,0,F29)</f>
        <v>0</v>
      </c>
      <c r="BF29" s="497" t="e">
        <f>IF(U29/H29&lt;tabellen!$E$7,0,(U29-tabellen!$E$7*H29)/12*tabellen!$D$7)</f>
        <v>#DIV/0!</v>
      </c>
      <c r="BG29" s="497" t="e">
        <f>IF(U29/H29&lt;tabellen!$E$8,0,(U29-tabellen!$E$8*H29)/12*tabellen!$D$8)</f>
        <v>#DIV/0!</v>
      </c>
      <c r="BH29" s="498" t="e">
        <f t="shared" si="6"/>
        <v>#DIV/0!</v>
      </c>
      <c r="BI29" s="499" t="e">
        <v>#DIV/0!</v>
      </c>
      <c r="BJ29" s="499" t="e">
        <f>ROUND(IF(BI29&gt;tabellen!$H$12,tabellen!$H$12,BI29)*tabellen!$C$12,2)</f>
        <v>#DIV/0!</v>
      </c>
      <c r="BK29" s="499" t="e">
        <f>+'wgl tot'!BI29+'wgl tot'!BJ29</f>
        <v>#DIV/0!</v>
      </c>
      <c r="BL29" s="500">
        <f>YEAR(E29)</f>
        <v>1900</v>
      </c>
      <c r="BM29" s="500">
        <f>MONTH(E29)</f>
        <v>1</v>
      </c>
      <c r="BN29" s="494">
        <f>DAY(E29)</f>
        <v>0</v>
      </c>
      <c r="BO29" s="469">
        <f t="shared" si="7"/>
        <v>22462</v>
      </c>
      <c r="BP29" s="469">
        <f t="shared" ca="1" si="8"/>
        <v>44413.920839467595</v>
      </c>
      <c r="BQ29" s="444"/>
      <c r="BR29" s="469"/>
      <c r="BS29" s="444"/>
      <c r="BT29" s="501"/>
      <c r="BU29" s="501"/>
      <c r="BV29" s="501"/>
      <c r="BW29" s="501"/>
      <c r="BX29" s="501"/>
      <c r="BY29" s="501"/>
      <c r="BZ29" s="434"/>
      <c r="CA29" s="434"/>
    </row>
    <row r="30" spans="1:79" s="446" customFormat="1" ht="12" customHeight="1" x14ac:dyDescent="0.2">
      <c r="A30" s="434"/>
      <c r="B30" s="435"/>
      <c r="C30" s="473"/>
      <c r="D30" s="482"/>
      <c r="E30" s="483"/>
      <c r="F30" s="484"/>
      <c r="G30" s="484"/>
      <c r="H30" s="485"/>
      <c r="I30" s="524"/>
      <c r="J30" s="484"/>
      <c r="K30" s="486"/>
      <c r="L30" s="486"/>
      <c r="M30" s="487">
        <f>IF(F30="",0,(VLOOKUP('wgl tot'!F30,saltab2020aug,G30+1,FALSE)))</f>
        <v>0</v>
      </c>
      <c r="N30" s="488">
        <f t="shared" si="0"/>
        <v>0</v>
      </c>
      <c r="O30" s="473"/>
      <c r="P30" s="487">
        <f>ROUND(IF((M30+Q30)*BC30&lt;H30*tabellen!$D$31,H30*tabellen!$D$31,(M30+R30)*BC30),2)</f>
        <v>0</v>
      </c>
      <c r="Q30" s="487">
        <f>ROUND(+(M30+R30)*BD30,2)</f>
        <v>0</v>
      </c>
      <c r="R30" s="487">
        <f>ROUND(IF(J30="j",VLOOKUP(BA30,uitlooptoeslag,2,FALSE))*IF(H30&gt;1,1,H30),2)</f>
        <v>0</v>
      </c>
      <c r="S30" s="487">
        <f>VLOOKUP(BE30,eindejaarsuitkering_OOP,2,TRUE)*H30/12</f>
        <v>0</v>
      </c>
      <c r="T30" s="487">
        <f t="shared" si="9"/>
        <v>0</v>
      </c>
      <c r="U30" s="489">
        <f t="shared" si="2"/>
        <v>0</v>
      </c>
      <c r="V30" s="488">
        <f>ROUND((SUM(N30:T30)*12),0)</f>
        <v>0</v>
      </c>
      <c r="W30" s="473"/>
      <c r="X30" s="489">
        <f t="shared" si="3"/>
        <v>0</v>
      </c>
      <c r="Y30" s="490">
        <v>0</v>
      </c>
      <c r="Z30" s="473"/>
      <c r="AA30" s="487">
        <f>IF(F30="",0,(IF(U30/H30&lt;tabellen!$E$7,0,(U30-tabellen!$E$7*H30)/12)*tabellen!$C$7))</f>
        <v>0</v>
      </c>
      <c r="AB30" s="487">
        <f>IF(F30="",0,(IF(U30/H30&lt;tabellen!$E$8,0,(U30-tabellen!$E$8*H30)/12)*tabellen!$C$8))</f>
        <v>0</v>
      </c>
      <c r="AC30" s="487">
        <f>U30/12*tabellen!$C$9</f>
        <v>0</v>
      </c>
      <c r="AD30" s="487">
        <f>IF(H30=0,0,IF(BI30&gt;tabellen!$G$10/12,$G$10/12,BI30)*(tabellen!$C$10+tabellen!$C$11))</f>
        <v>0</v>
      </c>
      <c r="AE30" s="487">
        <f>IF(F30="",0,BJ30)</f>
        <v>0</v>
      </c>
      <c r="AF30" s="491">
        <f>IF(F30="",0,(IF(BI30&gt;tabellen!$G$13*H30/12,tabellen!$G$13*H30/12,BI30*tabellen!$C$13)))</f>
        <v>0</v>
      </c>
      <c r="AG30" s="473"/>
      <c r="AH30" s="491">
        <f>IF(F30="",0,IF(K30="j",tabellen!$C$14*BI30,0))</f>
        <v>0</v>
      </c>
      <c r="AI30" s="491">
        <f>IF(F30="",0,IF(L30="j",tabellen!$C$15*BI30,0))</f>
        <v>0</v>
      </c>
      <c r="AJ30" s="492">
        <v>0</v>
      </c>
      <c r="AK30" s="473"/>
      <c r="AL30" s="492">
        <v>0</v>
      </c>
      <c r="AM30" s="473"/>
      <c r="AN30" s="488">
        <f t="shared" si="4"/>
        <v>0</v>
      </c>
      <c r="AO30" s="488">
        <f t="shared" si="5"/>
        <v>0</v>
      </c>
      <c r="AP30" s="473"/>
      <c r="AQ30" s="493" t="str">
        <f>IF(AN30=0,"",(AN30/N30-1))</f>
        <v/>
      </c>
      <c r="AR30" s="493" t="str">
        <f t="shared" si="1"/>
        <v/>
      </c>
      <c r="AS30" s="473"/>
      <c r="AT30" s="443"/>
      <c r="AU30" s="434"/>
      <c r="AV30" s="434"/>
      <c r="AW30" s="494">
        <f ca="1">YEAR($AW$9)-YEAR(E30)</f>
        <v>121</v>
      </c>
      <c r="AX30" s="494">
        <f ca="1">MONTH($AW$9)-MONTH(E30)</f>
        <v>7</v>
      </c>
      <c r="AY30" s="494">
        <f ca="1">DAY($AW$9)-DAY(E30)</f>
        <v>5</v>
      </c>
      <c r="AZ30" s="444">
        <f>IF(AND(F30&gt;0,F30&lt;18),0,100)</f>
        <v>100</v>
      </c>
      <c r="BA30" s="444">
        <f>F30</f>
        <v>0</v>
      </c>
      <c r="BB30" s="469">
        <v>42583</v>
      </c>
      <c r="BC30" s="495">
        <f t="shared" si="10"/>
        <v>0.08</v>
      </c>
      <c r="BD30" s="496">
        <f>tabellen!$D$33</f>
        <v>0.08</v>
      </c>
      <c r="BE30" s="494">
        <f>IF(AZ30=100,0,F30)</f>
        <v>0</v>
      </c>
      <c r="BF30" s="497" t="e">
        <f>IF(U30/H30&lt;tabellen!$E$7,0,(U30-tabellen!$E$7*H30)/12*tabellen!$D$7)</f>
        <v>#DIV/0!</v>
      </c>
      <c r="BG30" s="497" t="e">
        <f>IF(U30/H30&lt;tabellen!$E$8,0,(U30-tabellen!$E$8*H30)/12*tabellen!$D$8)</f>
        <v>#DIV/0!</v>
      </c>
      <c r="BH30" s="498" t="e">
        <f t="shared" si="6"/>
        <v>#DIV/0!</v>
      </c>
      <c r="BI30" s="499" t="e">
        <v>#DIV/0!</v>
      </c>
      <c r="BJ30" s="499" t="e">
        <f>ROUND(IF(BI30&gt;tabellen!$H$12,tabellen!$H$12,BI30)*tabellen!$C$12,2)</f>
        <v>#DIV/0!</v>
      </c>
      <c r="BK30" s="499" t="e">
        <f>+'wgl tot'!BI30+'wgl tot'!BJ30</f>
        <v>#DIV/0!</v>
      </c>
      <c r="BL30" s="500">
        <f>YEAR(E30)</f>
        <v>1900</v>
      </c>
      <c r="BM30" s="500">
        <f>MONTH(E30)</f>
        <v>1</v>
      </c>
      <c r="BN30" s="494">
        <f>DAY(E30)</f>
        <v>0</v>
      </c>
      <c r="BO30" s="469">
        <f t="shared" si="7"/>
        <v>22462</v>
      </c>
      <c r="BP30" s="469">
        <f t="shared" ca="1" si="8"/>
        <v>44413.920839467595</v>
      </c>
      <c r="BQ30" s="444"/>
      <c r="BR30" s="469"/>
      <c r="BS30" s="444"/>
      <c r="BT30" s="501"/>
      <c r="BU30" s="501"/>
      <c r="BV30" s="501"/>
      <c r="BW30" s="501"/>
      <c r="BX30" s="501"/>
      <c r="BY30" s="501"/>
      <c r="BZ30" s="434"/>
      <c r="CA30" s="434"/>
    </row>
    <row r="31" spans="1:79" s="446" customFormat="1" ht="12" customHeight="1" x14ac:dyDescent="0.2">
      <c r="A31" s="434"/>
      <c r="B31" s="435"/>
      <c r="C31" s="473"/>
      <c r="D31" s="482"/>
      <c r="E31" s="483"/>
      <c r="F31" s="484"/>
      <c r="G31" s="484"/>
      <c r="H31" s="485"/>
      <c r="I31" s="524"/>
      <c r="J31" s="484"/>
      <c r="K31" s="486"/>
      <c r="L31" s="486"/>
      <c r="M31" s="487">
        <f>IF(F31="",0,(VLOOKUP('wgl tot'!F31,saltab2020aug,G31+1,FALSE)))</f>
        <v>0</v>
      </c>
      <c r="N31" s="488">
        <f t="shared" si="0"/>
        <v>0</v>
      </c>
      <c r="O31" s="473"/>
      <c r="P31" s="487">
        <f>ROUND(IF((M31+Q31)*BC31&lt;H31*tabellen!$D$31,H31*tabellen!$D$31,(M31+R31)*BC31),2)</f>
        <v>0</v>
      </c>
      <c r="Q31" s="487">
        <f>ROUND(+(M31+R31)*BD31,2)</f>
        <v>0</v>
      </c>
      <c r="R31" s="487">
        <f>ROUND(IF(J31="j",VLOOKUP(BA31,uitlooptoeslag,2,FALSE))*IF(H31&gt;1,1,H31),2)</f>
        <v>0</v>
      </c>
      <c r="S31" s="487">
        <f>VLOOKUP(BE31,eindejaarsuitkering_OOP,2,TRUE)*H31/12</f>
        <v>0</v>
      </c>
      <c r="T31" s="487">
        <f t="shared" si="9"/>
        <v>0</v>
      </c>
      <c r="U31" s="489">
        <f t="shared" si="2"/>
        <v>0</v>
      </c>
      <c r="V31" s="488">
        <f>ROUND((SUM(N31:T31)*12),0)</f>
        <v>0</v>
      </c>
      <c r="W31" s="473"/>
      <c r="X31" s="489">
        <f t="shared" si="3"/>
        <v>0</v>
      </c>
      <c r="Y31" s="490">
        <v>0</v>
      </c>
      <c r="Z31" s="473"/>
      <c r="AA31" s="487">
        <f>IF(F31="",0,(IF(U31/H31&lt;tabellen!$E$7,0,(U31-tabellen!$E$7*H31)/12)*tabellen!$C$7))</f>
        <v>0</v>
      </c>
      <c r="AB31" s="487">
        <f>IF(F31="",0,(IF(U31/H31&lt;tabellen!$E$8,0,(U31-tabellen!$E$8*H31)/12)*tabellen!$C$8))</f>
        <v>0</v>
      </c>
      <c r="AC31" s="487">
        <f>U31/12*tabellen!$C$9</f>
        <v>0</v>
      </c>
      <c r="AD31" s="487">
        <f>IF(H31=0,0,IF(BI31&gt;tabellen!$G$10/12,$G$10/12,BI31)*(tabellen!$C$10+tabellen!$C$11))</f>
        <v>0</v>
      </c>
      <c r="AE31" s="487">
        <f>IF(F31="",0,BJ31)</f>
        <v>0</v>
      </c>
      <c r="AF31" s="491">
        <f>IF(F31="",0,(IF(BI31&gt;tabellen!$G$13*H31/12,tabellen!$G$13*H31/12,BI31*tabellen!$C$13)))</f>
        <v>0</v>
      </c>
      <c r="AG31" s="473"/>
      <c r="AH31" s="491">
        <f>IF(F31="",0,IF(K31="j",tabellen!$C$14*BI31,0))</f>
        <v>0</v>
      </c>
      <c r="AI31" s="491">
        <f>IF(F31="",0,IF(L31="j",tabellen!$C$15*BI31,0))</f>
        <v>0</v>
      </c>
      <c r="AJ31" s="492">
        <v>0</v>
      </c>
      <c r="AK31" s="473"/>
      <c r="AL31" s="492">
        <v>0</v>
      </c>
      <c r="AM31" s="473"/>
      <c r="AN31" s="488">
        <f t="shared" si="4"/>
        <v>0</v>
      </c>
      <c r="AO31" s="488">
        <f t="shared" si="5"/>
        <v>0</v>
      </c>
      <c r="AP31" s="473"/>
      <c r="AQ31" s="493" t="str">
        <f>IF(AN31=0,"",(AN31/N31-1))</f>
        <v/>
      </c>
      <c r="AR31" s="493" t="str">
        <f t="shared" si="1"/>
        <v/>
      </c>
      <c r="AS31" s="473"/>
      <c r="AT31" s="443"/>
      <c r="AU31" s="434"/>
      <c r="AV31" s="434"/>
      <c r="AW31" s="494">
        <f ca="1">YEAR($AW$9)-YEAR(E31)</f>
        <v>121</v>
      </c>
      <c r="AX31" s="494">
        <f ca="1">MONTH($AW$9)-MONTH(E31)</f>
        <v>7</v>
      </c>
      <c r="AY31" s="494">
        <f ca="1">DAY($AW$9)-DAY(E31)</f>
        <v>5</v>
      </c>
      <c r="AZ31" s="444">
        <f>IF(AND(F31&gt;0,F31&lt;18),0,100)</f>
        <v>100</v>
      </c>
      <c r="BA31" s="444">
        <f>F31</f>
        <v>0</v>
      </c>
      <c r="BB31" s="469">
        <v>42583</v>
      </c>
      <c r="BC31" s="495">
        <f t="shared" si="10"/>
        <v>0.08</v>
      </c>
      <c r="BD31" s="496">
        <f>tabellen!$D$33</f>
        <v>0.08</v>
      </c>
      <c r="BE31" s="494">
        <f>IF(AZ31=100,0,F31)</f>
        <v>0</v>
      </c>
      <c r="BF31" s="497" t="e">
        <f>IF(U31/H31&lt;tabellen!$E$7,0,(U31-tabellen!$E$7*H31)/12*tabellen!$D$7)</f>
        <v>#DIV/0!</v>
      </c>
      <c r="BG31" s="497" t="e">
        <f>IF(U31/H31&lt;tabellen!$E$8,0,(U31-tabellen!$E$8*H31)/12*tabellen!$D$8)</f>
        <v>#DIV/0!</v>
      </c>
      <c r="BH31" s="498" t="e">
        <f t="shared" si="6"/>
        <v>#DIV/0!</v>
      </c>
      <c r="BI31" s="499" t="e">
        <v>#DIV/0!</v>
      </c>
      <c r="BJ31" s="499" t="e">
        <f>ROUND(IF(BI31&gt;tabellen!$H$12,tabellen!$H$12,BI31)*tabellen!$C$12,2)</f>
        <v>#DIV/0!</v>
      </c>
      <c r="BK31" s="499" t="e">
        <f>+'wgl tot'!BI31+'wgl tot'!BJ31</f>
        <v>#DIV/0!</v>
      </c>
      <c r="BL31" s="500">
        <f>YEAR(E31)</f>
        <v>1900</v>
      </c>
      <c r="BM31" s="500">
        <f>MONTH(E31)</f>
        <v>1</v>
      </c>
      <c r="BN31" s="494">
        <f>DAY(E31)</f>
        <v>0</v>
      </c>
      <c r="BO31" s="469">
        <f t="shared" si="7"/>
        <v>22462</v>
      </c>
      <c r="BP31" s="469">
        <f t="shared" ca="1" si="8"/>
        <v>44413.920839467595</v>
      </c>
      <c r="BQ31" s="444"/>
      <c r="BR31" s="469"/>
      <c r="BS31" s="444"/>
      <c r="BT31" s="501"/>
      <c r="BU31" s="501"/>
      <c r="BV31" s="501"/>
      <c r="BW31" s="501"/>
      <c r="BX31" s="501"/>
      <c r="BY31" s="501"/>
      <c r="BZ31" s="434"/>
      <c r="CA31" s="434"/>
    </row>
    <row r="32" spans="1:79" s="446" customFormat="1" ht="12" customHeight="1" x14ac:dyDescent="0.2">
      <c r="A32" s="434"/>
      <c r="B32" s="435"/>
      <c r="C32" s="473"/>
      <c r="D32" s="482"/>
      <c r="E32" s="483"/>
      <c r="F32" s="484"/>
      <c r="G32" s="484"/>
      <c r="H32" s="485"/>
      <c r="I32" s="524"/>
      <c r="J32" s="484"/>
      <c r="K32" s="486"/>
      <c r="L32" s="486"/>
      <c r="M32" s="487">
        <f>IF(F32="",0,(VLOOKUP('wgl tot'!F32,saltab2020aug,G32+1,FALSE)))</f>
        <v>0</v>
      </c>
      <c r="N32" s="488">
        <f t="shared" si="0"/>
        <v>0</v>
      </c>
      <c r="O32" s="473"/>
      <c r="P32" s="487">
        <f>ROUND(IF((M32+Q32)*BC32&lt;H32*tabellen!$D$31,H32*tabellen!$D$31,(M32+R32)*BC32),2)</f>
        <v>0</v>
      </c>
      <c r="Q32" s="487">
        <f>ROUND(+(M32+R32)*BD32,2)</f>
        <v>0</v>
      </c>
      <c r="R32" s="487">
        <f>ROUND(IF(J32="j",VLOOKUP(BA32,uitlooptoeslag,2,FALSE))*IF(H32&gt;1,1,H32),2)</f>
        <v>0</v>
      </c>
      <c r="S32" s="487">
        <f>VLOOKUP(BE32,eindejaarsuitkering_OOP,2,TRUE)*H32/12</f>
        <v>0</v>
      </c>
      <c r="T32" s="487">
        <f t="shared" si="9"/>
        <v>0</v>
      </c>
      <c r="U32" s="489">
        <f t="shared" si="2"/>
        <v>0</v>
      </c>
      <c r="V32" s="488">
        <f>ROUND((SUM(N32:T32)*12),0)</f>
        <v>0</v>
      </c>
      <c r="W32" s="473"/>
      <c r="X32" s="489">
        <f t="shared" si="3"/>
        <v>0</v>
      </c>
      <c r="Y32" s="490">
        <v>0</v>
      </c>
      <c r="Z32" s="473"/>
      <c r="AA32" s="487">
        <f>IF(F32="",0,(IF(U32/H32&lt;tabellen!$E$7,0,(U32-tabellen!$E$7*H32)/12)*tabellen!$C$7))</f>
        <v>0</v>
      </c>
      <c r="AB32" s="487">
        <f>IF(F32="",0,(IF(U32/H32&lt;tabellen!$E$8,0,(U32-tabellen!$E$8*H32)/12)*tabellen!$C$8))</f>
        <v>0</v>
      </c>
      <c r="AC32" s="487">
        <f>U32/12*tabellen!$C$9</f>
        <v>0</v>
      </c>
      <c r="AD32" s="487">
        <f>IF(H32=0,0,IF(BI32&gt;tabellen!$G$10/12,$G$10/12,BI32)*(tabellen!$C$10+tabellen!$C$11))</f>
        <v>0</v>
      </c>
      <c r="AE32" s="487">
        <f>IF(F32="",0,BJ32)</f>
        <v>0</v>
      </c>
      <c r="AF32" s="491">
        <f>IF(F32="",0,(IF(BI32&gt;tabellen!$G$13*H32/12,tabellen!$G$13*H32/12,BI32*tabellen!$C$13)))</f>
        <v>0</v>
      </c>
      <c r="AG32" s="473"/>
      <c r="AH32" s="491">
        <f>IF(F32="",0,IF(K32="j",tabellen!$C$14*BI32,0))</f>
        <v>0</v>
      </c>
      <c r="AI32" s="491">
        <f>IF(F32="",0,IF(L32="j",tabellen!$C$15*BI32,0))</f>
        <v>0</v>
      </c>
      <c r="AJ32" s="492">
        <v>0</v>
      </c>
      <c r="AK32" s="473"/>
      <c r="AL32" s="492">
        <v>0</v>
      </c>
      <c r="AM32" s="473"/>
      <c r="AN32" s="488">
        <f t="shared" si="4"/>
        <v>0</v>
      </c>
      <c r="AO32" s="488">
        <f t="shared" si="5"/>
        <v>0</v>
      </c>
      <c r="AP32" s="473"/>
      <c r="AQ32" s="493" t="str">
        <f>IF(AN32=0,"",(AN32/N32-1))</f>
        <v/>
      </c>
      <c r="AR32" s="493" t="str">
        <f t="shared" si="1"/>
        <v/>
      </c>
      <c r="AS32" s="473"/>
      <c r="AT32" s="443"/>
      <c r="AU32" s="434"/>
      <c r="AV32" s="434"/>
      <c r="AW32" s="494">
        <f ca="1">YEAR($AW$9)-YEAR(E32)</f>
        <v>121</v>
      </c>
      <c r="AX32" s="494">
        <f ca="1">MONTH($AW$9)-MONTH(E32)</f>
        <v>7</v>
      </c>
      <c r="AY32" s="494">
        <f ca="1">DAY($AW$9)-DAY(E32)</f>
        <v>5</v>
      </c>
      <c r="AZ32" s="444">
        <f>IF(AND(F32&gt;0,F32&lt;18),0,100)</f>
        <v>100</v>
      </c>
      <c r="BA32" s="444">
        <f>F32</f>
        <v>0</v>
      </c>
      <c r="BB32" s="469">
        <v>42583</v>
      </c>
      <c r="BC32" s="495">
        <f t="shared" si="10"/>
        <v>0.08</v>
      </c>
      <c r="BD32" s="496">
        <f>tabellen!$D$33</f>
        <v>0.08</v>
      </c>
      <c r="BE32" s="494">
        <f>IF(AZ32=100,0,F32)</f>
        <v>0</v>
      </c>
      <c r="BF32" s="497" t="e">
        <f>IF(U32/H32&lt;tabellen!$E$7,0,(U32-tabellen!$E$7*H32)/12*tabellen!$D$7)</f>
        <v>#DIV/0!</v>
      </c>
      <c r="BG32" s="497" t="e">
        <f>IF(U32/H32&lt;tabellen!$E$8,0,(U32-tabellen!$E$8*H32)/12*tabellen!$D$8)</f>
        <v>#DIV/0!</v>
      </c>
      <c r="BH32" s="498" t="e">
        <f t="shared" si="6"/>
        <v>#DIV/0!</v>
      </c>
      <c r="BI32" s="499" t="e">
        <v>#DIV/0!</v>
      </c>
      <c r="BJ32" s="499" t="e">
        <f>ROUND(IF(BI32&gt;tabellen!$H$12,tabellen!$H$12,BI32)*tabellen!$C$12,2)</f>
        <v>#DIV/0!</v>
      </c>
      <c r="BK32" s="499" t="e">
        <f>+'wgl tot'!BI32+'wgl tot'!BJ32</f>
        <v>#DIV/0!</v>
      </c>
      <c r="BL32" s="500">
        <f>YEAR(E32)</f>
        <v>1900</v>
      </c>
      <c r="BM32" s="500">
        <f>MONTH(E32)</f>
        <v>1</v>
      </c>
      <c r="BN32" s="494">
        <f>DAY(E32)</f>
        <v>0</v>
      </c>
      <c r="BO32" s="469">
        <f t="shared" si="7"/>
        <v>22462</v>
      </c>
      <c r="BP32" s="469">
        <f t="shared" ca="1" si="8"/>
        <v>44413.920839467595</v>
      </c>
      <c r="BQ32" s="444"/>
      <c r="BR32" s="469"/>
      <c r="BS32" s="444"/>
      <c r="BT32" s="501"/>
      <c r="BU32" s="501"/>
      <c r="BV32" s="501"/>
      <c r="BW32" s="501"/>
      <c r="BX32" s="501"/>
      <c r="BY32" s="501"/>
      <c r="BZ32" s="434"/>
      <c r="CA32" s="434"/>
    </row>
    <row r="33" spans="1:79" s="446" customFormat="1" ht="12" customHeight="1" x14ac:dyDescent="0.2">
      <c r="A33" s="434"/>
      <c r="B33" s="435"/>
      <c r="C33" s="473"/>
      <c r="D33" s="482"/>
      <c r="E33" s="483"/>
      <c r="F33" s="484"/>
      <c r="G33" s="484"/>
      <c r="H33" s="485"/>
      <c r="I33" s="524"/>
      <c r="J33" s="484"/>
      <c r="K33" s="486"/>
      <c r="L33" s="486"/>
      <c r="M33" s="487">
        <f>IF(F33="",0,(VLOOKUP('wgl tot'!F33,saltab2020aug,G33+1,FALSE)))</f>
        <v>0</v>
      </c>
      <c r="N33" s="488">
        <f t="shared" si="0"/>
        <v>0</v>
      </c>
      <c r="O33" s="473"/>
      <c r="P33" s="487">
        <f>ROUND(IF((M33+Q33)*BC33&lt;H33*tabellen!$D$31,H33*tabellen!$D$31,(M33+R33)*BC33),2)</f>
        <v>0</v>
      </c>
      <c r="Q33" s="487">
        <f>ROUND(+(M33+R33)*BD33,2)</f>
        <v>0</v>
      </c>
      <c r="R33" s="487">
        <f>ROUND(IF(J33="j",VLOOKUP(BA33,uitlooptoeslag,2,FALSE))*IF(H33&gt;1,1,H33),2)</f>
        <v>0</v>
      </c>
      <c r="S33" s="487">
        <f>VLOOKUP(BE33,eindejaarsuitkering_OOP,2,TRUE)*H33/12</f>
        <v>0</v>
      </c>
      <c r="T33" s="487">
        <f t="shared" si="9"/>
        <v>0</v>
      </c>
      <c r="U33" s="489">
        <f t="shared" si="2"/>
        <v>0</v>
      </c>
      <c r="V33" s="488">
        <f>ROUND((SUM(N33:T33)*12),0)</f>
        <v>0</v>
      </c>
      <c r="W33" s="473"/>
      <c r="X33" s="489">
        <f t="shared" si="3"/>
        <v>0</v>
      </c>
      <c r="Y33" s="490">
        <v>0</v>
      </c>
      <c r="Z33" s="473"/>
      <c r="AA33" s="487">
        <f>IF(F33="",0,(IF(U33/H33&lt;tabellen!$E$7,0,(U33-tabellen!$E$7*H33)/12)*tabellen!$C$7))</f>
        <v>0</v>
      </c>
      <c r="AB33" s="487">
        <f>IF(F33="",0,(IF(U33/H33&lt;tabellen!$E$8,0,(U33-tabellen!$E$8*H33)/12)*tabellen!$C$8))</f>
        <v>0</v>
      </c>
      <c r="AC33" s="487">
        <f>U33/12*tabellen!$C$9</f>
        <v>0</v>
      </c>
      <c r="AD33" s="487">
        <f>IF(H33=0,0,IF(BI33&gt;tabellen!$G$10/12,$G$10/12,BI33)*(tabellen!$C$10+tabellen!$C$11))</f>
        <v>0</v>
      </c>
      <c r="AE33" s="487">
        <f>IF(F33="",0,BJ33)</f>
        <v>0</v>
      </c>
      <c r="AF33" s="491">
        <f>IF(F33="",0,(IF(BI33&gt;tabellen!$G$13*H33/12,tabellen!$G$13*H33/12,BI33*tabellen!$C$13)))</f>
        <v>0</v>
      </c>
      <c r="AG33" s="473"/>
      <c r="AH33" s="491">
        <f>IF(F33="",0,IF(K33="j",tabellen!$C$14*BI33,0))</f>
        <v>0</v>
      </c>
      <c r="AI33" s="491">
        <f>IF(F33="",0,IF(L33="j",tabellen!$C$15*BI33,0))</f>
        <v>0</v>
      </c>
      <c r="AJ33" s="492">
        <v>0</v>
      </c>
      <c r="AK33" s="473"/>
      <c r="AL33" s="492">
        <v>0</v>
      </c>
      <c r="AM33" s="473"/>
      <c r="AN33" s="488">
        <f t="shared" si="4"/>
        <v>0</v>
      </c>
      <c r="AO33" s="488">
        <f t="shared" si="5"/>
        <v>0</v>
      </c>
      <c r="AP33" s="473"/>
      <c r="AQ33" s="493" t="str">
        <f>IF(AN33=0,"",(AN33/N33-1))</f>
        <v/>
      </c>
      <c r="AR33" s="493" t="str">
        <f t="shared" si="1"/>
        <v/>
      </c>
      <c r="AS33" s="473"/>
      <c r="AT33" s="443"/>
      <c r="AU33" s="434"/>
      <c r="AV33" s="434"/>
      <c r="AW33" s="494">
        <f ca="1">YEAR($AW$9)-YEAR(E33)</f>
        <v>121</v>
      </c>
      <c r="AX33" s="494">
        <f ca="1">MONTH($AW$9)-MONTH(E33)</f>
        <v>7</v>
      </c>
      <c r="AY33" s="494">
        <f ca="1">DAY($AW$9)-DAY(E33)</f>
        <v>5</v>
      </c>
      <c r="AZ33" s="444">
        <f>IF(AND(F33&gt;0,F33&lt;18),0,100)</f>
        <v>100</v>
      </c>
      <c r="BA33" s="444">
        <f>F33</f>
        <v>0</v>
      </c>
      <c r="BB33" s="469">
        <v>42583</v>
      </c>
      <c r="BC33" s="495">
        <f t="shared" si="10"/>
        <v>0.08</v>
      </c>
      <c r="BD33" s="496">
        <f>tabellen!$D$33</f>
        <v>0.08</v>
      </c>
      <c r="BE33" s="494">
        <f>IF(AZ33=100,0,F33)</f>
        <v>0</v>
      </c>
      <c r="BF33" s="497" t="e">
        <f>IF(U33/H33&lt;tabellen!$E$7,0,(U33-tabellen!$E$7*H33)/12*tabellen!$D$7)</f>
        <v>#DIV/0!</v>
      </c>
      <c r="BG33" s="497" t="e">
        <f>IF(U33/H33&lt;tabellen!$E$8,0,(U33-tabellen!$E$8*H33)/12*tabellen!$D$8)</f>
        <v>#DIV/0!</v>
      </c>
      <c r="BH33" s="498" t="e">
        <f t="shared" si="6"/>
        <v>#DIV/0!</v>
      </c>
      <c r="BI33" s="499" t="e">
        <v>#DIV/0!</v>
      </c>
      <c r="BJ33" s="499" t="e">
        <f>ROUND(IF(BI33&gt;tabellen!$H$12,tabellen!$H$12,BI33)*tabellen!$C$12,2)</f>
        <v>#DIV/0!</v>
      </c>
      <c r="BK33" s="499" t="e">
        <f>+'wgl tot'!BI33+'wgl tot'!BJ33</f>
        <v>#DIV/0!</v>
      </c>
      <c r="BL33" s="500">
        <f>YEAR(E33)</f>
        <v>1900</v>
      </c>
      <c r="BM33" s="500">
        <f>MONTH(E33)</f>
        <v>1</v>
      </c>
      <c r="BN33" s="494">
        <f>DAY(E33)</f>
        <v>0</v>
      </c>
      <c r="BO33" s="469">
        <f t="shared" si="7"/>
        <v>22462</v>
      </c>
      <c r="BP33" s="469">
        <f t="shared" ca="1" si="8"/>
        <v>44413.920839467595</v>
      </c>
      <c r="BQ33" s="444"/>
      <c r="BR33" s="469"/>
      <c r="BS33" s="444"/>
      <c r="BT33" s="501"/>
      <c r="BU33" s="501"/>
      <c r="BV33" s="501"/>
      <c r="BW33" s="501"/>
      <c r="BX33" s="501"/>
      <c r="BY33" s="501"/>
      <c r="BZ33" s="434"/>
      <c r="CA33" s="434"/>
    </row>
    <row r="34" spans="1:79" s="446" customFormat="1" ht="12" customHeight="1" x14ac:dyDescent="0.2">
      <c r="A34" s="434"/>
      <c r="B34" s="435"/>
      <c r="C34" s="473"/>
      <c r="D34" s="482"/>
      <c r="E34" s="483"/>
      <c r="F34" s="484"/>
      <c r="G34" s="484"/>
      <c r="H34" s="485"/>
      <c r="I34" s="524"/>
      <c r="J34" s="484"/>
      <c r="K34" s="486"/>
      <c r="L34" s="486"/>
      <c r="M34" s="487">
        <f>IF(F34="",0,(VLOOKUP('wgl tot'!F34,saltab2020aug,G34+1,FALSE)))</f>
        <v>0</v>
      </c>
      <c r="N34" s="488">
        <f t="shared" si="0"/>
        <v>0</v>
      </c>
      <c r="O34" s="473"/>
      <c r="P34" s="487">
        <f>ROUND(IF((M34+Q34)*BC34&lt;H34*tabellen!$D$31,H34*tabellen!$D$31,(M34+R34)*BC34),2)</f>
        <v>0</v>
      </c>
      <c r="Q34" s="487">
        <f>ROUND(+(M34+R34)*BD34,2)</f>
        <v>0</v>
      </c>
      <c r="R34" s="487">
        <f>ROUND(IF(J34="j",VLOOKUP(BA34,uitlooptoeslag,2,FALSE))*IF(H34&gt;1,1,H34),2)</f>
        <v>0</v>
      </c>
      <c r="S34" s="487">
        <f>VLOOKUP(BE34,eindejaarsuitkering_OOP,2,TRUE)*H34/12</f>
        <v>0</v>
      </c>
      <c r="T34" s="487">
        <f t="shared" si="9"/>
        <v>0</v>
      </c>
      <c r="U34" s="489">
        <f t="shared" si="2"/>
        <v>0</v>
      </c>
      <c r="V34" s="488">
        <f>ROUND((SUM(N34:T34)*12),0)</f>
        <v>0</v>
      </c>
      <c r="W34" s="473"/>
      <c r="X34" s="489">
        <f t="shared" si="3"/>
        <v>0</v>
      </c>
      <c r="Y34" s="490">
        <v>0</v>
      </c>
      <c r="Z34" s="473"/>
      <c r="AA34" s="487">
        <f>IF(F34="",0,(IF(U34/H34&lt;tabellen!$E$7,0,(U34-tabellen!$E$7*H34)/12)*tabellen!$C$7))</f>
        <v>0</v>
      </c>
      <c r="AB34" s="487">
        <f>IF(F34="",0,(IF(U34/H34&lt;tabellen!$E$8,0,(U34-tabellen!$E$8*H34)/12)*tabellen!$C$8))</f>
        <v>0</v>
      </c>
      <c r="AC34" s="487">
        <f>U34/12*tabellen!$C$9</f>
        <v>0</v>
      </c>
      <c r="AD34" s="487">
        <f>IF(H34=0,0,IF(BI34&gt;tabellen!$G$10/12,$G$10/12,BI34)*(tabellen!$C$10+tabellen!$C$11))</f>
        <v>0</v>
      </c>
      <c r="AE34" s="487">
        <f>IF(F34="",0,BJ34)</f>
        <v>0</v>
      </c>
      <c r="AF34" s="491">
        <f>IF(F34="",0,(IF(BI34&gt;tabellen!$G$13*H34/12,tabellen!$G$13*H34/12,BI34*tabellen!$C$13)))</f>
        <v>0</v>
      </c>
      <c r="AG34" s="473"/>
      <c r="AH34" s="491">
        <f>IF(F34="",0,IF(K34="j",tabellen!$C$14*BI34,0))</f>
        <v>0</v>
      </c>
      <c r="AI34" s="491">
        <f>IF(F34="",0,IF(L34="j",tabellen!$C$15*BI34,0))</f>
        <v>0</v>
      </c>
      <c r="AJ34" s="492">
        <v>0</v>
      </c>
      <c r="AK34" s="473"/>
      <c r="AL34" s="492">
        <v>0</v>
      </c>
      <c r="AM34" s="473"/>
      <c r="AN34" s="488">
        <f t="shared" si="4"/>
        <v>0</v>
      </c>
      <c r="AO34" s="488">
        <f t="shared" si="5"/>
        <v>0</v>
      </c>
      <c r="AP34" s="473"/>
      <c r="AQ34" s="493" t="str">
        <f>IF(AN34=0,"",(AN34/N34-1))</f>
        <v/>
      </c>
      <c r="AR34" s="493" t="str">
        <f t="shared" si="1"/>
        <v/>
      </c>
      <c r="AS34" s="473"/>
      <c r="AT34" s="443"/>
      <c r="AU34" s="434"/>
      <c r="AV34" s="434"/>
      <c r="AW34" s="494">
        <f ca="1">YEAR($AW$9)-YEAR(E34)</f>
        <v>121</v>
      </c>
      <c r="AX34" s="494">
        <f ca="1">MONTH($AW$9)-MONTH(E34)</f>
        <v>7</v>
      </c>
      <c r="AY34" s="494">
        <f ca="1">DAY($AW$9)-DAY(E34)</f>
        <v>5</v>
      </c>
      <c r="AZ34" s="444">
        <f>IF(AND(F34&gt;0,F34&lt;18),0,100)</f>
        <v>100</v>
      </c>
      <c r="BA34" s="444">
        <f>F34</f>
        <v>0</v>
      </c>
      <c r="BB34" s="469">
        <v>42583</v>
      </c>
      <c r="BC34" s="495">
        <f t="shared" si="10"/>
        <v>0.08</v>
      </c>
      <c r="BD34" s="496">
        <f>tabellen!$D$33</f>
        <v>0.08</v>
      </c>
      <c r="BE34" s="494">
        <f>IF(AZ34=100,0,F34)</f>
        <v>0</v>
      </c>
      <c r="BF34" s="497" t="e">
        <f>IF(U34/H34&lt;tabellen!$E$7,0,(U34-tabellen!$E$7*H34)/12*tabellen!$D$7)</f>
        <v>#DIV/0!</v>
      </c>
      <c r="BG34" s="497" t="e">
        <f>IF(U34/H34&lt;tabellen!$E$8,0,(U34-tabellen!$E$8*H34)/12*tabellen!$D$8)</f>
        <v>#DIV/0!</v>
      </c>
      <c r="BH34" s="498" t="e">
        <f t="shared" si="6"/>
        <v>#DIV/0!</v>
      </c>
      <c r="BI34" s="499" t="e">
        <v>#DIV/0!</v>
      </c>
      <c r="BJ34" s="499" t="e">
        <f>ROUND(IF(BI34&gt;tabellen!$H$12,tabellen!$H$12,BI34)*tabellen!$C$12,2)</f>
        <v>#DIV/0!</v>
      </c>
      <c r="BK34" s="499" t="e">
        <f>+'wgl tot'!BI34+'wgl tot'!BJ34</f>
        <v>#DIV/0!</v>
      </c>
      <c r="BL34" s="500">
        <f>YEAR(E34)</f>
        <v>1900</v>
      </c>
      <c r="BM34" s="500">
        <f>MONTH(E34)</f>
        <v>1</v>
      </c>
      <c r="BN34" s="494">
        <f>DAY(E34)</f>
        <v>0</v>
      </c>
      <c r="BO34" s="469">
        <f t="shared" si="7"/>
        <v>22462</v>
      </c>
      <c r="BP34" s="469">
        <f t="shared" ca="1" si="8"/>
        <v>44413.920839467595</v>
      </c>
      <c r="BQ34" s="444"/>
      <c r="BR34" s="469"/>
      <c r="BS34" s="444"/>
      <c r="BT34" s="501"/>
      <c r="BU34" s="501"/>
      <c r="BV34" s="501"/>
      <c r="BW34" s="501"/>
      <c r="BX34" s="501"/>
      <c r="BY34" s="501"/>
      <c r="BZ34" s="434"/>
      <c r="CA34" s="434"/>
    </row>
    <row r="35" spans="1:79" s="446" customFormat="1" ht="12" customHeight="1" x14ac:dyDescent="0.2">
      <c r="A35" s="434"/>
      <c r="B35" s="435"/>
      <c r="C35" s="473"/>
      <c r="D35" s="482"/>
      <c r="E35" s="483"/>
      <c r="F35" s="484"/>
      <c r="G35" s="484"/>
      <c r="H35" s="485"/>
      <c r="I35" s="524"/>
      <c r="J35" s="484"/>
      <c r="K35" s="486"/>
      <c r="L35" s="486"/>
      <c r="M35" s="487">
        <f>IF(F35="",0,(VLOOKUP('wgl tot'!F35,saltab2020aug,G35+1,FALSE)))</f>
        <v>0</v>
      </c>
      <c r="N35" s="488">
        <f t="shared" si="0"/>
        <v>0</v>
      </c>
      <c r="O35" s="473"/>
      <c r="P35" s="487">
        <f>ROUND(IF((M35+Q35)*BC35&lt;H35*tabellen!$D$31,H35*tabellen!$D$31,(M35+R35)*BC35),2)</f>
        <v>0</v>
      </c>
      <c r="Q35" s="487">
        <f>ROUND(+(M35+R35)*BD35,2)</f>
        <v>0</v>
      </c>
      <c r="R35" s="487">
        <f>ROUND(IF(J35="j",VLOOKUP(BA35,uitlooptoeslag,2,FALSE))*IF(H35&gt;1,1,H35),2)</f>
        <v>0</v>
      </c>
      <c r="S35" s="487">
        <f>VLOOKUP(BE35,eindejaarsuitkering_OOP,2,TRUE)*H35/12</f>
        <v>0</v>
      </c>
      <c r="T35" s="487">
        <f t="shared" si="9"/>
        <v>0</v>
      </c>
      <c r="U35" s="489">
        <f t="shared" si="2"/>
        <v>0</v>
      </c>
      <c r="V35" s="488">
        <f>ROUND((SUM(N35:T35)*12),0)</f>
        <v>0</v>
      </c>
      <c r="W35" s="473"/>
      <c r="X35" s="489">
        <f t="shared" si="3"/>
        <v>0</v>
      </c>
      <c r="Y35" s="490">
        <v>0</v>
      </c>
      <c r="Z35" s="473"/>
      <c r="AA35" s="487">
        <f>IF(F35="",0,(IF(U35/H35&lt;tabellen!$E$7,0,(U35-tabellen!$E$7*H35)/12)*tabellen!$C$7))</f>
        <v>0</v>
      </c>
      <c r="AB35" s="487">
        <f>IF(F35="",0,(IF(U35/H35&lt;tabellen!$E$8,0,(U35-tabellen!$E$8*H35)/12)*tabellen!$C$8))</f>
        <v>0</v>
      </c>
      <c r="AC35" s="487">
        <f>U35/12*tabellen!$C$9</f>
        <v>0</v>
      </c>
      <c r="AD35" s="487">
        <f>IF(H35=0,0,IF(BI35&gt;tabellen!$G$10/12,$G$10/12,BI35)*(tabellen!$C$10+tabellen!$C$11))</f>
        <v>0</v>
      </c>
      <c r="AE35" s="487">
        <f>IF(F35="",0,BJ35)</f>
        <v>0</v>
      </c>
      <c r="AF35" s="491">
        <f>IF(F35="",0,(IF(BI35&gt;tabellen!$G$13*H35/12,tabellen!$G$13*H35/12,BI35*tabellen!$C$13)))</f>
        <v>0</v>
      </c>
      <c r="AG35" s="473"/>
      <c r="AH35" s="491">
        <f>IF(F35="",0,IF(K35="j",tabellen!$C$14*BI35,0))</f>
        <v>0</v>
      </c>
      <c r="AI35" s="491">
        <f>IF(F35="",0,IF(L35="j",tabellen!$C$15*BI35,0))</f>
        <v>0</v>
      </c>
      <c r="AJ35" s="492">
        <v>0</v>
      </c>
      <c r="AK35" s="473"/>
      <c r="AL35" s="492">
        <v>0</v>
      </c>
      <c r="AM35" s="473"/>
      <c r="AN35" s="488">
        <f t="shared" si="4"/>
        <v>0</v>
      </c>
      <c r="AO35" s="488">
        <f t="shared" si="5"/>
        <v>0</v>
      </c>
      <c r="AP35" s="473"/>
      <c r="AQ35" s="493" t="str">
        <f>IF(AN35=0,"",(AN35/N35-1))</f>
        <v/>
      </c>
      <c r="AR35" s="493" t="str">
        <f t="shared" si="1"/>
        <v/>
      </c>
      <c r="AS35" s="473"/>
      <c r="AT35" s="443"/>
      <c r="AU35" s="434"/>
      <c r="AV35" s="434"/>
      <c r="AW35" s="494">
        <f ca="1">YEAR($AW$9)-YEAR(E35)</f>
        <v>121</v>
      </c>
      <c r="AX35" s="494">
        <f ca="1">MONTH($AW$9)-MONTH(E35)</f>
        <v>7</v>
      </c>
      <c r="AY35" s="494">
        <f ca="1">DAY($AW$9)-DAY(E35)</f>
        <v>5</v>
      </c>
      <c r="AZ35" s="444">
        <f>IF(AND(F35&gt;0,F35&lt;18),0,100)</f>
        <v>100</v>
      </c>
      <c r="BA35" s="444">
        <f>F35</f>
        <v>0</v>
      </c>
      <c r="BB35" s="469">
        <v>42583</v>
      </c>
      <c r="BC35" s="495">
        <f t="shared" si="10"/>
        <v>0.08</v>
      </c>
      <c r="BD35" s="496">
        <f>tabellen!$D$33</f>
        <v>0.08</v>
      </c>
      <c r="BE35" s="494">
        <f>IF(AZ35=100,0,F35)</f>
        <v>0</v>
      </c>
      <c r="BF35" s="497" t="e">
        <f>IF(U35/H35&lt;tabellen!$E$7,0,(U35-tabellen!$E$7*H35)/12*tabellen!$D$7)</f>
        <v>#DIV/0!</v>
      </c>
      <c r="BG35" s="497" t="e">
        <f>IF(U35/H35&lt;tabellen!$E$8,0,(U35-tabellen!$E$8*H35)/12*tabellen!$D$8)</f>
        <v>#DIV/0!</v>
      </c>
      <c r="BH35" s="498" t="e">
        <f t="shared" si="6"/>
        <v>#DIV/0!</v>
      </c>
      <c r="BI35" s="499" t="e">
        <v>#DIV/0!</v>
      </c>
      <c r="BJ35" s="499" t="e">
        <f>ROUND(IF(BI35&gt;tabellen!$H$12,tabellen!$H$12,BI35)*tabellen!$C$12,2)</f>
        <v>#DIV/0!</v>
      </c>
      <c r="BK35" s="499" t="e">
        <f>+'wgl tot'!BI35+'wgl tot'!BJ35</f>
        <v>#DIV/0!</v>
      </c>
      <c r="BL35" s="500">
        <f>YEAR(E35)</f>
        <v>1900</v>
      </c>
      <c r="BM35" s="500">
        <f>MONTH(E35)</f>
        <v>1</v>
      </c>
      <c r="BN35" s="494">
        <f>DAY(E35)</f>
        <v>0</v>
      </c>
      <c r="BO35" s="469">
        <f t="shared" si="7"/>
        <v>22462</v>
      </c>
      <c r="BP35" s="469">
        <f t="shared" ca="1" si="8"/>
        <v>44413.920839467595</v>
      </c>
      <c r="BQ35" s="444"/>
      <c r="BR35" s="469"/>
      <c r="BS35" s="444"/>
      <c r="BT35" s="501"/>
      <c r="BU35" s="501"/>
      <c r="BV35" s="501"/>
      <c r="BW35" s="501"/>
      <c r="BX35" s="501"/>
      <c r="BY35" s="501"/>
      <c r="BZ35" s="434"/>
      <c r="CA35" s="434"/>
    </row>
    <row r="36" spans="1:79" s="446" customFormat="1" ht="12" customHeight="1" x14ac:dyDescent="0.2">
      <c r="A36" s="434"/>
      <c r="B36" s="435"/>
      <c r="C36" s="473"/>
      <c r="D36" s="482"/>
      <c r="E36" s="483"/>
      <c r="F36" s="484"/>
      <c r="G36" s="484"/>
      <c r="H36" s="485"/>
      <c r="I36" s="524"/>
      <c r="J36" s="484"/>
      <c r="K36" s="486"/>
      <c r="L36" s="486"/>
      <c r="M36" s="487">
        <f>IF(F36="",0,(VLOOKUP('wgl tot'!F36,saltab2020aug,G36+1,FALSE)))</f>
        <v>0</v>
      </c>
      <c r="N36" s="488">
        <f t="shared" si="0"/>
        <v>0</v>
      </c>
      <c r="O36" s="473"/>
      <c r="P36" s="487">
        <f>ROUND(IF((M36+Q36)*BC36&lt;H36*tabellen!$D$31,H36*tabellen!$D$31,(M36+R36)*BC36),2)</f>
        <v>0</v>
      </c>
      <c r="Q36" s="487">
        <f>ROUND(+(M36+R36)*BD36,2)</f>
        <v>0</v>
      </c>
      <c r="R36" s="487">
        <f>ROUND(IF(J36="j",VLOOKUP(BA36,uitlooptoeslag,2,FALSE))*IF(H36&gt;1,1,H36),2)</f>
        <v>0</v>
      </c>
      <c r="S36" s="487">
        <f>VLOOKUP(BE36,eindejaarsuitkering_OOP,2,TRUE)*H36/12</f>
        <v>0</v>
      </c>
      <c r="T36" s="487">
        <f t="shared" si="9"/>
        <v>0</v>
      </c>
      <c r="U36" s="489">
        <f t="shared" si="2"/>
        <v>0</v>
      </c>
      <c r="V36" s="488">
        <f>ROUND((SUM(N36:T36)*12),0)</f>
        <v>0</v>
      </c>
      <c r="W36" s="473"/>
      <c r="X36" s="489">
        <f t="shared" si="3"/>
        <v>0</v>
      </c>
      <c r="Y36" s="490">
        <v>0</v>
      </c>
      <c r="Z36" s="473"/>
      <c r="AA36" s="487">
        <f>IF(F36="",0,(IF(U36/H36&lt;tabellen!$E$7,0,(U36-tabellen!$E$7*H36)/12)*tabellen!$C$7))</f>
        <v>0</v>
      </c>
      <c r="AB36" s="487">
        <f>IF(F36="",0,(IF(U36/H36&lt;tabellen!$E$8,0,(U36-tabellen!$E$8*H36)/12)*tabellen!$C$8))</f>
        <v>0</v>
      </c>
      <c r="AC36" s="487">
        <f>U36/12*tabellen!$C$9</f>
        <v>0</v>
      </c>
      <c r="AD36" s="487">
        <f>IF(H36=0,0,IF(BI36&gt;tabellen!$G$10/12,$G$10/12,BI36)*(tabellen!$C$10+tabellen!$C$11))</f>
        <v>0</v>
      </c>
      <c r="AE36" s="487">
        <f>IF(F36="",0,BJ36)</f>
        <v>0</v>
      </c>
      <c r="AF36" s="491">
        <f>IF(F36="",0,(IF(BI36&gt;tabellen!$G$13*H36/12,tabellen!$G$13*H36/12,BI36*tabellen!$C$13)))</f>
        <v>0</v>
      </c>
      <c r="AG36" s="473"/>
      <c r="AH36" s="491">
        <f>IF(F36="",0,IF(K36="j",tabellen!$C$14*BI36,0))</f>
        <v>0</v>
      </c>
      <c r="AI36" s="491">
        <f>IF(F36="",0,IF(L36="j",tabellen!$C$15*BI36,0))</f>
        <v>0</v>
      </c>
      <c r="AJ36" s="492">
        <v>0</v>
      </c>
      <c r="AK36" s="473"/>
      <c r="AL36" s="492">
        <v>0</v>
      </c>
      <c r="AM36" s="473"/>
      <c r="AN36" s="488">
        <f t="shared" si="4"/>
        <v>0</v>
      </c>
      <c r="AO36" s="488">
        <f t="shared" si="5"/>
        <v>0</v>
      </c>
      <c r="AP36" s="473"/>
      <c r="AQ36" s="493" t="str">
        <f>IF(AN36=0,"",(AN36/N36-1))</f>
        <v/>
      </c>
      <c r="AR36" s="493" t="str">
        <f t="shared" si="1"/>
        <v/>
      </c>
      <c r="AS36" s="473"/>
      <c r="AT36" s="443"/>
      <c r="AU36" s="434"/>
      <c r="AV36" s="434"/>
      <c r="AW36" s="494">
        <f ca="1">YEAR($AW$9)-YEAR(E36)</f>
        <v>121</v>
      </c>
      <c r="AX36" s="494">
        <f ca="1">MONTH($AW$9)-MONTH(E36)</f>
        <v>7</v>
      </c>
      <c r="AY36" s="494">
        <f ca="1">DAY($AW$9)-DAY(E36)</f>
        <v>5</v>
      </c>
      <c r="AZ36" s="444">
        <f>IF(AND(F36&gt;0,F36&lt;18),0,100)</f>
        <v>100</v>
      </c>
      <c r="BA36" s="444">
        <f>F36</f>
        <v>0</v>
      </c>
      <c r="BB36" s="469">
        <v>42583</v>
      </c>
      <c r="BC36" s="495">
        <f t="shared" si="10"/>
        <v>0.08</v>
      </c>
      <c r="BD36" s="496">
        <f>tabellen!$D$33</f>
        <v>0.08</v>
      </c>
      <c r="BE36" s="494">
        <f>IF(AZ36=100,0,F36)</f>
        <v>0</v>
      </c>
      <c r="BF36" s="497" t="e">
        <f>IF(U36/H36&lt;tabellen!$E$7,0,(U36-tabellen!$E$7*H36)/12*tabellen!$D$7)</f>
        <v>#DIV/0!</v>
      </c>
      <c r="BG36" s="497" t="e">
        <f>IF(U36/H36&lt;tabellen!$E$8,0,(U36-tabellen!$E$8*H36)/12*tabellen!$D$8)</f>
        <v>#DIV/0!</v>
      </c>
      <c r="BH36" s="498" t="e">
        <f t="shared" si="6"/>
        <v>#DIV/0!</v>
      </c>
      <c r="BI36" s="499" t="e">
        <v>#DIV/0!</v>
      </c>
      <c r="BJ36" s="499" t="e">
        <f>ROUND(IF(BI36&gt;tabellen!$H$12,tabellen!$H$12,BI36)*tabellen!$C$12,2)</f>
        <v>#DIV/0!</v>
      </c>
      <c r="BK36" s="499" t="e">
        <f>+'wgl tot'!BI36+'wgl tot'!BJ36</f>
        <v>#DIV/0!</v>
      </c>
      <c r="BL36" s="500">
        <f>YEAR(E36)</f>
        <v>1900</v>
      </c>
      <c r="BM36" s="500">
        <f>MONTH(E36)</f>
        <v>1</v>
      </c>
      <c r="BN36" s="494">
        <f>DAY(E36)</f>
        <v>0</v>
      </c>
      <c r="BO36" s="469">
        <f t="shared" si="7"/>
        <v>22462</v>
      </c>
      <c r="BP36" s="469">
        <f t="shared" ca="1" si="8"/>
        <v>44413.920839467595</v>
      </c>
      <c r="BQ36" s="444"/>
      <c r="BR36" s="469"/>
      <c r="BS36" s="444"/>
      <c r="BT36" s="501"/>
      <c r="BU36" s="501"/>
      <c r="BV36" s="501"/>
      <c r="BW36" s="501"/>
      <c r="BX36" s="501"/>
      <c r="BY36" s="501"/>
      <c r="BZ36" s="434"/>
      <c r="CA36" s="434"/>
    </row>
    <row r="37" spans="1:79" s="446" customFormat="1" ht="12" customHeight="1" x14ac:dyDescent="0.2">
      <c r="A37" s="434"/>
      <c r="B37" s="435"/>
      <c r="C37" s="473"/>
      <c r="D37" s="482"/>
      <c r="E37" s="483"/>
      <c r="F37" s="484"/>
      <c r="G37" s="484"/>
      <c r="H37" s="485"/>
      <c r="I37" s="524"/>
      <c r="J37" s="484"/>
      <c r="K37" s="486"/>
      <c r="L37" s="486"/>
      <c r="M37" s="487">
        <f>IF(F37="",0,(VLOOKUP('wgl tot'!F37,saltab2020aug,G37+1,FALSE)))</f>
        <v>0</v>
      </c>
      <c r="N37" s="488">
        <f t="shared" si="0"/>
        <v>0</v>
      </c>
      <c r="O37" s="473"/>
      <c r="P37" s="487">
        <f>ROUND(IF((M37+Q37)*BC37&lt;H37*tabellen!$D$31,H37*tabellen!$D$31,(M37+R37)*BC37),2)</f>
        <v>0</v>
      </c>
      <c r="Q37" s="487">
        <f>ROUND(+(M37+R37)*BD37,2)</f>
        <v>0</v>
      </c>
      <c r="R37" s="487">
        <f>ROUND(IF(J37="j",VLOOKUP(BA37,uitlooptoeslag,2,FALSE))*IF(H37&gt;1,1,H37),2)</f>
        <v>0</v>
      </c>
      <c r="S37" s="487">
        <f>VLOOKUP(BE37,eindejaarsuitkering_OOP,2,TRUE)*H37/12</f>
        <v>0</v>
      </c>
      <c r="T37" s="487">
        <f t="shared" si="9"/>
        <v>0</v>
      </c>
      <c r="U37" s="489">
        <f t="shared" si="2"/>
        <v>0</v>
      </c>
      <c r="V37" s="488">
        <f>ROUND((SUM(N37:T37)*12),0)</f>
        <v>0</v>
      </c>
      <c r="W37" s="473"/>
      <c r="X37" s="489">
        <f t="shared" si="3"/>
        <v>0</v>
      </c>
      <c r="Y37" s="490">
        <v>0</v>
      </c>
      <c r="Z37" s="473"/>
      <c r="AA37" s="487">
        <f>IF(F37="",0,(IF(U37/H37&lt;tabellen!$E$7,0,(U37-tabellen!$E$7*H37)/12)*tabellen!$C$7))</f>
        <v>0</v>
      </c>
      <c r="AB37" s="487">
        <f>IF(F37="",0,(IF(U37/H37&lt;tabellen!$E$8,0,(U37-tabellen!$E$8*H37)/12)*tabellen!$C$8))</f>
        <v>0</v>
      </c>
      <c r="AC37" s="487">
        <f>U37/12*tabellen!$C$9</f>
        <v>0</v>
      </c>
      <c r="AD37" s="487">
        <f>IF(H37=0,0,IF(BI37&gt;tabellen!$G$10/12,$G$10/12,BI37)*(tabellen!$C$10+tabellen!$C$11))</f>
        <v>0</v>
      </c>
      <c r="AE37" s="487">
        <f>IF(F37="",0,BJ37)</f>
        <v>0</v>
      </c>
      <c r="AF37" s="491">
        <f>IF(F37="",0,(IF(BI37&gt;tabellen!$G$13*H37/12,tabellen!$G$13*H37/12,BI37*tabellen!$C$13)))</f>
        <v>0</v>
      </c>
      <c r="AG37" s="473"/>
      <c r="AH37" s="491">
        <f>IF(F37="",0,IF(K37="j",tabellen!$C$14*BI37,0))</f>
        <v>0</v>
      </c>
      <c r="AI37" s="491">
        <f>IF(F37="",0,IF(L37="j",tabellen!$C$15*BI37,0))</f>
        <v>0</v>
      </c>
      <c r="AJ37" s="492">
        <v>0</v>
      </c>
      <c r="AK37" s="473"/>
      <c r="AL37" s="492">
        <v>0</v>
      </c>
      <c r="AM37" s="473"/>
      <c r="AN37" s="488">
        <f t="shared" si="4"/>
        <v>0</v>
      </c>
      <c r="AO37" s="488">
        <f t="shared" si="5"/>
        <v>0</v>
      </c>
      <c r="AP37" s="473"/>
      <c r="AQ37" s="493" t="str">
        <f>IF(AN37=0,"",(AN37/N37-1))</f>
        <v/>
      </c>
      <c r="AR37" s="493" t="str">
        <f t="shared" si="1"/>
        <v/>
      </c>
      <c r="AS37" s="473"/>
      <c r="AT37" s="443"/>
      <c r="AU37" s="434"/>
      <c r="AV37" s="434"/>
      <c r="AW37" s="494">
        <f ca="1">YEAR($AW$9)-YEAR(E37)</f>
        <v>121</v>
      </c>
      <c r="AX37" s="494">
        <f ca="1">MONTH($AW$9)-MONTH(E37)</f>
        <v>7</v>
      </c>
      <c r="AY37" s="494">
        <f ca="1">DAY($AW$9)-DAY(E37)</f>
        <v>5</v>
      </c>
      <c r="AZ37" s="444">
        <f>IF(AND(F37&gt;0,F37&lt;18),0,100)</f>
        <v>100</v>
      </c>
      <c r="BA37" s="444">
        <f>F37</f>
        <v>0</v>
      </c>
      <c r="BB37" s="469">
        <v>42583</v>
      </c>
      <c r="BC37" s="495">
        <f t="shared" si="10"/>
        <v>0.08</v>
      </c>
      <c r="BD37" s="496">
        <f>tabellen!$D$33</f>
        <v>0.08</v>
      </c>
      <c r="BE37" s="494">
        <f>IF(AZ37=100,0,F37)</f>
        <v>0</v>
      </c>
      <c r="BF37" s="497" t="e">
        <f>IF(U37/H37&lt;tabellen!$E$7,0,(U37-tabellen!$E$7*H37)/12*tabellen!$D$7)</f>
        <v>#DIV/0!</v>
      </c>
      <c r="BG37" s="497" t="e">
        <f>IF(U37/H37&lt;tabellen!$E$8,0,(U37-tabellen!$E$8*H37)/12*tabellen!$D$8)</f>
        <v>#DIV/0!</v>
      </c>
      <c r="BH37" s="498" t="e">
        <f t="shared" si="6"/>
        <v>#DIV/0!</v>
      </c>
      <c r="BI37" s="499" t="e">
        <v>#DIV/0!</v>
      </c>
      <c r="BJ37" s="499" t="e">
        <f>ROUND(IF(BI37&gt;tabellen!$H$12,tabellen!$H$12,BI37)*tabellen!$C$12,2)</f>
        <v>#DIV/0!</v>
      </c>
      <c r="BK37" s="499" t="e">
        <f>+'wgl tot'!BI37+'wgl tot'!BJ37</f>
        <v>#DIV/0!</v>
      </c>
      <c r="BL37" s="500">
        <f>YEAR(E37)</f>
        <v>1900</v>
      </c>
      <c r="BM37" s="500">
        <f>MONTH(E37)</f>
        <v>1</v>
      </c>
      <c r="BN37" s="494">
        <f>DAY(E37)</f>
        <v>0</v>
      </c>
      <c r="BO37" s="469">
        <f t="shared" si="7"/>
        <v>22462</v>
      </c>
      <c r="BP37" s="469">
        <f t="shared" ca="1" si="8"/>
        <v>44413.920839467595</v>
      </c>
      <c r="BQ37" s="444"/>
      <c r="BR37" s="469"/>
      <c r="BS37" s="444"/>
      <c r="BT37" s="501"/>
      <c r="BU37" s="501"/>
      <c r="BV37" s="501"/>
      <c r="BW37" s="501"/>
      <c r="BX37" s="501"/>
      <c r="BY37" s="501"/>
      <c r="BZ37" s="434"/>
      <c r="CA37" s="434"/>
    </row>
    <row r="38" spans="1:79" s="446" customFormat="1" ht="12" customHeight="1" x14ac:dyDescent="0.2">
      <c r="A38" s="434"/>
      <c r="B38" s="435"/>
      <c r="C38" s="473"/>
      <c r="D38" s="482"/>
      <c r="E38" s="483"/>
      <c r="F38" s="484"/>
      <c r="G38" s="484"/>
      <c r="H38" s="485"/>
      <c r="I38" s="524"/>
      <c r="J38" s="484"/>
      <c r="K38" s="486"/>
      <c r="L38" s="486"/>
      <c r="M38" s="487">
        <f>IF(F38="",0,(VLOOKUP('wgl tot'!F38,saltab2020aug,G38+1,FALSE)))</f>
        <v>0</v>
      </c>
      <c r="N38" s="488">
        <f t="shared" si="0"/>
        <v>0</v>
      </c>
      <c r="O38" s="473"/>
      <c r="P38" s="487">
        <f>ROUND(IF((M38+Q38)*BC38&lt;H38*tabellen!$D$31,H38*tabellen!$D$31,(M38+R38)*BC38),2)</f>
        <v>0</v>
      </c>
      <c r="Q38" s="487">
        <f>ROUND(+(M38+R38)*BD38,2)</f>
        <v>0</v>
      </c>
      <c r="R38" s="487">
        <f>ROUND(IF(J38="j",VLOOKUP(BA38,uitlooptoeslag,2,FALSE))*IF(H38&gt;1,1,H38),2)</f>
        <v>0</v>
      </c>
      <c r="S38" s="487">
        <f>VLOOKUP(BE38,eindejaarsuitkering_OOP,2,TRUE)*H38/12</f>
        <v>0</v>
      </c>
      <c r="T38" s="487">
        <f t="shared" si="9"/>
        <v>0</v>
      </c>
      <c r="U38" s="489">
        <f t="shared" si="2"/>
        <v>0</v>
      </c>
      <c r="V38" s="488">
        <f>ROUND((SUM(N38:T38)*12),0)</f>
        <v>0</v>
      </c>
      <c r="W38" s="473"/>
      <c r="X38" s="489">
        <f t="shared" si="3"/>
        <v>0</v>
      </c>
      <c r="Y38" s="490">
        <v>0</v>
      </c>
      <c r="Z38" s="473"/>
      <c r="AA38" s="487">
        <f>IF(F38="",0,(IF(U38/H38&lt;tabellen!$E$7,0,(U38-tabellen!$E$7*H38)/12)*tabellen!$C$7))</f>
        <v>0</v>
      </c>
      <c r="AB38" s="487">
        <f>IF(F38="",0,(IF(U38/H38&lt;tabellen!$E$8,0,(U38-tabellen!$E$8*H38)/12)*tabellen!$C$8))</f>
        <v>0</v>
      </c>
      <c r="AC38" s="487">
        <f>U38/12*tabellen!$C$9</f>
        <v>0</v>
      </c>
      <c r="AD38" s="487">
        <f>IF(H38=0,0,IF(BI38&gt;tabellen!$G$10/12,$G$10/12,BI38)*(tabellen!$C$10+tabellen!$C$11))</f>
        <v>0</v>
      </c>
      <c r="AE38" s="487">
        <f>IF(F38="",0,BJ38)</f>
        <v>0</v>
      </c>
      <c r="AF38" s="491">
        <f>IF(F38="",0,(IF(BI38&gt;tabellen!$G$13*H38/12,tabellen!$G$13*H38/12,BI38*tabellen!$C$13)))</f>
        <v>0</v>
      </c>
      <c r="AG38" s="473"/>
      <c r="AH38" s="491">
        <f>IF(F38="",0,IF(K38="j",tabellen!$C$14*BI38,0))</f>
        <v>0</v>
      </c>
      <c r="AI38" s="491">
        <f>IF(F38="",0,IF(L38="j",tabellen!$C$15*BI38,0))</f>
        <v>0</v>
      </c>
      <c r="AJ38" s="492">
        <v>0</v>
      </c>
      <c r="AK38" s="473"/>
      <c r="AL38" s="492">
        <v>0</v>
      </c>
      <c r="AM38" s="473"/>
      <c r="AN38" s="488">
        <f t="shared" si="4"/>
        <v>0</v>
      </c>
      <c r="AO38" s="488">
        <f t="shared" si="5"/>
        <v>0</v>
      </c>
      <c r="AP38" s="473"/>
      <c r="AQ38" s="493" t="str">
        <f>IF(AN38=0,"",(AN38/N38-1))</f>
        <v/>
      </c>
      <c r="AR38" s="493" t="str">
        <f t="shared" si="1"/>
        <v/>
      </c>
      <c r="AS38" s="473"/>
      <c r="AT38" s="443"/>
      <c r="AU38" s="434"/>
      <c r="AV38" s="434"/>
      <c r="AW38" s="494">
        <f ca="1">YEAR($AW$9)-YEAR(E38)</f>
        <v>121</v>
      </c>
      <c r="AX38" s="494">
        <f ca="1">MONTH($AW$9)-MONTH(E38)</f>
        <v>7</v>
      </c>
      <c r="AY38" s="494">
        <f ca="1">DAY($AW$9)-DAY(E38)</f>
        <v>5</v>
      </c>
      <c r="AZ38" s="444">
        <f>IF(AND(F38&gt;0,F38&lt;18),0,100)</f>
        <v>100</v>
      </c>
      <c r="BA38" s="444">
        <f>F38</f>
        <v>0</v>
      </c>
      <c r="BB38" s="469">
        <v>42583</v>
      </c>
      <c r="BC38" s="495">
        <f t="shared" si="10"/>
        <v>0.08</v>
      </c>
      <c r="BD38" s="496">
        <f>tabellen!$D$33</f>
        <v>0.08</v>
      </c>
      <c r="BE38" s="494">
        <f>IF(AZ38=100,0,F38)</f>
        <v>0</v>
      </c>
      <c r="BF38" s="497" t="e">
        <f>IF(U38/H38&lt;tabellen!$E$7,0,(U38-tabellen!$E$7*H38)/12*tabellen!$D$7)</f>
        <v>#DIV/0!</v>
      </c>
      <c r="BG38" s="497" t="e">
        <f>IF(U38/H38&lt;tabellen!$E$8,0,(U38-tabellen!$E$8*H38)/12*tabellen!$D$8)</f>
        <v>#DIV/0!</v>
      </c>
      <c r="BH38" s="498" t="e">
        <f t="shared" si="6"/>
        <v>#DIV/0!</v>
      </c>
      <c r="BI38" s="499" t="e">
        <v>#DIV/0!</v>
      </c>
      <c r="BJ38" s="499" t="e">
        <f>ROUND(IF(BI38&gt;tabellen!$H$12,tabellen!$H$12,BI38)*tabellen!$C$12,2)</f>
        <v>#DIV/0!</v>
      </c>
      <c r="BK38" s="499" t="e">
        <f>+'wgl tot'!BI38+'wgl tot'!BJ38</f>
        <v>#DIV/0!</v>
      </c>
      <c r="BL38" s="500">
        <f>YEAR(E38)</f>
        <v>1900</v>
      </c>
      <c r="BM38" s="500">
        <f>MONTH(E38)</f>
        <v>1</v>
      </c>
      <c r="BN38" s="494">
        <f>DAY(E38)</f>
        <v>0</v>
      </c>
      <c r="BO38" s="469">
        <f t="shared" si="7"/>
        <v>22462</v>
      </c>
      <c r="BP38" s="469">
        <f t="shared" ca="1" si="8"/>
        <v>44413.920839467595</v>
      </c>
      <c r="BQ38" s="444"/>
      <c r="BR38" s="469"/>
      <c r="BS38" s="444"/>
      <c r="BT38" s="501"/>
      <c r="BU38" s="501"/>
      <c r="BV38" s="501"/>
      <c r="BW38" s="501"/>
      <c r="BX38" s="501"/>
      <c r="BY38" s="501"/>
      <c r="BZ38" s="434"/>
      <c r="CA38" s="434"/>
    </row>
    <row r="39" spans="1:79" s="446" customFormat="1" ht="12" customHeight="1" x14ac:dyDescent="0.2">
      <c r="A39" s="434"/>
      <c r="B39" s="435"/>
      <c r="C39" s="473"/>
      <c r="D39" s="482"/>
      <c r="E39" s="483"/>
      <c r="F39" s="484"/>
      <c r="G39" s="484"/>
      <c r="H39" s="485"/>
      <c r="I39" s="524"/>
      <c r="J39" s="484"/>
      <c r="K39" s="486"/>
      <c r="L39" s="486"/>
      <c r="M39" s="487">
        <f>IF(F39="",0,(VLOOKUP('wgl tot'!F39,saltab2020aug,G39+1,FALSE)))</f>
        <v>0</v>
      </c>
      <c r="N39" s="488">
        <f t="shared" si="0"/>
        <v>0</v>
      </c>
      <c r="O39" s="473"/>
      <c r="P39" s="487">
        <f>ROUND(IF((M39+Q39)*BC39&lt;H39*tabellen!$D$31,H39*tabellen!$D$31,(M39+R39)*BC39),2)</f>
        <v>0</v>
      </c>
      <c r="Q39" s="487">
        <f>ROUND(+(M39+R39)*BD39,2)</f>
        <v>0</v>
      </c>
      <c r="R39" s="487">
        <f>ROUND(IF(J39="j",VLOOKUP(BA39,uitlooptoeslag,2,FALSE))*IF(H39&gt;1,1,H39),2)</f>
        <v>0</v>
      </c>
      <c r="S39" s="487">
        <f>VLOOKUP(BE39,eindejaarsuitkering_OOP,2,TRUE)*H39/12</f>
        <v>0</v>
      </c>
      <c r="T39" s="487">
        <f t="shared" si="9"/>
        <v>0</v>
      </c>
      <c r="U39" s="489">
        <f t="shared" si="2"/>
        <v>0</v>
      </c>
      <c r="V39" s="488">
        <f>ROUND((SUM(N39:T39)*12),0)</f>
        <v>0</v>
      </c>
      <c r="W39" s="473"/>
      <c r="X39" s="489">
        <f t="shared" si="3"/>
        <v>0</v>
      </c>
      <c r="Y39" s="490">
        <v>0</v>
      </c>
      <c r="Z39" s="473"/>
      <c r="AA39" s="487">
        <f>IF(F39="",0,(IF(U39/H39&lt;tabellen!$E$7,0,(U39-tabellen!$E$7*H39)/12)*tabellen!$C$7))</f>
        <v>0</v>
      </c>
      <c r="AB39" s="487">
        <f>IF(F39="",0,(IF(U39/H39&lt;tabellen!$E$8,0,(U39-tabellen!$E$8*H39)/12)*tabellen!$C$8))</f>
        <v>0</v>
      </c>
      <c r="AC39" s="487">
        <f>U39/12*tabellen!$C$9</f>
        <v>0</v>
      </c>
      <c r="AD39" s="487">
        <f>IF(H39=0,0,IF(BI39&gt;tabellen!$G$10/12,$G$10/12,BI39)*(tabellen!$C$10+tabellen!$C$11))</f>
        <v>0</v>
      </c>
      <c r="AE39" s="487">
        <f>IF(F39="",0,BJ39)</f>
        <v>0</v>
      </c>
      <c r="AF39" s="491">
        <f>IF(F39="",0,(IF(BI39&gt;tabellen!$G$13*H39/12,tabellen!$G$13*H39/12,BI39*tabellen!$C$13)))</f>
        <v>0</v>
      </c>
      <c r="AG39" s="473"/>
      <c r="AH39" s="491">
        <f>IF(F39="",0,IF(K39="j",tabellen!$C$14*BI39,0))</f>
        <v>0</v>
      </c>
      <c r="AI39" s="491">
        <f>IF(F39="",0,IF(L39="j",tabellen!$C$15*BI39,0))</f>
        <v>0</v>
      </c>
      <c r="AJ39" s="492">
        <v>0</v>
      </c>
      <c r="AK39" s="473"/>
      <c r="AL39" s="492">
        <v>0</v>
      </c>
      <c r="AM39" s="473"/>
      <c r="AN39" s="488">
        <f t="shared" si="4"/>
        <v>0</v>
      </c>
      <c r="AO39" s="488">
        <f t="shared" si="5"/>
        <v>0</v>
      </c>
      <c r="AP39" s="473"/>
      <c r="AQ39" s="493" t="str">
        <f>IF(AN39=0,"",(AN39/N39-1))</f>
        <v/>
      </c>
      <c r="AR39" s="493" t="str">
        <f t="shared" si="1"/>
        <v/>
      </c>
      <c r="AS39" s="473"/>
      <c r="AT39" s="443"/>
      <c r="AU39" s="434"/>
      <c r="AV39" s="434"/>
      <c r="AW39" s="494">
        <f ca="1">YEAR($AW$9)-YEAR(E39)</f>
        <v>121</v>
      </c>
      <c r="AX39" s="494">
        <f ca="1">MONTH($AW$9)-MONTH(E39)</f>
        <v>7</v>
      </c>
      <c r="AY39" s="494">
        <f ca="1">DAY($AW$9)-DAY(E39)</f>
        <v>5</v>
      </c>
      <c r="AZ39" s="444">
        <f>IF(AND(F39&gt;0,F39&lt;18),0,100)</f>
        <v>100</v>
      </c>
      <c r="BA39" s="444">
        <f>F39</f>
        <v>0</v>
      </c>
      <c r="BB39" s="469">
        <v>42583</v>
      </c>
      <c r="BC39" s="495">
        <f t="shared" si="10"/>
        <v>0.08</v>
      </c>
      <c r="BD39" s="496">
        <f>tabellen!$D$33</f>
        <v>0.08</v>
      </c>
      <c r="BE39" s="494">
        <f>IF(AZ39=100,0,F39)</f>
        <v>0</v>
      </c>
      <c r="BF39" s="497" t="e">
        <f>IF(U39/H39&lt;tabellen!$E$7,0,(U39-tabellen!$E$7*H39)/12*tabellen!$D$7)</f>
        <v>#DIV/0!</v>
      </c>
      <c r="BG39" s="497" t="e">
        <f>IF(U39/H39&lt;tabellen!$E$8,0,(U39-tabellen!$E$8*H39)/12*tabellen!$D$8)</f>
        <v>#DIV/0!</v>
      </c>
      <c r="BH39" s="498" t="e">
        <f t="shared" si="6"/>
        <v>#DIV/0!</v>
      </c>
      <c r="BI39" s="499" t="e">
        <v>#DIV/0!</v>
      </c>
      <c r="BJ39" s="499" t="e">
        <f>ROUND(IF(BI39&gt;tabellen!$H$12,tabellen!$H$12,BI39)*tabellen!$C$12,2)</f>
        <v>#DIV/0!</v>
      </c>
      <c r="BK39" s="499" t="e">
        <f>+'wgl tot'!BI39+'wgl tot'!BJ39</f>
        <v>#DIV/0!</v>
      </c>
      <c r="BL39" s="500">
        <f>YEAR(E39)</f>
        <v>1900</v>
      </c>
      <c r="BM39" s="500">
        <f>MONTH(E39)</f>
        <v>1</v>
      </c>
      <c r="BN39" s="494">
        <f>DAY(E39)</f>
        <v>0</v>
      </c>
      <c r="BO39" s="469">
        <f t="shared" si="7"/>
        <v>22462</v>
      </c>
      <c r="BP39" s="469">
        <f t="shared" ca="1" si="8"/>
        <v>44413.920839467595</v>
      </c>
      <c r="BQ39" s="444"/>
      <c r="BR39" s="469"/>
      <c r="BS39" s="444"/>
      <c r="BT39" s="501"/>
      <c r="BU39" s="501"/>
      <c r="BV39" s="501"/>
      <c r="BW39" s="501"/>
      <c r="BX39" s="501"/>
      <c r="BY39" s="501"/>
      <c r="BZ39" s="434"/>
      <c r="CA39" s="434"/>
    </row>
    <row r="40" spans="1:79" s="446" customFormat="1" ht="12" customHeight="1" x14ac:dyDescent="0.2">
      <c r="A40" s="434"/>
      <c r="B40" s="435"/>
      <c r="C40" s="473"/>
      <c r="D40" s="482"/>
      <c r="E40" s="483"/>
      <c r="F40" s="484"/>
      <c r="G40" s="484"/>
      <c r="H40" s="485"/>
      <c r="I40" s="524"/>
      <c r="J40" s="484"/>
      <c r="K40" s="486"/>
      <c r="L40" s="486"/>
      <c r="M40" s="487">
        <f>IF(F40="",0,(VLOOKUP('wgl tot'!F40,saltab2020aug,G40+1,FALSE)))</f>
        <v>0</v>
      </c>
      <c r="N40" s="488">
        <f t="shared" si="0"/>
        <v>0</v>
      </c>
      <c r="O40" s="473"/>
      <c r="P40" s="487">
        <f>ROUND(IF((M40+Q40)*BC40&lt;H40*tabellen!$D$31,H40*tabellen!$D$31,(M40+R40)*BC40),2)</f>
        <v>0</v>
      </c>
      <c r="Q40" s="487">
        <f>ROUND(+(M40+R40)*BD40,2)</f>
        <v>0</v>
      </c>
      <c r="R40" s="487">
        <f>ROUND(IF(J40="j",VLOOKUP(BA40,uitlooptoeslag,2,FALSE))*IF(H40&gt;1,1,H40),2)</f>
        <v>0</v>
      </c>
      <c r="S40" s="487">
        <f>VLOOKUP(BE40,eindejaarsuitkering_OOP,2,TRUE)*H40/12</f>
        <v>0</v>
      </c>
      <c r="T40" s="487">
        <f t="shared" si="9"/>
        <v>0</v>
      </c>
      <c r="U40" s="489">
        <f t="shared" si="2"/>
        <v>0</v>
      </c>
      <c r="V40" s="488">
        <f>ROUND((SUM(N40:T40)*12),0)</f>
        <v>0</v>
      </c>
      <c r="W40" s="473"/>
      <c r="X40" s="489">
        <f t="shared" si="3"/>
        <v>0</v>
      </c>
      <c r="Y40" s="490">
        <v>0</v>
      </c>
      <c r="Z40" s="473"/>
      <c r="AA40" s="487">
        <f>IF(F40="",0,(IF(U40/H40&lt;tabellen!$E$7,0,(U40-tabellen!$E$7*H40)/12)*tabellen!$C$7))</f>
        <v>0</v>
      </c>
      <c r="AB40" s="487">
        <f>IF(F40="",0,(IF(U40/H40&lt;tabellen!$E$8,0,(U40-tabellen!$E$8*H40)/12)*tabellen!$C$8))</f>
        <v>0</v>
      </c>
      <c r="AC40" s="487">
        <f>U40/12*tabellen!$C$9</f>
        <v>0</v>
      </c>
      <c r="AD40" s="487">
        <f>IF(H40=0,0,IF(BI40&gt;tabellen!$G$10/12,$G$10/12,BI40)*(tabellen!$C$10+tabellen!$C$11))</f>
        <v>0</v>
      </c>
      <c r="AE40" s="487">
        <f>IF(F40="",0,BJ40)</f>
        <v>0</v>
      </c>
      <c r="AF40" s="491">
        <f>IF(F40="",0,(IF(BI40&gt;tabellen!$G$13*H40/12,tabellen!$G$13*H40/12,BI40*tabellen!$C$13)))</f>
        <v>0</v>
      </c>
      <c r="AG40" s="473"/>
      <c r="AH40" s="491">
        <f>IF(F40="",0,IF(K40="j",tabellen!$C$14*BI40,0))</f>
        <v>0</v>
      </c>
      <c r="AI40" s="491">
        <f>IF(F40="",0,IF(L40="j",tabellen!$C$15*BI40,0))</f>
        <v>0</v>
      </c>
      <c r="AJ40" s="492">
        <v>0</v>
      </c>
      <c r="AK40" s="473"/>
      <c r="AL40" s="492">
        <v>0</v>
      </c>
      <c r="AM40" s="473"/>
      <c r="AN40" s="488">
        <f t="shared" si="4"/>
        <v>0</v>
      </c>
      <c r="AO40" s="488">
        <f t="shared" si="5"/>
        <v>0</v>
      </c>
      <c r="AP40" s="473"/>
      <c r="AQ40" s="493" t="str">
        <f>IF(AN40=0,"",(AN40/N40-1))</f>
        <v/>
      </c>
      <c r="AR40" s="493" t="str">
        <f t="shared" si="1"/>
        <v/>
      </c>
      <c r="AS40" s="473"/>
      <c r="AT40" s="443"/>
      <c r="AU40" s="434"/>
      <c r="AV40" s="434"/>
      <c r="AW40" s="494">
        <f ca="1">YEAR($AW$9)-YEAR(E40)</f>
        <v>121</v>
      </c>
      <c r="AX40" s="494">
        <f ca="1">MONTH($AW$9)-MONTH(E40)</f>
        <v>7</v>
      </c>
      <c r="AY40" s="494">
        <f ca="1">DAY($AW$9)-DAY(E40)</f>
        <v>5</v>
      </c>
      <c r="AZ40" s="444">
        <f>IF(AND(F40&gt;0,F40&lt;18),0,100)</f>
        <v>100</v>
      </c>
      <c r="BA40" s="444">
        <f>F40</f>
        <v>0</v>
      </c>
      <c r="BB40" s="469">
        <v>42583</v>
      </c>
      <c r="BC40" s="495">
        <f t="shared" si="10"/>
        <v>0.08</v>
      </c>
      <c r="BD40" s="496">
        <f>tabellen!$D$33</f>
        <v>0.08</v>
      </c>
      <c r="BE40" s="494">
        <f>IF(AZ40=100,0,F40)</f>
        <v>0</v>
      </c>
      <c r="BF40" s="497" t="e">
        <f>IF(U40/H40&lt;tabellen!$E$7,0,(U40-tabellen!$E$7*H40)/12*tabellen!$D$7)</f>
        <v>#DIV/0!</v>
      </c>
      <c r="BG40" s="497" t="e">
        <f>IF(U40/H40&lt;tabellen!$E$8,0,(U40-tabellen!$E$8*H40)/12*tabellen!$D$8)</f>
        <v>#DIV/0!</v>
      </c>
      <c r="BH40" s="498" t="e">
        <f t="shared" si="6"/>
        <v>#DIV/0!</v>
      </c>
      <c r="BI40" s="499" t="e">
        <v>#DIV/0!</v>
      </c>
      <c r="BJ40" s="499" t="e">
        <f>ROUND(IF(BI40&gt;tabellen!$H$12,tabellen!$H$12,BI40)*tabellen!$C$12,2)</f>
        <v>#DIV/0!</v>
      </c>
      <c r="BK40" s="499" t="e">
        <f>+'wgl tot'!BI40+'wgl tot'!BJ40</f>
        <v>#DIV/0!</v>
      </c>
      <c r="BL40" s="500">
        <f>YEAR(E40)</f>
        <v>1900</v>
      </c>
      <c r="BM40" s="500">
        <f>MONTH(E40)</f>
        <v>1</v>
      </c>
      <c r="BN40" s="494">
        <f>DAY(E40)</f>
        <v>0</v>
      </c>
      <c r="BO40" s="469">
        <f t="shared" si="7"/>
        <v>22462</v>
      </c>
      <c r="BP40" s="469">
        <f t="shared" ca="1" si="8"/>
        <v>44413.920839467595</v>
      </c>
      <c r="BQ40" s="444"/>
      <c r="BR40" s="469"/>
      <c r="BS40" s="444"/>
      <c r="BT40" s="501"/>
      <c r="BU40" s="501"/>
      <c r="BV40" s="501"/>
      <c r="BW40" s="501"/>
      <c r="BX40" s="501"/>
      <c r="BY40" s="501"/>
      <c r="BZ40" s="434"/>
      <c r="CA40" s="434"/>
    </row>
    <row r="41" spans="1:79" s="446" customFormat="1" ht="12" customHeight="1" x14ac:dyDescent="0.2">
      <c r="A41" s="434"/>
      <c r="B41" s="435"/>
      <c r="C41" s="473"/>
      <c r="D41" s="482"/>
      <c r="E41" s="483"/>
      <c r="F41" s="484"/>
      <c r="G41" s="484"/>
      <c r="H41" s="485"/>
      <c r="I41" s="524"/>
      <c r="J41" s="484"/>
      <c r="K41" s="486"/>
      <c r="L41" s="486"/>
      <c r="M41" s="487">
        <f>IF(F41="",0,(VLOOKUP('wgl tot'!F41,saltab2020aug,G41+1,FALSE)))</f>
        <v>0</v>
      </c>
      <c r="N41" s="488">
        <f t="shared" si="0"/>
        <v>0</v>
      </c>
      <c r="O41" s="473"/>
      <c r="P41" s="487">
        <f>ROUND(IF((M41+Q41)*BC41&lt;H41*tabellen!$D$31,H41*tabellen!$D$31,(M41+R41)*BC41),2)</f>
        <v>0</v>
      </c>
      <c r="Q41" s="487">
        <f>ROUND(+(M41+R41)*BD41,2)</f>
        <v>0</v>
      </c>
      <c r="R41" s="487">
        <f>ROUND(IF(J41="j",VLOOKUP(BA41,uitlooptoeslag,2,FALSE))*IF(H41&gt;1,1,H41),2)</f>
        <v>0</v>
      </c>
      <c r="S41" s="487">
        <f>VLOOKUP(BE41,eindejaarsuitkering_OOP,2,TRUE)*H41/12</f>
        <v>0</v>
      </c>
      <c r="T41" s="487">
        <f t="shared" si="9"/>
        <v>0</v>
      </c>
      <c r="U41" s="489">
        <f t="shared" si="2"/>
        <v>0</v>
      </c>
      <c r="V41" s="488">
        <f>ROUND((SUM(N41:T41)*12),0)</f>
        <v>0</v>
      </c>
      <c r="W41" s="473"/>
      <c r="X41" s="489">
        <f t="shared" si="3"/>
        <v>0</v>
      </c>
      <c r="Y41" s="490">
        <v>0</v>
      </c>
      <c r="Z41" s="473"/>
      <c r="AA41" s="487">
        <f>IF(F41="",0,(IF(U41/H41&lt;tabellen!$E$7,0,(U41-tabellen!$E$7*H41)/12)*tabellen!$C$7))</f>
        <v>0</v>
      </c>
      <c r="AB41" s="487">
        <f>IF(F41="",0,(IF(U41/H41&lt;tabellen!$E$8,0,(U41-tabellen!$E$8*H41)/12)*tabellen!$C$8))</f>
        <v>0</v>
      </c>
      <c r="AC41" s="487">
        <f>U41/12*tabellen!$C$9</f>
        <v>0</v>
      </c>
      <c r="AD41" s="487">
        <f>IF(H41=0,0,IF(BI41&gt;tabellen!$G$10/12,$G$10/12,BI41)*(tabellen!$C$10+tabellen!$C$11))</f>
        <v>0</v>
      </c>
      <c r="AE41" s="487">
        <f>IF(F41="",0,BJ41)</f>
        <v>0</v>
      </c>
      <c r="AF41" s="491">
        <f>IF(F41="",0,(IF(BI41&gt;tabellen!$G$13*H41/12,tabellen!$G$13*H41/12,BI41*tabellen!$C$13)))</f>
        <v>0</v>
      </c>
      <c r="AG41" s="473"/>
      <c r="AH41" s="491">
        <f>IF(F41="",0,IF(K41="j",tabellen!$C$14*BI41,0))</f>
        <v>0</v>
      </c>
      <c r="AI41" s="491">
        <f>IF(F41="",0,IF(L41="j",tabellen!$C$15*BI41,0))</f>
        <v>0</v>
      </c>
      <c r="AJ41" s="492">
        <v>0</v>
      </c>
      <c r="AK41" s="473"/>
      <c r="AL41" s="492">
        <v>0</v>
      </c>
      <c r="AM41" s="473"/>
      <c r="AN41" s="488">
        <f t="shared" si="4"/>
        <v>0</v>
      </c>
      <c r="AO41" s="488">
        <f t="shared" si="5"/>
        <v>0</v>
      </c>
      <c r="AP41" s="473"/>
      <c r="AQ41" s="493" t="str">
        <f>IF(AN41=0,"",(AN41/N41-1))</f>
        <v/>
      </c>
      <c r="AR41" s="493" t="str">
        <f t="shared" si="1"/>
        <v/>
      </c>
      <c r="AS41" s="473"/>
      <c r="AT41" s="443"/>
      <c r="AU41" s="434"/>
      <c r="AV41" s="434"/>
      <c r="AW41" s="494">
        <f ca="1">YEAR($AW$9)-YEAR(E41)</f>
        <v>121</v>
      </c>
      <c r="AX41" s="494">
        <f ca="1">MONTH($AW$9)-MONTH(E41)</f>
        <v>7</v>
      </c>
      <c r="AY41" s="494">
        <f ca="1">DAY($AW$9)-DAY(E41)</f>
        <v>5</v>
      </c>
      <c r="AZ41" s="444">
        <f>IF(AND(F41&gt;0,F41&lt;18),0,100)</f>
        <v>100</v>
      </c>
      <c r="BA41" s="444">
        <f>F41</f>
        <v>0</v>
      </c>
      <c r="BB41" s="469">
        <v>42583</v>
      </c>
      <c r="BC41" s="495">
        <f t="shared" si="10"/>
        <v>0.08</v>
      </c>
      <c r="BD41" s="496">
        <f>tabellen!$D$33</f>
        <v>0.08</v>
      </c>
      <c r="BE41" s="494">
        <f>IF(AZ41=100,0,F41)</f>
        <v>0</v>
      </c>
      <c r="BF41" s="497" t="e">
        <f>IF(U41/H41&lt;tabellen!$E$7,0,(U41-tabellen!$E$7*H41)/12*tabellen!$D$7)</f>
        <v>#DIV/0!</v>
      </c>
      <c r="BG41" s="497" t="e">
        <f>IF(U41/H41&lt;tabellen!$E$8,0,(U41-tabellen!$E$8*H41)/12*tabellen!$D$8)</f>
        <v>#DIV/0!</v>
      </c>
      <c r="BH41" s="498" t="e">
        <f t="shared" si="6"/>
        <v>#DIV/0!</v>
      </c>
      <c r="BI41" s="499" t="e">
        <v>#DIV/0!</v>
      </c>
      <c r="BJ41" s="499" t="e">
        <f>ROUND(IF(BI41&gt;tabellen!$H$12,tabellen!$H$12,BI41)*tabellen!$C$12,2)</f>
        <v>#DIV/0!</v>
      </c>
      <c r="BK41" s="499" t="e">
        <f>+'wgl tot'!BI41+'wgl tot'!BJ41</f>
        <v>#DIV/0!</v>
      </c>
      <c r="BL41" s="500">
        <f>YEAR(E41)</f>
        <v>1900</v>
      </c>
      <c r="BM41" s="500">
        <f>MONTH(E41)</f>
        <v>1</v>
      </c>
      <c r="BN41" s="494">
        <f>DAY(E41)</f>
        <v>0</v>
      </c>
      <c r="BO41" s="469">
        <f t="shared" si="7"/>
        <v>22462</v>
      </c>
      <c r="BP41" s="469">
        <f t="shared" ca="1" si="8"/>
        <v>44413.920839467595</v>
      </c>
      <c r="BQ41" s="444"/>
      <c r="BR41" s="469"/>
      <c r="BS41" s="444"/>
      <c r="BT41" s="501"/>
      <c r="BU41" s="501"/>
      <c r="BV41" s="501"/>
      <c r="BW41" s="501"/>
      <c r="BX41" s="501"/>
      <c r="BY41" s="501"/>
      <c r="BZ41" s="434"/>
      <c r="CA41" s="434"/>
    </row>
    <row r="42" spans="1:79" s="446" customFormat="1" ht="12" customHeight="1" x14ac:dyDescent="0.2">
      <c r="A42" s="434"/>
      <c r="B42" s="435"/>
      <c r="C42" s="473"/>
      <c r="D42" s="482"/>
      <c r="E42" s="483"/>
      <c r="F42" s="484"/>
      <c r="G42" s="484"/>
      <c r="H42" s="485"/>
      <c r="I42" s="524"/>
      <c r="J42" s="484"/>
      <c r="K42" s="486"/>
      <c r="L42" s="486"/>
      <c r="M42" s="487">
        <f>IF(F42="",0,(VLOOKUP('wgl tot'!F42,saltab2020aug,G42+1,FALSE)))</f>
        <v>0</v>
      </c>
      <c r="N42" s="488">
        <f t="shared" si="0"/>
        <v>0</v>
      </c>
      <c r="O42" s="473"/>
      <c r="P42" s="487">
        <f>ROUND(IF((M42+Q42)*BC42&lt;H42*tabellen!$D$31,H42*tabellen!$D$31,(M42+R42)*BC42),2)</f>
        <v>0</v>
      </c>
      <c r="Q42" s="487">
        <f>ROUND(+(M42+R42)*BD42,2)</f>
        <v>0</v>
      </c>
      <c r="R42" s="487">
        <f>ROUND(IF(J42="j",VLOOKUP(BA42,uitlooptoeslag,2,FALSE))*IF(H42&gt;1,1,H42),2)</f>
        <v>0</v>
      </c>
      <c r="S42" s="487">
        <f>VLOOKUP(BE42,eindejaarsuitkering_OOP,2,TRUE)*H42/12</f>
        <v>0</v>
      </c>
      <c r="T42" s="487">
        <f t="shared" si="9"/>
        <v>0</v>
      </c>
      <c r="U42" s="489">
        <f t="shared" si="2"/>
        <v>0</v>
      </c>
      <c r="V42" s="488">
        <f>ROUND((SUM(N42:T42)*12),0)</f>
        <v>0</v>
      </c>
      <c r="W42" s="473"/>
      <c r="X42" s="489">
        <f t="shared" si="3"/>
        <v>0</v>
      </c>
      <c r="Y42" s="490">
        <v>0</v>
      </c>
      <c r="Z42" s="473"/>
      <c r="AA42" s="487">
        <f>IF(F42="",0,(IF(U42/H42&lt;tabellen!$E$7,0,(U42-tabellen!$E$7*H42)/12)*tabellen!$C$7))</f>
        <v>0</v>
      </c>
      <c r="AB42" s="487">
        <f>IF(F42="",0,(IF(U42/H42&lt;tabellen!$E$8,0,(U42-tabellen!$E$8*H42)/12)*tabellen!$C$8))</f>
        <v>0</v>
      </c>
      <c r="AC42" s="487">
        <f>U42/12*tabellen!$C$9</f>
        <v>0</v>
      </c>
      <c r="AD42" s="487">
        <f>IF(H42=0,0,IF(BI42&gt;tabellen!$G$10/12,$G$10/12,BI42)*(tabellen!$C$10+tabellen!$C$11))</f>
        <v>0</v>
      </c>
      <c r="AE42" s="487">
        <f>IF(F42="",0,BJ42)</f>
        <v>0</v>
      </c>
      <c r="AF42" s="491">
        <f>IF(F42="",0,(IF(BI42&gt;tabellen!$G$13*H42/12,tabellen!$G$13*H42/12,BI42*tabellen!$C$13)))</f>
        <v>0</v>
      </c>
      <c r="AG42" s="473"/>
      <c r="AH42" s="491">
        <f>IF(F42="",0,IF(K42="j",tabellen!$C$14*BI42,0))</f>
        <v>0</v>
      </c>
      <c r="AI42" s="491">
        <f>IF(F42="",0,IF(L42="j",tabellen!$C$15*BI42,0))</f>
        <v>0</v>
      </c>
      <c r="AJ42" s="492">
        <v>0</v>
      </c>
      <c r="AK42" s="473"/>
      <c r="AL42" s="492">
        <v>0</v>
      </c>
      <c r="AM42" s="473"/>
      <c r="AN42" s="488">
        <f t="shared" si="4"/>
        <v>0</v>
      </c>
      <c r="AO42" s="488">
        <f t="shared" si="5"/>
        <v>0</v>
      </c>
      <c r="AP42" s="473"/>
      <c r="AQ42" s="493" t="str">
        <f>IF(AN42=0,"",(AN42/N42-1))</f>
        <v/>
      </c>
      <c r="AR42" s="493" t="str">
        <f t="shared" si="1"/>
        <v/>
      </c>
      <c r="AS42" s="473"/>
      <c r="AT42" s="443"/>
      <c r="AU42" s="434"/>
      <c r="AV42" s="434"/>
      <c r="AW42" s="494">
        <f ca="1">YEAR($AW$9)-YEAR(E42)</f>
        <v>121</v>
      </c>
      <c r="AX42" s="494">
        <f ca="1">MONTH($AW$9)-MONTH(E42)</f>
        <v>7</v>
      </c>
      <c r="AY42" s="494">
        <f ca="1">DAY($AW$9)-DAY(E42)</f>
        <v>5</v>
      </c>
      <c r="AZ42" s="444">
        <f>IF(AND(F42&gt;0,F42&lt;18),0,100)</f>
        <v>100</v>
      </c>
      <c r="BA42" s="444">
        <f>F42</f>
        <v>0</v>
      </c>
      <c r="BB42" s="469">
        <v>42583</v>
      </c>
      <c r="BC42" s="495">
        <f t="shared" si="10"/>
        <v>0.08</v>
      </c>
      <c r="BD42" s="496">
        <f>tabellen!$D$33</f>
        <v>0.08</v>
      </c>
      <c r="BE42" s="494">
        <f>IF(AZ42=100,0,F42)</f>
        <v>0</v>
      </c>
      <c r="BF42" s="497" t="e">
        <f>IF(U42/H42&lt;tabellen!$E$7,0,(U42-tabellen!$E$7*H42)/12*tabellen!$D$7)</f>
        <v>#DIV/0!</v>
      </c>
      <c r="BG42" s="497" t="e">
        <f>IF(U42/H42&lt;tabellen!$E$8,0,(U42-tabellen!$E$8*H42)/12*tabellen!$D$8)</f>
        <v>#DIV/0!</v>
      </c>
      <c r="BH42" s="498" t="e">
        <f t="shared" si="6"/>
        <v>#DIV/0!</v>
      </c>
      <c r="BI42" s="499" t="e">
        <v>#DIV/0!</v>
      </c>
      <c r="BJ42" s="499" t="e">
        <f>ROUND(IF(BI42&gt;tabellen!$H$12,tabellen!$H$12,BI42)*tabellen!$C$12,2)</f>
        <v>#DIV/0!</v>
      </c>
      <c r="BK42" s="499" t="e">
        <f>+'wgl tot'!BI42+'wgl tot'!BJ42</f>
        <v>#DIV/0!</v>
      </c>
      <c r="BL42" s="500">
        <f>YEAR(E42)</f>
        <v>1900</v>
      </c>
      <c r="BM42" s="500">
        <f>MONTH(E42)</f>
        <v>1</v>
      </c>
      <c r="BN42" s="494">
        <f>DAY(E42)</f>
        <v>0</v>
      </c>
      <c r="BO42" s="469">
        <f t="shared" si="7"/>
        <v>22462</v>
      </c>
      <c r="BP42" s="469">
        <f t="shared" ca="1" si="8"/>
        <v>44413.920839467595</v>
      </c>
      <c r="BQ42" s="444"/>
      <c r="BR42" s="469"/>
      <c r="BS42" s="444"/>
      <c r="BT42" s="501"/>
      <c r="BU42" s="501"/>
      <c r="BV42" s="501"/>
      <c r="BW42" s="501"/>
      <c r="BX42" s="501"/>
      <c r="BY42" s="501"/>
      <c r="BZ42" s="434"/>
      <c r="CA42" s="434"/>
    </row>
    <row r="43" spans="1:79" s="446" customFormat="1" ht="12" customHeight="1" x14ac:dyDescent="0.2">
      <c r="A43" s="434"/>
      <c r="B43" s="435"/>
      <c r="C43" s="473"/>
      <c r="D43" s="482"/>
      <c r="E43" s="483"/>
      <c r="F43" s="484"/>
      <c r="G43" s="484"/>
      <c r="H43" s="485"/>
      <c r="I43" s="524"/>
      <c r="J43" s="484"/>
      <c r="K43" s="486"/>
      <c r="L43" s="486"/>
      <c r="M43" s="487">
        <f>IF(F43="",0,(VLOOKUP('wgl tot'!F43,saltab2020aug,G43+1,FALSE)))</f>
        <v>0</v>
      </c>
      <c r="N43" s="488">
        <f t="shared" si="0"/>
        <v>0</v>
      </c>
      <c r="O43" s="473"/>
      <c r="P43" s="487">
        <f>ROUND(IF((M43+Q43)*BC43&lt;H43*tabellen!$D$31,H43*tabellen!$D$31,(M43+R43)*BC43),2)</f>
        <v>0</v>
      </c>
      <c r="Q43" s="487">
        <f>ROUND(+(M43+R43)*BD43,2)</f>
        <v>0</v>
      </c>
      <c r="R43" s="487">
        <f>ROUND(IF(J43="j",VLOOKUP(BA43,uitlooptoeslag,2,FALSE))*IF(H43&gt;1,1,H43),2)</f>
        <v>0</v>
      </c>
      <c r="S43" s="487">
        <f>VLOOKUP(BE43,eindejaarsuitkering_OOP,2,TRUE)*H43/12</f>
        <v>0</v>
      </c>
      <c r="T43" s="487">
        <f t="shared" si="9"/>
        <v>0</v>
      </c>
      <c r="U43" s="489">
        <f t="shared" si="2"/>
        <v>0</v>
      </c>
      <c r="V43" s="488">
        <f>ROUND((SUM(N43:T43)*12),0)</f>
        <v>0</v>
      </c>
      <c r="W43" s="473"/>
      <c r="X43" s="489">
        <f t="shared" si="3"/>
        <v>0</v>
      </c>
      <c r="Y43" s="490">
        <v>0</v>
      </c>
      <c r="Z43" s="473"/>
      <c r="AA43" s="487">
        <f>IF(F43="",0,(IF(U43/H43&lt;tabellen!$E$7,0,(U43-tabellen!$E$7*H43)/12)*tabellen!$C$7))</f>
        <v>0</v>
      </c>
      <c r="AB43" s="487">
        <f>IF(F43="",0,(IF(U43/H43&lt;tabellen!$E$8,0,(U43-tabellen!$E$8*H43)/12)*tabellen!$C$8))</f>
        <v>0</v>
      </c>
      <c r="AC43" s="487">
        <f>U43/12*tabellen!$C$9</f>
        <v>0</v>
      </c>
      <c r="AD43" s="487">
        <f>IF(H43=0,0,IF(BI43&gt;tabellen!$G$10/12,$G$10/12,BI43)*(tabellen!$C$10+tabellen!$C$11))</f>
        <v>0</v>
      </c>
      <c r="AE43" s="487">
        <f>IF(F43="",0,BJ43)</f>
        <v>0</v>
      </c>
      <c r="AF43" s="491">
        <f>IF(F43="",0,(IF(BI43&gt;tabellen!$G$13*H43/12,tabellen!$G$13*H43/12,BI43*tabellen!$C$13)))</f>
        <v>0</v>
      </c>
      <c r="AG43" s="473"/>
      <c r="AH43" s="491">
        <f>IF(F43="",0,IF(K43="j",tabellen!$C$14*BI43,0))</f>
        <v>0</v>
      </c>
      <c r="AI43" s="491">
        <f>IF(F43="",0,IF(L43="j",tabellen!$C$15*BI43,0))</f>
        <v>0</v>
      </c>
      <c r="AJ43" s="492">
        <v>0</v>
      </c>
      <c r="AK43" s="473"/>
      <c r="AL43" s="492">
        <v>0</v>
      </c>
      <c r="AM43" s="473"/>
      <c r="AN43" s="488">
        <f t="shared" si="4"/>
        <v>0</v>
      </c>
      <c r="AO43" s="488">
        <f t="shared" si="5"/>
        <v>0</v>
      </c>
      <c r="AP43" s="473"/>
      <c r="AQ43" s="493" t="str">
        <f>IF(AN43=0,"",(AN43/N43-1))</f>
        <v/>
      </c>
      <c r="AR43" s="493" t="str">
        <f t="shared" si="1"/>
        <v/>
      </c>
      <c r="AS43" s="473"/>
      <c r="AT43" s="443"/>
      <c r="AU43" s="434"/>
      <c r="AV43" s="434"/>
      <c r="AW43" s="494">
        <f ca="1">YEAR($AW$9)-YEAR(E43)</f>
        <v>121</v>
      </c>
      <c r="AX43" s="494">
        <f ca="1">MONTH($AW$9)-MONTH(E43)</f>
        <v>7</v>
      </c>
      <c r="AY43" s="494">
        <f ca="1">DAY($AW$9)-DAY(E43)</f>
        <v>5</v>
      </c>
      <c r="AZ43" s="444">
        <f>IF(AND(F43&gt;0,F43&lt;18),0,100)</f>
        <v>100</v>
      </c>
      <c r="BA43" s="444">
        <f>F43</f>
        <v>0</v>
      </c>
      <c r="BB43" s="469">
        <v>42583</v>
      </c>
      <c r="BC43" s="495">
        <f t="shared" si="10"/>
        <v>0.08</v>
      </c>
      <c r="BD43" s="496">
        <f>tabellen!$D$33</f>
        <v>0.08</v>
      </c>
      <c r="BE43" s="494">
        <f>IF(AZ43=100,0,F43)</f>
        <v>0</v>
      </c>
      <c r="BF43" s="497" t="e">
        <f>IF(U43/H43&lt;tabellen!$E$7,0,(U43-tabellen!$E$7*H43)/12*tabellen!$D$7)</f>
        <v>#DIV/0!</v>
      </c>
      <c r="BG43" s="497" t="e">
        <f>IF(U43/H43&lt;tabellen!$E$8,0,(U43-tabellen!$E$8*H43)/12*tabellen!$D$8)</f>
        <v>#DIV/0!</v>
      </c>
      <c r="BH43" s="498" t="e">
        <f t="shared" si="6"/>
        <v>#DIV/0!</v>
      </c>
      <c r="BI43" s="499" t="e">
        <v>#DIV/0!</v>
      </c>
      <c r="BJ43" s="499" t="e">
        <f>ROUND(IF(BI43&gt;tabellen!$H$12,tabellen!$H$12,BI43)*tabellen!$C$12,2)</f>
        <v>#DIV/0!</v>
      </c>
      <c r="BK43" s="499" t="e">
        <f>+'wgl tot'!BI43+'wgl tot'!BJ43</f>
        <v>#DIV/0!</v>
      </c>
      <c r="BL43" s="500">
        <f>YEAR(E43)</f>
        <v>1900</v>
      </c>
      <c r="BM43" s="500">
        <f>MONTH(E43)</f>
        <v>1</v>
      </c>
      <c r="BN43" s="494">
        <f>DAY(E43)</f>
        <v>0</v>
      </c>
      <c r="BO43" s="469">
        <f t="shared" si="7"/>
        <v>22462</v>
      </c>
      <c r="BP43" s="469">
        <f t="shared" ca="1" si="8"/>
        <v>44413.920839467595</v>
      </c>
      <c r="BQ43" s="444"/>
      <c r="BR43" s="469"/>
      <c r="BS43" s="444"/>
      <c r="BT43" s="501"/>
      <c r="BU43" s="501"/>
      <c r="BV43" s="501"/>
      <c r="BW43" s="501"/>
      <c r="BX43" s="501"/>
      <c r="BY43" s="501"/>
      <c r="BZ43" s="434"/>
      <c r="CA43" s="434"/>
    </row>
    <row r="44" spans="1:79" s="446" customFormat="1" ht="12" customHeight="1" x14ac:dyDescent="0.2">
      <c r="A44" s="434"/>
      <c r="B44" s="435"/>
      <c r="C44" s="473"/>
      <c r="D44" s="482"/>
      <c r="E44" s="483"/>
      <c r="F44" s="484"/>
      <c r="G44" s="484"/>
      <c r="H44" s="485"/>
      <c r="I44" s="524"/>
      <c r="J44" s="484"/>
      <c r="K44" s="486"/>
      <c r="L44" s="486"/>
      <c r="M44" s="487">
        <f>IF(F44="",0,(VLOOKUP('wgl tot'!F44,saltab2020aug,G44+1,FALSE)))</f>
        <v>0</v>
      </c>
      <c r="N44" s="488">
        <f t="shared" si="0"/>
        <v>0</v>
      </c>
      <c r="O44" s="473"/>
      <c r="P44" s="487">
        <f>ROUND(IF((M44+Q44)*BC44&lt;H44*tabellen!$D$31,H44*tabellen!$D$31,(M44+R44)*BC44),2)</f>
        <v>0</v>
      </c>
      <c r="Q44" s="487">
        <f>ROUND(+(M44+R44)*BD44,2)</f>
        <v>0</v>
      </c>
      <c r="R44" s="487">
        <f>ROUND(IF(J44="j",VLOOKUP(BA44,uitlooptoeslag,2,FALSE))*IF(H44&gt;1,1,H44),2)</f>
        <v>0</v>
      </c>
      <c r="S44" s="487">
        <f>VLOOKUP(BE44,eindejaarsuitkering_OOP,2,TRUE)*H44/12</f>
        <v>0</v>
      </c>
      <c r="T44" s="487">
        <f t="shared" si="9"/>
        <v>0</v>
      </c>
      <c r="U44" s="489">
        <f t="shared" si="2"/>
        <v>0</v>
      </c>
      <c r="V44" s="488">
        <f>ROUND((SUM(N44:T44)*12),0)</f>
        <v>0</v>
      </c>
      <c r="W44" s="473"/>
      <c r="X44" s="489">
        <f t="shared" si="3"/>
        <v>0</v>
      </c>
      <c r="Y44" s="490">
        <v>0</v>
      </c>
      <c r="Z44" s="473"/>
      <c r="AA44" s="487">
        <f>IF(F44="",0,(IF(U44/H44&lt;tabellen!$E$7,0,(U44-tabellen!$E$7*H44)/12)*tabellen!$C$7))</f>
        <v>0</v>
      </c>
      <c r="AB44" s="487">
        <f>IF(F44="",0,(IF(U44/H44&lt;tabellen!$E$8,0,(U44-tabellen!$E$8*H44)/12)*tabellen!$C$8))</f>
        <v>0</v>
      </c>
      <c r="AC44" s="487">
        <f>U44/12*tabellen!$C$9</f>
        <v>0</v>
      </c>
      <c r="AD44" s="487">
        <f>IF(H44=0,0,IF(BI44&gt;tabellen!$G$10/12,$G$10/12,BI44)*(tabellen!$C$10+tabellen!$C$11))</f>
        <v>0</v>
      </c>
      <c r="AE44" s="487">
        <f>IF(F44="",0,BJ44)</f>
        <v>0</v>
      </c>
      <c r="AF44" s="491">
        <f>IF(F44="",0,(IF(BI44&gt;tabellen!$G$13*H44/12,tabellen!$G$13*H44/12,BI44*tabellen!$C$13)))</f>
        <v>0</v>
      </c>
      <c r="AG44" s="473"/>
      <c r="AH44" s="491">
        <f>IF(F44="",0,IF(K44="j",tabellen!$C$14*BI44,0))</f>
        <v>0</v>
      </c>
      <c r="AI44" s="491">
        <f>IF(F44="",0,IF(L44="j",tabellen!$C$15*BI44,0))</f>
        <v>0</v>
      </c>
      <c r="AJ44" s="492">
        <v>0</v>
      </c>
      <c r="AK44" s="473"/>
      <c r="AL44" s="492">
        <v>0</v>
      </c>
      <c r="AM44" s="473"/>
      <c r="AN44" s="488">
        <f t="shared" si="4"/>
        <v>0</v>
      </c>
      <c r="AO44" s="488">
        <f t="shared" si="5"/>
        <v>0</v>
      </c>
      <c r="AP44" s="473"/>
      <c r="AQ44" s="493" t="str">
        <f>IF(AN44=0,"",(AN44/N44-1))</f>
        <v/>
      </c>
      <c r="AR44" s="493" t="str">
        <f t="shared" si="1"/>
        <v/>
      </c>
      <c r="AS44" s="473"/>
      <c r="AT44" s="443"/>
      <c r="AU44" s="434"/>
      <c r="AV44" s="434"/>
      <c r="AW44" s="494">
        <f ca="1">YEAR($AW$9)-YEAR(E44)</f>
        <v>121</v>
      </c>
      <c r="AX44" s="494">
        <f ca="1">MONTH($AW$9)-MONTH(E44)</f>
        <v>7</v>
      </c>
      <c r="AY44" s="494">
        <f ca="1">DAY($AW$9)-DAY(E44)</f>
        <v>5</v>
      </c>
      <c r="AZ44" s="444">
        <f>IF(AND(F44&gt;0,F44&lt;18),0,100)</f>
        <v>100</v>
      </c>
      <c r="BA44" s="444">
        <f>F44</f>
        <v>0</v>
      </c>
      <c r="BB44" s="469">
        <v>42583</v>
      </c>
      <c r="BC44" s="495">
        <f t="shared" si="10"/>
        <v>0.08</v>
      </c>
      <c r="BD44" s="496">
        <f>tabellen!$D$33</f>
        <v>0.08</v>
      </c>
      <c r="BE44" s="494">
        <f>IF(AZ44=100,0,F44)</f>
        <v>0</v>
      </c>
      <c r="BF44" s="497" t="e">
        <f>IF(U44/H44&lt;tabellen!$E$7,0,(U44-tabellen!$E$7*H44)/12*tabellen!$D$7)</f>
        <v>#DIV/0!</v>
      </c>
      <c r="BG44" s="497" t="e">
        <f>IF(U44/H44&lt;tabellen!$E$8,0,(U44-tabellen!$E$8*H44)/12*tabellen!$D$8)</f>
        <v>#DIV/0!</v>
      </c>
      <c r="BH44" s="498" t="e">
        <f t="shared" si="6"/>
        <v>#DIV/0!</v>
      </c>
      <c r="BI44" s="499" t="e">
        <v>#DIV/0!</v>
      </c>
      <c r="BJ44" s="499" t="e">
        <f>ROUND(IF(BI44&gt;tabellen!$H$12,tabellen!$H$12,BI44)*tabellen!$C$12,2)</f>
        <v>#DIV/0!</v>
      </c>
      <c r="BK44" s="499" t="e">
        <f>+'wgl tot'!BI44+'wgl tot'!BJ44</f>
        <v>#DIV/0!</v>
      </c>
      <c r="BL44" s="500">
        <f>YEAR(E44)</f>
        <v>1900</v>
      </c>
      <c r="BM44" s="500">
        <f>MONTH(E44)</f>
        <v>1</v>
      </c>
      <c r="BN44" s="494">
        <f>DAY(E44)</f>
        <v>0</v>
      </c>
      <c r="BO44" s="469">
        <f t="shared" si="7"/>
        <v>22462</v>
      </c>
      <c r="BP44" s="469">
        <f t="shared" ca="1" si="8"/>
        <v>44413.920839467595</v>
      </c>
      <c r="BQ44" s="444"/>
      <c r="BR44" s="469"/>
      <c r="BS44" s="444"/>
      <c r="BT44" s="501"/>
      <c r="BU44" s="501"/>
      <c r="BV44" s="501"/>
      <c r="BW44" s="501"/>
      <c r="BX44" s="501"/>
      <c r="BY44" s="501"/>
      <c r="BZ44" s="434"/>
      <c r="CA44" s="434"/>
    </row>
    <row r="45" spans="1:79" s="446" customFormat="1" ht="12" customHeight="1" x14ac:dyDescent="0.2">
      <c r="A45" s="434"/>
      <c r="B45" s="435"/>
      <c r="C45" s="473"/>
      <c r="D45" s="482"/>
      <c r="E45" s="483"/>
      <c r="F45" s="484"/>
      <c r="G45" s="484"/>
      <c r="H45" s="485"/>
      <c r="I45" s="524"/>
      <c r="J45" s="484"/>
      <c r="K45" s="486"/>
      <c r="L45" s="486"/>
      <c r="M45" s="487">
        <f>IF(F45="",0,(VLOOKUP('wgl tot'!F45,saltab2020aug,G45+1,FALSE)))</f>
        <v>0</v>
      </c>
      <c r="N45" s="488">
        <f t="shared" si="0"/>
        <v>0</v>
      </c>
      <c r="O45" s="473"/>
      <c r="P45" s="487">
        <f>ROUND(IF((M45+Q45)*BC45&lt;H45*tabellen!$D$31,H45*tabellen!$D$31,(M45+R45)*BC45),2)</f>
        <v>0</v>
      </c>
      <c r="Q45" s="487">
        <f>ROUND(+(M45+R45)*BD45,2)</f>
        <v>0</v>
      </c>
      <c r="R45" s="487">
        <f>ROUND(IF(J45="j",VLOOKUP(BA45,uitlooptoeslag,2,FALSE))*IF(H45&gt;1,1,H45),2)</f>
        <v>0</v>
      </c>
      <c r="S45" s="487">
        <f>VLOOKUP(BE45,eindejaarsuitkering_OOP,2,TRUE)*H45/12</f>
        <v>0</v>
      </c>
      <c r="T45" s="487">
        <f t="shared" si="9"/>
        <v>0</v>
      </c>
      <c r="U45" s="489">
        <f t="shared" si="2"/>
        <v>0</v>
      </c>
      <c r="V45" s="488">
        <f>ROUND((SUM(N45:T45)*12),0)</f>
        <v>0</v>
      </c>
      <c r="W45" s="473"/>
      <c r="X45" s="489">
        <f t="shared" si="3"/>
        <v>0</v>
      </c>
      <c r="Y45" s="490">
        <v>0</v>
      </c>
      <c r="Z45" s="473"/>
      <c r="AA45" s="487">
        <f>IF(F45="",0,(IF(U45/H45&lt;tabellen!$E$7,0,(U45-tabellen!$E$7*H45)/12)*tabellen!$C$7))</f>
        <v>0</v>
      </c>
      <c r="AB45" s="487">
        <f>IF(F45="",0,(IF(U45/H45&lt;tabellen!$E$8,0,(U45-tabellen!$E$8*H45)/12)*tabellen!$C$8))</f>
        <v>0</v>
      </c>
      <c r="AC45" s="487">
        <f>U45/12*tabellen!$C$9</f>
        <v>0</v>
      </c>
      <c r="AD45" s="487">
        <f>IF(H45=0,0,IF(BI45&gt;tabellen!$G$10/12,$G$10/12,BI45)*(tabellen!$C$10+tabellen!$C$11))</f>
        <v>0</v>
      </c>
      <c r="AE45" s="487">
        <f>IF(F45="",0,BJ45)</f>
        <v>0</v>
      </c>
      <c r="AF45" s="491">
        <f>IF(F45="",0,(IF(BI45&gt;tabellen!$G$13*H45/12,tabellen!$G$13*H45/12,BI45*tabellen!$C$13)))</f>
        <v>0</v>
      </c>
      <c r="AG45" s="473"/>
      <c r="AH45" s="491">
        <f>IF(F45="",0,IF(K45="j",tabellen!$C$14*BI45,0))</f>
        <v>0</v>
      </c>
      <c r="AI45" s="491">
        <f>IF(F45="",0,IF(L45="j",tabellen!$C$15*BI45,0))</f>
        <v>0</v>
      </c>
      <c r="AJ45" s="492">
        <v>0</v>
      </c>
      <c r="AK45" s="473"/>
      <c r="AL45" s="492">
        <v>0</v>
      </c>
      <c r="AM45" s="473"/>
      <c r="AN45" s="488">
        <f t="shared" si="4"/>
        <v>0</v>
      </c>
      <c r="AO45" s="488">
        <f t="shared" si="5"/>
        <v>0</v>
      </c>
      <c r="AP45" s="473"/>
      <c r="AQ45" s="493" t="str">
        <f>IF(AN45=0,"",(AN45/N45-1))</f>
        <v/>
      </c>
      <c r="AR45" s="493" t="str">
        <f t="shared" si="1"/>
        <v/>
      </c>
      <c r="AS45" s="473"/>
      <c r="AT45" s="443"/>
      <c r="AU45" s="434"/>
      <c r="AV45" s="434"/>
      <c r="AW45" s="494">
        <f ca="1">YEAR($AW$9)-YEAR(E45)</f>
        <v>121</v>
      </c>
      <c r="AX45" s="494">
        <f ca="1">MONTH($AW$9)-MONTH(E45)</f>
        <v>7</v>
      </c>
      <c r="AY45" s="494">
        <f ca="1">DAY($AW$9)-DAY(E45)</f>
        <v>5</v>
      </c>
      <c r="AZ45" s="444">
        <f>IF(AND(F45&gt;0,F45&lt;18),0,100)</f>
        <v>100</v>
      </c>
      <c r="BA45" s="444">
        <f>F45</f>
        <v>0</v>
      </c>
      <c r="BB45" s="469">
        <v>42583</v>
      </c>
      <c r="BC45" s="495">
        <f t="shared" si="10"/>
        <v>0.08</v>
      </c>
      <c r="BD45" s="496">
        <f>tabellen!$D$33</f>
        <v>0.08</v>
      </c>
      <c r="BE45" s="494">
        <f>IF(AZ45=100,0,F45)</f>
        <v>0</v>
      </c>
      <c r="BF45" s="497" t="e">
        <f>IF(U45/H45&lt;tabellen!$E$7,0,(U45-tabellen!$E$7*H45)/12*tabellen!$D$7)</f>
        <v>#DIV/0!</v>
      </c>
      <c r="BG45" s="497" t="e">
        <f>IF(U45/H45&lt;tabellen!$E$8,0,(U45-tabellen!$E$8*H45)/12*tabellen!$D$8)</f>
        <v>#DIV/0!</v>
      </c>
      <c r="BH45" s="498" t="e">
        <f t="shared" si="6"/>
        <v>#DIV/0!</v>
      </c>
      <c r="BI45" s="499" t="e">
        <v>#DIV/0!</v>
      </c>
      <c r="BJ45" s="499" t="e">
        <f>ROUND(IF(BI45&gt;tabellen!$H$12,tabellen!$H$12,BI45)*tabellen!$C$12,2)</f>
        <v>#DIV/0!</v>
      </c>
      <c r="BK45" s="499" t="e">
        <f>+'wgl tot'!BI45+'wgl tot'!BJ45</f>
        <v>#DIV/0!</v>
      </c>
      <c r="BL45" s="500">
        <f>YEAR(E45)</f>
        <v>1900</v>
      </c>
      <c r="BM45" s="500">
        <f>MONTH(E45)</f>
        <v>1</v>
      </c>
      <c r="BN45" s="494">
        <f>DAY(E45)</f>
        <v>0</v>
      </c>
      <c r="BO45" s="469">
        <f t="shared" si="7"/>
        <v>22462</v>
      </c>
      <c r="BP45" s="469">
        <f t="shared" ca="1" si="8"/>
        <v>44413.920839467595</v>
      </c>
      <c r="BQ45" s="444"/>
      <c r="BR45" s="469"/>
      <c r="BS45" s="444"/>
      <c r="BT45" s="501"/>
      <c r="BU45" s="501"/>
      <c r="BV45" s="501"/>
      <c r="BW45" s="501"/>
      <c r="BX45" s="501"/>
      <c r="BY45" s="501"/>
      <c r="BZ45" s="434"/>
      <c r="CA45" s="434"/>
    </row>
    <row r="46" spans="1:79" s="446" customFormat="1" ht="12" customHeight="1" x14ac:dyDescent="0.2">
      <c r="A46" s="434"/>
      <c r="B46" s="435"/>
      <c r="C46" s="473"/>
      <c r="D46" s="482"/>
      <c r="E46" s="483"/>
      <c r="F46" s="484"/>
      <c r="G46" s="484"/>
      <c r="H46" s="485"/>
      <c r="I46" s="524"/>
      <c r="J46" s="484"/>
      <c r="K46" s="486"/>
      <c r="L46" s="486"/>
      <c r="M46" s="487">
        <f>IF(F46="",0,(VLOOKUP('wgl tot'!F46,saltab2020aug,G46+1,FALSE)))</f>
        <v>0</v>
      </c>
      <c r="N46" s="488">
        <f t="shared" si="0"/>
        <v>0</v>
      </c>
      <c r="O46" s="473"/>
      <c r="P46" s="487">
        <f>ROUND(IF((M46+Q46)*BC46&lt;H46*tabellen!$D$31,H46*tabellen!$D$31,(M46+R46)*BC46),2)</f>
        <v>0</v>
      </c>
      <c r="Q46" s="487">
        <f>ROUND(+(M46+R46)*BD46,2)</f>
        <v>0</v>
      </c>
      <c r="R46" s="487">
        <f>ROUND(IF(J46="j",VLOOKUP(BA46,uitlooptoeslag,2,FALSE))*IF(H46&gt;1,1,H46),2)</f>
        <v>0</v>
      </c>
      <c r="S46" s="487">
        <f>VLOOKUP(BE46,eindejaarsuitkering_OOP,2,TRUE)*H46/12</f>
        <v>0</v>
      </c>
      <c r="T46" s="487">
        <f t="shared" ref="T46:T77" si="11">ROUND(IF(I46="",0,VLOOKUP(I46,bindingstoelage,3,FALSE))*IF(H46&gt;1,1,H46),I46)</f>
        <v>0</v>
      </c>
      <c r="U46" s="489">
        <f t="shared" si="2"/>
        <v>0</v>
      </c>
      <c r="V46" s="488">
        <f>ROUND((SUM(N46:T46)*12),0)</f>
        <v>0</v>
      </c>
      <c r="W46" s="473"/>
      <c r="X46" s="489">
        <f t="shared" si="3"/>
        <v>0</v>
      </c>
      <c r="Y46" s="490">
        <v>0</v>
      </c>
      <c r="Z46" s="473"/>
      <c r="AA46" s="487">
        <f>IF(F46="",0,(IF(U46/H46&lt;tabellen!$E$7,0,(U46-tabellen!$E$7*H46)/12)*tabellen!$C$7))</f>
        <v>0</v>
      </c>
      <c r="AB46" s="487">
        <f>IF(F46="",0,(IF(U46/H46&lt;tabellen!$E$8,0,(U46-tabellen!$E$8*H46)/12)*tabellen!$C$8))</f>
        <v>0</v>
      </c>
      <c r="AC46" s="487">
        <f>U46/12*tabellen!$C$9</f>
        <v>0</v>
      </c>
      <c r="AD46" s="487">
        <f>IF(H46=0,0,IF(BI46&gt;tabellen!$G$10/12,$G$10/12,BI46)*(tabellen!$C$10+tabellen!$C$11))</f>
        <v>0</v>
      </c>
      <c r="AE46" s="487">
        <f>IF(F46="",0,BJ46)</f>
        <v>0</v>
      </c>
      <c r="AF46" s="491">
        <f>IF(F46="",0,(IF(BI46&gt;tabellen!$G$13*H46/12,tabellen!$G$13*H46/12,BI46*tabellen!$C$13)))</f>
        <v>0</v>
      </c>
      <c r="AG46" s="473"/>
      <c r="AH46" s="491">
        <f>IF(F46="",0,IF(K46="j",tabellen!$C$14*BI46,0))</f>
        <v>0</v>
      </c>
      <c r="AI46" s="491">
        <f>IF(F46="",0,IF(L46="j",tabellen!$C$15*BI46,0))</f>
        <v>0</v>
      </c>
      <c r="AJ46" s="492">
        <v>0</v>
      </c>
      <c r="AK46" s="473"/>
      <c r="AL46" s="492">
        <v>0</v>
      </c>
      <c r="AM46" s="473"/>
      <c r="AN46" s="488">
        <f t="shared" si="4"/>
        <v>0</v>
      </c>
      <c r="AO46" s="488">
        <f t="shared" si="5"/>
        <v>0</v>
      </c>
      <c r="AP46" s="473"/>
      <c r="AQ46" s="493" t="str">
        <f>IF(AN46=0,"",(AN46/N46-1))</f>
        <v/>
      </c>
      <c r="AR46" s="493" t="str">
        <f t="shared" si="1"/>
        <v/>
      </c>
      <c r="AS46" s="473"/>
      <c r="AT46" s="443"/>
      <c r="AU46" s="434"/>
      <c r="AV46" s="434"/>
      <c r="AW46" s="494">
        <f ca="1">YEAR($AW$9)-YEAR(E46)</f>
        <v>121</v>
      </c>
      <c r="AX46" s="494">
        <f ca="1">MONTH($AW$9)-MONTH(E46)</f>
        <v>7</v>
      </c>
      <c r="AY46" s="494">
        <f ca="1">DAY($AW$9)-DAY(E46)</f>
        <v>5</v>
      </c>
      <c r="AZ46" s="444">
        <f>IF(AND(F46&gt;0,F46&lt;18),0,100)</f>
        <v>100</v>
      </c>
      <c r="BA46" s="444">
        <f>F46</f>
        <v>0</v>
      </c>
      <c r="BB46" s="469">
        <v>42583</v>
      </c>
      <c r="BC46" s="495">
        <f t="shared" si="10"/>
        <v>0.08</v>
      </c>
      <c r="BD46" s="496">
        <f>tabellen!$D$33</f>
        <v>0.08</v>
      </c>
      <c r="BE46" s="494">
        <f>IF(AZ46=100,0,F46)</f>
        <v>0</v>
      </c>
      <c r="BF46" s="497" t="e">
        <f>IF(U46/H46&lt;tabellen!$E$7,0,(U46-tabellen!$E$7*H46)/12*tabellen!$D$7)</f>
        <v>#DIV/0!</v>
      </c>
      <c r="BG46" s="497" t="e">
        <f>IF(U46/H46&lt;tabellen!$E$8,0,(U46-tabellen!$E$8*H46)/12*tabellen!$D$8)</f>
        <v>#DIV/0!</v>
      </c>
      <c r="BH46" s="498" t="e">
        <f t="shared" si="6"/>
        <v>#DIV/0!</v>
      </c>
      <c r="BI46" s="499" t="e">
        <v>#DIV/0!</v>
      </c>
      <c r="BJ46" s="499" t="e">
        <f>ROUND(IF(BI46&gt;tabellen!$H$12,tabellen!$H$12,BI46)*tabellen!$C$12,2)</f>
        <v>#DIV/0!</v>
      </c>
      <c r="BK46" s="499" t="e">
        <f>+'wgl tot'!BI46+'wgl tot'!BJ46</f>
        <v>#DIV/0!</v>
      </c>
      <c r="BL46" s="500">
        <f>YEAR(E46)</f>
        <v>1900</v>
      </c>
      <c r="BM46" s="500">
        <f>MONTH(E46)</f>
        <v>1</v>
      </c>
      <c r="BN46" s="494">
        <f>DAY(E46)</f>
        <v>0</v>
      </c>
      <c r="BO46" s="469">
        <f t="shared" si="7"/>
        <v>22462</v>
      </c>
      <c r="BP46" s="469">
        <f t="shared" ca="1" si="8"/>
        <v>44413.920839467595</v>
      </c>
      <c r="BQ46" s="444"/>
      <c r="BR46" s="469"/>
      <c r="BS46" s="444"/>
      <c r="BT46" s="501"/>
      <c r="BU46" s="501"/>
      <c r="BV46" s="501"/>
      <c r="BW46" s="501"/>
      <c r="BX46" s="501"/>
      <c r="BY46" s="501"/>
      <c r="BZ46" s="434"/>
      <c r="CA46" s="434"/>
    </row>
    <row r="47" spans="1:79" s="446" customFormat="1" ht="12" customHeight="1" x14ac:dyDescent="0.2">
      <c r="A47" s="434"/>
      <c r="B47" s="435"/>
      <c r="C47" s="473"/>
      <c r="D47" s="482"/>
      <c r="E47" s="483"/>
      <c r="F47" s="484"/>
      <c r="G47" s="484"/>
      <c r="H47" s="485"/>
      <c r="I47" s="524"/>
      <c r="J47" s="484"/>
      <c r="K47" s="486"/>
      <c r="L47" s="486"/>
      <c r="M47" s="487">
        <f>IF(F47="",0,(VLOOKUP('wgl tot'!F47,saltab2020aug,G47+1,FALSE)))</f>
        <v>0</v>
      </c>
      <c r="N47" s="488">
        <f t="shared" si="0"/>
        <v>0</v>
      </c>
      <c r="O47" s="473"/>
      <c r="P47" s="487">
        <f>ROUND(IF((M47+Q47)*BC47&lt;H47*tabellen!$D$31,H47*tabellen!$D$31,(M47+R47)*BC47),2)</f>
        <v>0</v>
      </c>
      <c r="Q47" s="487">
        <f>ROUND(+(M47+R47)*BD47,2)</f>
        <v>0</v>
      </c>
      <c r="R47" s="487">
        <f>ROUND(IF(J47="j",VLOOKUP(BA47,uitlooptoeslag,2,FALSE))*IF(H47&gt;1,1,H47),2)</f>
        <v>0</v>
      </c>
      <c r="S47" s="487">
        <f>VLOOKUP(BE47,eindejaarsuitkering_OOP,2,TRUE)*H47/12</f>
        <v>0</v>
      </c>
      <c r="T47" s="487">
        <f t="shared" si="11"/>
        <v>0</v>
      </c>
      <c r="U47" s="489">
        <f t="shared" si="2"/>
        <v>0</v>
      </c>
      <c r="V47" s="488">
        <f>ROUND((SUM(N47:T47)*12),0)</f>
        <v>0</v>
      </c>
      <c r="W47" s="473"/>
      <c r="X47" s="489">
        <f t="shared" si="3"/>
        <v>0</v>
      </c>
      <c r="Y47" s="490">
        <v>0</v>
      </c>
      <c r="Z47" s="473"/>
      <c r="AA47" s="487">
        <f>IF(F47="",0,(IF(U47/H47&lt;tabellen!$E$7,0,(U47-tabellen!$E$7*H47)/12)*tabellen!$C$7))</f>
        <v>0</v>
      </c>
      <c r="AB47" s="487">
        <f>IF(F47="",0,(IF(U47/H47&lt;tabellen!$E$8,0,(U47-tabellen!$E$8*H47)/12)*tabellen!$C$8))</f>
        <v>0</v>
      </c>
      <c r="AC47" s="487">
        <f>U47/12*tabellen!$C$9</f>
        <v>0</v>
      </c>
      <c r="AD47" s="487">
        <f>IF(H47=0,0,IF(BI47&gt;tabellen!$G$10/12,$G$10/12,BI47)*(tabellen!$C$10+tabellen!$C$11))</f>
        <v>0</v>
      </c>
      <c r="AE47" s="487">
        <f>IF(F47="",0,BJ47)</f>
        <v>0</v>
      </c>
      <c r="AF47" s="491">
        <f>IF(F47="",0,(IF(BI47&gt;tabellen!$G$13*H47/12,tabellen!$G$13*H47/12,BI47*tabellen!$C$13)))</f>
        <v>0</v>
      </c>
      <c r="AG47" s="473"/>
      <c r="AH47" s="491">
        <f>IF(F47="",0,IF(K47="j",tabellen!$C$14*BI47,0))</f>
        <v>0</v>
      </c>
      <c r="AI47" s="491">
        <f>IF(F47="",0,IF(L47="j",tabellen!$C$15*BI47,0))</f>
        <v>0</v>
      </c>
      <c r="AJ47" s="492">
        <v>0</v>
      </c>
      <c r="AK47" s="473"/>
      <c r="AL47" s="492">
        <v>0</v>
      </c>
      <c r="AM47" s="473"/>
      <c r="AN47" s="488">
        <f t="shared" si="4"/>
        <v>0</v>
      </c>
      <c r="AO47" s="488">
        <f t="shared" si="5"/>
        <v>0</v>
      </c>
      <c r="AP47" s="473"/>
      <c r="AQ47" s="493" t="str">
        <f>IF(AN47=0,"",(AN47/N47-1))</f>
        <v/>
      </c>
      <c r="AR47" s="493" t="str">
        <f t="shared" si="1"/>
        <v/>
      </c>
      <c r="AS47" s="473"/>
      <c r="AT47" s="443"/>
      <c r="AU47" s="434"/>
      <c r="AV47" s="434"/>
      <c r="AW47" s="494">
        <f ca="1">YEAR($AW$9)-YEAR(E47)</f>
        <v>121</v>
      </c>
      <c r="AX47" s="494">
        <f ca="1">MONTH($AW$9)-MONTH(E47)</f>
        <v>7</v>
      </c>
      <c r="AY47" s="494">
        <f ca="1">DAY($AW$9)-DAY(E47)</f>
        <v>5</v>
      </c>
      <c r="AZ47" s="444">
        <f>IF(AND(F47&gt;0,F47&lt;18),0,100)</f>
        <v>100</v>
      </c>
      <c r="BA47" s="444">
        <f>F47</f>
        <v>0</v>
      </c>
      <c r="BB47" s="469">
        <v>42583</v>
      </c>
      <c r="BC47" s="495">
        <f t="shared" si="10"/>
        <v>0.08</v>
      </c>
      <c r="BD47" s="496">
        <f>tabellen!$D$33</f>
        <v>0.08</v>
      </c>
      <c r="BE47" s="494">
        <f>IF(AZ47=100,0,F47)</f>
        <v>0</v>
      </c>
      <c r="BF47" s="497" t="e">
        <f>IF(U47/H47&lt;tabellen!$E$7,0,(U47-tabellen!$E$7*H47)/12*tabellen!$D$7)</f>
        <v>#DIV/0!</v>
      </c>
      <c r="BG47" s="497" t="e">
        <f>IF(U47/H47&lt;tabellen!$E$8,0,(U47-tabellen!$E$8*H47)/12*tabellen!$D$8)</f>
        <v>#DIV/0!</v>
      </c>
      <c r="BH47" s="498" t="e">
        <f t="shared" si="6"/>
        <v>#DIV/0!</v>
      </c>
      <c r="BI47" s="499" t="e">
        <v>#DIV/0!</v>
      </c>
      <c r="BJ47" s="499" t="e">
        <f>ROUND(IF(BI47&gt;tabellen!$H$12,tabellen!$H$12,BI47)*tabellen!$C$12,2)</f>
        <v>#DIV/0!</v>
      </c>
      <c r="BK47" s="499" t="e">
        <f>+'wgl tot'!BI47+'wgl tot'!BJ47</f>
        <v>#DIV/0!</v>
      </c>
      <c r="BL47" s="500">
        <f>YEAR(E47)</f>
        <v>1900</v>
      </c>
      <c r="BM47" s="500">
        <f>MONTH(E47)</f>
        <v>1</v>
      </c>
      <c r="BN47" s="494">
        <f>DAY(E47)</f>
        <v>0</v>
      </c>
      <c r="BO47" s="469">
        <f t="shared" si="7"/>
        <v>22462</v>
      </c>
      <c r="BP47" s="469">
        <f t="shared" ca="1" si="8"/>
        <v>44413.920839467595</v>
      </c>
      <c r="BQ47" s="444"/>
      <c r="BR47" s="469"/>
      <c r="BS47" s="444"/>
      <c r="BT47" s="501"/>
      <c r="BU47" s="501"/>
      <c r="BV47" s="501"/>
      <c r="BW47" s="501"/>
      <c r="BX47" s="501"/>
      <c r="BY47" s="501"/>
      <c r="BZ47" s="434"/>
      <c r="CA47" s="434"/>
    </row>
    <row r="48" spans="1:79" s="446" customFormat="1" ht="12" customHeight="1" x14ac:dyDescent="0.2">
      <c r="A48" s="434"/>
      <c r="B48" s="435"/>
      <c r="C48" s="473"/>
      <c r="D48" s="482"/>
      <c r="E48" s="483"/>
      <c r="F48" s="484"/>
      <c r="G48" s="484"/>
      <c r="H48" s="485"/>
      <c r="I48" s="524"/>
      <c r="J48" s="484"/>
      <c r="K48" s="486"/>
      <c r="L48" s="486"/>
      <c r="M48" s="487">
        <f>IF(F48="",0,(VLOOKUP('wgl tot'!F48,saltab2020aug,G48+1,FALSE)))</f>
        <v>0</v>
      </c>
      <c r="N48" s="488">
        <f t="shared" si="0"/>
        <v>0</v>
      </c>
      <c r="O48" s="473"/>
      <c r="P48" s="487">
        <f>ROUND(IF((M48+Q48)*BC48&lt;H48*tabellen!$D$31,H48*tabellen!$D$31,(M48+R48)*BC48),2)</f>
        <v>0</v>
      </c>
      <c r="Q48" s="487">
        <f>ROUND(+(M48+R48)*BD48,2)</f>
        <v>0</v>
      </c>
      <c r="R48" s="487">
        <f>ROUND(IF(J48="j",VLOOKUP(BA48,uitlooptoeslag,2,FALSE))*IF(H48&gt;1,1,H48),2)</f>
        <v>0</v>
      </c>
      <c r="S48" s="487">
        <f>VLOOKUP(BE48,eindejaarsuitkering_OOP,2,TRUE)*H48/12</f>
        <v>0</v>
      </c>
      <c r="T48" s="487">
        <f t="shared" si="11"/>
        <v>0</v>
      </c>
      <c r="U48" s="489">
        <f t="shared" si="2"/>
        <v>0</v>
      </c>
      <c r="V48" s="488">
        <f>ROUND((SUM(N48:T48)*12),0)</f>
        <v>0</v>
      </c>
      <c r="W48" s="473"/>
      <c r="X48" s="489">
        <f t="shared" si="3"/>
        <v>0</v>
      </c>
      <c r="Y48" s="490">
        <v>0</v>
      </c>
      <c r="Z48" s="473"/>
      <c r="AA48" s="487">
        <f>IF(F48="",0,(IF(U48/H48&lt;tabellen!$E$7,0,(U48-tabellen!$E$7*H48)/12)*tabellen!$C$7))</f>
        <v>0</v>
      </c>
      <c r="AB48" s="487">
        <f>IF(F48="",0,(IF(U48/H48&lt;tabellen!$E$8,0,(U48-tabellen!$E$8*H48)/12)*tabellen!$C$8))</f>
        <v>0</v>
      </c>
      <c r="AC48" s="487">
        <f>U48/12*tabellen!$C$9</f>
        <v>0</v>
      </c>
      <c r="AD48" s="487">
        <f>IF(H48=0,0,IF(BI48&gt;tabellen!$G$10/12,$G$10/12,BI48)*(tabellen!$C$10+tabellen!$C$11))</f>
        <v>0</v>
      </c>
      <c r="AE48" s="487">
        <f>IF(F48="",0,BJ48)</f>
        <v>0</v>
      </c>
      <c r="AF48" s="491">
        <f>IF(F48="",0,(IF(BI48&gt;tabellen!$G$13*H48/12,tabellen!$G$13*H48/12,BI48*tabellen!$C$13)))</f>
        <v>0</v>
      </c>
      <c r="AG48" s="473"/>
      <c r="AH48" s="491">
        <f>IF(F48="",0,IF(K48="j",tabellen!$C$14*BI48,0))</f>
        <v>0</v>
      </c>
      <c r="AI48" s="491">
        <f>IF(F48="",0,IF(L48="j",tabellen!$C$15*BI48,0))</f>
        <v>0</v>
      </c>
      <c r="AJ48" s="492">
        <v>0</v>
      </c>
      <c r="AK48" s="473"/>
      <c r="AL48" s="492">
        <v>0</v>
      </c>
      <c r="AM48" s="473"/>
      <c r="AN48" s="488">
        <f t="shared" si="4"/>
        <v>0</v>
      </c>
      <c r="AO48" s="488">
        <f t="shared" si="5"/>
        <v>0</v>
      </c>
      <c r="AP48" s="473"/>
      <c r="AQ48" s="493" t="str">
        <f>IF(AN48=0,"",(AN48/N48-1))</f>
        <v/>
      </c>
      <c r="AR48" s="493" t="str">
        <f t="shared" si="1"/>
        <v/>
      </c>
      <c r="AS48" s="473"/>
      <c r="AT48" s="443"/>
      <c r="AU48" s="434"/>
      <c r="AV48" s="434"/>
      <c r="AW48" s="494">
        <f ca="1">YEAR($AW$9)-YEAR(E48)</f>
        <v>121</v>
      </c>
      <c r="AX48" s="494">
        <f ca="1">MONTH($AW$9)-MONTH(E48)</f>
        <v>7</v>
      </c>
      <c r="AY48" s="494">
        <f ca="1">DAY($AW$9)-DAY(E48)</f>
        <v>5</v>
      </c>
      <c r="AZ48" s="444">
        <f>IF(AND(F48&gt;0,F48&lt;18),0,100)</f>
        <v>100</v>
      </c>
      <c r="BA48" s="444">
        <f>F48</f>
        <v>0</v>
      </c>
      <c r="BB48" s="469">
        <v>42583</v>
      </c>
      <c r="BC48" s="495">
        <f t="shared" si="10"/>
        <v>0.08</v>
      </c>
      <c r="BD48" s="496">
        <f>tabellen!$D$33</f>
        <v>0.08</v>
      </c>
      <c r="BE48" s="494">
        <f>IF(AZ48=100,0,F48)</f>
        <v>0</v>
      </c>
      <c r="BF48" s="497" t="e">
        <f>IF(U48/H48&lt;tabellen!$E$7,0,(U48-tabellen!$E$7*H48)/12*tabellen!$D$7)</f>
        <v>#DIV/0!</v>
      </c>
      <c r="BG48" s="497" t="e">
        <f>IF(U48/H48&lt;tabellen!$E$8,0,(U48-tabellen!$E$8*H48)/12*tabellen!$D$8)</f>
        <v>#DIV/0!</v>
      </c>
      <c r="BH48" s="498" t="e">
        <f t="shared" si="6"/>
        <v>#DIV/0!</v>
      </c>
      <c r="BI48" s="499" t="e">
        <v>#DIV/0!</v>
      </c>
      <c r="BJ48" s="499" t="e">
        <f>ROUND(IF(BI48&gt;tabellen!$H$12,tabellen!$H$12,BI48)*tabellen!$C$12,2)</f>
        <v>#DIV/0!</v>
      </c>
      <c r="BK48" s="499" t="e">
        <f>+'wgl tot'!BI48+'wgl tot'!BJ48</f>
        <v>#DIV/0!</v>
      </c>
      <c r="BL48" s="500">
        <f>YEAR(E48)</f>
        <v>1900</v>
      </c>
      <c r="BM48" s="500">
        <f>MONTH(E48)</f>
        <v>1</v>
      </c>
      <c r="BN48" s="494">
        <f>DAY(E48)</f>
        <v>0</v>
      </c>
      <c r="BO48" s="469">
        <f t="shared" si="7"/>
        <v>22462</v>
      </c>
      <c r="BP48" s="469">
        <f t="shared" ca="1" si="8"/>
        <v>44413.920839467595</v>
      </c>
      <c r="BQ48" s="444"/>
      <c r="BR48" s="469"/>
      <c r="BS48" s="444"/>
      <c r="BT48" s="501"/>
      <c r="BU48" s="501"/>
      <c r="BV48" s="501"/>
      <c r="BW48" s="501"/>
      <c r="BX48" s="501"/>
      <c r="BY48" s="501"/>
      <c r="BZ48" s="434"/>
      <c r="CA48" s="434"/>
    </row>
    <row r="49" spans="1:79" s="446" customFormat="1" ht="12" customHeight="1" x14ac:dyDescent="0.2">
      <c r="A49" s="434"/>
      <c r="B49" s="435"/>
      <c r="C49" s="473"/>
      <c r="D49" s="482"/>
      <c r="E49" s="483"/>
      <c r="F49" s="484"/>
      <c r="G49" s="484"/>
      <c r="H49" s="485"/>
      <c r="I49" s="524"/>
      <c r="J49" s="484"/>
      <c r="K49" s="486"/>
      <c r="L49" s="486"/>
      <c r="M49" s="487">
        <f>IF(F49="",0,(VLOOKUP('wgl tot'!F49,saltab2020aug,G49+1,FALSE)))</f>
        <v>0</v>
      </c>
      <c r="N49" s="488">
        <f t="shared" si="0"/>
        <v>0</v>
      </c>
      <c r="O49" s="473"/>
      <c r="P49" s="487">
        <f>ROUND(IF((M49+Q49)*BC49&lt;H49*tabellen!$D$31,H49*tabellen!$D$31,(M49+R49)*BC49),2)</f>
        <v>0</v>
      </c>
      <c r="Q49" s="487">
        <f>ROUND(+(M49+R49)*BD49,2)</f>
        <v>0</v>
      </c>
      <c r="R49" s="487">
        <f>ROUND(IF(J49="j",VLOOKUP(BA49,uitlooptoeslag,2,FALSE))*IF(H49&gt;1,1,H49),2)</f>
        <v>0</v>
      </c>
      <c r="S49" s="487">
        <f>VLOOKUP(BE49,eindejaarsuitkering_OOP,2,TRUE)*H49/12</f>
        <v>0</v>
      </c>
      <c r="T49" s="487">
        <f t="shared" si="11"/>
        <v>0</v>
      </c>
      <c r="U49" s="489">
        <f t="shared" si="2"/>
        <v>0</v>
      </c>
      <c r="V49" s="488">
        <f>ROUND((SUM(N49:T49)*12),0)</f>
        <v>0</v>
      </c>
      <c r="W49" s="473"/>
      <c r="X49" s="489">
        <f t="shared" si="3"/>
        <v>0</v>
      </c>
      <c r="Y49" s="490">
        <v>0</v>
      </c>
      <c r="Z49" s="473"/>
      <c r="AA49" s="487">
        <f>IF(F49="",0,(IF(U49/H49&lt;tabellen!$E$7,0,(U49-tabellen!$E$7*H49)/12)*tabellen!$C$7))</f>
        <v>0</v>
      </c>
      <c r="AB49" s="487">
        <f>IF(F49="",0,(IF(U49/H49&lt;tabellen!$E$8,0,(U49-tabellen!$E$8*H49)/12)*tabellen!$C$8))</f>
        <v>0</v>
      </c>
      <c r="AC49" s="487">
        <f>U49/12*tabellen!$C$9</f>
        <v>0</v>
      </c>
      <c r="AD49" s="487">
        <f>IF(H49=0,0,IF(BI49&gt;tabellen!$G$10/12,$G$10/12,BI49)*(tabellen!$C$10+tabellen!$C$11))</f>
        <v>0</v>
      </c>
      <c r="AE49" s="487">
        <f>IF(F49="",0,BJ49)</f>
        <v>0</v>
      </c>
      <c r="AF49" s="491">
        <f>IF(F49="",0,(IF(BI49&gt;tabellen!$G$13*H49/12,tabellen!$G$13*H49/12,BI49*tabellen!$C$13)))</f>
        <v>0</v>
      </c>
      <c r="AG49" s="473"/>
      <c r="AH49" s="491">
        <f>IF(F49="",0,IF(K49="j",tabellen!$C$14*BI49,0))</f>
        <v>0</v>
      </c>
      <c r="AI49" s="491">
        <f>IF(F49="",0,IF(L49="j",tabellen!$C$15*BI49,0))</f>
        <v>0</v>
      </c>
      <c r="AJ49" s="492">
        <v>0</v>
      </c>
      <c r="AK49" s="473"/>
      <c r="AL49" s="492">
        <v>0</v>
      </c>
      <c r="AM49" s="473"/>
      <c r="AN49" s="488">
        <f t="shared" si="4"/>
        <v>0</v>
      </c>
      <c r="AO49" s="488">
        <f t="shared" si="5"/>
        <v>0</v>
      </c>
      <c r="AP49" s="473"/>
      <c r="AQ49" s="493" t="str">
        <f>IF(AN49=0,"",(AN49/N49-1))</f>
        <v/>
      </c>
      <c r="AR49" s="493" t="str">
        <f t="shared" si="1"/>
        <v/>
      </c>
      <c r="AS49" s="473"/>
      <c r="AT49" s="443"/>
      <c r="AU49" s="434"/>
      <c r="AV49" s="434"/>
      <c r="AW49" s="494">
        <f ca="1">YEAR($AW$9)-YEAR(E49)</f>
        <v>121</v>
      </c>
      <c r="AX49" s="494">
        <f ca="1">MONTH($AW$9)-MONTH(E49)</f>
        <v>7</v>
      </c>
      <c r="AY49" s="494">
        <f ca="1">DAY($AW$9)-DAY(E49)</f>
        <v>5</v>
      </c>
      <c r="AZ49" s="444">
        <f>IF(AND(F49&gt;0,F49&lt;18),0,100)</f>
        <v>100</v>
      </c>
      <c r="BA49" s="444">
        <f>F49</f>
        <v>0</v>
      </c>
      <c r="BB49" s="469">
        <v>42583</v>
      </c>
      <c r="BC49" s="495">
        <f t="shared" si="10"/>
        <v>0.08</v>
      </c>
      <c r="BD49" s="496">
        <f>tabellen!$D$33</f>
        <v>0.08</v>
      </c>
      <c r="BE49" s="494">
        <f>IF(AZ49=100,0,F49)</f>
        <v>0</v>
      </c>
      <c r="BF49" s="497" t="e">
        <f>IF(U49/H49&lt;tabellen!$E$7,0,(U49-tabellen!$E$7*H49)/12*tabellen!$D$7)</f>
        <v>#DIV/0!</v>
      </c>
      <c r="BG49" s="497" t="e">
        <f>IF(U49/H49&lt;tabellen!$E$8,0,(U49-tabellen!$E$8*H49)/12*tabellen!$D$8)</f>
        <v>#DIV/0!</v>
      </c>
      <c r="BH49" s="498" t="e">
        <f t="shared" si="6"/>
        <v>#DIV/0!</v>
      </c>
      <c r="BI49" s="499" t="e">
        <v>#DIV/0!</v>
      </c>
      <c r="BJ49" s="499" t="e">
        <f>ROUND(IF(BI49&gt;tabellen!$H$12,tabellen!$H$12,BI49)*tabellen!$C$12,2)</f>
        <v>#DIV/0!</v>
      </c>
      <c r="BK49" s="499" t="e">
        <f>+'wgl tot'!BI49+'wgl tot'!BJ49</f>
        <v>#DIV/0!</v>
      </c>
      <c r="BL49" s="500">
        <f>YEAR(E49)</f>
        <v>1900</v>
      </c>
      <c r="BM49" s="500">
        <f>MONTH(E49)</f>
        <v>1</v>
      </c>
      <c r="BN49" s="494">
        <f>DAY(E49)</f>
        <v>0</v>
      </c>
      <c r="BO49" s="469">
        <f t="shared" si="7"/>
        <v>22462</v>
      </c>
      <c r="BP49" s="469">
        <f t="shared" ca="1" si="8"/>
        <v>44413.920839467595</v>
      </c>
      <c r="BQ49" s="444"/>
      <c r="BR49" s="469"/>
      <c r="BS49" s="444"/>
      <c r="BT49" s="501"/>
      <c r="BU49" s="501"/>
      <c r="BV49" s="501"/>
      <c r="BW49" s="501"/>
      <c r="BX49" s="501"/>
      <c r="BY49" s="501"/>
      <c r="BZ49" s="434"/>
      <c r="CA49" s="434"/>
    </row>
    <row r="50" spans="1:79" s="446" customFormat="1" ht="12" customHeight="1" x14ac:dyDescent="0.2">
      <c r="A50" s="434"/>
      <c r="B50" s="435"/>
      <c r="C50" s="473"/>
      <c r="D50" s="482"/>
      <c r="E50" s="483"/>
      <c r="F50" s="484"/>
      <c r="G50" s="484"/>
      <c r="H50" s="485"/>
      <c r="I50" s="524"/>
      <c r="J50" s="484"/>
      <c r="K50" s="486"/>
      <c r="L50" s="486"/>
      <c r="M50" s="487">
        <f>IF(F50="",0,(VLOOKUP('wgl tot'!F50,saltab2020aug,G50+1,FALSE)))</f>
        <v>0</v>
      </c>
      <c r="N50" s="488">
        <f t="shared" si="0"/>
        <v>0</v>
      </c>
      <c r="O50" s="473"/>
      <c r="P50" s="487">
        <f>ROUND(IF((M50+Q50)*BC50&lt;H50*tabellen!$D$31,H50*tabellen!$D$31,(M50+R50)*BC50),2)</f>
        <v>0</v>
      </c>
      <c r="Q50" s="487">
        <f>ROUND(+(M50+R50)*BD50,2)</f>
        <v>0</v>
      </c>
      <c r="R50" s="487">
        <f>ROUND(IF(J50="j",VLOOKUP(BA50,uitlooptoeslag,2,FALSE))*IF(H50&gt;1,1,H50),2)</f>
        <v>0</v>
      </c>
      <c r="S50" s="487">
        <f>VLOOKUP(BE50,eindejaarsuitkering_OOP,2,TRUE)*H50/12</f>
        <v>0</v>
      </c>
      <c r="T50" s="487">
        <f t="shared" si="11"/>
        <v>0</v>
      </c>
      <c r="U50" s="489">
        <f t="shared" si="2"/>
        <v>0</v>
      </c>
      <c r="V50" s="488">
        <f>ROUND((SUM(N50:T50)*12),0)</f>
        <v>0</v>
      </c>
      <c r="W50" s="473"/>
      <c r="X50" s="489">
        <f t="shared" si="3"/>
        <v>0</v>
      </c>
      <c r="Y50" s="490">
        <v>0</v>
      </c>
      <c r="Z50" s="473"/>
      <c r="AA50" s="487">
        <f>IF(F50="",0,(IF(U50/H50&lt;tabellen!$E$7,0,(U50-tabellen!$E$7*H50)/12)*tabellen!$C$7))</f>
        <v>0</v>
      </c>
      <c r="AB50" s="487">
        <f>IF(F50="",0,(IF(U50/H50&lt;tabellen!$E$8,0,(U50-tabellen!$E$8*H50)/12)*tabellen!$C$8))</f>
        <v>0</v>
      </c>
      <c r="AC50" s="487">
        <f>U50/12*tabellen!$C$9</f>
        <v>0</v>
      </c>
      <c r="AD50" s="487">
        <f>IF(H50=0,0,IF(BI50&gt;tabellen!$G$10/12,$G$10/12,BI50)*(tabellen!$C$10+tabellen!$C$11))</f>
        <v>0</v>
      </c>
      <c r="AE50" s="487">
        <f>IF(F50="",0,BJ50)</f>
        <v>0</v>
      </c>
      <c r="AF50" s="491">
        <f>IF(F50="",0,(IF(BI50&gt;tabellen!$G$13*H50/12,tabellen!$G$13*H50/12,BI50*tabellen!$C$13)))</f>
        <v>0</v>
      </c>
      <c r="AG50" s="473"/>
      <c r="AH50" s="491">
        <f>IF(F50="",0,IF(K50="j",tabellen!$C$14*BI50,0))</f>
        <v>0</v>
      </c>
      <c r="AI50" s="491">
        <f>IF(F50="",0,IF(L50="j",tabellen!$C$15*BI50,0))</f>
        <v>0</v>
      </c>
      <c r="AJ50" s="492">
        <v>0</v>
      </c>
      <c r="AK50" s="473"/>
      <c r="AL50" s="492">
        <v>0</v>
      </c>
      <c r="AM50" s="473"/>
      <c r="AN50" s="488">
        <f t="shared" si="4"/>
        <v>0</v>
      </c>
      <c r="AO50" s="488">
        <f t="shared" si="5"/>
        <v>0</v>
      </c>
      <c r="AP50" s="473"/>
      <c r="AQ50" s="493" t="str">
        <f>IF(AN50=0,"",(AN50/N50-1))</f>
        <v/>
      </c>
      <c r="AR50" s="493" t="str">
        <f t="shared" si="1"/>
        <v/>
      </c>
      <c r="AS50" s="473"/>
      <c r="AT50" s="443"/>
      <c r="AU50" s="434"/>
      <c r="AV50" s="434"/>
      <c r="AW50" s="494">
        <f ca="1">YEAR($AW$9)-YEAR(E50)</f>
        <v>121</v>
      </c>
      <c r="AX50" s="494">
        <f ca="1">MONTH($AW$9)-MONTH(E50)</f>
        <v>7</v>
      </c>
      <c r="AY50" s="494">
        <f ca="1">DAY($AW$9)-DAY(E50)</f>
        <v>5</v>
      </c>
      <c r="AZ50" s="444">
        <f>IF(AND(F50&gt;0,F50&lt;18),0,100)</f>
        <v>100</v>
      </c>
      <c r="BA50" s="444">
        <f>F50</f>
        <v>0</v>
      </c>
      <c r="BB50" s="469">
        <v>42583</v>
      </c>
      <c r="BC50" s="495">
        <f t="shared" si="10"/>
        <v>0.08</v>
      </c>
      <c r="BD50" s="496">
        <f>tabellen!$D$33</f>
        <v>0.08</v>
      </c>
      <c r="BE50" s="494">
        <f>IF(AZ50=100,0,F50)</f>
        <v>0</v>
      </c>
      <c r="BF50" s="497" t="e">
        <f>IF(U50/H50&lt;tabellen!$E$7,0,(U50-tabellen!$E$7*H50)/12*tabellen!$D$7)</f>
        <v>#DIV/0!</v>
      </c>
      <c r="BG50" s="497" t="e">
        <f>IF(U50/H50&lt;tabellen!$E$8,0,(U50-tabellen!$E$8*H50)/12*tabellen!$D$8)</f>
        <v>#DIV/0!</v>
      </c>
      <c r="BH50" s="498" t="e">
        <f t="shared" si="6"/>
        <v>#DIV/0!</v>
      </c>
      <c r="BI50" s="499" t="e">
        <v>#DIV/0!</v>
      </c>
      <c r="BJ50" s="499" t="e">
        <f>ROUND(IF(BI50&gt;tabellen!$H$12,tabellen!$H$12,BI50)*tabellen!$C$12,2)</f>
        <v>#DIV/0!</v>
      </c>
      <c r="BK50" s="499" t="e">
        <f>+'wgl tot'!BI50+'wgl tot'!BJ50</f>
        <v>#DIV/0!</v>
      </c>
      <c r="BL50" s="500">
        <f>YEAR(E50)</f>
        <v>1900</v>
      </c>
      <c r="BM50" s="500">
        <f>MONTH(E50)</f>
        <v>1</v>
      </c>
      <c r="BN50" s="494">
        <f>DAY(E50)</f>
        <v>0</v>
      </c>
      <c r="BO50" s="469">
        <f t="shared" si="7"/>
        <v>22462</v>
      </c>
      <c r="BP50" s="469">
        <f t="shared" ca="1" si="8"/>
        <v>44413.920839467595</v>
      </c>
      <c r="BQ50" s="444"/>
      <c r="BR50" s="469"/>
      <c r="BS50" s="444"/>
      <c r="BT50" s="501"/>
      <c r="BU50" s="501"/>
      <c r="BV50" s="501"/>
      <c r="BW50" s="501"/>
      <c r="BX50" s="501"/>
      <c r="BY50" s="501"/>
      <c r="BZ50" s="434"/>
      <c r="CA50" s="434"/>
    </row>
    <row r="51" spans="1:79" s="446" customFormat="1" ht="12" customHeight="1" x14ac:dyDescent="0.2">
      <c r="A51" s="434"/>
      <c r="B51" s="435"/>
      <c r="C51" s="473"/>
      <c r="D51" s="482"/>
      <c r="E51" s="483"/>
      <c r="F51" s="484"/>
      <c r="G51" s="484"/>
      <c r="H51" s="485"/>
      <c r="I51" s="524"/>
      <c r="J51" s="484"/>
      <c r="K51" s="486"/>
      <c r="L51" s="486"/>
      <c r="M51" s="487">
        <f>IF(F51="",0,(VLOOKUP('wgl tot'!F51,saltab2020aug,G51+1,FALSE)))</f>
        <v>0</v>
      </c>
      <c r="N51" s="488">
        <f t="shared" si="0"/>
        <v>0</v>
      </c>
      <c r="O51" s="473"/>
      <c r="P51" s="487">
        <f>ROUND(IF((M51+Q51)*BC51&lt;H51*tabellen!$D$31,H51*tabellen!$D$31,(M51+R51)*BC51),2)</f>
        <v>0</v>
      </c>
      <c r="Q51" s="487">
        <f>ROUND(+(M51+R51)*BD51,2)</f>
        <v>0</v>
      </c>
      <c r="R51" s="487">
        <f>ROUND(IF(J51="j",VLOOKUP(BA51,uitlooptoeslag,2,FALSE))*IF(H51&gt;1,1,H51),2)</f>
        <v>0</v>
      </c>
      <c r="S51" s="487">
        <f>VLOOKUP(BE51,eindejaarsuitkering_OOP,2,TRUE)*H51/12</f>
        <v>0</v>
      </c>
      <c r="T51" s="487">
        <f t="shared" si="11"/>
        <v>0</v>
      </c>
      <c r="U51" s="489">
        <f t="shared" si="2"/>
        <v>0</v>
      </c>
      <c r="V51" s="488">
        <f>ROUND((SUM(N51:T51)*12),0)</f>
        <v>0</v>
      </c>
      <c r="W51" s="473"/>
      <c r="X51" s="489">
        <f t="shared" si="3"/>
        <v>0</v>
      </c>
      <c r="Y51" s="490">
        <v>0</v>
      </c>
      <c r="Z51" s="473"/>
      <c r="AA51" s="487">
        <f>IF(F51="",0,(IF(U51/H51&lt;tabellen!$E$7,0,(U51-tabellen!$E$7*H51)/12)*tabellen!$C$7))</f>
        <v>0</v>
      </c>
      <c r="AB51" s="487">
        <f>IF(F51="",0,(IF(U51/H51&lt;tabellen!$E$8,0,(U51-tabellen!$E$8*H51)/12)*tabellen!$C$8))</f>
        <v>0</v>
      </c>
      <c r="AC51" s="487">
        <f>U51/12*tabellen!$C$9</f>
        <v>0</v>
      </c>
      <c r="AD51" s="487">
        <f>IF(H51=0,0,IF(BI51&gt;tabellen!$G$10/12,$G$10/12,BI51)*(tabellen!$C$10+tabellen!$C$11))</f>
        <v>0</v>
      </c>
      <c r="AE51" s="487">
        <f>IF(F51="",0,BJ51)</f>
        <v>0</v>
      </c>
      <c r="AF51" s="491">
        <f>IF(F51="",0,(IF(BI51&gt;tabellen!$G$13*H51/12,tabellen!$G$13*H51/12,BI51*tabellen!$C$13)))</f>
        <v>0</v>
      </c>
      <c r="AG51" s="473"/>
      <c r="AH51" s="491">
        <f>IF(F51="",0,IF(K51="j",tabellen!$C$14*BI51,0))</f>
        <v>0</v>
      </c>
      <c r="AI51" s="491">
        <f>IF(F51="",0,IF(L51="j",tabellen!$C$15*BI51,0))</f>
        <v>0</v>
      </c>
      <c r="AJ51" s="492">
        <v>0</v>
      </c>
      <c r="AK51" s="473"/>
      <c r="AL51" s="492">
        <v>0</v>
      </c>
      <c r="AM51" s="473"/>
      <c r="AN51" s="488">
        <f t="shared" si="4"/>
        <v>0</v>
      </c>
      <c r="AO51" s="488">
        <f t="shared" si="5"/>
        <v>0</v>
      </c>
      <c r="AP51" s="473"/>
      <c r="AQ51" s="493" t="str">
        <f>IF(AN51=0,"",(AN51/N51-1))</f>
        <v/>
      </c>
      <c r="AR51" s="493" t="str">
        <f t="shared" si="1"/>
        <v/>
      </c>
      <c r="AS51" s="473"/>
      <c r="AT51" s="443"/>
      <c r="AU51" s="434"/>
      <c r="AV51" s="434"/>
      <c r="AW51" s="494">
        <f ca="1">YEAR($AW$9)-YEAR(E51)</f>
        <v>121</v>
      </c>
      <c r="AX51" s="494">
        <f ca="1">MONTH($AW$9)-MONTH(E51)</f>
        <v>7</v>
      </c>
      <c r="AY51" s="494">
        <f ca="1">DAY($AW$9)-DAY(E51)</f>
        <v>5</v>
      </c>
      <c r="AZ51" s="444">
        <f>IF(AND(F51&gt;0,F51&lt;18),0,100)</f>
        <v>100</v>
      </c>
      <c r="BA51" s="444">
        <f>F51</f>
        <v>0</v>
      </c>
      <c r="BB51" s="469">
        <v>42583</v>
      </c>
      <c r="BC51" s="495">
        <f t="shared" si="10"/>
        <v>0.08</v>
      </c>
      <c r="BD51" s="496">
        <f>tabellen!$D$33</f>
        <v>0.08</v>
      </c>
      <c r="BE51" s="494">
        <f>IF(AZ51=100,0,F51)</f>
        <v>0</v>
      </c>
      <c r="BF51" s="497" t="e">
        <f>IF(U51/H51&lt;tabellen!$E$7,0,(U51-tabellen!$E$7*H51)/12*tabellen!$D$7)</f>
        <v>#DIV/0!</v>
      </c>
      <c r="BG51" s="497" t="e">
        <f>IF(U51/H51&lt;tabellen!$E$8,0,(U51-tabellen!$E$8*H51)/12*tabellen!$D$8)</f>
        <v>#DIV/0!</v>
      </c>
      <c r="BH51" s="498" t="e">
        <f t="shared" si="6"/>
        <v>#DIV/0!</v>
      </c>
      <c r="BI51" s="499" t="e">
        <v>#DIV/0!</v>
      </c>
      <c r="BJ51" s="499" t="e">
        <f>ROUND(IF(BI51&gt;tabellen!$H$12,tabellen!$H$12,BI51)*tabellen!$C$12,2)</f>
        <v>#DIV/0!</v>
      </c>
      <c r="BK51" s="499" t="e">
        <f>+'wgl tot'!BI51+'wgl tot'!BJ51</f>
        <v>#DIV/0!</v>
      </c>
      <c r="BL51" s="500">
        <f>YEAR(E51)</f>
        <v>1900</v>
      </c>
      <c r="BM51" s="500">
        <f>MONTH(E51)</f>
        <v>1</v>
      </c>
      <c r="BN51" s="494">
        <f>DAY(E51)</f>
        <v>0</v>
      </c>
      <c r="BO51" s="469">
        <f t="shared" si="7"/>
        <v>22462</v>
      </c>
      <c r="BP51" s="469">
        <f t="shared" ca="1" si="8"/>
        <v>44413.920839467595</v>
      </c>
      <c r="BQ51" s="444"/>
      <c r="BR51" s="469"/>
      <c r="BS51" s="444"/>
      <c r="BT51" s="501"/>
      <c r="BU51" s="501"/>
      <c r="BV51" s="501"/>
      <c r="BW51" s="501"/>
      <c r="BX51" s="501"/>
      <c r="BY51" s="501"/>
      <c r="BZ51" s="434"/>
      <c r="CA51" s="434"/>
    </row>
    <row r="52" spans="1:79" s="446" customFormat="1" ht="12" customHeight="1" x14ac:dyDescent="0.2">
      <c r="A52" s="434"/>
      <c r="B52" s="435"/>
      <c r="C52" s="473"/>
      <c r="D52" s="482"/>
      <c r="E52" s="483"/>
      <c r="F52" s="484"/>
      <c r="G52" s="484"/>
      <c r="H52" s="485"/>
      <c r="I52" s="524"/>
      <c r="J52" s="484"/>
      <c r="K52" s="486"/>
      <c r="L52" s="486"/>
      <c r="M52" s="487">
        <f>IF(F52="",0,(VLOOKUP('wgl tot'!F52,saltab2020aug,G52+1,FALSE)))</f>
        <v>0</v>
      </c>
      <c r="N52" s="488">
        <f t="shared" si="0"/>
        <v>0</v>
      </c>
      <c r="O52" s="473"/>
      <c r="P52" s="487">
        <f>ROUND(IF((M52+Q52)*BC52&lt;H52*tabellen!$D$31,H52*tabellen!$D$31,(M52+R52)*BC52),2)</f>
        <v>0</v>
      </c>
      <c r="Q52" s="487">
        <f>ROUND(+(M52+R52)*BD52,2)</f>
        <v>0</v>
      </c>
      <c r="R52" s="487">
        <f>ROUND(IF(J52="j",VLOOKUP(BA52,uitlooptoeslag,2,FALSE))*IF(H52&gt;1,1,H52),2)</f>
        <v>0</v>
      </c>
      <c r="S52" s="487">
        <f>VLOOKUP(BE52,eindejaarsuitkering_OOP,2,TRUE)*H52/12</f>
        <v>0</v>
      </c>
      <c r="T52" s="487">
        <f t="shared" si="11"/>
        <v>0</v>
      </c>
      <c r="U52" s="489">
        <f t="shared" si="2"/>
        <v>0</v>
      </c>
      <c r="V52" s="488">
        <f>ROUND((SUM(N52:T52)*12),0)</f>
        <v>0</v>
      </c>
      <c r="W52" s="473"/>
      <c r="X52" s="489">
        <f t="shared" si="3"/>
        <v>0</v>
      </c>
      <c r="Y52" s="490">
        <v>0</v>
      </c>
      <c r="Z52" s="473"/>
      <c r="AA52" s="487">
        <f>IF(F52="",0,(IF(U52/H52&lt;tabellen!$E$7,0,(U52-tabellen!$E$7*H52)/12)*tabellen!$C$7))</f>
        <v>0</v>
      </c>
      <c r="AB52" s="487">
        <f>IF(F52="",0,(IF(U52/H52&lt;tabellen!$E$8,0,(U52-tabellen!$E$8*H52)/12)*tabellen!$C$8))</f>
        <v>0</v>
      </c>
      <c r="AC52" s="487">
        <f>U52/12*tabellen!$C$9</f>
        <v>0</v>
      </c>
      <c r="AD52" s="487">
        <f>IF(H52=0,0,IF(BI52&gt;tabellen!$G$10/12,$G$10/12,BI52)*(tabellen!$C$10+tabellen!$C$11))</f>
        <v>0</v>
      </c>
      <c r="AE52" s="487">
        <f>IF(F52="",0,BJ52)</f>
        <v>0</v>
      </c>
      <c r="AF52" s="491">
        <f>IF(F52="",0,(IF(BI52&gt;tabellen!$G$13*H52/12,tabellen!$G$13*H52/12,BI52*tabellen!$C$13)))</f>
        <v>0</v>
      </c>
      <c r="AG52" s="473"/>
      <c r="AH52" s="491">
        <f>IF(F52="",0,IF(K52="j",tabellen!$C$14*BI52,0))</f>
        <v>0</v>
      </c>
      <c r="AI52" s="491">
        <f>IF(F52="",0,IF(L52="j",tabellen!$C$15*BI52,0))</f>
        <v>0</v>
      </c>
      <c r="AJ52" s="492">
        <v>0</v>
      </c>
      <c r="AK52" s="473"/>
      <c r="AL52" s="492">
        <v>0</v>
      </c>
      <c r="AM52" s="473"/>
      <c r="AN52" s="488">
        <f t="shared" si="4"/>
        <v>0</v>
      </c>
      <c r="AO52" s="488">
        <f t="shared" si="5"/>
        <v>0</v>
      </c>
      <c r="AP52" s="473"/>
      <c r="AQ52" s="493" t="str">
        <f>IF(AN52=0,"",(AN52/N52-1))</f>
        <v/>
      </c>
      <c r="AR52" s="493" t="str">
        <f t="shared" si="1"/>
        <v/>
      </c>
      <c r="AS52" s="473"/>
      <c r="AT52" s="443"/>
      <c r="AU52" s="434"/>
      <c r="AV52" s="434"/>
      <c r="AW52" s="494">
        <f ca="1">YEAR($AW$9)-YEAR(E52)</f>
        <v>121</v>
      </c>
      <c r="AX52" s="494">
        <f ca="1">MONTH($AW$9)-MONTH(E52)</f>
        <v>7</v>
      </c>
      <c r="AY52" s="494">
        <f ca="1">DAY($AW$9)-DAY(E52)</f>
        <v>5</v>
      </c>
      <c r="AZ52" s="444">
        <f>IF(AND(F52&gt;0,F52&lt;18),0,100)</f>
        <v>100</v>
      </c>
      <c r="BA52" s="444">
        <f>F52</f>
        <v>0</v>
      </c>
      <c r="BB52" s="469">
        <v>42583</v>
      </c>
      <c r="BC52" s="495">
        <f t="shared" si="10"/>
        <v>0.08</v>
      </c>
      <c r="BD52" s="496">
        <f>tabellen!$D$33</f>
        <v>0.08</v>
      </c>
      <c r="BE52" s="494">
        <f>IF(AZ52=100,0,F52)</f>
        <v>0</v>
      </c>
      <c r="BF52" s="497" t="e">
        <f>IF(U52/H52&lt;tabellen!$E$7,0,(U52-tabellen!$E$7*H52)/12*tabellen!$D$7)</f>
        <v>#DIV/0!</v>
      </c>
      <c r="BG52" s="497" t="e">
        <f>IF(U52/H52&lt;tabellen!$E$8,0,(U52-tabellen!$E$8*H52)/12*tabellen!$D$8)</f>
        <v>#DIV/0!</v>
      </c>
      <c r="BH52" s="498" t="e">
        <f t="shared" si="6"/>
        <v>#DIV/0!</v>
      </c>
      <c r="BI52" s="499" t="e">
        <v>#DIV/0!</v>
      </c>
      <c r="BJ52" s="499" t="e">
        <f>ROUND(IF(BI52&gt;tabellen!$H$12,tabellen!$H$12,BI52)*tabellen!$C$12,2)</f>
        <v>#DIV/0!</v>
      </c>
      <c r="BK52" s="499" t="e">
        <f>+'wgl tot'!BI52+'wgl tot'!BJ52</f>
        <v>#DIV/0!</v>
      </c>
      <c r="BL52" s="500">
        <f>YEAR(E52)</f>
        <v>1900</v>
      </c>
      <c r="BM52" s="500">
        <f>MONTH(E52)</f>
        <v>1</v>
      </c>
      <c r="BN52" s="494">
        <f>DAY(E52)</f>
        <v>0</v>
      </c>
      <c r="BO52" s="469">
        <f t="shared" si="7"/>
        <v>22462</v>
      </c>
      <c r="BP52" s="469">
        <f t="shared" ca="1" si="8"/>
        <v>44413.920839467595</v>
      </c>
      <c r="BQ52" s="444"/>
      <c r="BR52" s="469"/>
      <c r="BS52" s="444"/>
      <c r="BT52" s="501"/>
      <c r="BU52" s="501"/>
      <c r="BV52" s="501"/>
      <c r="BW52" s="501"/>
      <c r="BX52" s="501"/>
      <c r="BY52" s="501"/>
      <c r="BZ52" s="434"/>
      <c r="CA52" s="434"/>
    </row>
    <row r="53" spans="1:79" s="446" customFormat="1" ht="12" customHeight="1" x14ac:dyDescent="0.2">
      <c r="A53" s="434"/>
      <c r="B53" s="435"/>
      <c r="C53" s="473"/>
      <c r="D53" s="482"/>
      <c r="E53" s="483"/>
      <c r="F53" s="484"/>
      <c r="G53" s="484"/>
      <c r="H53" s="485"/>
      <c r="I53" s="524"/>
      <c r="J53" s="484"/>
      <c r="K53" s="486"/>
      <c r="L53" s="486"/>
      <c r="M53" s="487">
        <f>IF(F53="",0,(VLOOKUP('wgl tot'!F53,saltab2020aug,G53+1,FALSE)))</f>
        <v>0</v>
      </c>
      <c r="N53" s="488">
        <f t="shared" si="0"/>
        <v>0</v>
      </c>
      <c r="O53" s="473"/>
      <c r="P53" s="487">
        <f>ROUND(IF((M53+Q53)*BC53&lt;H53*tabellen!$D$31,H53*tabellen!$D$31,(M53+R53)*BC53),2)</f>
        <v>0</v>
      </c>
      <c r="Q53" s="487">
        <f>ROUND(+(M53+R53)*BD53,2)</f>
        <v>0</v>
      </c>
      <c r="R53" s="487">
        <f>ROUND(IF(J53="j",VLOOKUP(BA53,uitlooptoeslag,2,FALSE))*IF(H53&gt;1,1,H53),2)</f>
        <v>0</v>
      </c>
      <c r="S53" s="487">
        <f>VLOOKUP(BE53,eindejaarsuitkering_OOP,2,TRUE)*H53/12</f>
        <v>0</v>
      </c>
      <c r="T53" s="487">
        <f t="shared" si="11"/>
        <v>0</v>
      </c>
      <c r="U53" s="489">
        <f t="shared" si="2"/>
        <v>0</v>
      </c>
      <c r="V53" s="488">
        <f>ROUND((SUM(N53:T53)*12),0)</f>
        <v>0</v>
      </c>
      <c r="W53" s="473"/>
      <c r="X53" s="489">
        <f t="shared" si="3"/>
        <v>0</v>
      </c>
      <c r="Y53" s="490">
        <v>0</v>
      </c>
      <c r="Z53" s="473"/>
      <c r="AA53" s="487">
        <f>IF(F53="",0,(IF(U53/H53&lt;tabellen!$E$7,0,(U53-tabellen!$E$7*H53)/12)*tabellen!$C$7))</f>
        <v>0</v>
      </c>
      <c r="AB53" s="487">
        <f>IF(F53="",0,(IF(U53/H53&lt;tabellen!$E$8,0,(U53-tabellen!$E$8*H53)/12)*tabellen!$C$8))</f>
        <v>0</v>
      </c>
      <c r="AC53" s="487">
        <f>U53/12*tabellen!$C$9</f>
        <v>0</v>
      </c>
      <c r="AD53" s="487">
        <f>IF(H53=0,0,IF(BI53&gt;tabellen!$G$10/12,$G$10/12,BI53)*(tabellen!$C$10+tabellen!$C$11))</f>
        <v>0</v>
      </c>
      <c r="AE53" s="487">
        <f>IF(F53="",0,BJ53)</f>
        <v>0</v>
      </c>
      <c r="AF53" s="491">
        <f>IF(F53="",0,(IF(BI53&gt;tabellen!$G$13*H53/12,tabellen!$G$13*H53/12,BI53*tabellen!$C$13)))</f>
        <v>0</v>
      </c>
      <c r="AG53" s="473"/>
      <c r="AH53" s="491">
        <f>IF(F53="",0,IF(K53="j",tabellen!$C$14*BI53,0))</f>
        <v>0</v>
      </c>
      <c r="AI53" s="491">
        <f>IF(F53="",0,IF(L53="j",tabellen!$C$15*BI53,0))</f>
        <v>0</v>
      </c>
      <c r="AJ53" s="492">
        <v>0</v>
      </c>
      <c r="AK53" s="473"/>
      <c r="AL53" s="492">
        <v>0</v>
      </c>
      <c r="AM53" s="473"/>
      <c r="AN53" s="488">
        <f t="shared" si="4"/>
        <v>0</v>
      </c>
      <c r="AO53" s="488">
        <f t="shared" si="5"/>
        <v>0</v>
      </c>
      <c r="AP53" s="473"/>
      <c r="AQ53" s="493" t="str">
        <f>IF(AN53=0,"",(AN53/N53-1))</f>
        <v/>
      </c>
      <c r="AR53" s="493" t="str">
        <f t="shared" si="1"/>
        <v/>
      </c>
      <c r="AS53" s="473"/>
      <c r="AT53" s="443"/>
      <c r="AU53" s="434"/>
      <c r="AV53" s="434"/>
      <c r="AW53" s="494">
        <f ca="1">YEAR($AW$9)-YEAR(E53)</f>
        <v>121</v>
      </c>
      <c r="AX53" s="494">
        <f ca="1">MONTH($AW$9)-MONTH(E53)</f>
        <v>7</v>
      </c>
      <c r="AY53" s="494">
        <f ca="1">DAY($AW$9)-DAY(E53)</f>
        <v>5</v>
      </c>
      <c r="AZ53" s="444">
        <f>IF(AND(F53&gt;0,F53&lt;18),0,100)</f>
        <v>100</v>
      </c>
      <c r="BA53" s="444">
        <f>F53</f>
        <v>0</v>
      </c>
      <c r="BB53" s="469">
        <v>42583</v>
      </c>
      <c r="BC53" s="495">
        <f t="shared" si="10"/>
        <v>0.08</v>
      </c>
      <c r="BD53" s="496">
        <f>tabellen!$D$33</f>
        <v>0.08</v>
      </c>
      <c r="BE53" s="494">
        <f>IF(AZ53=100,0,F53)</f>
        <v>0</v>
      </c>
      <c r="BF53" s="497" t="e">
        <f>IF(U53/H53&lt;tabellen!$E$7,0,(U53-tabellen!$E$7*H53)/12*tabellen!$D$7)</f>
        <v>#DIV/0!</v>
      </c>
      <c r="BG53" s="497" t="e">
        <f>IF(U53/H53&lt;tabellen!$E$8,0,(U53-tabellen!$E$8*H53)/12*tabellen!$D$8)</f>
        <v>#DIV/0!</v>
      </c>
      <c r="BH53" s="498" t="e">
        <f t="shared" si="6"/>
        <v>#DIV/0!</v>
      </c>
      <c r="BI53" s="499" t="e">
        <v>#DIV/0!</v>
      </c>
      <c r="BJ53" s="499" t="e">
        <f>ROUND(IF(BI53&gt;tabellen!$H$12,tabellen!$H$12,BI53)*tabellen!$C$12,2)</f>
        <v>#DIV/0!</v>
      </c>
      <c r="BK53" s="499" t="e">
        <f>+'wgl tot'!BI53+'wgl tot'!BJ53</f>
        <v>#DIV/0!</v>
      </c>
      <c r="BL53" s="500">
        <f>YEAR(E53)</f>
        <v>1900</v>
      </c>
      <c r="BM53" s="500">
        <f>MONTH(E53)</f>
        <v>1</v>
      </c>
      <c r="BN53" s="494">
        <f>DAY(E53)</f>
        <v>0</v>
      </c>
      <c r="BO53" s="469">
        <f t="shared" si="7"/>
        <v>22462</v>
      </c>
      <c r="BP53" s="469">
        <f t="shared" ca="1" si="8"/>
        <v>44413.920839467595</v>
      </c>
      <c r="BQ53" s="444"/>
      <c r="BR53" s="469"/>
      <c r="BS53" s="444"/>
      <c r="BT53" s="501"/>
      <c r="BU53" s="501"/>
      <c r="BV53" s="501"/>
      <c r="BW53" s="501"/>
      <c r="BX53" s="501"/>
      <c r="BY53" s="501"/>
      <c r="BZ53" s="434"/>
      <c r="CA53" s="434"/>
    </row>
    <row r="54" spans="1:79" s="446" customFormat="1" ht="12" customHeight="1" x14ac:dyDescent="0.2">
      <c r="A54" s="434"/>
      <c r="B54" s="435"/>
      <c r="C54" s="473"/>
      <c r="D54" s="482"/>
      <c r="E54" s="483"/>
      <c r="F54" s="484"/>
      <c r="G54" s="484"/>
      <c r="H54" s="485"/>
      <c r="I54" s="524"/>
      <c r="J54" s="484"/>
      <c r="K54" s="486"/>
      <c r="L54" s="486"/>
      <c r="M54" s="487">
        <f>IF(F54="",0,(VLOOKUP('wgl tot'!F54,saltab2020aug,G54+1,FALSE)))</f>
        <v>0</v>
      </c>
      <c r="N54" s="488">
        <f t="shared" si="0"/>
        <v>0</v>
      </c>
      <c r="O54" s="473"/>
      <c r="P54" s="487">
        <f>ROUND(IF((M54+Q54)*BC54&lt;H54*tabellen!$D$31,H54*tabellen!$D$31,(M54+R54)*BC54),2)</f>
        <v>0</v>
      </c>
      <c r="Q54" s="487">
        <f>ROUND(+(M54+R54)*BD54,2)</f>
        <v>0</v>
      </c>
      <c r="R54" s="487">
        <f>ROUND(IF(J54="j",VLOOKUP(BA54,uitlooptoeslag,2,FALSE))*IF(H54&gt;1,1,H54),2)</f>
        <v>0</v>
      </c>
      <c r="S54" s="487">
        <f>VLOOKUP(BE54,eindejaarsuitkering_OOP,2,TRUE)*H54/12</f>
        <v>0</v>
      </c>
      <c r="T54" s="487">
        <f t="shared" si="11"/>
        <v>0</v>
      </c>
      <c r="U54" s="489">
        <f t="shared" si="2"/>
        <v>0</v>
      </c>
      <c r="V54" s="488">
        <f>ROUND((SUM(N54:T54)*12),0)</f>
        <v>0</v>
      </c>
      <c r="W54" s="473"/>
      <c r="X54" s="489">
        <f t="shared" si="3"/>
        <v>0</v>
      </c>
      <c r="Y54" s="490">
        <v>0</v>
      </c>
      <c r="Z54" s="473"/>
      <c r="AA54" s="487">
        <f>IF(F54="",0,(IF(U54/H54&lt;tabellen!$E$7,0,(U54-tabellen!$E$7*H54)/12)*tabellen!$C$7))</f>
        <v>0</v>
      </c>
      <c r="AB54" s="487">
        <f>IF(F54="",0,(IF(U54/H54&lt;tabellen!$E$8,0,(U54-tabellen!$E$8*H54)/12)*tabellen!$C$8))</f>
        <v>0</v>
      </c>
      <c r="AC54" s="487">
        <f>U54/12*tabellen!$C$9</f>
        <v>0</v>
      </c>
      <c r="AD54" s="487">
        <f>IF(H54=0,0,IF(BI54&gt;tabellen!$G$10/12,$G$10/12,BI54)*(tabellen!$C$10+tabellen!$C$11))</f>
        <v>0</v>
      </c>
      <c r="AE54" s="487">
        <f>IF(F54="",0,BJ54)</f>
        <v>0</v>
      </c>
      <c r="AF54" s="491">
        <f>IF(F54="",0,(IF(BI54&gt;tabellen!$G$13*H54/12,tabellen!$G$13*H54/12,BI54*tabellen!$C$13)))</f>
        <v>0</v>
      </c>
      <c r="AG54" s="473"/>
      <c r="AH54" s="491">
        <f>IF(F54="",0,IF(K54="j",tabellen!$C$14*BI54,0))</f>
        <v>0</v>
      </c>
      <c r="AI54" s="491">
        <f>IF(F54="",0,IF(L54="j",tabellen!$C$15*BI54,0))</f>
        <v>0</v>
      </c>
      <c r="AJ54" s="492">
        <v>0</v>
      </c>
      <c r="AK54" s="473"/>
      <c r="AL54" s="492">
        <v>0</v>
      </c>
      <c r="AM54" s="473"/>
      <c r="AN54" s="488">
        <f t="shared" si="4"/>
        <v>0</v>
      </c>
      <c r="AO54" s="488">
        <f t="shared" si="5"/>
        <v>0</v>
      </c>
      <c r="AP54" s="473"/>
      <c r="AQ54" s="493" t="str">
        <f>IF(AN54=0,"",(AN54/N54-1))</f>
        <v/>
      </c>
      <c r="AR54" s="493" t="str">
        <f t="shared" si="1"/>
        <v/>
      </c>
      <c r="AS54" s="473"/>
      <c r="AT54" s="443"/>
      <c r="AU54" s="434"/>
      <c r="AV54" s="434"/>
      <c r="AW54" s="494">
        <f ca="1">YEAR($AW$9)-YEAR(E54)</f>
        <v>121</v>
      </c>
      <c r="AX54" s="494">
        <f ca="1">MONTH($AW$9)-MONTH(E54)</f>
        <v>7</v>
      </c>
      <c r="AY54" s="494">
        <f ca="1">DAY($AW$9)-DAY(E54)</f>
        <v>5</v>
      </c>
      <c r="AZ54" s="444">
        <f>IF(AND(F54&gt;0,F54&lt;18),0,100)</f>
        <v>100</v>
      </c>
      <c r="BA54" s="444">
        <f>F54</f>
        <v>0</v>
      </c>
      <c r="BB54" s="469">
        <v>42583</v>
      </c>
      <c r="BC54" s="495">
        <f t="shared" si="10"/>
        <v>0.08</v>
      </c>
      <c r="BD54" s="496">
        <f>tabellen!$D$33</f>
        <v>0.08</v>
      </c>
      <c r="BE54" s="494">
        <f>IF(AZ54=100,0,F54)</f>
        <v>0</v>
      </c>
      <c r="BF54" s="497" t="e">
        <f>IF(U54/H54&lt;tabellen!$E$7,0,(U54-tabellen!$E$7*H54)/12*tabellen!$D$7)</f>
        <v>#DIV/0!</v>
      </c>
      <c r="BG54" s="497" t="e">
        <f>IF(U54/H54&lt;tabellen!$E$8,0,(U54-tabellen!$E$8*H54)/12*tabellen!$D$8)</f>
        <v>#DIV/0!</v>
      </c>
      <c r="BH54" s="498" t="e">
        <f t="shared" si="6"/>
        <v>#DIV/0!</v>
      </c>
      <c r="BI54" s="499" t="e">
        <v>#DIV/0!</v>
      </c>
      <c r="BJ54" s="499" t="e">
        <f>ROUND(IF(BI54&gt;tabellen!$H$12,tabellen!$H$12,BI54)*tabellen!$C$12,2)</f>
        <v>#DIV/0!</v>
      </c>
      <c r="BK54" s="499" t="e">
        <f>+'wgl tot'!BI54+'wgl tot'!BJ54</f>
        <v>#DIV/0!</v>
      </c>
      <c r="BL54" s="500">
        <f>YEAR(E54)</f>
        <v>1900</v>
      </c>
      <c r="BM54" s="500">
        <f>MONTH(E54)</f>
        <v>1</v>
      </c>
      <c r="BN54" s="494">
        <f>DAY(E54)</f>
        <v>0</v>
      </c>
      <c r="BO54" s="469">
        <f t="shared" si="7"/>
        <v>22462</v>
      </c>
      <c r="BP54" s="469">
        <f t="shared" ca="1" si="8"/>
        <v>44413.920839467595</v>
      </c>
      <c r="BQ54" s="444"/>
      <c r="BR54" s="469"/>
      <c r="BS54" s="444"/>
      <c r="BT54" s="501"/>
      <c r="BU54" s="501"/>
      <c r="BV54" s="501"/>
      <c r="BW54" s="501"/>
      <c r="BX54" s="501"/>
      <c r="BY54" s="501"/>
      <c r="BZ54" s="434"/>
      <c r="CA54" s="434"/>
    </row>
    <row r="55" spans="1:79" s="446" customFormat="1" ht="12" customHeight="1" x14ac:dyDescent="0.2">
      <c r="A55" s="434"/>
      <c r="B55" s="435"/>
      <c r="C55" s="473"/>
      <c r="D55" s="482"/>
      <c r="E55" s="483"/>
      <c r="F55" s="484"/>
      <c r="G55" s="484"/>
      <c r="H55" s="485"/>
      <c r="I55" s="524"/>
      <c r="J55" s="484"/>
      <c r="K55" s="486"/>
      <c r="L55" s="486"/>
      <c r="M55" s="487">
        <f>IF(F55="",0,(VLOOKUP('wgl tot'!F55,saltab2020aug,G55+1,FALSE)))</f>
        <v>0</v>
      </c>
      <c r="N55" s="488">
        <f t="shared" si="0"/>
        <v>0</v>
      </c>
      <c r="O55" s="473"/>
      <c r="P55" s="487">
        <f>ROUND(IF((M55+Q55)*BC55&lt;H55*tabellen!$D$31,H55*tabellen!$D$31,(M55+R55)*BC55),2)</f>
        <v>0</v>
      </c>
      <c r="Q55" s="487">
        <f>ROUND(+(M55+R55)*BD55,2)</f>
        <v>0</v>
      </c>
      <c r="R55" s="487">
        <f>ROUND(IF(J55="j",VLOOKUP(BA55,uitlooptoeslag,2,FALSE))*IF(H55&gt;1,1,H55),2)</f>
        <v>0</v>
      </c>
      <c r="S55" s="487">
        <f>VLOOKUP(BE55,eindejaarsuitkering_OOP,2,TRUE)*H55/12</f>
        <v>0</v>
      </c>
      <c r="T55" s="487">
        <f t="shared" si="11"/>
        <v>0</v>
      </c>
      <c r="U55" s="489">
        <f t="shared" si="2"/>
        <v>0</v>
      </c>
      <c r="V55" s="488">
        <f>ROUND((SUM(N55:T55)*12),0)</f>
        <v>0</v>
      </c>
      <c r="W55" s="473"/>
      <c r="X55" s="489">
        <f t="shared" si="3"/>
        <v>0</v>
      </c>
      <c r="Y55" s="490">
        <v>0</v>
      </c>
      <c r="Z55" s="473"/>
      <c r="AA55" s="487">
        <f>IF(F55="",0,(IF(U55/H55&lt;tabellen!$E$7,0,(U55-tabellen!$E$7*H55)/12)*tabellen!$C$7))</f>
        <v>0</v>
      </c>
      <c r="AB55" s="487">
        <f>IF(F55="",0,(IF(U55/H55&lt;tabellen!$E$8,0,(U55-tabellen!$E$8*H55)/12)*tabellen!$C$8))</f>
        <v>0</v>
      </c>
      <c r="AC55" s="487">
        <f>U55/12*tabellen!$C$9</f>
        <v>0</v>
      </c>
      <c r="AD55" s="487">
        <f>IF(H55=0,0,IF(BI55&gt;tabellen!$G$10/12,$G$10/12,BI55)*(tabellen!$C$10+tabellen!$C$11))</f>
        <v>0</v>
      </c>
      <c r="AE55" s="487">
        <f>IF(F55="",0,BJ55)</f>
        <v>0</v>
      </c>
      <c r="AF55" s="491">
        <f>IF(F55="",0,(IF(BI55&gt;tabellen!$G$13*H55/12,tabellen!$G$13*H55/12,BI55*tabellen!$C$13)))</f>
        <v>0</v>
      </c>
      <c r="AG55" s="473"/>
      <c r="AH55" s="491">
        <f>IF(F55="",0,IF(K55="j",tabellen!$C$14*BI55,0))</f>
        <v>0</v>
      </c>
      <c r="AI55" s="491">
        <f>IF(F55="",0,IF(L55="j",tabellen!$C$15*BI55,0))</f>
        <v>0</v>
      </c>
      <c r="AJ55" s="492">
        <v>0</v>
      </c>
      <c r="AK55" s="473"/>
      <c r="AL55" s="492">
        <v>0</v>
      </c>
      <c r="AM55" s="473"/>
      <c r="AN55" s="488">
        <f t="shared" si="4"/>
        <v>0</v>
      </c>
      <c r="AO55" s="488">
        <f t="shared" si="5"/>
        <v>0</v>
      </c>
      <c r="AP55" s="473"/>
      <c r="AQ55" s="493" t="str">
        <f>IF(AN55=0,"",(AN55/N55-1))</f>
        <v/>
      </c>
      <c r="AR55" s="493" t="str">
        <f t="shared" si="1"/>
        <v/>
      </c>
      <c r="AS55" s="473"/>
      <c r="AT55" s="443"/>
      <c r="AU55" s="434"/>
      <c r="AV55" s="434"/>
      <c r="AW55" s="494">
        <f ca="1">YEAR($AW$9)-YEAR(E55)</f>
        <v>121</v>
      </c>
      <c r="AX55" s="494">
        <f ca="1">MONTH($AW$9)-MONTH(E55)</f>
        <v>7</v>
      </c>
      <c r="AY55" s="494">
        <f ca="1">DAY($AW$9)-DAY(E55)</f>
        <v>5</v>
      </c>
      <c r="AZ55" s="444">
        <f>IF(AND(F55&gt;0,F55&lt;18),0,100)</f>
        <v>100</v>
      </c>
      <c r="BA55" s="444">
        <f>F55</f>
        <v>0</v>
      </c>
      <c r="BB55" s="469">
        <v>42583</v>
      </c>
      <c r="BC55" s="495">
        <f t="shared" si="10"/>
        <v>0.08</v>
      </c>
      <c r="BD55" s="496">
        <f>tabellen!$D$33</f>
        <v>0.08</v>
      </c>
      <c r="BE55" s="494">
        <f>IF(AZ55=100,0,F55)</f>
        <v>0</v>
      </c>
      <c r="BF55" s="497" t="e">
        <f>IF(U55/H55&lt;tabellen!$E$7,0,(U55-tabellen!$E$7*H55)/12*tabellen!$D$7)</f>
        <v>#DIV/0!</v>
      </c>
      <c r="BG55" s="497" t="e">
        <f>IF(U55/H55&lt;tabellen!$E$8,0,(U55-tabellen!$E$8*H55)/12*tabellen!$D$8)</f>
        <v>#DIV/0!</v>
      </c>
      <c r="BH55" s="498" t="e">
        <f t="shared" si="6"/>
        <v>#DIV/0!</v>
      </c>
      <c r="BI55" s="499" t="e">
        <v>#DIV/0!</v>
      </c>
      <c r="BJ55" s="499" t="e">
        <f>ROUND(IF(BI55&gt;tabellen!$H$12,tabellen!$H$12,BI55)*tabellen!$C$12,2)</f>
        <v>#DIV/0!</v>
      </c>
      <c r="BK55" s="499" t="e">
        <f>+'wgl tot'!BI55+'wgl tot'!BJ55</f>
        <v>#DIV/0!</v>
      </c>
      <c r="BL55" s="500">
        <f>YEAR(E55)</f>
        <v>1900</v>
      </c>
      <c r="BM55" s="500">
        <f>MONTH(E55)</f>
        <v>1</v>
      </c>
      <c r="BN55" s="494">
        <f>DAY(E55)</f>
        <v>0</v>
      </c>
      <c r="BO55" s="469">
        <f t="shared" si="7"/>
        <v>22462</v>
      </c>
      <c r="BP55" s="469">
        <f t="shared" ca="1" si="8"/>
        <v>44413.920839467595</v>
      </c>
      <c r="BQ55" s="444"/>
      <c r="BR55" s="469"/>
      <c r="BS55" s="444"/>
      <c r="BT55" s="501"/>
      <c r="BU55" s="501"/>
      <c r="BV55" s="501"/>
      <c r="BW55" s="501"/>
      <c r="BX55" s="501"/>
      <c r="BY55" s="501"/>
      <c r="BZ55" s="434"/>
      <c r="CA55" s="434"/>
    </row>
    <row r="56" spans="1:79" s="446" customFormat="1" ht="12" customHeight="1" x14ac:dyDescent="0.2">
      <c r="A56" s="434"/>
      <c r="B56" s="435"/>
      <c r="C56" s="473"/>
      <c r="D56" s="482"/>
      <c r="E56" s="483"/>
      <c r="F56" s="484"/>
      <c r="G56" s="484"/>
      <c r="H56" s="485"/>
      <c r="I56" s="524"/>
      <c r="J56" s="484"/>
      <c r="K56" s="486"/>
      <c r="L56" s="486"/>
      <c r="M56" s="487">
        <f>IF(F56="",0,(VLOOKUP('wgl tot'!F56,saltab2020aug,G56+1,FALSE)))</f>
        <v>0</v>
      </c>
      <c r="N56" s="488">
        <f t="shared" si="0"/>
        <v>0</v>
      </c>
      <c r="O56" s="473"/>
      <c r="P56" s="487">
        <f>ROUND(IF((M56+Q56)*BC56&lt;H56*tabellen!$D$31,H56*tabellen!$D$31,(M56+R56)*BC56),2)</f>
        <v>0</v>
      </c>
      <c r="Q56" s="487">
        <f>ROUND(+(M56+R56)*BD56,2)</f>
        <v>0</v>
      </c>
      <c r="R56" s="487">
        <f>ROUND(IF(J56="j",VLOOKUP(BA56,uitlooptoeslag,2,FALSE))*IF(H56&gt;1,1,H56),2)</f>
        <v>0</v>
      </c>
      <c r="S56" s="487">
        <f>VLOOKUP(BE56,eindejaarsuitkering_OOP,2,TRUE)*H56/12</f>
        <v>0</v>
      </c>
      <c r="T56" s="487">
        <f t="shared" si="11"/>
        <v>0</v>
      </c>
      <c r="U56" s="489">
        <f t="shared" si="2"/>
        <v>0</v>
      </c>
      <c r="V56" s="488">
        <f>ROUND((SUM(N56:T56)*12),0)</f>
        <v>0</v>
      </c>
      <c r="W56" s="473"/>
      <c r="X56" s="489">
        <f t="shared" si="3"/>
        <v>0</v>
      </c>
      <c r="Y56" s="490">
        <v>0</v>
      </c>
      <c r="Z56" s="473"/>
      <c r="AA56" s="487">
        <f>IF(F56="",0,(IF(U56/H56&lt;tabellen!$E$7,0,(U56-tabellen!$E$7*H56)/12)*tabellen!$C$7))</f>
        <v>0</v>
      </c>
      <c r="AB56" s="487">
        <f>IF(F56="",0,(IF(U56/H56&lt;tabellen!$E$8,0,(U56-tabellen!$E$8*H56)/12)*tabellen!$C$8))</f>
        <v>0</v>
      </c>
      <c r="AC56" s="487">
        <f>U56/12*tabellen!$C$9</f>
        <v>0</v>
      </c>
      <c r="AD56" s="487">
        <f>IF(H56=0,0,IF(BI56&gt;tabellen!$G$10/12,$G$10/12,BI56)*(tabellen!$C$10+tabellen!$C$11))</f>
        <v>0</v>
      </c>
      <c r="AE56" s="487">
        <f>IF(F56="",0,BJ56)</f>
        <v>0</v>
      </c>
      <c r="AF56" s="491">
        <f>IF(F56="",0,(IF(BI56&gt;tabellen!$G$13*H56/12,tabellen!$G$13*H56/12,BI56*tabellen!$C$13)))</f>
        <v>0</v>
      </c>
      <c r="AG56" s="473"/>
      <c r="AH56" s="491">
        <f>IF(F56="",0,IF(K56="j",tabellen!$C$14*BI56,0))</f>
        <v>0</v>
      </c>
      <c r="AI56" s="491">
        <f>IF(F56="",0,IF(L56="j",tabellen!$C$15*BI56,0))</f>
        <v>0</v>
      </c>
      <c r="AJ56" s="492">
        <v>0</v>
      </c>
      <c r="AK56" s="473"/>
      <c r="AL56" s="492">
        <v>0</v>
      </c>
      <c r="AM56" s="473"/>
      <c r="AN56" s="488">
        <f t="shared" si="4"/>
        <v>0</v>
      </c>
      <c r="AO56" s="488">
        <f t="shared" si="5"/>
        <v>0</v>
      </c>
      <c r="AP56" s="473"/>
      <c r="AQ56" s="493" t="str">
        <f>IF(AN56=0,"",(AN56/N56-1))</f>
        <v/>
      </c>
      <c r="AR56" s="493" t="str">
        <f t="shared" si="1"/>
        <v/>
      </c>
      <c r="AS56" s="473"/>
      <c r="AT56" s="443"/>
      <c r="AU56" s="434"/>
      <c r="AV56" s="434"/>
      <c r="AW56" s="494">
        <f ca="1">YEAR($AW$9)-YEAR(E56)</f>
        <v>121</v>
      </c>
      <c r="AX56" s="494">
        <f ca="1">MONTH($AW$9)-MONTH(E56)</f>
        <v>7</v>
      </c>
      <c r="AY56" s="494">
        <f ca="1">DAY($AW$9)-DAY(E56)</f>
        <v>5</v>
      </c>
      <c r="AZ56" s="444">
        <f>IF(AND(F56&gt;0,F56&lt;18),0,100)</f>
        <v>100</v>
      </c>
      <c r="BA56" s="444">
        <f>F56</f>
        <v>0</v>
      </c>
      <c r="BB56" s="469">
        <v>42583</v>
      </c>
      <c r="BC56" s="495">
        <f t="shared" si="10"/>
        <v>0.08</v>
      </c>
      <c r="BD56" s="496">
        <f>tabellen!$D$33</f>
        <v>0.08</v>
      </c>
      <c r="BE56" s="494">
        <f>IF(AZ56=100,0,F56)</f>
        <v>0</v>
      </c>
      <c r="BF56" s="497" t="e">
        <f>IF(U56/H56&lt;tabellen!$E$7,0,(U56-tabellen!$E$7*H56)/12*tabellen!$D$7)</f>
        <v>#DIV/0!</v>
      </c>
      <c r="BG56" s="497" t="e">
        <f>IF(U56/H56&lt;tabellen!$E$8,0,(U56-tabellen!$E$8*H56)/12*tabellen!$D$8)</f>
        <v>#DIV/0!</v>
      </c>
      <c r="BH56" s="498" t="e">
        <f t="shared" si="6"/>
        <v>#DIV/0!</v>
      </c>
      <c r="BI56" s="499" t="e">
        <v>#DIV/0!</v>
      </c>
      <c r="BJ56" s="499" t="e">
        <f>ROUND(IF(BI56&gt;tabellen!$H$12,tabellen!$H$12,BI56)*tabellen!$C$12,2)</f>
        <v>#DIV/0!</v>
      </c>
      <c r="BK56" s="499" t="e">
        <f>+'wgl tot'!BI56+'wgl tot'!BJ56</f>
        <v>#DIV/0!</v>
      </c>
      <c r="BL56" s="500">
        <f>YEAR(E56)</f>
        <v>1900</v>
      </c>
      <c r="BM56" s="500">
        <f>MONTH(E56)</f>
        <v>1</v>
      </c>
      <c r="BN56" s="494">
        <f>DAY(E56)</f>
        <v>0</v>
      </c>
      <c r="BO56" s="469">
        <f t="shared" si="7"/>
        <v>22462</v>
      </c>
      <c r="BP56" s="469">
        <f t="shared" ca="1" si="8"/>
        <v>44413.920839467595</v>
      </c>
      <c r="BQ56" s="444"/>
      <c r="BR56" s="469"/>
      <c r="BS56" s="444"/>
      <c r="BT56" s="501"/>
      <c r="BU56" s="501"/>
      <c r="BV56" s="501"/>
      <c r="BW56" s="501"/>
      <c r="BX56" s="501"/>
      <c r="BY56" s="501"/>
      <c r="BZ56" s="434"/>
      <c r="CA56" s="434"/>
    </row>
    <row r="57" spans="1:79" s="446" customFormat="1" ht="12" customHeight="1" x14ac:dyDescent="0.2">
      <c r="A57" s="434"/>
      <c r="B57" s="435"/>
      <c r="C57" s="473"/>
      <c r="D57" s="482"/>
      <c r="E57" s="483"/>
      <c r="F57" s="484"/>
      <c r="G57" s="484"/>
      <c r="H57" s="485"/>
      <c r="I57" s="524"/>
      <c r="J57" s="484"/>
      <c r="K57" s="486"/>
      <c r="L57" s="486"/>
      <c r="M57" s="487">
        <f>IF(F57="",0,(VLOOKUP('wgl tot'!F57,saltab2020aug,G57+1,FALSE)))</f>
        <v>0</v>
      </c>
      <c r="N57" s="488">
        <f t="shared" si="0"/>
        <v>0</v>
      </c>
      <c r="O57" s="473"/>
      <c r="P57" s="487">
        <f>ROUND(IF((M57+Q57)*BC57&lt;H57*tabellen!$D$31,H57*tabellen!$D$31,(M57+R57)*BC57),2)</f>
        <v>0</v>
      </c>
      <c r="Q57" s="487">
        <f>ROUND(+(M57+R57)*BD57,2)</f>
        <v>0</v>
      </c>
      <c r="R57" s="487">
        <f>ROUND(IF(J57="j",VLOOKUP(BA57,uitlooptoeslag,2,FALSE))*IF(H57&gt;1,1,H57),2)</f>
        <v>0</v>
      </c>
      <c r="S57" s="487">
        <f>VLOOKUP(BE57,eindejaarsuitkering_OOP,2,TRUE)*H57/12</f>
        <v>0</v>
      </c>
      <c r="T57" s="487">
        <f t="shared" si="11"/>
        <v>0</v>
      </c>
      <c r="U57" s="489">
        <f t="shared" si="2"/>
        <v>0</v>
      </c>
      <c r="V57" s="488">
        <f>ROUND((SUM(N57:T57)*12),0)</f>
        <v>0</v>
      </c>
      <c r="W57" s="473"/>
      <c r="X57" s="489">
        <f t="shared" si="3"/>
        <v>0</v>
      </c>
      <c r="Y57" s="490">
        <v>0</v>
      </c>
      <c r="Z57" s="473"/>
      <c r="AA57" s="487">
        <f>IF(F57="",0,(IF(U57/H57&lt;tabellen!$E$7,0,(U57-tabellen!$E$7*H57)/12)*tabellen!$C$7))</f>
        <v>0</v>
      </c>
      <c r="AB57" s="487">
        <f>IF(F57="",0,(IF(U57/H57&lt;tabellen!$E$8,0,(U57-tabellen!$E$8*H57)/12)*tabellen!$C$8))</f>
        <v>0</v>
      </c>
      <c r="AC57" s="487">
        <f>U57/12*tabellen!$C$9</f>
        <v>0</v>
      </c>
      <c r="AD57" s="487">
        <f>IF(H57=0,0,IF(BI57&gt;tabellen!$G$10/12,$G$10/12,BI57)*(tabellen!$C$10+tabellen!$C$11))</f>
        <v>0</v>
      </c>
      <c r="AE57" s="487">
        <f>IF(F57="",0,BJ57)</f>
        <v>0</v>
      </c>
      <c r="AF57" s="491">
        <f>IF(F57="",0,(IF(BI57&gt;tabellen!$G$13*H57/12,tabellen!$G$13*H57/12,BI57*tabellen!$C$13)))</f>
        <v>0</v>
      </c>
      <c r="AG57" s="473"/>
      <c r="AH57" s="491">
        <f>IF(F57="",0,IF(K57="j",tabellen!$C$14*BI57,0))</f>
        <v>0</v>
      </c>
      <c r="AI57" s="491">
        <f>IF(F57="",0,IF(L57="j",tabellen!$C$15*BI57,0))</f>
        <v>0</v>
      </c>
      <c r="AJ57" s="492">
        <v>0</v>
      </c>
      <c r="AK57" s="473"/>
      <c r="AL57" s="492">
        <v>0</v>
      </c>
      <c r="AM57" s="473"/>
      <c r="AN57" s="488">
        <f t="shared" si="4"/>
        <v>0</v>
      </c>
      <c r="AO57" s="488">
        <f t="shared" si="5"/>
        <v>0</v>
      </c>
      <c r="AP57" s="473"/>
      <c r="AQ57" s="493" t="str">
        <f>IF(AN57=0,"",(AN57/N57-1))</f>
        <v/>
      </c>
      <c r="AR57" s="493" t="str">
        <f t="shared" si="1"/>
        <v/>
      </c>
      <c r="AS57" s="473"/>
      <c r="AT57" s="443"/>
      <c r="AU57" s="434"/>
      <c r="AV57" s="434"/>
      <c r="AW57" s="494">
        <f ca="1">YEAR($AW$9)-YEAR(E57)</f>
        <v>121</v>
      </c>
      <c r="AX57" s="494">
        <f ca="1">MONTH($AW$9)-MONTH(E57)</f>
        <v>7</v>
      </c>
      <c r="AY57" s="494">
        <f ca="1">DAY($AW$9)-DAY(E57)</f>
        <v>5</v>
      </c>
      <c r="AZ57" s="444">
        <f>IF(AND(F57&gt;0,F57&lt;18),0,100)</f>
        <v>100</v>
      </c>
      <c r="BA57" s="444">
        <f>F57</f>
        <v>0</v>
      </c>
      <c r="BB57" s="469">
        <v>42583</v>
      </c>
      <c r="BC57" s="495">
        <f t="shared" si="10"/>
        <v>0.08</v>
      </c>
      <c r="BD57" s="496">
        <f>tabellen!$D$33</f>
        <v>0.08</v>
      </c>
      <c r="BE57" s="494">
        <f>IF(AZ57=100,0,F57)</f>
        <v>0</v>
      </c>
      <c r="BF57" s="497" t="e">
        <f>IF(U57/H57&lt;tabellen!$E$7,0,(U57-tabellen!$E$7*H57)/12*tabellen!$D$7)</f>
        <v>#DIV/0!</v>
      </c>
      <c r="BG57" s="497" t="e">
        <f>IF(U57/H57&lt;tabellen!$E$8,0,(U57-tabellen!$E$8*H57)/12*tabellen!$D$8)</f>
        <v>#DIV/0!</v>
      </c>
      <c r="BH57" s="498" t="e">
        <f t="shared" si="6"/>
        <v>#DIV/0!</v>
      </c>
      <c r="BI57" s="499" t="e">
        <v>#DIV/0!</v>
      </c>
      <c r="BJ57" s="499" t="e">
        <f>ROUND(IF(BI57&gt;tabellen!$H$12,tabellen!$H$12,BI57)*tabellen!$C$12,2)</f>
        <v>#DIV/0!</v>
      </c>
      <c r="BK57" s="499" t="e">
        <f>+'wgl tot'!BI57+'wgl tot'!BJ57</f>
        <v>#DIV/0!</v>
      </c>
      <c r="BL57" s="500">
        <f>YEAR(E57)</f>
        <v>1900</v>
      </c>
      <c r="BM57" s="500">
        <f>MONTH(E57)</f>
        <v>1</v>
      </c>
      <c r="BN57" s="494">
        <f>DAY(E57)</f>
        <v>0</v>
      </c>
      <c r="BO57" s="469">
        <f t="shared" si="7"/>
        <v>22462</v>
      </c>
      <c r="BP57" s="469">
        <f t="shared" ca="1" si="8"/>
        <v>44413.920839467595</v>
      </c>
      <c r="BQ57" s="444"/>
      <c r="BR57" s="469"/>
      <c r="BS57" s="444"/>
      <c r="BT57" s="501"/>
      <c r="BU57" s="501"/>
      <c r="BV57" s="501"/>
      <c r="BW57" s="501"/>
      <c r="BX57" s="501"/>
      <c r="BY57" s="501"/>
      <c r="BZ57" s="434"/>
      <c r="CA57" s="434"/>
    </row>
    <row r="58" spans="1:79" s="446" customFormat="1" ht="12" customHeight="1" x14ac:dyDescent="0.2">
      <c r="A58" s="434"/>
      <c r="B58" s="435"/>
      <c r="C58" s="473"/>
      <c r="D58" s="482"/>
      <c r="E58" s="483"/>
      <c r="F58" s="484"/>
      <c r="G58" s="484"/>
      <c r="H58" s="485"/>
      <c r="I58" s="524"/>
      <c r="J58" s="484"/>
      <c r="K58" s="486"/>
      <c r="L58" s="486"/>
      <c r="M58" s="487">
        <f>IF(F58="",0,(VLOOKUP('wgl tot'!F58,saltab2020aug,G58+1,FALSE)))</f>
        <v>0</v>
      </c>
      <c r="N58" s="488">
        <f t="shared" si="0"/>
        <v>0</v>
      </c>
      <c r="O58" s="473"/>
      <c r="P58" s="487">
        <f>ROUND(IF((M58+Q58)*BC58&lt;H58*tabellen!$D$31,H58*tabellen!$D$31,(M58+R58)*BC58),2)</f>
        <v>0</v>
      </c>
      <c r="Q58" s="487">
        <f>ROUND(+(M58+R58)*BD58,2)</f>
        <v>0</v>
      </c>
      <c r="R58" s="487">
        <f>ROUND(IF(J58="j",VLOOKUP(BA58,uitlooptoeslag,2,FALSE))*IF(H58&gt;1,1,H58),2)</f>
        <v>0</v>
      </c>
      <c r="S58" s="487">
        <f>VLOOKUP(BE58,eindejaarsuitkering_OOP,2,TRUE)*H58/12</f>
        <v>0</v>
      </c>
      <c r="T58" s="487">
        <f t="shared" si="11"/>
        <v>0</v>
      </c>
      <c r="U58" s="489">
        <f t="shared" si="2"/>
        <v>0</v>
      </c>
      <c r="V58" s="488">
        <f>ROUND((SUM(N58:T58)*12),0)</f>
        <v>0</v>
      </c>
      <c r="W58" s="473"/>
      <c r="X58" s="489">
        <f t="shared" si="3"/>
        <v>0</v>
      </c>
      <c r="Y58" s="490">
        <v>0</v>
      </c>
      <c r="Z58" s="473"/>
      <c r="AA58" s="487">
        <f>IF(F58="",0,(IF(U58/H58&lt;tabellen!$E$7,0,(U58-tabellen!$E$7*H58)/12)*tabellen!$C$7))</f>
        <v>0</v>
      </c>
      <c r="AB58" s="487">
        <f>IF(F58="",0,(IF(U58/H58&lt;tabellen!$E$8,0,(U58-tabellen!$E$8*H58)/12)*tabellen!$C$8))</f>
        <v>0</v>
      </c>
      <c r="AC58" s="487">
        <f>U58/12*tabellen!$C$9</f>
        <v>0</v>
      </c>
      <c r="AD58" s="487">
        <f>IF(H58=0,0,IF(BI58&gt;tabellen!$G$10/12,$G$10/12,BI58)*(tabellen!$C$10+tabellen!$C$11))</f>
        <v>0</v>
      </c>
      <c r="AE58" s="487">
        <f>IF(F58="",0,BJ58)</f>
        <v>0</v>
      </c>
      <c r="AF58" s="491">
        <f>IF(F58="",0,(IF(BI58&gt;tabellen!$G$13*H58/12,tabellen!$G$13*H58/12,BI58*tabellen!$C$13)))</f>
        <v>0</v>
      </c>
      <c r="AG58" s="473"/>
      <c r="AH58" s="491">
        <f>IF(F58="",0,IF(K58="j",tabellen!$C$14*BI58,0))</f>
        <v>0</v>
      </c>
      <c r="AI58" s="491">
        <f>IF(F58="",0,IF(L58="j",tabellen!$C$15*BI58,0))</f>
        <v>0</v>
      </c>
      <c r="AJ58" s="492">
        <v>0</v>
      </c>
      <c r="AK58" s="473"/>
      <c r="AL58" s="492">
        <v>0</v>
      </c>
      <c r="AM58" s="473"/>
      <c r="AN58" s="488">
        <f t="shared" si="4"/>
        <v>0</v>
      </c>
      <c r="AO58" s="488">
        <f t="shared" si="5"/>
        <v>0</v>
      </c>
      <c r="AP58" s="473"/>
      <c r="AQ58" s="493" t="str">
        <f>IF(AN58=0,"",(AN58/N58-1))</f>
        <v/>
      </c>
      <c r="AR58" s="493" t="str">
        <f t="shared" si="1"/>
        <v/>
      </c>
      <c r="AS58" s="473"/>
      <c r="AT58" s="443"/>
      <c r="AU58" s="434"/>
      <c r="AV58" s="434"/>
      <c r="AW58" s="494">
        <f ca="1">YEAR($AW$9)-YEAR(E58)</f>
        <v>121</v>
      </c>
      <c r="AX58" s="494">
        <f ca="1">MONTH($AW$9)-MONTH(E58)</f>
        <v>7</v>
      </c>
      <c r="AY58" s="494">
        <f ca="1">DAY($AW$9)-DAY(E58)</f>
        <v>5</v>
      </c>
      <c r="AZ58" s="444">
        <f>IF(AND(F58&gt;0,F58&lt;18),0,100)</f>
        <v>100</v>
      </c>
      <c r="BA58" s="444">
        <f>F58</f>
        <v>0</v>
      </c>
      <c r="BB58" s="469">
        <v>42583</v>
      </c>
      <c r="BC58" s="495">
        <f t="shared" si="10"/>
        <v>0.08</v>
      </c>
      <c r="BD58" s="496">
        <f>tabellen!$D$33</f>
        <v>0.08</v>
      </c>
      <c r="BE58" s="494">
        <f>IF(AZ58=100,0,F58)</f>
        <v>0</v>
      </c>
      <c r="BF58" s="497" t="e">
        <f>IF(U58/H58&lt;tabellen!$E$7,0,(U58-tabellen!$E$7*H58)/12*tabellen!$D$7)</f>
        <v>#DIV/0!</v>
      </c>
      <c r="BG58" s="497" t="e">
        <f>IF(U58/H58&lt;tabellen!$E$8,0,(U58-tabellen!$E$8*H58)/12*tabellen!$D$8)</f>
        <v>#DIV/0!</v>
      </c>
      <c r="BH58" s="498" t="e">
        <f t="shared" si="6"/>
        <v>#DIV/0!</v>
      </c>
      <c r="BI58" s="499" t="e">
        <v>#DIV/0!</v>
      </c>
      <c r="BJ58" s="499" t="e">
        <f>ROUND(IF(BI58&gt;tabellen!$H$12,tabellen!$H$12,BI58)*tabellen!$C$12,2)</f>
        <v>#DIV/0!</v>
      </c>
      <c r="BK58" s="499" t="e">
        <f>+'wgl tot'!BI58+'wgl tot'!BJ58</f>
        <v>#DIV/0!</v>
      </c>
      <c r="BL58" s="500">
        <f>YEAR(E58)</f>
        <v>1900</v>
      </c>
      <c r="BM58" s="500">
        <f>MONTH(E58)</f>
        <v>1</v>
      </c>
      <c r="BN58" s="494">
        <f>DAY(E58)</f>
        <v>0</v>
      </c>
      <c r="BO58" s="469">
        <f t="shared" si="7"/>
        <v>22462</v>
      </c>
      <c r="BP58" s="469">
        <f t="shared" ca="1" si="8"/>
        <v>44413.920839467595</v>
      </c>
      <c r="BQ58" s="444"/>
      <c r="BR58" s="469"/>
      <c r="BS58" s="444"/>
      <c r="BT58" s="501"/>
      <c r="BU58" s="501"/>
      <c r="BV58" s="501"/>
      <c r="BW58" s="501"/>
      <c r="BX58" s="501"/>
      <c r="BY58" s="501"/>
      <c r="BZ58" s="434"/>
      <c r="CA58" s="434"/>
    </row>
    <row r="59" spans="1:79" s="446" customFormat="1" ht="12" customHeight="1" x14ac:dyDescent="0.2">
      <c r="A59" s="434"/>
      <c r="B59" s="435"/>
      <c r="C59" s="473"/>
      <c r="D59" s="482"/>
      <c r="E59" s="483"/>
      <c r="F59" s="484"/>
      <c r="G59" s="484"/>
      <c r="H59" s="485"/>
      <c r="I59" s="524"/>
      <c r="J59" s="484"/>
      <c r="K59" s="486"/>
      <c r="L59" s="486"/>
      <c r="M59" s="487">
        <f>IF(F59="",0,(VLOOKUP('wgl tot'!F59,saltab2020aug,G59+1,FALSE)))</f>
        <v>0</v>
      </c>
      <c r="N59" s="488">
        <f t="shared" si="0"/>
        <v>0</v>
      </c>
      <c r="O59" s="473"/>
      <c r="P59" s="487">
        <f>ROUND(IF((M59+Q59)*BC59&lt;H59*tabellen!$D$31,H59*tabellen!$D$31,(M59+R59)*BC59),2)</f>
        <v>0</v>
      </c>
      <c r="Q59" s="487">
        <f>ROUND(+(M59+R59)*BD59,2)</f>
        <v>0</v>
      </c>
      <c r="R59" s="487">
        <f>ROUND(IF(J59="j",VLOOKUP(BA59,uitlooptoeslag,2,FALSE))*IF(H59&gt;1,1,H59),2)</f>
        <v>0</v>
      </c>
      <c r="S59" s="487">
        <f>VLOOKUP(BE59,eindejaarsuitkering_OOP,2,TRUE)*H59/12</f>
        <v>0</v>
      </c>
      <c r="T59" s="487">
        <f t="shared" si="11"/>
        <v>0</v>
      </c>
      <c r="U59" s="489">
        <f t="shared" si="2"/>
        <v>0</v>
      </c>
      <c r="V59" s="488">
        <f>ROUND((SUM(N59:T59)*12),0)</f>
        <v>0</v>
      </c>
      <c r="W59" s="473"/>
      <c r="X59" s="489">
        <f t="shared" si="3"/>
        <v>0</v>
      </c>
      <c r="Y59" s="490">
        <v>0</v>
      </c>
      <c r="Z59" s="473"/>
      <c r="AA59" s="487">
        <f>IF(F59="",0,(IF(U59/H59&lt;tabellen!$E$7,0,(U59-tabellen!$E$7*H59)/12)*tabellen!$C$7))</f>
        <v>0</v>
      </c>
      <c r="AB59" s="487">
        <f>IF(F59="",0,(IF(U59/H59&lt;tabellen!$E$8,0,(U59-tabellen!$E$8*H59)/12)*tabellen!$C$8))</f>
        <v>0</v>
      </c>
      <c r="AC59" s="487">
        <f>U59/12*tabellen!$C$9</f>
        <v>0</v>
      </c>
      <c r="AD59" s="487">
        <f>IF(H59=0,0,IF(BI59&gt;tabellen!$G$10/12,$G$10/12,BI59)*(tabellen!$C$10+tabellen!$C$11))</f>
        <v>0</v>
      </c>
      <c r="AE59" s="487">
        <f>IF(F59="",0,BJ59)</f>
        <v>0</v>
      </c>
      <c r="AF59" s="491">
        <f>IF(F59="",0,(IF(BI59&gt;tabellen!$G$13*H59/12,tabellen!$G$13*H59/12,BI59*tabellen!$C$13)))</f>
        <v>0</v>
      </c>
      <c r="AG59" s="473"/>
      <c r="AH59" s="491">
        <f>IF(F59="",0,IF(K59="j",tabellen!$C$14*BI59,0))</f>
        <v>0</v>
      </c>
      <c r="AI59" s="491">
        <f>IF(F59="",0,IF(L59="j",tabellen!$C$15*BI59,0))</f>
        <v>0</v>
      </c>
      <c r="AJ59" s="492">
        <v>0</v>
      </c>
      <c r="AK59" s="473"/>
      <c r="AL59" s="492">
        <v>0</v>
      </c>
      <c r="AM59" s="473"/>
      <c r="AN59" s="488">
        <f t="shared" si="4"/>
        <v>0</v>
      </c>
      <c r="AO59" s="488">
        <f t="shared" si="5"/>
        <v>0</v>
      </c>
      <c r="AP59" s="473"/>
      <c r="AQ59" s="493" t="str">
        <f>IF(AN59=0,"",(AN59/N59-1))</f>
        <v/>
      </c>
      <c r="AR59" s="493" t="str">
        <f t="shared" si="1"/>
        <v/>
      </c>
      <c r="AS59" s="473"/>
      <c r="AT59" s="443"/>
      <c r="AU59" s="434"/>
      <c r="AV59" s="434"/>
      <c r="AW59" s="494">
        <f ca="1">YEAR($AW$9)-YEAR(E59)</f>
        <v>121</v>
      </c>
      <c r="AX59" s="494">
        <f ca="1">MONTH($AW$9)-MONTH(E59)</f>
        <v>7</v>
      </c>
      <c r="AY59" s="494">
        <f ca="1">DAY($AW$9)-DAY(E59)</f>
        <v>5</v>
      </c>
      <c r="AZ59" s="444">
        <f>IF(AND(F59&gt;0,F59&lt;18),0,100)</f>
        <v>100</v>
      </c>
      <c r="BA59" s="444">
        <f>F59</f>
        <v>0</v>
      </c>
      <c r="BB59" s="469">
        <v>42583</v>
      </c>
      <c r="BC59" s="495">
        <f t="shared" si="10"/>
        <v>0.08</v>
      </c>
      <c r="BD59" s="496">
        <f>tabellen!$D$33</f>
        <v>0.08</v>
      </c>
      <c r="BE59" s="494">
        <f>IF(AZ59=100,0,F59)</f>
        <v>0</v>
      </c>
      <c r="BF59" s="497" t="e">
        <f>IF(U59/H59&lt;tabellen!$E$7,0,(U59-tabellen!$E$7*H59)/12*tabellen!$D$7)</f>
        <v>#DIV/0!</v>
      </c>
      <c r="BG59" s="497" t="e">
        <f>IF(U59/H59&lt;tabellen!$E$8,0,(U59-tabellen!$E$8*H59)/12*tabellen!$D$8)</f>
        <v>#DIV/0!</v>
      </c>
      <c r="BH59" s="498" t="e">
        <f t="shared" si="6"/>
        <v>#DIV/0!</v>
      </c>
      <c r="BI59" s="499" t="e">
        <v>#DIV/0!</v>
      </c>
      <c r="BJ59" s="499" t="e">
        <f>ROUND(IF(BI59&gt;tabellen!$H$12,tabellen!$H$12,BI59)*tabellen!$C$12,2)</f>
        <v>#DIV/0!</v>
      </c>
      <c r="BK59" s="499" t="e">
        <f>+'wgl tot'!BI59+'wgl tot'!BJ59</f>
        <v>#DIV/0!</v>
      </c>
      <c r="BL59" s="500">
        <f>YEAR(E59)</f>
        <v>1900</v>
      </c>
      <c r="BM59" s="500">
        <f>MONTH(E59)</f>
        <v>1</v>
      </c>
      <c r="BN59" s="494">
        <f>DAY(E59)</f>
        <v>0</v>
      </c>
      <c r="BO59" s="469">
        <f t="shared" si="7"/>
        <v>22462</v>
      </c>
      <c r="BP59" s="469">
        <f t="shared" ca="1" si="8"/>
        <v>44413.920839467595</v>
      </c>
      <c r="BQ59" s="444"/>
      <c r="BR59" s="469"/>
      <c r="BS59" s="444"/>
      <c r="BT59" s="501"/>
      <c r="BU59" s="501"/>
      <c r="BV59" s="501"/>
      <c r="BW59" s="501"/>
      <c r="BX59" s="501"/>
      <c r="BY59" s="501"/>
      <c r="BZ59" s="434"/>
      <c r="CA59" s="434"/>
    </row>
    <row r="60" spans="1:79" s="446" customFormat="1" ht="12" customHeight="1" x14ac:dyDescent="0.2">
      <c r="A60" s="434"/>
      <c r="B60" s="435"/>
      <c r="C60" s="473"/>
      <c r="D60" s="482"/>
      <c r="E60" s="483"/>
      <c r="F60" s="484"/>
      <c r="G60" s="484"/>
      <c r="H60" s="485"/>
      <c r="I60" s="524"/>
      <c r="J60" s="484"/>
      <c r="K60" s="486"/>
      <c r="L60" s="486"/>
      <c r="M60" s="487">
        <f>IF(F60="",0,(VLOOKUP('wgl tot'!F60,saltab2020aug,G60+1,FALSE)))</f>
        <v>0</v>
      </c>
      <c r="N60" s="488">
        <f t="shared" si="0"/>
        <v>0</v>
      </c>
      <c r="O60" s="473"/>
      <c r="P60" s="487">
        <f>ROUND(IF((M60+Q60)*BC60&lt;H60*tabellen!$D$31,H60*tabellen!$D$31,(M60+R60)*BC60),2)</f>
        <v>0</v>
      </c>
      <c r="Q60" s="487">
        <f>ROUND(+(M60+R60)*BD60,2)</f>
        <v>0</v>
      </c>
      <c r="R60" s="487">
        <f>ROUND(IF(J60="j",VLOOKUP(BA60,uitlooptoeslag,2,FALSE))*IF(H60&gt;1,1,H60),2)</f>
        <v>0</v>
      </c>
      <c r="S60" s="487">
        <f>VLOOKUP(BE60,eindejaarsuitkering_OOP,2,TRUE)*H60/12</f>
        <v>0</v>
      </c>
      <c r="T60" s="487">
        <f t="shared" si="11"/>
        <v>0</v>
      </c>
      <c r="U60" s="489">
        <f t="shared" si="2"/>
        <v>0</v>
      </c>
      <c r="V60" s="488">
        <f>ROUND((SUM(N60:T60)*12),0)</f>
        <v>0</v>
      </c>
      <c r="W60" s="473"/>
      <c r="X60" s="489">
        <f t="shared" si="3"/>
        <v>0</v>
      </c>
      <c r="Y60" s="490">
        <v>0</v>
      </c>
      <c r="Z60" s="473"/>
      <c r="AA60" s="487">
        <f>IF(F60="",0,(IF(U60/H60&lt;tabellen!$E$7,0,(U60-tabellen!$E$7*H60)/12)*tabellen!$C$7))</f>
        <v>0</v>
      </c>
      <c r="AB60" s="487">
        <f>IF(F60="",0,(IF(U60/H60&lt;tabellen!$E$8,0,(U60-tabellen!$E$8*H60)/12)*tabellen!$C$8))</f>
        <v>0</v>
      </c>
      <c r="AC60" s="487">
        <f>U60/12*tabellen!$C$9</f>
        <v>0</v>
      </c>
      <c r="AD60" s="487">
        <f>IF(H60=0,0,IF(BI60&gt;tabellen!$G$10/12,$G$10/12,BI60)*(tabellen!$C$10+tabellen!$C$11))</f>
        <v>0</v>
      </c>
      <c r="AE60" s="487">
        <f>IF(F60="",0,BJ60)</f>
        <v>0</v>
      </c>
      <c r="AF60" s="491">
        <f>IF(F60="",0,(IF(BI60&gt;tabellen!$G$13*H60/12,tabellen!$G$13*H60/12,BI60*tabellen!$C$13)))</f>
        <v>0</v>
      </c>
      <c r="AG60" s="473"/>
      <c r="AH60" s="491">
        <f>IF(F60="",0,IF(K60="j",tabellen!$C$14*BI60,0))</f>
        <v>0</v>
      </c>
      <c r="AI60" s="491">
        <f>IF(F60="",0,IF(L60="j",tabellen!$C$15*BI60,0))</f>
        <v>0</v>
      </c>
      <c r="AJ60" s="492">
        <v>0</v>
      </c>
      <c r="AK60" s="473"/>
      <c r="AL60" s="492">
        <v>0</v>
      </c>
      <c r="AM60" s="473"/>
      <c r="AN60" s="488">
        <f t="shared" si="4"/>
        <v>0</v>
      </c>
      <c r="AO60" s="488">
        <f t="shared" si="5"/>
        <v>0</v>
      </c>
      <c r="AP60" s="473"/>
      <c r="AQ60" s="493" t="str">
        <f>IF(AN60=0,"",(AN60/N60-1))</f>
        <v/>
      </c>
      <c r="AR60" s="493" t="str">
        <f t="shared" si="1"/>
        <v/>
      </c>
      <c r="AS60" s="473"/>
      <c r="AT60" s="443"/>
      <c r="AU60" s="434"/>
      <c r="AV60" s="434"/>
      <c r="AW60" s="494">
        <f ca="1">YEAR($AW$9)-YEAR(E60)</f>
        <v>121</v>
      </c>
      <c r="AX60" s="494">
        <f ca="1">MONTH($AW$9)-MONTH(E60)</f>
        <v>7</v>
      </c>
      <c r="AY60" s="494">
        <f ca="1">DAY($AW$9)-DAY(E60)</f>
        <v>5</v>
      </c>
      <c r="AZ60" s="444">
        <f>IF(AND(F60&gt;0,F60&lt;18),0,100)</f>
        <v>100</v>
      </c>
      <c r="BA60" s="444">
        <f>F60</f>
        <v>0</v>
      </c>
      <c r="BB60" s="469">
        <v>42583</v>
      </c>
      <c r="BC60" s="495">
        <f t="shared" si="10"/>
        <v>0.08</v>
      </c>
      <c r="BD60" s="496">
        <f>tabellen!$D$33</f>
        <v>0.08</v>
      </c>
      <c r="BE60" s="494">
        <f>IF(AZ60=100,0,F60)</f>
        <v>0</v>
      </c>
      <c r="BF60" s="497" t="e">
        <f>IF(U60/H60&lt;tabellen!$E$7,0,(U60-tabellen!$E$7*H60)/12*tabellen!$D$7)</f>
        <v>#DIV/0!</v>
      </c>
      <c r="BG60" s="497" t="e">
        <f>IF(U60/H60&lt;tabellen!$E$8,0,(U60-tabellen!$E$8*H60)/12*tabellen!$D$8)</f>
        <v>#DIV/0!</v>
      </c>
      <c r="BH60" s="498" t="e">
        <f t="shared" si="6"/>
        <v>#DIV/0!</v>
      </c>
      <c r="BI60" s="499" t="e">
        <v>#DIV/0!</v>
      </c>
      <c r="BJ60" s="499" t="e">
        <f>ROUND(IF(BI60&gt;tabellen!$H$12,tabellen!$H$12,BI60)*tabellen!$C$12,2)</f>
        <v>#DIV/0!</v>
      </c>
      <c r="BK60" s="499" t="e">
        <f>+'wgl tot'!BI60+'wgl tot'!BJ60</f>
        <v>#DIV/0!</v>
      </c>
      <c r="BL60" s="500">
        <f>YEAR(E60)</f>
        <v>1900</v>
      </c>
      <c r="BM60" s="500">
        <f>MONTH(E60)</f>
        <v>1</v>
      </c>
      <c r="BN60" s="494">
        <f>DAY(E60)</f>
        <v>0</v>
      </c>
      <c r="BO60" s="469">
        <f t="shared" si="7"/>
        <v>22462</v>
      </c>
      <c r="BP60" s="469">
        <f t="shared" ca="1" si="8"/>
        <v>44413.920839467595</v>
      </c>
      <c r="BQ60" s="444"/>
      <c r="BR60" s="469"/>
      <c r="BS60" s="444"/>
      <c r="BT60" s="501"/>
      <c r="BU60" s="501"/>
      <c r="BV60" s="501"/>
      <c r="BW60" s="501"/>
      <c r="BX60" s="501"/>
      <c r="BY60" s="501"/>
      <c r="BZ60" s="434"/>
      <c r="CA60" s="434"/>
    </row>
    <row r="61" spans="1:79" s="446" customFormat="1" ht="12" customHeight="1" x14ac:dyDescent="0.2">
      <c r="A61" s="434"/>
      <c r="B61" s="435"/>
      <c r="C61" s="473"/>
      <c r="D61" s="482"/>
      <c r="E61" s="483"/>
      <c r="F61" s="484"/>
      <c r="G61" s="484"/>
      <c r="H61" s="485"/>
      <c r="I61" s="524"/>
      <c r="J61" s="484"/>
      <c r="K61" s="486"/>
      <c r="L61" s="486"/>
      <c r="M61" s="487">
        <f>IF(F61="",0,(VLOOKUP('wgl tot'!F61,saltab2020aug,G61+1,FALSE)))</f>
        <v>0</v>
      </c>
      <c r="N61" s="488">
        <f t="shared" si="0"/>
        <v>0</v>
      </c>
      <c r="O61" s="473"/>
      <c r="P61" s="487">
        <f>ROUND(IF((M61+Q61)*BC61&lt;H61*tabellen!$D$31,H61*tabellen!$D$31,(M61+R61)*BC61),2)</f>
        <v>0</v>
      </c>
      <c r="Q61" s="487">
        <f>ROUND(+(M61+R61)*BD61,2)</f>
        <v>0</v>
      </c>
      <c r="R61" s="487">
        <f>ROUND(IF(J61="j",VLOOKUP(BA61,uitlooptoeslag,2,FALSE))*IF(H61&gt;1,1,H61),2)</f>
        <v>0</v>
      </c>
      <c r="S61" s="487">
        <f>VLOOKUP(BE61,eindejaarsuitkering_OOP,2,TRUE)*H61/12</f>
        <v>0</v>
      </c>
      <c r="T61" s="487">
        <f t="shared" si="11"/>
        <v>0</v>
      </c>
      <c r="U61" s="489">
        <f t="shared" si="2"/>
        <v>0</v>
      </c>
      <c r="V61" s="488">
        <f>ROUND((SUM(N61:T61)*12),0)</f>
        <v>0</v>
      </c>
      <c r="W61" s="473"/>
      <c r="X61" s="489">
        <f t="shared" si="3"/>
        <v>0</v>
      </c>
      <c r="Y61" s="490">
        <v>0</v>
      </c>
      <c r="Z61" s="473"/>
      <c r="AA61" s="487">
        <f>IF(F61="",0,(IF(U61/H61&lt;tabellen!$E$7,0,(U61-tabellen!$E$7*H61)/12)*tabellen!$C$7))</f>
        <v>0</v>
      </c>
      <c r="AB61" s="487">
        <f>IF(F61="",0,(IF(U61/H61&lt;tabellen!$E$8,0,(U61-tabellen!$E$8*H61)/12)*tabellen!$C$8))</f>
        <v>0</v>
      </c>
      <c r="AC61" s="487">
        <f>U61/12*tabellen!$C$9</f>
        <v>0</v>
      </c>
      <c r="AD61" s="487">
        <f>IF(H61=0,0,IF(BI61&gt;tabellen!$G$10/12,$G$10/12,BI61)*(tabellen!$C$10+tabellen!$C$11))</f>
        <v>0</v>
      </c>
      <c r="AE61" s="487">
        <f>IF(F61="",0,BJ61)</f>
        <v>0</v>
      </c>
      <c r="AF61" s="491">
        <f>IF(F61="",0,(IF(BI61&gt;tabellen!$G$13*H61/12,tabellen!$G$13*H61/12,BI61*tabellen!$C$13)))</f>
        <v>0</v>
      </c>
      <c r="AG61" s="473"/>
      <c r="AH61" s="491">
        <f>IF(F61="",0,IF(K61="j",tabellen!$C$14*BI61,0))</f>
        <v>0</v>
      </c>
      <c r="AI61" s="491">
        <f>IF(F61="",0,IF(L61="j",tabellen!$C$15*BI61,0))</f>
        <v>0</v>
      </c>
      <c r="AJ61" s="492">
        <v>0</v>
      </c>
      <c r="AK61" s="473"/>
      <c r="AL61" s="492">
        <v>0</v>
      </c>
      <c r="AM61" s="473"/>
      <c r="AN61" s="488">
        <f t="shared" si="4"/>
        <v>0</v>
      </c>
      <c r="AO61" s="488">
        <f t="shared" si="5"/>
        <v>0</v>
      </c>
      <c r="AP61" s="473"/>
      <c r="AQ61" s="493" t="str">
        <f>IF(AN61=0,"",(AN61/N61-1))</f>
        <v/>
      </c>
      <c r="AR61" s="493" t="str">
        <f t="shared" si="1"/>
        <v/>
      </c>
      <c r="AS61" s="473"/>
      <c r="AT61" s="443"/>
      <c r="AU61" s="434"/>
      <c r="AV61" s="434"/>
      <c r="AW61" s="494">
        <f ca="1">YEAR($AW$9)-YEAR(E61)</f>
        <v>121</v>
      </c>
      <c r="AX61" s="494">
        <f ca="1">MONTH($AW$9)-MONTH(E61)</f>
        <v>7</v>
      </c>
      <c r="AY61" s="494">
        <f ca="1">DAY($AW$9)-DAY(E61)</f>
        <v>5</v>
      </c>
      <c r="AZ61" s="444">
        <f>IF(AND(F61&gt;0,F61&lt;18),0,100)</f>
        <v>100</v>
      </c>
      <c r="BA61" s="444">
        <f>F61</f>
        <v>0</v>
      </c>
      <c r="BB61" s="469">
        <v>42583</v>
      </c>
      <c r="BC61" s="495">
        <f t="shared" si="10"/>
        <v>0.08</v>
      </c>
      <c r="BD61" s="496">
        <f>tabellen!$D$33</f>
        <v>0.08</v>
      </c>
      <c r="BE61" s="494">
        <f>IF(AZ61=100,0,F61)</f>
        <v>0</v>
      </c>
      <c r="BF61" s="497" t="e">
        <f>IF(U61/H61&lt;tabellen!$E$7,0,(U61-tabellen!$E$7*H61)/12*tabellen!$D$7)</f>
        <v>#DIV/0!</v>
      </c>
      <c r="BG61" s="497" t="e">
        <f>IF(U61/H61&lt;tabellen!$E$8,0,(U61-tabellen!$E$8*H61)/12*tabellen!$D$8)</f>
        <v>#DIV/0!</v>
      </c>
      <c r="BH61" s="498" t="e">
        <f t="shared" si="6"/>
        <v>#DIV/0!</v>
      </c>
      <c r="BI61" s="499" t="e">
        <v>#DIV/0!</v>
      </c>
      <c r="BJ61" s="499" t="e">
        <f>ROUND(IF(BI61&gt;tabellen!$H$12,tabellen!$H$12,BI61)*tabellen!$C$12,2)</f>
        <v>#DIV/0!</v>
      </c>
      <c r="BK61" s="499" t="e">
        <f>+'wgl tot'!BI61+'wgl tot'!BJ61</f>
        <v>#DIV/0!</v>
      </c>
      <c r="BL61" s="500">
        <f>YEAR(E61)</f>
        <v>1900</v>
      </c>
      <c r="BM61" s="500">
        <f>MONTH(E61)</f>
        <v>1</v>
      </c>
      <c r="BN61" s="494">
        <f>DAY(E61)</f>
        <v>0</v>
      </c>
      <c r="BO61" s="469">
        <f t="shared" si="7"/>
        <v>22462</v>
      </c>
      <c r="BP61" s="469">
        <f t="shared" ca="1" si="8"/>
        <v>44413.920839467595</v>
      </c>
      <c r="BQ61" s="444"/>
      <c r="BR61" s="469"/>
      <c r="BS61" s="444"/>
      <c r="BT61" s="501"/>
      <c r="BU61" s="501"/>
      <c r="BV61" s="501"/>
      <c r="BW61" s="501"/>
      <c r="BX61" s="501"/>
      <c r="BY61" s="501"/>
      <c r="BZ61" s="434"/>
      <c r="CA61" s="434"/>
    </row>
    <row r="62" spans="1:79" s="446" customFormat="1" ht="12" customHeight="1" x14ac:dyDescent="0.2">
      <c r="A62" s="434"/>
      <c r="B62" s="435"/>
      <c r="C62" s="473"/>
      <c r="D62" s="482"/>
      <c r="E62" s="483"/>
      <c r="F62" s="484"/>
      <c r="G62" s="484"/>
      <c r="H62" s="485"/>
      <c r="I62" s="524"/>
      <c r="J62" s="484"/>
      <c r="K62" s="486"/>
      <c r="L62" s="486"/>
      <c r="M62" s="487">
        <f>IF(F62="",0,(VLOOKUP('wgl tot'!F62,saltab2020aug,G62+1,FALSE)))</f>
        <v>0</v>
      </c>
      <c r="N62" s="488">
        <f t="shared" si="0"/>
        <v>0</v>
      </c>
      <c r="O62" s="473"/>
      <c r="P62" s="487">
        <f>ROUND(IF((M62+Q62)*BC62&lt;H62*tabellen!$D$31,H62*tabellen!$D$31,(M62+R62)*BC62),2)</f>
        <v>0</v>
      </c>
      <c r="Q62" s="487">
        <f>ROUND(+(M62+R62)*BD62,2)</f>
        <v>0</v>
      </c>
      <c r="R62" s="487">
        <f>ROUND(IF(J62="j",VLOOKUP(BA62,uitlooptoeslag,2,FALSE))*IF(H62&gt;1,1,H62),2)</f>
        <v>0</v>
      </c>
      <c r="S62" s="487">
        <f>VLOOKUP(BE62,eindejaarsuitkering_OOP,2,TRUE)*H62/12</f>
        <v>0</v>
      </c>
      <c r="T62" s="487">
        <f t="shared" si="11"/>
        <v>0</v>
      </c>
      <c r="U62" s="489">
        <f t="shared" si="2"/>
        <v>0</v>
      </c>
      <c r="V62" s="488">
        <f>ROUND((SUM(N62:T62)*12),0)</f>
        <v>0</v>
      </c>
      <c r="W62" s="473"/>
      <c r="X62" s="489">
        <f t="shared" si="3"/>
        <v>0</v>
      </c>
      <c r="Y62" s="490">
        <v>0</v>
      </c>
      <c r="Z62" s="473"/>
      <c r="AA62" s="487">
        <f>IF(F62="",0,(IF(U62/H62&lt;tabellen!$E$7,0,(U62-tabellen!$E$7*H62)/12)*tabellen!$C$7))</f>
        <v>0</v>
      </c>
      <c r="AB62" s="487">
        <f>IF(F62="",0,(IF(U62/H62&lt;tabellen!$E$8,0,(U62-tabellen!$E$8*H62)/12)*tabellen!$C$8))</f>
        <v>0</v>
      </c>
      <c r="AC62" s="487">
        <f>U62/12*tabellen!$C$9</f>
        <v>0</v>
      </c>
      <c r="AD62" s="487">
        <f>IF(H62=0,0,IF(BI62&gt;tabellen!$G$10/12,$G$10/12,BI62)*(tabellen!$C$10+tabellen!$C$11))</f>
        <v>0</v>
      </c>
      <c r="AE62" s="487">
        <f>IF(F62="",0,BJ62)</f>
        <v>0</v>
      </c>
      <c r="AF62" s="491">
        <f>IF(F62="",0,(IF(BI62&gt;tabellen!$G$13*H62/12,tabellen!$G$13*H62/12,BI62*tabellen!$C$13)))</f>
        <v>0</v>
      </c>
      <c r="AG62" s="473"/>
      <c r="AH62" s="491">
        <f>IF(F62="",0,IF(K62="j",tabellen!$C$14*BI62,0))</f>
        <v>0</v>
      </c>
      <c r="AI62" s="491">
        <f>IF(F62="",0,IF(L62="j",tabellen!$C$15*BI62,0))</f>
        <v>0</v>
      </c>
      <c r="AJ62" s="492">
        <v>0</v>
      </c>
      <c r="AK62" s="473"/>
      <c r="AL62" s="492">
        <v>0</v>
      </c>
      <c r="AM62" s="473"/>
      <c r="AN62" s="488">
        <f t="shared" si="4"/>
        <v>0</v>
      </c>
      <c r="AO62" s="488">
        <f t="shared" si="5"/>
        <v>0</v>
      </c>
      <c r="AP62" s="473"/>
      <c r="AQ62" s="493" t="str">
        <f>IF(AN62=0,"",(AN62/N62-1))</f>
        <v/>
      </c>
      <c r="AR62" s="493" t="str">
        <f t="shared" si="1"/>
        <v/>
      </c>
      <c r="AS62" s="473"/>
      <c r="AT62" s="443"/>
      <c r="AU62" s="434"/>
      <c r="AV62" s="434"/>
      <c r="AW62" s="494">
        <f ca="1">YEAR($AW$9)-YEAR(E62)</f>
        <v>121</v>
      </c>
      <c r="AX62" s="494">
        <f ca="1">MONTH($AW$9)-MONTH(E62)</f>
        <v>7</v>
      </c>
      <c r="AY62" s="494">
        <f ca="1">DAY($AW$9)-DAY(E62)</f>
        <v>5</v>
      </c>
      <c r="AZ62" s="444">
        <f>IF(AND(F62&gt;0,F62&lt;18),0,100)</f>
        <v>100</v>
      </c>
      <c r="BA62" s="444">
        <f>F62</f>
        <v>0</v>
      </c>
      <c r="BB62" s="469">
        <v>42583</v>
      </c>
      <c r="BC62" s="495">
        <f t="shared" si="10"/>
        <v>0.08</v>
      </c>
      <c r="BD62" s="496">
        <f>tabellen!$D$33</f>
        <v>0.08</v>
      </c>
      <c r="BE62" s="494">
        <f>IF(AZ62=100,0,F62)</f>
        <v>0</v>
      </c>
      <c r="BF62" s="497" t="e">
        <f>IF(U62/H62&lt;tabellen!$E$7,0,(U62-tabellen!$E$7*H62)/12*tabellen!$D$7)</f>
        <v>#DIV/0!</v>
      </c>
      <c r="BG62" s="497" t="e">
        <f>IF(U62/H62&lt;tabellen!$E$8,0,(U62-tabellen!$E$8*H62)/12*tabellen!$D$8)</f>
        <v>#DIV/0!</v>
      </c>
      <c r="BH62" s="498" t="e">
        <f t="shared" si="6"/>
        <v>#DIV/0!</v>
      </c>
      <c r="BI62" s="499" t="e">
        <v>#DIV/0!</v>
      </c>
      <c r="BJ62" s="499" t="e">
        <f>ROUND(IF(BI62&gt;tabellen!$H$12,tabellen!$H$12,BI62)*tabellen!$C$12,2)</f>
        <v>#DIV/0!</v>
      </c>
      <c r="BK62" s="499" t="e">
        <f>+'wgl tot'!BI62+'wgl tot'!BJ62</f>
        <v>#DIV/0!</v>
      </c>
      <c r="BL62" s="500">
        <f>YEAR(E62)</f>
        <v>1900</v>
      </c>
      <c r="BM62" s="500">
        <f>MONTH(E62)</f>
        <v>1</v>
      </c>
      <c r="BN62" s="494">
        <f>DAY(E62)</f>
        <v>0</v>
      </c>
      <c r="BO62" s="469">
        <f t="shared" si="7"/>
        <v>22462</v>
      </c>
      <c r="BP62" s="469">
        <f t="shared" ca="1" si="8"/>
        <v>44413.920839467595</v>
      </c>
      <c r="BQ62" s="444"/>
      <c r="BR62" s="469"/>
      <c r="BS62" s="444"/>
      <c r="BT62" s="501"/>
      <c r="BU62" s="501"/>
      <c r="BV62" s="501"/>
      <c r="BW62" s="501"/>
      <c r="BX62" s="501"/>
      <c r="BY62" s="501"/>
      <c r="BZ62" s="434"/>
      <c r="CA62" s="434"/>
    </row>
    <row r="63" spans="1:79" s="446" customFormat="1" ht="12" customHeight="1" x14ac:dyDescent="0.2">
      <c r="A63" s="434"/>
      <c r="B63" s="435"/>
      <c r="C63" s="473"/>
      <c r="D63" s="482"/>
      <c r="E63" s="483"/>
      <c r="F63" s="484"/>
      <c r="G63" s="484"/>
      <c r="H63" s="485"/>
      <c r="I63" s="524"/>
      <c r="J63" s="484"/>
      <c r="K63" s="486"/>
      <c r="L63" s="486"/>
      <c r="M63" s="487">
        <f>IF(F63="",0,(VLOOKUP('wgl tot'!F63,saltab2020aug,G63+1,FALSE)))</f>
        <v>0</v>
      </c>
      <c r="N63" s="488">
        <f t="shared" si="0"/>
        <v>0</v>
      </c>
      <c r="O63" s="473"/>
      <c r="P63" s="487">
        <f>ROUND(IF((M63+Q63)*BC63&lt;H63*tabellen!$D$31,H63*tabellen!$D$31,(M63+R63)*BC63),2)</f>
        <v>0</v>
      </c>
      <c r="Q63" s="487">
        <f>ROUND(+(M63+R63)*BD63,2)</f>
        <v>0</v>
      </c>
      <c r="R63" s="487">
        <f>ROUND(IF(J63="j",VLOOKUP(BA63,uitlooptoeslag,2,FALSE))*IF(H63&gt;1,1,H63),2)</f>
        <v>0</v>
      </c>
      <c r="S63" s="487">
        <f>VLOOKUP(BE63,eindejaarsuitkering_OOP,2,TRUE)*H63/12</f>
        <v>0</v>
      </c>
      <c r="T63" s="487">
        <f t="shared" si="11"/>
        <v>0</v>
      </c>
      <c r="U63" s="489">
        <f t="shared" si="2"/>
        <v>0</v>
      </c>
      <c r="V63" s="488">
        <f>ROUND((SUM(N63:T63)*12),0)</f>
        <v>0</v>
      </c>
      <c r="W63" s="473"/>
      <c r="X63" s="489">
        <f t="shared" si="3"/>
        <v>0</v>
      </c>
      <c r="Y63" s="490">
        <v>0</v>
      </c>
      <c r="Z63" s="473"/>
      <c r="AA63" s="487">
        <f>IF(F63="",0,(IF(U63/H63&lt;tabellen!$E$7,0,(U63-tabellen!$E$7*H63)/12)*tabellen!$C$7))</f>
        <v>0</v>
      </c>
      <c r="AB63" s="487">
        <f>IF(F63="",0,(IF(U63/H63&lt;tabellen!$E$8,0,(U63-tabellen!$E$8*H63)/12)*tabellen!$C$8))</f>
        <v>0</v>
      </c>
      <c r="AC63" s="487">
        <f>U63/12*tabellen!$C$9</f>
        <v>0</v>
      </c>
      <c r="AD63" s="487">
        <f>IF(H63=0,0,IF(BI63&gt;tabellen!$G$10/12,$G$10/12,BI63)*(tabellen!$C$10+tabellen!$C$11))</f>
        <v>0</v>
      </c>
      <c r="AE63" s="487">
        <f>IF(F63="",0,BJ63)</f>
        <v>0</v>
      </c>
      <c r="AF63" s="491">
        <f>IF(F63="",0,(IF(BI63&gt;tabellen!$G$13*H63/12,tabellen!$G$13*H63/12,BI63*tabellen!$C$13)))</f>
        <v>0</v>
      </c>
      <c r="AG63" s="473"/>
      <c r="AH63" s="491">
        <f>IF(F63="",0,IF(K63="j",tabellen!$C$14*BI63,0))</f>
        <v>0</v>
      </c>
      <c r="AI63" s="491">
        <f>IF(F63="",0,IF(L63="j",tabellen!$C$15*BI63,0))</f>
        <v>0</v>
      </c>
      <c r="AJ63" s="492">
        <v>0</v>
      </c>
      <c r="AK63" s="473"/>
      <c r="AL63" s="492">
        <v>0</v>
      </c>
      <c r="AM63" s="473"/>
      <c r="AN63" s="488">
        <f t="shared" si="4"/>
        <v>0</v>
      </c>
      <c r="AO63" s="488">
        <f t="shared" si="5"/>
        <v>0</v>
      </c>
      <c r="AP63" s="473"/>
      <c r="AQ63" s="493" t="str">
        <f>IF(AN63=0,"",(AN63/N63-1))</f>
        <v/>
      </c>
      <c r="AR63" s="493" t="str">
        <f t="shared" si="1"/>
        <v/>
      </c>
      <c r="AS63" s="473"/>
      <c r="AT63" s="443"/>
      <c r="AU63" s="434"/>
      <c r="AV63" s="434"/>
      <c r="AW63" s="494">
        <f ca="1">YEAR($AW$9)-YEAR(E63)</f>
        <v>121</v>
      </c>
      <c r="AX63" s="494">
        <f ca="1">MONTH($AW$9)-MONTH(E63)</f>
        <v>7</v>
      </c>
      <c r="AY63" s="494">
        <f ca="1">DAY($AW$9)-DAY(E63)</f>
        <v>5</v>
      </c>
      <c r="AZ63" s="444">
        <f>IF(AND(F63&gt;0,F63&lt;18),0,100)</f>
        <v>100</v>
      </c>
      <c r="BA63" s="444">
        <f>F63</f>
        <v>0</v>
      </c>
      <c r="BB63" s="469">
        <v>42583</v>
      </c>
      <c r="BC63" s="495">
        <f t="shared" si="10"/>
        <v>0.08</v>
      </c>
      <c r="BD63" s="496">
        <f>tabellen!$D$33</f>
        <v>0.08</v>
      </c>
      <c r="BE63" s="494">
        <f>IF(AZ63=100,0,F63)</f>
        <v>0</v>
      </c>
      <c r="BF63" s="497" t="e">
        <f>IF(U63/H63&lt;tabellen!$E$7,0,(U63-tabellen!$E$7*H63)/12*tabellen!$D$7)</f>
        <v>#DIV/0!</v>
      </c>
      <c r="BG63" s="497" t="e">
        <f>IF(U63/H63&lt;tabellen!$E$8,0,(U63-tabellen!$E$8*H63)/12*tabellen!$D$8)</f>
        <v>#DIV/0!</v>
      </c>
      <c r="BH63" s="498" t="e">
        <f t="shared" si="6"/>
        <v>#DIV/0!</v>
      </c>
      <c r="BI63" s="499" t="e">
        <v>#DIV/0!</v>
      </c>
      <c r="BJ63" s="499" t="e">
        <f>ROUND(IF(BI63&gt;tabellen!$H$12,tabellen!$H$12,BI63)*tabellen!$C$12,2)</f>
        <v>#DIV/0!</v>
      </c>
      <c r="BK63" s="499" t="e">
        <f>+'wgl tot'!BI63+'wgl tot'!BJ63</f>
        <v>#DIV/0!</v>
      </c>
      <c r="BL63" s="500">
        <f>YEAR(E63)</f>
        <v>1900</v>
      </c>
      <c r="BM63" s="500">
        <f>MONTH(E63)</f>
        <v>1</v>
      </c>
      <c r="BN63" s="494">
        <f>DAY(E63)</f>
        <v>0</v>
      </c>
      <c r="BO63" s="469">
        <f t="shared" si="7"/>
        <v>22462</v>
      </c>
      <c r="BP63" s="469">
        <f t="shared" ca="1" si="8"/>
        <v>44413.920839467595</v>
      </c>
      <c r="BQ63" s="444"/>
      <c r="BR63" s="469"/>
      <c r="BS63" s="444"/>
      <c r="BT63" s="501"/>
      <c r="BU63" s="501"/>
      <c r="BV63" s="501"/>
      <c r="BW63" s="501"/>
      <c r="BX63" s="501"/>
      <c r="BY63" s="501"/>
      <c r="BZ63" s="434"/>
      <c r="CA63" s="434"/>
    </row>
    <row r="64" spans="1:79" s="446" customFormat="1" ht="12" customHeight="1" x14ac:dyDescent="0.2">
      <c r="A64" s="434"/>
      <c r="B64" s="435"/>
      <c r="C64" s="473"/>
      <c r="D64" s="482"/>
      <c r="E64" s="483"/>
      <c r="F64" s="484"/>
      <c r="G64" s="484"/>
      <c r="H64" s="485"/>
      <c r="I64" s="524"/>
      <c r="J64" s="484"/>
      <c r="K64" s="486"/>
      <c r="L64" s="486"/>
      <c r="M64" s="487">
        <f>IF(F64="",0,(VLOOKUP('wgl tot'!F64,saltab2020aug,G64+1,FALSE)))</f>
        <v>0</v>
      </c>
      <c r="N64" s="488">
        <f t="shared" si="0"/>
        <v>0</v>
      </c>
      <c r="O64" s="473"/>
      <c r="P64" s="487">
        <f>ROUND(IF((M64+Q64)*BC64&lt;H64*tabellen!$D$31,H64*tabellen!$D$31,(M64+R64)*BC64),2)</f>
        <v>0</v>
      </c>
      <c r="Q64" s="487">
        <f>ROUND(+(M64+R64)*BD64,2)</f>
        <v>0</v>
      </c>
      <c r="R64" s="487">
        <f>ROUND(IF(J64="j",VLOOKUP(BA64,uitlooptoeslag,2,FALSE))*IF(H64&gt;1,1,H64),2)</f>
        <v>0</v>
      </c>
      <c r="S64" s="487">
        <f>VLOOKUP(BE64,eindejaarsuitkering_OOP,2,TRUE)*H64/12</f>
        <v>0</v>
      </c>
      <c r="T64" s="487">
        <f t="shared" si="11"/>
        <v>0</v>
      </c>
      <c r="U64" s="489">
        <f t="shared" si="2"/>
        <v>0</v>
      </c>
      <c r="V64" s="488">
        <f>ROUND((SUM(N64:T64)*12),0)</f>
        <v>0</v>
      </c>
      <c r="W64" s="473"/>
      <c r="X64" s="489">
        <f t="shared" si="3"/>
        <v>0</v>
      </c>
      <c r="Y64" s="490">
        <v>0</v>
      </c>
      <c r="Z64" s="473"/>
      <c r="AA64" s="487">
        <f>IF(F64="",0,(IF(U64/H64&lt;tabellen!$E$7,0,(U64-tabellen!$E$7*H64)/12)*tabellen!$C$7))</f>
        <v>0</v>
      </c>
      <c r="AB64" s="487">
        <f>IF(F64="",0,(IF(U64/H64&lt;tabellen!$E$8,0,(U64-tabellen!$E$8*H64)/12)*tabellen!$C$8))</f>
        <v>0</v>
      </c>
      <c r="AC64" s="487">
        <f>U64/12*tabellen!$C$9</f>
        <v>0</v>
      </c>
      <c r="AD64" s="487">
        <f>IF(H64=0,0,IF(BI64&gt;tabellen!$G$10/12,$G$10/12,BI64)*(tabellen!$C$10+tabellen!$C$11))</f>
        <v>0</v>
      </c>
      <c r="AE64" s="487">
        <f>IF(F64="",0,BJ64)</f>
        <v>0</v>
      </c>
      <c r="AF64" s="491">
        <f>IF(F64="",0,(IF(BI64&gt;tabellen!$G$13*H64/12,tabellen!$G$13*H64/12,BI64*tabellen!$C$13)))</f>
        <v>0</v>
      </c>
      <c r="AG64" s="473"/>
      <c r="AH64" s="491">
        <f>IF(F64="",0,IF(K64="j",tabellen!$C$14*BI64,0))</f>
        <v>0</v>
      </c>
      <c r="AI64" s="491">
        <f>IF(F64="",0,IF(L64="j",tabellen!$C$15*BI64,0))</f>
        <v>0</v>
      </c>
      <c r="AJ64" s="492">
        <v>0</v>
      </c>
      <c r="AK64" s="473"/>
      <c r="AL64" s="492">
        <v>0</v>
      </c>
      <c r="AM64" s="473"/>
      <c r="AN64" s="488">
        <f t="shared" si="4"/>
        <v>0</v>
      </c>
      <c r="AO64" s="488">
        <f t="shared" si="5"/>
        <v>0</v>
      </c>
      <c r="AP64" s="473"/>
      <c r="AQ64" s="493" t="str">
        <f>IF(AN64=0,"",(AN64/N64-1))</f>
        <v/>
      </c>
      <c r="AR64" s="493" t="str">
        <f t="shared" si="1"/>
        <v/>
      </c>
      <c r="AS64" s="473"/>
      <c r="AT64" s="443"/>
      <c r="AU64" s="434"/>
      <c r="AV64" s="434"/>
      <c r="AW64" s="494">
        <f ca="1">YEAR($AW$9)-YEAR(E64)</f>
        <v>121</v>
      </c>
      <c r="AX64" s="494">
        <f ca="1">MONTH($AW$9)-MONTH(E64)</f>
        <v>7</v>
      </c>
      <c r="AY64" s="494">
        <f ca="1">DAY($AW$9)-DAY(E64)</f>
        <v>5</v>
      </c>
      <c r="AZ64" s="444">
        <f>IF(AND(F64&gt;0,F64&lt;18),0,100)</f>
        <v>100</v>
      </c>
      <c r="BA64" s="444">
        <f>F64</f>
        <v>0</v>
      </c>
      <c r="BB64" s="469">
        <v>42583</v>
      </c>
      <c r="BC64" s="495">
        <f t="shared" si="10"/>
        <v>0.08</v>
      </c>
      <c r="BD64" s="496">
        <f>tabellen!$D$33</f>
        <v>0.08</v>
      </c>
      <c r="BE64" s="494">
        <f>IF(AZ64=100,0,F64)</f>
        <v>0</v>
      </c>
      <c r="BF64" s="497" t="e">
        <f>IF(U64/H64&lt;tabellen!$E$7,0,(U64-tabellen!$E$7*H64)/12*tabellen!$D$7)</f>
        <v>#DIV/0!</v>
      </c>
      <c r="BG64" s="497" t="e">
        <f>IF(U64/H64&lt;tabellen!$E$8,0,(U64-tabellen!$E$8*H64)/12*tabellen!$D$8)</f>
        <v>#DIV/0!</v>
      </c>
      <c r="BH64" s="498" t="e">
        <f t="shared" si="6"/>
        <v>#DIV/0!</v>
      </c>
      <c r="BI64" s="499" t="e">
        <v>#DIV/0!</v>
      </c>
      <c r="BJ64" s="499" t="e">
        <f>ROUND(IF(BI64&gt;tabellen!$H$12,tabellen!$H$12,BI64)*tabellen!$C$12,2)</f>
        <v>#DIV/0!</v>
      </c>
      <c r="BK64" s="499" t="e">
        <f>+'wgl tot'!BI64+'wgl tot'!BJ64</f>
        <v>#DIV/0!</v>
      </c>
      <c r="BL64" s="500">
        <f>YEAR(E64)</f>
        <v>1900</v>
      </c>
      <c r="BM64" s="500">
        <f>MONTH(E64)</f>
        <v>1</v>
      </c>
      <c r="BN64" s="494">
        <f>DAY(E64)</f>
        <v>0</v>
      </c>
      <c r="BO64" s="469">
        <f t="shared" si="7"/>
        <v>22462</v>
      </c>
      <c r="BP64" s="469">
        <f t="shared" ca="1" si="8"/>
        <v>44413.920839467595</v>
      </c>
      <c r="BQ64" s="444"/>
      <c r="BR64" s="469"/>
      <c r="BS64" s="444"/>
      <c r="BT64" s="501"/>
      <c r="BU64" s="501"/>
      <c r="BV64" s="501"/>
      <c r="BW64" s="501"/>
      <c r="BX64" s="501"/>
      <c r="BY64" s="501"/>
      <c r="BZ64" s="434"/>
      <c r="CA64" s="434"/>
    </row>
    <row r="65" spans="1:79" s="446" customFormat="1" ht="12" customHeight="1" x14ac:dyDescent="0.2">
      <c r="A65" s="434"/>
      <c r="B65" s="435"/>
      <c r="C65" s="473"/>
      <c r="D65" s="482"/>
      <c r="E65" s="483"/>
      <c r="F65" s="484"/>
      <c r="G65" s="484"/>
      <c r="H65" s="485"/>
      <c r="I65" s="524"/>
      <c r="J65" s="484"/>
      <c r="K65" s="486"/>
      <c r="L65" s="486"/>
      <c r="M65" s="487">
        <f>IF(F65="",0,(VLOOKUP('wgl tot'!F65,saltab2020aug,G65+1,FALSE)))</f>
        <v>0</v>
      </c>
      <c r="N65" s="488">
        <f t="shared" si="0"/>
        <v>0</v>
      </c>
      <c r="O65" s="473"/>
      <c r="P65" s="487">
        <f>ROUND(IF((M65+Q65)*BC65&lt;H65*tabellen!$D$31,H65*tabellen!$D$31,(M65+R65)*BC65),2)</f>
        <v>0</v>
      </c>
      <c r="Q65" s="487">
        <f>ROUND(+(M65+R65)*BD65,2)</f>
        <v>0</v>
      </c>
      <c r="R65" s="487">
        <f>ROUND(IF(J65="j",VLOOKUP(BA65,uitlooptoeslag,2,FALSE))*IF(H65&gt;1,1,H65),2)</f>
        <v>0</v>
      </c>
      <c r="S65" s="487">
        <f>VLOOKUP(BE65,eindejaarsuitkering_OOP,2,TRUE)*H65/12</f>
        <v>0</v>
      </c>
      <c r="T65" s="487">
        <f t="shared" si="11"/>
        <v>0</v>
      </c>
      <c r="U65" s="489">
        <f t="shared" si="2"/>
        <v>0</v>
      </c>
      <c r="V65" s="488">
        <f>ROUND((SUM(N65:T65)*12),0)</f>
        <v>0</v>
      </c>
      <c r="W65" s="473"/>
      <c r="X65" s="489">
        <f t="shared" si="3"/>
        <v>0</v>
      </c>
      <c r="Y65" s="490">
        <v>0</v>
      </c>
      <c r="Z65" s="473"/>
      <c r="AA65" s="487">
        <f>IF(F65="",0,(IF(U65/H65&lt;tabellen!$E$7,0,(U65-tabellen!$E$7*H65)/12)*tabellen!$C$7))</f>
        <v>0</v>
      </c>
      <c r="AB65" s="487">
        <f>IF(F65="",0,(IF(U65/H65&lt;tabellen!$E$8,0,(U65-tabellen!$E$8*H65)/12)*tabellen!$C$8))</f>
        <v>0</v>
      </c>
      <c r="AC65" s="487">
        <f>U65/12*tabellen!$C$9</f>
        <v>0</v>
      </c>
      <c r="AD65" s="487">
        <f>IF(H65=0,0,IF(BI65&gt;tabellen!$G$10/12,$G$10/12,BI65)*(tabellen!$C$10+tabellen!$C$11))</f>
        <v>0</v>
      </c>
      <c r="AE65" s="487">
        <f>IF(F65="",0,BJ65)</f>
        <v>0</v>
      </c>
      <c r="AF65" s="491">
        <f>IF(F65="",0,(IF(BI65&gt;tabellen!$G$13*H65/12,tabellen!$G$13*H65/12,BI65*tabellen!$C$13)))</f>
        <v>0</v>
      </c>
      <c r="AG65" s="473"/>
      <c r="AH65" s="491">
        <f>IF(F65="",0,IF(K65="j",tabellen!$C$14*BI65,0))</f>
        <v>0</v>
      </c>
      <c r="AI65" s="491">
        <f>IF(F65="",0,IF(L65="j",tabellen!$C$15*BI65,0))</f>
        <v>0</v>
      </c>
      <c r="AJ65" s="492">
        <v>0</v>
      </c>
      <c r="AK65" s="473"/>
      <c r="AL65" s="492">
        <v>0</v>
      </c>
      <c r="AM65" s="473"/>
      <c r="AN65" s="488">
        <f t="shared" si="4"/>
        <v>0</v>
      </c>
      <c r="AO65" s="488">
        <f t="shared" si="5"/>
        <v>0</v>
      </c>
      <c r="AP65" s="473"/>
      <c r="AQ65" s="493" t="str">
        <f>IF(AN65=0,"",(AN65/N65-1))</f>
        <v/>
      </c>
      <c r="AR65" s="493" t="str">
        <f t="shared" si="1"/>
        <v/>
      </c>
      <c r="AS65" s="473"/>
      <c r="AT65" s="443"/>
      <c r="AU65" s="434"/>
      <c r="AV65" s="434"/>
      <c r="AW65" s="494">
        <f ca="1">YEAR($AW$9)-YEAR(E65)</f>
        <v>121</v>
      </c>
      <c r="AX65" s="494">
        <f ca="1">MONTH($AW$9)-MONTH(E65)</f>
        <v>7</v>
      </c>
      <c r="AY65" s="494">
        <f ca="1">DAY($AW$9)-DAY(E65)</f>
        <v>5</v>
      </c>
      <c r="AZ65" s="444">
        <f>IF(AND(F65&gt;0,F65&lt;18),0,100)</f>
        <v>100</v>
      </c>
      <c r="BA65" s="444">
        <f>F65</f>
        <v>0</v>
      </c>
      <c r="BB65" s="469">
        <v>42583</v>
      </c>
      <c r="BC65" s="495">
        <f t="shared" si="10"/>
        <v>0.08</v>
      </c>
      <c r="BD65" s="496">
        <f>tabellen!$D$33</f>
        <v>0.08</v>
      </c>
      <c r="BE65" s="494">
        <f>IF(AZ65=100,0,F65)</f>
        <v>0</v>
      </c>
      <c r="BF65" s="497" t="e">
        <f>IF(U65/H65&lt;tabellen!$E$7,0,(U65-tabellen!$E$7*H65)/12*tabellen!$D$7)</f>
        <v>#DIV/0!</v>
      </c>
      <c r="BG65" s="497" t="e">
        <f>IF(U65/H65&lt;tabellen!$E$8,0,(U65-tabellen!$E$8*H65)/12*tabellen!$D$8)</f>
        <v>#DIV/0!</v>
      </c>
      <c r="BH65" s="498" t="e">
        <f t="shared" si="6"/>
        <v>#DIV/0!</v>
      </c>
      <c r="BI65" s="499" t="e">
        <v>#DIV/0!</v>
      </c>
      <c r="BJ65" s="499" t="e">
        <f>ROUND(IF(BI65&gt;tabellen!$H$12,tabellen!$H$12,BI65)*tabellen!$C$12,2)</f>
        <v>#DIV/0!</v>
      </c>
      <c r="BK65" s="499" t="e">
        <f>+'wgl tot'!BI65+'wgl tot'!BJ65</f>
        <v>#DIV/0!</v>
      </c>
      <c r="BL65" s="500">
        <f>YEAR(E65)</f>
        <v>1900</v>
      </c>
      <c r="BM65" s="500">
        <f>MONTH(E65)</f>
        <v>1</v>
      </c>
      <c r="BN65" s="494">
        <f>DAY(E65)</f>
        <v>0</v>
      </c>
      <c r="BO65" s="469">
        <f t="shared" si="7"/>
        <v>22462</v>
      </c>
      <c r="BP65" s="469">
        <f t="shared" ca="1" si="8"/>
        <v>44413.920839467595</v>
      </c>
      <c r="BQ65" s="444"/>
      <c r="BR65" s="469"/>
      <c r="BS65" s="444"/>
      <c r="BT65" s="501"/>
      <c r="BU65" s="501"/>
      <c r="BV65" s="501"/>
      <c r="BW65" s="501"/>
      <c r="BX65" s="501"/>
      <c r="BY65" s="501"/>
      <c r="BZ65" s="434"/>
      <c r="CA65" s="434"/>
    </row>
    <row r="66" spans="1:79" s="446" customFormat="1" ht="12" customHeight="1" x14ac:dyDescent="0.2">
      <c r="A66" s="434"/>
      <c r="B66" s="435"/>
      <c r="C66" s="473"/>
      <c r="D66" s="482"/>
      <c r="E66" s="483"/>
      <c r="F66" s="484"/>
      <c r="G66" s="484"/>
      <c r="H66" s="485"/>
      <c r="I66" s="524"/>
      <c r="J66" s="484"/>
      <c r="K66" s="486"/>
      <c r="L66" s="486"/>
      <c r="M66" s="487">
        <f>IF(F66="",0,(VLOOKUP('wgl tot'!F66,saltab2020aug,G66+1,FALSE)))</f>
        <v>0</v>
      </c>
      <c r="N66" s="488">
        <f t="shared" si="0"/>
        <v>0</v>
      </c>
      <c r="O66" s="473"/>
      <c r="P66" s="487">
        <f>ROUND(IF((M66+Q66)*BC66&lt;H66*tabellen!$D$31,H66*tabellen!$D$31,(M66+R66)*BC66),2)</f>
        <v>0</v>
      </c>
      <c r="Q66" s="487">
        <f>ROUND(+(M66+R66)*BD66,2)</f>
        <v>0</v>
      </c>
      <c r="R66" s="487">
        <f>ROUND(IF(J66="j",VLOOKUP(BA66,uitlooptoeslag,2,FALSE))*IF(H66&gt;1,1,H66),2)</f>
        <v>0</v>
      </c>
      <c r="S66" s="487">
        <f>VLOOKUP(BE66,eindejaarsuitkering_OOP,2,TRUE)*H66/12</f>
        <v>0</v>
      </c>
      <c r="T66" s="487">
        <f t="shared" si="11"/>
        <v>0</v>
      </c>
      <c r="U66" s="489">
        <f t="shared" si="2"/>
        <v>0</v>
      </c>
      <c r="V66" s="488">
        <f>ROUND((SUM(N66:T66)*12),0)</f>
        <v>0</v>
      </c>
      <c r="W66" s="473"/>
      <c r="X66" s="489">
        <f t="shared" si="3"/>
        <v>0</v>
      </c>
      <c r="Y66" s="490">
        <v>0</v>
      </c>
      <c r="Z66" s="473"/>
      <c r="AA66" s="487">
        <f>IF(F66="",0,(IF(U66/H66&lt;tabellen!$E$7,0,(U66-tabellen!$E$7*H66)/12)*tabellen!$C$7))</f>
        <v>0</v>
      </c>
      <c r="AB66" s="487">
        <f>IF(F66="",0,(IF(U66/H66&lt;tabellen!$E$8,0,(U66-tabellen!$E$8*H66)/12)*tabellen!$C$8))</f>
        <v>0</v>
      </c>
      <c r="AC66" s="487">
        <f>U66/12*tabellen!$C$9</f>
        <v>0</v>
      </c>
      <c r="AD66" s="487">
        <f>IF(H66=0,0,IF(BI66&gt;tabellen!$G$10/12,$G$10/12,BI66)*(tabellen!$C$10+tabellen!$C$11))</f>
        <v>0</v>
      </c>
      <c r="AE66" s="487">
        <f>IF(F66="",0,BJ66)</f>
        <v>0</v>
      </c>
      <c r="AF66" s="491">
        <f>IF(F66="",0,(IF(BI66&gt;tabellen!$G$13*H66/12,tabellen!$G$13*H66/12,BI66*tabellen!$C$13)))</f>
        <v>0</v>
      </c>
      <c r="AG66" s="473"/>
      <c r="AH66" s="491">
        <f>IF(F66="",0,IF(K66="j",tabellen!$C$14*BI66,0))</f>
        <v>0</v>
      </c>
      <c r="AI66" s="491">
        <f>IF(F66="",0,IF(L66="j",tabellen!$C$15*BI66,0))</f>
        <v>0</v>
      </c>
      <c r="AJ66" s="492">
        <v>0</v>
      </c>
      <c r="AK66" s="473"/>
      <c r="AL66" s="492">
        <v>0</v>
      </c>
      <c r="AM66" s="473"/>
      <c r="AN66" s="488">
        <f t="shared" si="4"/>
        <v>0</v>
      </c>
      <c r="AO66" s="488">
        <f t="shared" si="5"/>
        <v>0</v>
      </c>
      <c r="AP66" s="473"/>
      <c r="AQ66" s="493" t="str">
        <f>IF(AN66=0,"",(AN66/N66-1))</f>
        <v/>
      </c>
      <c r="AR66" s="493" t="str">
        <f t="shared" si="1"/>
        <v/>
      </c>
      <c r="AS66" s="473"/>
      <c r="AT66" s="443"/>
      <c r="AU66" s="434"/>
      <c r="AV66" s="434"/>
      <c r="AW66" s="494">
        <f ca="1">YEAR($AW$9)-YEAR(E66)</f>
        <v>121</v>
      </c>
      <c r="AX66" s="494">
        <f ca="1">MONTH($AW$9)-MONTH(E66)</f>
        <v>7</v>
      </c>
      <c r="AY66" s="494">
        <f ca="1">DAY($AW$9)-DAY(E66)</f>
        <v>5</v>
      </c>
      <c r="AZ66" s="444">
        <f>IF(AND(F66&gt;0,F66&lt;18),0,100)</f>
        <v>100</v>
      </c>
      <c r="BA66" s="444">
        <f>F66</f>
        <v>0</v>
      </c>
      <c r="BB66" s="469">
        <v>42583</v>
      </c>
      <c r="BC66" s="495">
        <f t="shared" si="10"/>
        <v>0.08</v>
      </c>
      <c r="BD66" s="496">
        <f>tabellen!$D$33</f>
        <v>0.08</v>
      </c>
      <c r="BE66" s="494">
        <f>IF(AZ66=100,0,F66)</f>
        <v>0</v>
      </c>
      <c r="BF66" s="497" t="e">
        <f>IF(U66/H66&lt;tabellen!$E$7,0,(U66-tabellen!$E$7*H66)/12*tabellen!$D$7)</f>
        <v>#DIV/0!</v>
      </c>
      <c r="BG66" s="497" t="e">
        <f>IF(U66/H66&lt;tabellen!$E$8,0,(U66-tabellen!$E$8*H66)/12*tabellen!$D$8)</f>
        <v>#DIV/0!</v>
      </c>
      <c r="BH66" s="498" t="e">
        <f t="shared" si="6"/>
        <v>#DIV/0!</v>
      </c>
      <c r="BI66" s="499" t="e">
        <v>#DIV/0!</v>
      </c>
      <c r="BJ66" s="499" t="e">
        <f>ROUND(IF(BI66&gt;tabellen!$H$12,tabellen!$H$12,BI66)*tabellen!$C$12,2)</f>
        <v>#DIV/0!</v>
      </c>
      <c r="BK66" s="499" t="e">
        <f>+'wgl tot'!BI66+'wgl tot'!BJ66</f>
        <v>#DIV/0!</v>
      </c>
      <c r="BL66" s="500">
        <f>YEAR(E66)</f>
        <v>1900</v>
      </c>
      <c r="BM66" s="500">
        <f>MONTH(E66)</f>
        <v>1</v>
      </c>
      <c r="BN66" s="494">
        <f>DAY(E66)</f>
        <v>0</v>
      </c>
      <c r="BO66" s="469">
        <f t="shared" si="7"/>
        <v>22462</v>
      </c>
      <c r="BP66" s="469">
        <f t="shared" ca="1" si="8"/>
        <v>44413.920839467595</v>
      </c>
      <c r="BQ66" s="444"/>
      <c r="BR66" s="469"/>
      <c r="BS66" s="444"/>
      <c r="BT66" s="501"/>
      <c r="BU66" s="501"/>
      <c r="BV66" s="501"/>
      <c r="BW66" s="501"/>
      <c r="BX66" s="501"/>
      <c r="BY66" s="501"/>
      <c r="BZ66" s="434"/>
      <c r="CA66" s="434"/>
    </row>
    <row r="67" spans="1:79" s="446" customFormat="1" ht="12" customHeight="1" x14ac:dyDescent="0.2">
      <c r="A67" s="434"/>
      <c r="B67" s="435"/>
      <c r="C67" s="473"/>
      <c r="D67" s="482"/>
      <c r="E67" s="483"/>
      <c r="F67" s="484"/>
      <c r="G67" s="484"/>
      <c r="H67" s="485"/>
      <c r="I67" s="524"/>
      <c r="J67" s="484"/>
      <c r="K67" s="486"/>
      <c r="L67" s="486"/>
      <c r="M67" s="487">
        <f>IF(F67="",0,(VLOOKUP('wgl tot'!F67,saltab2020aug,G67+1,FALSE)))</f>
        <v>0</v>
      </c>
      <c r="N67" s="488">
        <f t="shared" si="0"/>
        <v>0</v>
      </c>
      <c r="O67" s="473"/>
      <c r="P67" s="487">
        <f>ROUND(IF((M67+Q67)*BC67&lt;H67*tabellen!$D$31,H67*tabellen!$D$31,(M67+R67)*BC67),2)</f>
        <v>0</v>
      </c>
      <c r="Q67" s="487">
        <f>ROUND(+(M67+R67)*BD67,2)</f>
        <v>0</v>
      </c>
      <c r="R67" s="487">
        <f>ROUND(IF(J67="j",VLOOKUP(BA67,uitlooptoeslag,2,FALSE))*IF(H67&gt;1,1,H67),2)</f>
        <v>0</v>
      </c>
      <c r="S67" s="487">
        <f>VLOOKUP(BE67,eindejaarsuitkering_OOP,2,TRUE)*H67/12</f>
        <v>0</v>
      </c>
      <c r="T67" s="487">
        <f t="shared" si="11"/>
        <v>0</v>
      </c>
      <c r="U67" s="489">
        <f t="shared" si="2"/>
        <v>0</v>
      </c>
      <c r="V67" s="488">
        <f>ROUND((SUM(N67:T67)*12),0)</f>
        <v>0</v>
      </c>
      <c r="W67" s="473"/>
      <c r="X67" s="489">
        <f t="shared" si="3"/>
        <v>0</v>
      </c>
      <c r="Y67" s="490">
        <v>0</v>
      </c>
      <c r="Z67" s="473"/>
      <c r="AA67" s="487">
        <f>IF(F67="",0,(IF(U67/H67&lt;tabellen!$E$7,0,(U67-tabellen!$E$7*H67)/12)*tabellen!$C$7))</f>
        <v>0</v>
      </c>
      <c r="AB67" s="487">
        <f>IF(F67="",0,(IF(U67/H67&lt;tabellen!$E$8,0,(U67-tabellen!$E$8*H67)/12)*tabellen!$C$8))</f>
        <v>0</v>
      </c>
      <c r="AC67" s="487">
        <f>U67/12*tabellen!$C$9</f>
        <v>0</v>
      </c>
      <c r="AD67" s="487">
        <f>IF(H67=0,0,IF(BI67&gt;tabellen!$G$10/12,$G$10/12,BI67)*(tabellen!$C$10+tabellen!$C$11))</f>
        <v>0</v>
      </c>
      <c r="AE67" s="487">
        <f>IF(F67="",0,BJ67)</f>
        <v>0</v>
      </c>
      <c r="AF67" s="491">
        <f>IF(F67="",0,(IF(BI67&gt;tabellen!$G$13*H67/12,tabellen!$G$13*H67/12,BI67*tabellen!$C$13)))</f>
        <v>0</v>
      </c>
      <c r="AG67" s="473"/>
      <c r="AH67" s="491">
        <f>IF(F67="",0,IF(K67="j",tabellen!$C$14*BI67,0))</f>
        <v>0</v>
      </c>
      <c r="AI67" s="491">
        <f>IF(F67="",0,IF(L67="j",tabellen!$C$15*BI67,0))</f>
        <v>0</v>
      </c>
      <c r="AJ67" s="492">
        <v>0</v>
      </c>
      <c r="AK67" s="473"/>
      <c r="AL67" s="492">
        <v>0</v>
      </c>
      <c r="AM67" s="473"/>
      <c r="AN67" s="488">
        <f t="shared" si="4"/>
        <v>0</v>
      </c>
      <c r="AO67" s="488">
        <f t="shared" si="5"/>
        <v>0</v>
      </c>
      <c r="AP67" s="473"/>
      <c r="AQ67" s="493" t="str">
        <f>IF(AN67=0,"",(AN67/N67-1))</f>
        <v/>
      </c>
      <c r="AR67" s="493" t="str">
        <f t="shared" si="1"/>
        <v/>
      </c>
      <c r="AS67" s="473"/>
      <c r="AT67" s="443"/>
      <c r="AU67" s="434"/>
      <c r="AV67" s="434"/>
      <c r="AW67" s="494">
        <f ca="1">YEAR($AW$9)-YEAR(E67)</f>
        <v>121</v>
      </c>
      <c r="AX67" s="494">
        <f ca="1">MONTH($AW$9)-MONTH(E67)</f>
        <v>7</v>
      </c>
      <c r="AY67" s="494">
        <f ca="1">DAY($AW$9)-DAY(E67)</f>
        <v>5</v>
      </c>
      <c r="AZ67" s="444">
        <f>IF(AND(F67&gt;0,F67&lt;18),0,100)</f>
        <v>100</v>
      </c>
      <c r="BA67" s="444">
        <f>F67</f>
        <v>0</v>
      </c>
      <c r="BB67" s="469">
        <v>42583</v>
      </c>
      <c r="BC67" s="495">
        <f t="shared" si="10"/>
        <v>0.08</v>
      </c>
      <c r="BD67" s="496">
        <f>tabellen!$D$33</f>
        <v>0.08</v>
      </c>
      <c r="BE67" s="494">
        <f>IF(AZ67=100,0,F67)</f>
        <v>0</v>
      </c>
      <c r="BF67" s="497" t="e">
        <f>IF(U67/H67&lt;tabellen!$E$7,0,(U67-tabellen!$E$7*H67)/12*tabellen!$D$7)</f>
        <v>#DIV/0!</v>
      </c>
      <c r="BG67" s="497" t="e">
        <f>IF(U67/H67&lt;tabellen!$E$8,0,(U67-tabellen!$E$8*H67)/12*tabellen!$D$8)</f>
        <v>#DIV/0!</v>
      </c>
      <c r="BH67" s="498" t="e">
        <f t="shared" si="6"/>
        <v>#DIV/0!</v>
      </c>
      <c r="BI67" s="499" t="e">
        <v>#DIV/0!</v>
      </c>
      <c r="BJ67" s="499" t="e">
        <f>ROUND(IF(BI67&gt;tabellen!$H$12,tabellen!$H$12,BI67)*tabellen!$C$12,2)</f>
        <v>#DIV/0!</v>
      </c>
      <c r="BK67" s="499" t="e">
        <f>+'wgl tot'!BI67+'wgl tot'!BJ67</f>
        <v>#DIV/0!</v>
      </c>
      <c r="BL67" s="500">
        <f>YEAR(E67)</f>
        <v>1900</v>
      </c>
      <c r="BM67" s="500">
        <f>MONTH(E67)</f>
        <v>1</v>
      </c>
      <c r="BN67" s="494">
        <f>DAY(E67)</f>
        <v>0</v>
      </c>
      <c r="BO67" s="469">
        <f t="shared" si="7"/>
        <v>22462</v>
      </c>
      <c r="BP67" s="469">
        <f t="shared" ca="1" si="8"/>
        <v>44413.920839467595</v>
      </c>
      <c r="BQ67" s="444"/>
      <c r="BR67" s="469"/>
      <c r="BS67" s="444"/>
      <c r="BT67" s="501"/>
      <c r="BU67" s="501"/>
      <c r="BV67" s="501"/>
      <c r="BW67" s="501"/>
      <c r="BX67" s="501"/>
      <c r="BY67" s="501"/>
      <c r="BZ67" s="434"/>
      <c r="CA67" s="434"/>
    </row>
    <row r="68" spans="1:79" s="446" customFormat="1" ht="12" customHeight="1" x14ac:dyDescent="0.2">
      <c r="A68" s="434"/>
      <c r="B68" s="435"/>
      <c r="C68" s="473"/>
      <c r="D68" s="482"/>
      <c r="E68" s="483"/>
      <c r="F68" s="484"/>
      <c r="G68" s="484"/>
      <c r="H68" s="485"/>
      <c r="I68" s="524"/>
      <c r="J68" s="484"/>
      <c r="K68" s="486"/>
      <c r="L68" s="486"/>
      <c r="M68" s="487">
        <f>IF(F68="",0,(VLOOKUP('wgl tot'!F68,saltab2020aug,G68+1,FALSE)))</f>
        <v>0</v>
      </c>
      <c r="N68" s="488">
        <f t="shared" si="0"/>
        <v>0</v>
      </c>
      <c r="O68" s="473"/>
      <c r="P68" s="487">
        <f>ROUND(IF((M68+Q68)*BC68&lt;H68*tabellen!$D$31,H68*tabellen!$D$31,(M68+R68)*BC68),2)</f>
        <v>0</v>
      </c>
      <c r="Q68" s="487">
        <f>ROUND(+(M68+R68)*BD68,2)</f>
        <v>0</v>
      </c>
      <c r="R68" s="487">
        <f>ROUND(IF(J68="j",VLOOKUP(BA68,uitlooptoeslag,2,FALSE))*IF(H68&gt;1,1,H68),2)</f>
        <v>0</v>
      </c>
      <c r="S68" s="487">
        <f>VLOOKUP(BE68,eindejaarsuitkering_OOP,2,TRUE)*H68/12</f>
        <v>0</v>
      </c>
      <c r="T68" s="487">
        <f t="shared" si="11"/>
        <v>0</v>
      </c>
      <c r="U68" s="489">
        <f t="shared" si="2"/>
        <v>0</v>
      </c>
      <c r="V68" s="488">
        <f>ROUND((SUM(N68:T68)*12),0)</f>
        <v>0</v>
      </c>
      <c r="W68" s="473"/>
      <c r="X68" s="489">
        <f t="shared" si="3"/>
        <v>0</v>
      </c>
      <c r="Y68" s="490">
        <v>0</v>
      </c>
      <c r="Z68" s="473"/>
      <c r="AA68" s="487">
        <f>IF(F68="",0,(IF(U68/H68&lt;tabellen!$E$7,0,(U68-tabellen!$E$7*H68)/12)*tabellen!$C$7))</f>
        <v>0</v>
      </c>
      <c r="AB68" s="487">
        <f>IF(F68="",0,(IF(U68/H68&lt;tabellen!$E$8,0,(U68-tabellen!$E$8*H68)/12)*tabellen!$C$8))</f>
        <v>0</v>
      </c>
      <c r="AC68" s="487">
        <f>U68/12*tabellen!$C$9</f>
        <v>0</v>
      </c>
      <c r="AD68" s="487">
        <f>IF(H68=0,0,IF(BI68&gt;tabellen!$G$10/12,$G$10/12,BI68)*(tabellen!$C$10+tabellen!$C$11))</f>
        <v>0</v>
      </c>
      <c r="AE68" s="487">
        <f>IF(F68="",0,BJ68)</f>
        <v>0</v>
      </c>
      <c r="AF68" s="491">
        <f>IF(F68="",0,(IF(BI68&gt;tabellen!$G$13*H68/12,tabellen!$G$13*H68/12,BI68*tabellen!$C$13)))</f>
        <v>0</v>
      </c>
      <c r="AG68" s="473"/>
      <c r="AH68" s="491">
        <f>IF(F68="",0,IF(K68="j",tabellen!$C$14*BI68,0))</f>
        <v>0</v>
      </c>
      <c r="AI68" s="491">
        <f>IF(F68="",0,IF(L68="j",tabellen!$C$15*BI68,0))</f>
        <v>0</v>
      </c>
      <c r="AJ68" s="492">
        <v>0</v>
      </c>
      <c r="AK68" s="473"/>
      <c r="AL68" s="492">
        <v>0</v>
      </c>
      <c r="AM68" s="473"/>
      <c r="AN68" s="488">
        <f t="shared" si="4"/>
        <v>0</v>
      </c>
      <c r="AO68" s="488">
        <f t="shared" si="5"/>
        <v>0</v>
      </c>
      <c r="AP68" s="473"/>
      <c r="AQ68" s="493" t="str">
        <f>IF(AN68=0,"",(AN68/N68-1))</f>
        <v/>
      </c>
      <c r="AR68" s="493" t="str">
        <f t="shared" si="1"/>
        <v/>
      </c>
      <c r="AS68" s="473"/>
      <c r="AT68" s="443"/>
      <c r="AU68" s="434"/>
      <c r="AV68" s="434"/>
      <c r="AW68" s="494">
        <f ca="1">YEAR($AW$9)-YEAR(E68)</f>
        <v>121</v>
      </c>
      <c r="AX68" s="494">
        <f ca="1">MONTH($AW$9)-MONTH(E68)</f>
        <v>7</v>
      </c>
      <c r="AY68" s="494">
        <f ca="1">DAY($AW$9)-DAY(E68)</f>
        <v>5</v>
      </c>
      <c r="AZ68" s="444">
        <f>IF(AND(F68&gt;0,F68&lt;18),0,100)</f>
        <v>100</v>
      </c>
      <c r="BA68" s="444">
        <f>F68</f>
        <v>0</v>
      </c>
      <c r="BB68" s="469">
        <v>42583</v>
      </c>
      <c r="BC68" s="495">
        <f t="shared" si="10"/>
        <v>0.08</v>
      </c>
      <c r="BD68" s="496">
        <f>tabellen!$D$33</f>
        <v>0.08</v>
      </c>
      <c r="BE68" s="494">
        <f>IF(AZ68=100,0,F68)</f>
        <v>0</v>
      </c>
      <c r="BF68" s="497" t="e">
        <f>IF(U68/H68&lt;tabellen!$E$7,0,(U68-tabellen!$E$7*H68)/12*tabellen!$D$7)</f>
        <v>#DIV/0!</v>
      </c>
      <c r="BG68" s="497" t="e">
        <f>IF(U68/H68&lt;tabellen!$E$8,0,(U68-tabellen!$E$8*H68)/12*tabellen!$D$8)</f>
        <v>#DIV/0!</v>
      </c>
      <c r="BH68" s="498" t="e">
        <f t="shared" si="6"/>
        <v>#DIV/0!</v>
      </c>
      <c r="BI68" s="499" t="e">
        <v>#DIV/0!</v>
      </c>
      <c r="BJ68" s="499" t="e">
        <f>ROUND(IF(BI68&gt;tabellen!$H$12,tabellen!$H$12,BI68)*tabellen!$C$12,2)</f>
        <v>#DIV/0!</v>
      </c>
      <c r="BK68" s="499" t="e">
        <f>+'wgl tot'!BI68+'wgl tot'!BJ68</f>
        <v>#DIV/0!</v>
      </c>
      <c r="BL68" s="500">
        <f>YEAR(E68)</f>
        <v>1900</v>
      </c>
      <c r="BM68" s="500">
        <f>MONTH(E68)</f>
        <v>1</v>
      </c>
      <c r="BN68" s="494">
        <f>DAY(E68)</f>
        <v>0</v>
      </c>
      <c r="BO68" s="469">
        <f t="shared" si="7"/>
        <v>22462</v>
      </c>
      <c r="BP68" s="469">
        <f t="shared" ca="1" si="8"/>
        <v>44413.920839467595</v>
      </c>
      <c r="BQ68" s="444"/>
      <c r="BR68" s="469"/>
      <c r="BS68" s="444"/>
      <c r="BT68" s="501"/>
      <c r="BU68" s="501"/>
      <c r="BV68" s="501"/>
      <c r="BW68" s="501"/>
      <c r="BX68" s="501"/>
      <c r="BY68" s="501"/>
      <c r="BZ68" s="434"/>
      <c r="CA68" s="434"/>
    </row>
    <row r="69" spans="1:79" s="446" customFormat="1" ht="12" customHeight="1" x14ac:dyDescent="0.2">
      <c r="A69" s="434"/>
      <c r="B69" s="435"/>
      <c r="C69" s="473"/>
      <c r="D69" s="482"/>
      <c r="E69" s="483"/>
      <c r="F69" s="484"/>
      <c r="G69" s="484"/>
      <c r="H69" s="485"/>
      <c r="I69" s="524"/>
      <c r="J69" s="484"/>
      <c r="K69" s="486"/>
      <c r="L69" s="486"/>
      <c r="M69" s="487">
        <f>IF(F69="",0,(VLOOKUP('wgl tot'!F69,saltab2020aug,G69+1,FALSE)))</f>
        <v>0</v>
      </c>
      <c r="N69" s="488">
        <f t="shared" si="0"/>
        <v>0</v>
      </c>
      <c r="O69" s="473"/>
      <c r="P69" s="487">
        <f>ROUND(IF((M69+Q69)*BC69&lt;H69*tabellen!$D$31,H69*tabellen!$D$31,(M69+R69)*BC69),2)</f>
        <v>0</v>
      </c>
      <c r="Q69" s="487">
        <f>ROUND(+(M69+R69)*BD69,2)</f>
        <v>0</v>
      </c>
      <c r="R69" s="487">
        <f>ROUND(IF(J69="j",VLOOKUP(BA69,uitlooptoeslag,2,FALSE))*IF(H69&gt;1,1,H69),2)</f>
        <v>0</v>
      </c>
      <c r="S69" s="487">
        <f>VLOOKUP(BE69,eindejaarsuitkering_OOP,2,TRUE)*H69/12</f>
        <v>0</v>
      </c>
      <c r="T69" s="487">
        <f t="shared" si="11"/>
        <v>0</v>
      </c>
      <c r="U69" s="489">
        <f t="shared" si="2"/>
        <v>0</v>
      </c>
      <c r="V69" s="488">
        <f>ROUND((SUM(N69:T69)*12),0)</f>
        <v>0</v>
      </c>
      <c r="W69" s="473"/>
      <c r="X69" s="489">
        <f t="shared" si="3"/>
        <v>0</v>
      </c>
      <c r="Y69" s="490">
        <v>0</v>
      </c>
      <c r="Z69" s="473"/>
      <c r="AA69" s="487">
        <f>IF(F69="",0,(IF(U69/H69&lt;tabellen!$E$7,0,(U69-tabellen!$E$7*H69)/12)*tabellen!$C$7))</f>
        <v>0</v>
      </c>
      <c r="AB69" s="487">
        <f>IF(F69="",0,(IF(U69/H69&lt;tabellen!$E$8,0,(U69-tabellen!$E$8*H69)/12)*tabellen!$C$8))</f>
        <v>0</v>
      </c>
      <c r="AC69" s="487">
        <f>U69/12*tabellen!$C$9</f>
        <v>0</v>
      </c>
      <c r="AD69" s="487">
        <f>IF(H69=0,0,IF(BI69&gt;tabellen!$G$10/12,$G$10/12,BI69)*(tabellen!$C$10+tabellen!$C$11))</f>
        <v>0</v>
      </c>
      <c r="AE69" s="487">
        <f>IF(F69="",0,BJ69)</f>
        <v>0</v>
      </c>
      <c r="AF69" s="491">
        <f>IF(F69="",0,(IF(BI69&gt;tabellen!$G$13*H69/12,tabellen!$G$13*H69/12,BI69*tabellen!$C$13)))</f>
        <v>0</v>
      </c>
      <c r="AG69" s="473"/>
      <c r="AH69" s="491">
        <f>IF(F69="",0,IF(K69="j",tabellen!$C$14*BI69,0))</f>
        <v>0</v>
      </c>
      <c r="AI69" s="491">
        <f>IF(F69="",0,IF(L69="j",tabellen!$C$15*BI69,0))</f>
        <v>0</v>
      </c>
      <c r="AJ69" s="492">
        <v>0</v>
      </c>
      <c r="AK69" s="473"/>
      <c r="AL69" s="492">
        <v>0</v>
      </c>
      <c r="AM69" s="473"/>
      <c r="AN69" s="488">
        <f t="shared" si="4"/>
        <v>0</v>
      </c>
      <c r="AO69" s="488">
        <f t="shared" si="5"/>
        <v>0</v>
      </c>
      <c r="AP69" s="473"/>
      <c r="AQ69" s="493" t="str">
        <f>IF(AN69=0,"",(AN69/N69-1))</f>
        <v/>
      </c>
      <c r="AR69" s="493" t="str">
        <f t="shared" si="1"/>
        <v/>
      </c>
      <c r="AS69" s="473"/>
      <c r="AT69" s="443"/>
      <c r="AU69" s="434"/>
      <c r="AV69" s="434"/>
      <c r="AW69" s="494">
        <f ca="1">YEAR($AW$9)-YEAR(E69)</f>
        <v>121</v>
      </c>
      <c r="AX69" s="494">
        <f ca="1">MONTH($AW$9)-MONTH(E69)</f>
        <v>7</v>
      </c>
      <c r="AY69" s="494">
        <f ca="1">DAY($AW$9)-DAY(E69)</f>
        <v>5</v>
      </c>
      <c r="AZ69" s="444">
        <f>IF(AND(F69&gt;0,F69&lt;18),0,100)</f>
        <v>100</v>
      </c>
      <c r="BA69" s="444">
        <f>F69</f>
        <v>0</v>
      </c>
      <c r="BB69" s="469">
        <v>42583</v>
      </c>
      <c r="BC69" s="495">
        <f t="shared" si="10"/>
        <v>0.08</v>
      </c>
      <c r="BD69" s="496">
        <f>tabellen!$D$33</f>
        <v>0.08</v>
      </c>
      <c r="BE69" s="494">
        <f>IF(AZ69=100,0,F69)</f>
        <v>0</v>
      </c>
      <c r="BF69" s="497" t="e">
        <f>IF(U69/H69&lt;tabellen!$E$7,0,(U69-tabellen!$E$7*H69)/12*tabellen!$D$7)</f>
        <v>#DIV/0!</v>
      </c>
      <c r="BG69" s="497" t="e">
        <f>IF(U69/H69&lt;tabellen!$E$8,0,(U69-tabellen!$E$8*H69)/12*tabellen!$D$8)</f>
        <v>#DIV/0!</v>
      </c>
      <c r="BH69" s="498" t="e">
        <f t="shared" si="6"/>
        <v>#DIV/0!</v>
      </c>
      <c r="BI69" s="499" t="e">
        <v>#DIV/0!</v>
      </c>
      <c r="BJ69" s="499" t="e">
        <f>ROUND(IF(BI69&gt;tabellen!$H$12,tabellen!$H$12,BI69)*tabellen!$C$12,2)</f>
        <v>#DIV/0!</v>
      </c>
      <c r="BK69" s="499" t="e">
        <f>+'wgl tot'!BI69+'wgl tot'!BJ69</f>
        <v>#DIV/0!</v>
      </c>
      <c r="BL69" s="500">
        <f>YEAR(E69)</f>
        <v>1900</v>
      </c>
      <c r="BM69" s="500">
        <f>MONTH(E69)</f>
        <v>1</v>
      </c>
      <c r="BN69" s="494">
        <f>DAY(E69)</f>
        <v>0</v>
      </c>
      <c r="BO69" s="469">
        <f t="shared" si="7"/>
        <v>22462</v>
      </c>
      <c r="BP69" s="469">
        <f t="shared" ca="1" si="8"/>
        <v>44413.920839467595</v>
      </c>
      <c r="BQ69" s="444"/>
      <c r="BR69" s="469"/>
      <c r="BS69" s="444"/>
      <c r="BT69" s="501"/>
      <c r="BU69" s="501"/>
      <c r="BV69" s="501"/>
      <c r="BW69" s="501"/>
      <c r="BX69" s="501"/>
      <c r="BY69" s="501"/>
      <c r="BZ69" s="434"/>
      <c r="CA69" s="434"/>
    </row>
    <row r="70" spans="1:79" s="446" customFormat="1" ht="12" customHeight="1" x14ac:dyDescent="0.2">
      <c r="A70" s="434"/>
      <c r="B70" s="435"/>
      <c r="C70" s="473"/>
      <c r="D70" s="482"/>
      <c r="E70" s="483"/>
      <c r="F70" s="484"/>
      <c r="G70" s="484"/>
      <c r="H70" s="485"/>
      <c r="I70" s="524"/>
      <c r="J70" s="484"/>
      <c r="K70" s="486"/>
      <c r="L70" s="486"/>
      <c r="M70" s="487">
        <f>IF(F70="",0,(VLOOKUP('wgl tot'!F70,saltab2020aug,G70+1,FALSE)))</f>
        <v>0</v>
      </c>
      <c r="N70" s="488">
        <f t="shared" si="0"/>
        <v>0</v>
      </c>
      <c r="O70" s="473"/>
      <c r="P70" s="487">
        <f>ROUND(IF((M70+Q70)*BC70&lt;H70*tabellen!$D$31,H70*tabellen!$D$31,(M70+R70)*BC70),2)</f>
        <v>0</v>
      </c>
      <c r="Q70" s="487">
        <f>ROUND(+(M70+R70)*BD70,2)</f>
        <v>0</v>
      </c>
      <c r="R70" s="487">
        <f>ROUND(IF(J70="j",VLOOKUP(BA70,uitlooptoeslag,2,FALSE))*IF(H70&gt;1,1,H70),2)</f>
        <v>0</v>
      </c>
      <c r="S70" s="487">
        <f>VLOOKUP(BE70,eindejaarsuitkering_OOP,2,TRUE)*H70/12</f>
        <v>0</v>
      </c>
      <c r="T70" s="487">
        <f t="shared" si="11"/>
        <v>0</v>
      </c>
      <c r="U70" s="489">
        <f t="shared" si="2"/>
        <v>0</v>
      </c>
      <c r="V70" s="488">
        <f>ROUND((SUM(N70:T70)*12),0)</f>
        <v>0</v>
      </c>
      <c r="W70" s="473"/>
      <c r="X70" s="489">
        <f t="shared" si="3"/>
        <v>0</v>
      </c>
      <c r="Y70" s="490">
        <v>0</v>
      </c>
      <c r="Z70" s="473"/>
      <c r="AA70" s="487">
        <f>IF(F70="",0,(IF(U70/H70&lt;tabellen!$E$7,0,(U70-tabellen!$E$7*H70)/12)*tabellen!$C$7))</f>
        <v>0</v>
      </c>
      <c r="AB70" s="487">
        <f>IF(F70="",0,(IF(U70/H70&lt;tabellen!$E$8,0,(U70-tabellen!$E$8*H70)/12)*tabellen!$C$8))</f>
        <v>0</v>
      </c>
      <c r="AC70" s="487">
        <f>U70/12*tabellen!$C$9</f>
        <v>0</v>
      </c>
      <c r="AD70" s="487">
        <f>IF(H70=0,0,IF(BI70&gt;tabellen!$G$10/12,$G$10/12,BI70)*(tabellen!$C$10+tabellen!$C$11))</f>
        <v>0</v>
      </c>
      <c r="AE70" s="487">
        <f>IF(F70="",0,BJ70)</f>
        <v>0</v>
      </c>
      <c r="AF70" s="491">
        <f>IF(F70="",0,(IF(BI70&gt;tabellen!$G$13*H70/12,tabellen!$G$13*H70/12,BI70*tabellen!$C$13)))</f>
        <v>0</v>
      </c>
      <c r="AG70" s="473"/>
      <c r="AH70" s="491">
        <f>IF(F70="",0,IF(K70="j",tabellen!$C$14*BI70,0))</f>
        <v>0</v>
      </c>
      <c r="AI70" s="491">
        <f>IF(F70="",0,IF(L70="j",tabellen!$C$15*BI70,0))</f>
        <v>0</v>
      </c>
      <c r="AJ70" s="492">
        <v>0</v>
      </c>
      <c r="AK70" s="473"/>
      <c r="AL70" s="492">
        <v>0</v>
      </c>
      <c r="AM70" s="473"/>
      <c r="AN70" s="488">
        <f t="shared" si="4"/>
        <v>0</v>
      </c>
      <c r="AO70" s="488">
        <f t="shared" si="5"/>
        <v>0</v>
      </c>
      <c r="AP70" s="473"/>
      <c r="AQ70" s="493" t="str">
        <f>IF(AN70=0,"",(AN70/N70-1))</f>
        <v/>
      </c>
      <c r="AR70" s="493" t="str">
        <f t="shared" si="1"/>
        <v/>
      </c>
      <c r="AS70" s="473"/>
      <c r="AT70" s="443"/>
      <c r="AU70" s="434"/>
      <c r="AV70" s="434"/>
      <c r="AW70" s="494">
        <f ca="1">YEAR($AW$9)-YEAR(E70)</f>
        <v>121</v>
      </c>
      <c r="AX70" s="494">
        <f ca="1">MONTH($AW$9)-MONTH(E70)</f>
        <v>7</v>
      </c>
      <c r="AY70" s="494">
        <f ca="1">DAY($AW$9)-DAY(E70)</f>
        <v>5</v>
      </c>
      <c r="AZ70" s="444">
        <f>IF(AND(F70&gt;0,F70&lt;18),0,100)</f>
        <v>100</v>
      </c>
      <c r="BA70" s="444">
        <f>F70</f>
        <v>0</v>
      </c>
      <c r="BB70" s="469">
        <v>42583</v>
      </c>
      <c r="BC70" s="495">
        <f t="shared" si="10"/>
        <v>0.08</v>
      </c>
      <c r="BD70" s="496">
        <f>tabellen!$D$33</f>
        <v>0.08</v>
      </c>
      <c r="BE70" s="494">
        <f>IF(AZ70=100,0,F70)</f>
        <v>0</v>
      </c>
      <c r="BF70" s="497" t="e">
        <f>IF(U70/H70&lt;tabellen!$E$7,0,(U70-tabellen!$E$7*H70)/12*tabellen!$D$7)</f>
        <v>#DIV/0!</v>
      </c>
      <c r="BG70" s="497" t="e">
        <f>IF(U70/H70&lt;tabellen!$E$8,0,(U70-tabellen!$E$8*H70)/12*tabellen!$D$8)</f>
        <v>#DIV/0!</v>
      </c>
      <c r="BH70" s="498" t="e">
        <f t="shared" si="6"/>
        <v>#DIV/0!</v>
      </c>
      <c r="BI70" s="499" t="e">
        <v>#DIV/0!</v>
      </c>
      <c r="BJ70" s="499" t="e">
        <f>ROUND(IF(BI70&gt;tabellen!$H$12,tabellen!$H$12,BI70)*tabellen!$C$12,2)</f>
        <v>#DIV/0!</v>
      </c>
      <c r="BK70" s="499" t="e">
        <f>+'wgl tot'!BI70+'wgl tot'!BJ70</f>
        <v>#DIV/0!</v>
      </c>
      <c r="BL70" s="500">
        <f>YEAR(E70)</f>
        <v>1900</v>
      </c>
      <c r="BM70" s="500">
        <f>MONTH(E70)</f>
        <v>1</v>
      </c>
      <c r="BN70" s="494">
        <f>DAY(E70)</f>
        <v>0</v>
      </c>
      <c r="BO70" s="469">
        <f t="shared" si="7"/>
        <v>22462</v>
      </c>
      <c r="BP70" s="469">
        <f t="shared" ca="1" si="8"/>
        <v>44413.920839467595</v>
      </c>
      <c r="BQ70" s="444"/>
      <c r="BR70" s="469"/>
      <c r="BS70" s="444"/>
      <c r="BT70" s="501"/>
      <c r="BU70" s="501"/>
      <c r="BV70" s="501"/>
      <c r="BW70" s="501"/>
      <c r="BX70" s="501"/>
      <c r="BY70" s="501"/>
      <c r="BZ70" s="434"/>
      <c r="CA70" s="434"/>
    </row>
    <row r="71" spans="1:79" s="446" customFormat="1" ht="12" customHeight="1" x14ac:dyDescent="0.2">
      <c r="A71" s="434"/>
      <c r="B71" s="435"/>
      <c r="C71" s="473"/>
      <c r="D71" s="482"/>
      <c r="E71" s="483"/>
      <c r="F71" s="484"/>
      <c r="G71" s="484"/>
      <c r="H71" s="485"/>
      <c r="I71" s="524"/>
      <c r="J71" s="484"/>
      <c r="K71" s="486"/>
      <c r="L71" s="486"/>
      <c r="M71" s="487">
        <f>IF(F71="",0,(VLOOKUP('wgl tot'!F71,saltab2020aug,G71+1,FALSE)))</f>
        <v>0</v>
      </c>
      <c r="N71" s="488">
        <f t="shared" si="0"/>
        <v>0</v>
      </c>
      <c r="O71" s="473"/>
      <c r="P71" s="487">
        <f>ROUND(IF((M71+Q71)*BC71&lt;H71*tabellen!$D$31,H71*tabellen!$D$31,(M71+R71)*BC71),2)</f>
        <v>0</v>
      </c>
      <c r="Q71" s="487">
        <f>ROUND(+(M71+R71)*BD71,2)</f>
        <v>0</v>
      </c>
      <c r="R71" s="487">
        <f>ROUND(IF(J71="j",VLOOKUP(BA71,uitlooptoeslag,2,FALSE))*IF(H71&gt;1,1,H71),2)</f>
        <v>0</v>
      </c>
      <c r="S71" s="487">
        <f>VLOOKUP(BE71,eindejaarsuitkering_OOP,2,TRUE)*H71/12</f>
        <v>0</v>
      </c>
      <c r="T71" s="487">
        <f t="shared" si="11"/>
        <v>0</v>
      </c>
      <c r="U71" s="489">
        <f t="shared" si="2"/>
        <v>0</v>
      </c>
      <c r="V71" s="488">
        <f>ROUND((SUM(N71:T71)*12),0)</f>
        <v>0</v>
      </c>
      <c r="W71" s="473"/>
      <c r="X71" s="489">
        <f t="shared" si="3"/>
        <v>0</v>
      </c>
      <c r="Y71" s="490">
        <v>0</v>
      </c>
      <c r="Z71" s="473"/>
      <c r="AA71" s="487">
        <f>IF(F71="",0,(IF(U71/H71&lt;tabellen!$E$7,0,(U71-tabellen!$E$7*H71)/12)*tabellen!$C$7))</f>
        <v>0</v>
      </c>
      <c r="AB71" s="487">
        <f>IF(F71="",0,(IF(U71/H71&lt;tabellen!$E$8,0,(U71-tabellen!$E$8*H71)/12)*tabellen!$C$8))</f>
        <v>0</v>
      </c>
      <c r="AC71" s="487">
        <f>U71/12*tabellen!$C$9</f>
        <v>0</v>
      </c>
      <c r="AD71" s="487">
        <f>IF(H71=0,0,IF(BI71&gt;tabellen!$G$10/12,$G$10/12,BI71)*(tabellen!$C$10+tabellen!$C$11))</f>
        <v>0</v>
      </c>
      <c r="AE71" s="487">
        <f>IF(F71="",0,BJ71)</f>
        <v>0</v>
      </c>
      <c r="AF71" s="491">
        <f>IF(F71="",0,(IF(BI71&gt;tabellen!$G$13*H71/12,tabellen!$G$13*H71/12,BI71*tabellen!$C$13)))</f>
        <v>0</v>
      </c>
      <c r="AG71" s="473"/>
      <c r="AH71" s="491">
        <f>IF(F71="",0,IF(K71="j",tabellen!$C$14*BI71,0))</f>
        <v>0</v>
      </c>
      <c r="AI71" s="491">
        <f>IF(F71="",0,IF(L71="j",tabellen!$C$15*BI71,0))</f>
        <v>0</v>
      </c>
      <c r="AJ71" s="492">
        <v>0</v>
      </c>
      <c r="AK71" s="473"/>
      <c r="AL71" s="492">
        <v>0</v>
      </c>
      <c r="AM71" s="473"/>
      <c r="AN71" s="488">
        <f t="shared" si="4"/>
        <v>0</v>
      </c>
      <c r="AO71" s="488">
        <f t="shared" si="5"/>
        <v>0</v>
      </c>
      <c r="AP71" s="473"/>
      <c r="AQ71" s="493" t="str">
        <f>IF(AN71=0,"",(AN71/N71-1))</f>
        <v/>
      </c>
      <c r="AR71" s="493" t="str">
        <f t="shared" si="1"/>
        <v/>
      </c>
      <c r="AS71" s="473"/>
      <c r="AT71" s="443"/>
      <c r="AU71" s="434"/>
      <c r="AV71" s="434"/>
      <c r="AW71" s="494">
        <f ca="1">YEAR($AW$9)-YEAR(E71)</f>
        <v>121</v>
      </c>
      <c r="AX71" s="494">
        <f ca="1">MONTH($AW$9)-MONTH(E71)</f>
        <v>7</v>
      </c>
      <c r="AY71" s="494">
        <f ca="1">DAY($AW$9)-DAY(E71)</f>
        <v>5</v>
      </c>
      <c r="AZ71" s="444">
        <f>IF(AND(F71&gt;0,F71&lt;18),0,100)</f>
        <v>100</v>
      </c>
      <c r="BA71" s="444">
        <f>F71</f>
        <v>0</v>
      </c>
      <c r="BB71" s="469">
        <v>42583</v>
      </c>
      <c r="BC71" s="495">
        <f t="shared" si="10"/>
        <v>0.08</v>
      </c>
      <c r="BD71" s="496">
        <f>tabellen!$D$33</f>
        <v>0.08</v>
      </c>
      <c r="BE71" s="494">
        <f>IF(AZ71=100,0,F71)</f>
        <v>0</v>
      </c>
      <c r="BF71" s="497" t="e">
        <f>IF(U71/H71&lt;tabellen!$E$7,0,(U71-tabellen!$E$7*H71)/12*tabellen!$D$7)</f>
        <v>#DIV/0!</v>
      </c>
      <c r="BG71" s="497" t="e">
        <f>IF(U71/H71&lt;tabellen!$E$8,0,(U71-tabellen!$E$8*H71)/12*tabellen!$D$8)</f>
        <v>#DIV/0!</v>
      </c>
      <c r="BH71" s="498" t="e">
        <f t="shared" si="6"/>
        <v>#DIV/0!</v>
      </c>
      <c r="BI71" s="499" t="e">
        <v>#DIV/0!</v>
      </c>
      <c r="BJ71" s="499" t="e">
        <f>ROUND(IF(BI71&gt;tabellen!$H$12,tabellen!$H$12,BI71)*tabellen!$C$12,2)</f>
        <v>#DIV/0!</v>
      </c>
      <c r="BK71" s="499" t="e">
        <f>+'wgl tot'!BI71+'wgl tot'!BJ71</f>
        <v>#DIV/0!</v>
      </c>
      <c r="BL71" s="500">
        <f>YEAR(E71)</f>
        <v>1900</v>
      </c>
      <c r="BM71" s="500">
        <f>MONTH(E71)</f>
        <v>1</v>
      </c>
      <c r="BN71" s="494">
        <f>DAY(E71)</f>
        <v>0</v>
      </c>
      <c r="BO71" s="469">
        <f t="shared" si="7"/>
        <v>22462</v>
      </c>
      <c r="BP71" s="469">
        <f t="shared" ca="1" si="8"/>
        <v>44413.920839467595</v>
      </c>
      <c r="BQ71" s="444"/>
      <c r="BR71" s="469"/>
      <c r="BS71" s="444"/>
      <c r="BT71" s="501"/>
      <c r="BU71" s="501"/>
      <c r="BV71" s="501"/>
      <c r="BW71" s="501"/>
      <c r="BX71" s="501"/>
      <c r="BY71" s="501"/>
      <c r="BZ71" s="434"/>
      <c r="CA71" s="434"/>
    </row>
    <row r="72" spans="1:79" s="446" customFormat="1" ht="12" customHeight="1" x14ac:dyDescent="0.2">
      <c r="A72" s="434"/>
      <c r="B72" s="435"/>
      <c r="C72" s="473"/>
      <c r="D72" s="482"/>
      <c r="E72" s="483"/>
      <c r="F72" s="484"/>
      <c r="G72" s="484"/>
      <c r="H72" s="485"/>
      <c r="I72" s="524"/>
      <c r="J72" s="484"/>
      <c r="K72" s="486"/>
      <c r="L72" s="486"/>
      <c r="M72" s="487">
        <f>IF(F72="",0,(VLOOKUP('wgl tot'!F72,saltab2020aug,G72+1,FALSE)))</f>
        <v>0</v>
      </c>
      <c r="N72" s="488">
        <f t="shared" si="0"/>
        <v>0</v>
      </c>
      <c r="O72" s="473"/>
      <c r="P72" s="487">
        <f>ROUND(IF((M72+Q72)*BC72&lt;H72*tabellen!$D$31,H72*tabellen!$D$31,(M72+R72)*BC72),2)</f>
        <v>0</v>
      </c>
      <c r="Q72" s="487">
        <f>ROUND(+(M72+R72)*BD72,2)</f>
        <v>0</v>
      </c>
      <c r="R72" s="487">
        <f>ROUND(IF(J72="j",VLOOKUP(BA72,uitlooptoeslag,2,FALSE))*IF(H72&gt;1,1,H72),2)</f>
        <v>0</v>
      </c>
      <c r="S72" s="487">
        <f>VLOOKUP(BE72,eindejaarsuitkering_OOP,2,TRUE)*H72/12</f>
        <v>0</v>
      </c>
      <c r="T72" s="487">
        <f t="shared" si="11"/>
        <v>0</v>
      </c>
      <c r="U72" s="489">
        <f t="shared" si="2"/>
        <v>0</v>
      </c>
      <c r="V72" s="488">
        <f>ROUND((SUM(N72:T72)*12),0)</f>
        <v>0</v>
      </c>
      <c r="W72" s="473"/>
      <c r="X72" s="489">
        <f t="shared" si="3"/>
        <v>0</v>
      </c>
      <c r="Y72" s="490">
        <v>0</v>
      </c>
      <c r="Z72" s="473"/>
      <c r="AA72" s="487">
        <f>IF(F72="",0,(IF(U72/H72&lt;tabellen!$E$7,0,(U72-tabellen!$E$7*H72)/12)*tabellen!$C$7))</f>
        <v>0</v>
      </c>
      <c r="AB72" s="487">
        <f>IF(F72="",0,(IF(U72/H72&lt;tabellen!$E$8,0,(U72-tabellen!$E$8*H72)/12)*tabellen!$C$8))</f>
        <v>0</v>
      </c>
      <c r="AC72" s="487">
        <f>U72/12*tabellen!$C$9</f>
        <v>0</v>
      </c>
      <c r="AD72" s="487">
        <f>IF(H72=0,0,IF(BI72&gt;tabellen!$G$10/12,$G$10/12,BI72)*(tabellen!$C$10+tabellen!$C$11))</f>
        <v>0</v>
      </c>
      <c r="AE72" s="487">
        <f>IF(F72="",0,BJ72)</f>
        <v>0</v>
      </c>
      <c r="AF72" s="491">
        <f>IF(F72="",0,(IF(BI72&gt;tabellen!$G$13*H72/12,tabellen!$G$13*H72/12,BI72*tabellen!$C$13)))</f>
        <v>0</v>
      </c>
      <c r="AG72" s="473"/>
      <c r="AH72" s="491">
        <f>IF(F72="",0,IF(K72="j",tabellen!$C$14*BI72,0))</f>
        <v>0</v>
      </c>
      <c r="AI72" s="491">
        <f>IF(F72="",0,IF(L72="j",tabellen!$C$15*BI72,0))</f>
        <v>0</v>
      </c>
      <c r="AJ72" s="492">
        <v>0</v>
      </c>
      <c r="AK72" s="473"/>
      <c r="AL72" s="492">
        <v>0</v>
      </c>
      <c r="AM72" s="473"/>
      <c r="AN72" s="488">
        <f t="shared" si="4"/>
        <v>0</v>
      </c>
      <c r="AO72" s="488">
        <f t="shared" si="5"/>
        <v>0</v>
      </c>
      <c r="AP72" s="473"/>
      <c r="AQ72" s="493" t="str">
        <f>IF(AN72=0,"",(AN72/N72-1))</f>
        <v/>
      </c>
      <c r="AR72" s="493" t="str">
        <f t="shared" si="1"/>
        <v/>
      </c>
      <c r="AS72" s="473"/>
      <c r="AT72" s="443"/>
      <c r="AU72" s="434"/>
      <c r="AV72" s="434"/>
      <c r="AW72" s="494">
        <f ca="1">YEAR($AW$9)-YEAR(E72)</f>
        <v>121</v>
      </c>
      <c r="AX72" s="494">
        <f ca="1">MONTH($AW$9)-MONTH(E72)</f>
        <v>7</v>
      </c>
      <c r="AY72" s="494">
        <f ca="1">DAY($AW$9)-DAY(E72)</f>
        <v>5</v>
      </c>
      <c r="AZ72" s="444">
        <f>IF(AND(F72&gt;0,F72&lt;18),0,100)</f>
        <v>100</v>
      </c>
      <c r="BA72" s="444">
        <f>F72</f>
        <v>0</v>
      </c>
      <c r="BB72" s="469">
        <v>42583</v>
      </c>
      <c r="BC72" s="495">
        <f t="shared" si="10"/>
        <v>0.08</v>
      </c>
      <c r="BD72" s="496">
        <f>tabellen!$D$33</f>
        <v>0.08</v>
      </c>
      <c r="BE72" s="494">
        <f>IF(AZ72=100,0,F72)</f>
        <v>0</v>
      </c>
      <c r="BF72" s="497" t="e">
        <f>IF(U72/H72&lt;tabellen!$E$7,0,(U72-tabellen!$E$7*H72)/12*tabellen!$D$7)</f>
        <v>#DIV/0!</v>
      </c>
      <c r="BG72" s="497" t="e">
        <f>IF(U72/H72&lt;tabellen!$E$8,0,(U72-tabellen!$E$8*H72)/12*tabellen!$D$8)</f>
        <v>#DIV/0!</v>
      </c>
      <c r="BH72" s="498" t="e">
        <f t="shared" si="6"/>
        <v>#DIV/0!</v>
      </c>
      <c r="BI72" s="499" t="e">
        <v>#DIV/0!</v>
      </c>
      <c r="BJ72" s="499" t="e">
        <f>ROUND(IF(BI72&gt;tabellen!$H$12,tabellen!$H$12,BI72)*tabellen!$C$12,2)</f>
        <v>#DIV/0!</v>
      </c>
      <c r="BK72" s="499" t="e">
        <f>+'wgl tot'!BI72+'wgl tot'!BJ72</f>
        <v>#DIV/0!</v>
      </c>
      <c r="BL72" s="500">
        <f>YEAR(E72)</f>
        <v>1900</v>
      </c>
      <c r="BM72" s="500">
        <f>MONTH(E72)</f>
        <v>1</v>
      </c>
      <c r="BN72" s="494">
        <f>DAY(E72)</f>
        <v>0</v>
      </c>
      <c r="BO72" s="469">
        <f t="shared" si="7"/>
        <v>22462</v>
      </c>
      <c r="BP72" s="469">
        <f t="shared" ca="1" si="8"/>
        <v>44413.920839467595</v>
      </c>
      <c r="BQ72" s="444"/>
      <c r="BR72" s="469"/>
      <c r="BS72" s="444"/>
      <c r="BT72" s="501"/>
      <c r="BU72" s="501"/>
      <c r="BV72" s="501"/>
      <c r="BW72" s="501"/>
      <c r="BX72" s="501"/>
      <c r="BY72" s="501"/>
      <c r="BZ72" s="434"/>
      <c r="CA72" s="434"/>
    </row>
    <row r="73" spans="1:79" s="446" customFormat="1" ht="12" customHeight="1" x14ac:dyDescent="0.2">
      <c r="A73" s="434"/>
      <c r="B73" s="435"/>
      <c r="C73" s="473"/>
      <c r="D73" s="482"/>
      <c r="E73" s="483"/>
      <c r="F73" s="484"/>
      <c r="G73" s="484"/>
      <c r="H73" s="485"/>
      <c r="I73" s="524"/>
      <c r="J73" s="484"/>
      <c r="K73" s="486"/>
      <c r="L73" s="486"/>
      <c r="M73" s="487">
        <f>IF(F73="",0,(VLOOKUP('wgl tot'!F73,saltab2020aug,G73+1,FALSE)))</f>
        <v>0</v>
      </c>
      <c r="N73" s="488">
        <f t="shared" si="0"/>
        <v>0</v>
      </c>
      <c r="O73" s="473"/>
      <c r="P73" s="487">
        <f>ROUND(IF((M73+Q73)*BC73&lt;H73*tabellen!$D$31,H73*tabellen!$D$31,(M73+R73)*BC73),2)</f>
        <v>0</v>
      </c>
      <c r="Q73" s="487">
        <f>ROUND(+(M73+R73)*BD73,2)</f>
        <v>0</v>
      </c>
      <c r="R73" s="487">
        <f>ROUND(IF(J73="j",VLOOKUP(BA73,uitlooptoeslag,2,FALSE))*IF(H73&gt;1,1,H73),2)</f>
        <v>0</v>
      </c>
      <c r="S73" s="487">
        <f>VLOOKUP(BE73,eindejaarsuitkering_OOP,2,TRUE)*H73/12</f>
        <v>0</v>
      </c>
      <c r="T73" s="487">
        <f t="shared" si="11"/>
        <v>0</v>
      </c>
      <c r="U73" s="489">
        <f t="shared" si="2"/>
        <v>0</v>
      </c>
      <c r="V73" s="488">
        <f>ROUND((SUM(N73:T73)*12),0)</f>
        <v>0</v>
      </c>
      <c r="W73" s="473"/>
      <c r="X73" s="489">
        <f t="shared" si="3"/>
        <v>0</v>
      </c>
      <c r="Y73" s="490">
        <v>0</v>
      </c>
      <c r="Z73" s="473"/>
      <c r="AA73" s="487">
        <f>IF(F73="",0,(IF(U73/H73&lt;tabellen!$E$7,0,(U73-tabellen!$E$7*H73)/12)*tabellen!$C$7))</f>
        <v>0</v>
      </c>
      <c r="AB73" s="487">
        <f>IF(F73="",0,(IF(U73/H73&lt;tabellen!$E$8,0,(U73-tabellen!$E$8*H73)/12)*tabellen!$C$8))</f>
        <v>0</v>
      </c>
      <c r="AC73" s="487">
        <f>U73/12*tabellen!$C$9</f>
        <v>0</v>
      </c>
      <c r="AD73" s="487">
        <f>IF(H73=0,0,IF(BI73&gt;tabellen!$G$10/12,$G$10/12,BI73)*(tabellen!$C$10+tabellen!$C$11))</f>
        <v>0</v>
      </c>
      <c r="AE73" s="487">
        <f>IF(F73="",0,BJ73)</f>
        <v>0</v>
      </c>
      <c r="AF73" s="491">
        <f>IF(F73="",0,(IF(BI73&gt;tabellen!$G$13*H73/12,tabellen!$G$13*H73/12,BI73*tabellen!$C$13)))</f>
        <v>0</v>
      </c>
      <c r="AG73" s="473"/>
      <c r="AH73" s="491">
        <f>IF(F73="",0,IF(K73="j",tabellen!$C$14*BI73,0))</f>
        <v>0</v>
      </c>
      <c r="AI73" s="491">
        <f>IF(F73="",0,IF(L73="j",tabellen!$C$15*BI73,0))</f>
        <v>0</v>
      </c>
      <c r="AJ73" s="492">
        <v>0</v>
      </c>
      <c r="AK73" s="473"/>
      <c r="AL73" s="492">
        <v>0</v>
      </c>
      <c r="AM73" s="473"/>
      <c r="AN73" s="488">
        <f t="shared" si="4"/>
        <v>0</v>
      </c>
      <c r="AO73" s="488">
        <f t="shared" si="5"/>
        <v>0</v>
      </c>
      <c r="AP73" s="473"/>
      <c r="AQ73" s="493" t="str">
        <f>IF(AN73=0,"",(AN73/N73-1))</f>
        <v/>
      </c>
      <c r="AR73" s="493" t="str">
        <f t="shared" si="1"/>
        <v/>
      </c>
      <c r="AS73" s="473"/>
      <c r="AT73" s="443"/>
      <c r="AU73" s="434"/>
      <c r="AV73" s="434"/>
      <c r="AW73" s="494">
        <f ca="1">YEAR($AW$9)-YEAR(E73)</f>
        <v>121</v>
      </c>
      <c r="AX73" s="494">
        <f ca="1">MONTH($AW$9)-MONTH(E73)</f>
        <v>7</v>
      </c>
      <c r="AY73" s="494">
        <f ca="1">DAY($AW$9)-DAY(E73)</f>
        <v>5</v>
      </c>
      <c r="AZ73" s="444">
        <f>IF(AND(F73&gt;0,F73&lt;18),0,100)</f>
        <v>100</v>
      </c>
      <c r="BA73" s="444">
        <f>F73</f>
        <v>0</v>
      </c>
      <c r="BB73" s="469">
        <v>42583</v>
      </c>
      <c r="BC73" s="495">
        <f t="shared" si="10"/>
        <v>0.08</v>
      </c>
      <c r="BD73" s="496">
        <f>tabellen!$D$33</f>
        <v>0.08</v>
      </c>
      <c r="BE73" s="494">
        <f>IF(AZ73=100,0,F73)</f>
        <v>0</v>
      </c>
      <c r="BF73" s="497" t="e">
        <f>IF(U73/H73&lt;tabellen!$E$7,0,(U73-tabellen!$E$7*H73)/12*tabellen!$D$7)</f>
        <v>#DIV/0!</v>
      </c>
      <c r="BG73" s="497" t="e">
        <f>IF(U73/H73&lt;tabellen!$E$8,0,(U73-tabellen!$E$8*H73)/12*tabellen!$D$8)</f>
        <v>#DIV/0!</v>
      </c>
      <c r="BH73" s="498" t="e">
        <f t="shared" si="6"/>
        <v>#DIV/0!</v>
      </c>
      <c r="BI73" s="499" t="e">
        <v>#DIV/0!</v>
      </c>
      <c r="BJ73" s="499" t="e">
        <f>ROUND(IF(BI73&gt;tabellen!$H$12,tabellen!$H$12,BI73)*tabellen!$C$12,2)</f>
        <v>#DIV/0!</v>
      </c>
      <c r="BK73" s="499" t="e">
        <f>+'wgl tot'!BI73+'wgl tot'!BJ73</f>
        <v>#DIV/0!</v>
      </c>
      <c r="BL73" s="500">
        <f>YEAR(E73)</f>
        <v>1900</v>
      </c>
      <c r="BM73" s="500">
        <f>MONTH(E73)</f>
        <v>1</v>
      </c>
      <c r="BN73" s="494">
        <f>DAY(E73)</f>
        <v>0</v>
      </c>
      <c r="BO73" s="469">
        <f t="shared" si="7"/>
        <v>22462</v>
      </c>
      <c r="BP73" s="469">
        <f t="shared" ca="1" si="8"/>
        <v>44413.920839467595</v>
      </c>
      <c r="BQ73" s="444"/>
      <c r="BR73" s="469"/>
      <c r="BS73" s="444"/>
      <c r="BT73" s="501"/>
      <c r="BU73" s="501"/>
      <c r="BV73" s="501"/>
      <c r="BW73" s="501"/>
      <c r="BX73" s="501"/>
      <c r="BY73" s="501"/>
      <c r="BZ73" s="434"/>
      <c r="CA73" s="434"/>
    </row>
    <row r="74" spans="1:79" s="446" customFormat="1" ht="12" customHeight="1" x14ac:dyDescent="0.2">
      <c r="A74" s="434"/>
      <c r="B74" s="435"/>
      <c r="C74" s="473"/>
      <c r="D74" s="482"/>
      <c r="E74" s="483"/>
      <c r="F74" s="484"/>
      <c r="G74" s="484"/>
      <c r="H74" s="485"/>
      <c r="I74" s="524"/>
      <c r="J74" s="484"/>
      <c r="K74" s="486"/>
      <c r="L74" s="486"/>
      <c r="M74" s="487">
        <f>IF(F74="",0,(VLOOKUP('wgl tot'!F74,saltab2020aug,G74+1,FALSE)))</f>
        <v>0</v>
      </c>
      <c r="N74" s="488">
        <f t="shared" si="0"/>
        <v>0</v>
      </c>
      <c r="O74" s="473"/>
      <c r="P74" s="487">
        <f>ROUND(IF((M74+Q74)*BC74&lt;H74*tabellen!$D$31,H74*tabellen!$D$31,(M74+R74)*BC74),2)</f>
        <v>0</v>
      </c>
      <c r="Q74" s="487">
        <f>ROUND(+(M74+R74)*BD74,2)</f>
        <v>0</v>
      </c>
      <c r="R74" s="487">
        <f>ROUND(IF(J74="j",VLOOKUP(BA74,uitlooptoeslag,2,FALSE))*IF(H74&gt;1,1,H74),2)</f>
        <v>0</v>
      </c>
      <c r="S74" s="487">
        <f>VLOOKUP(BE74,eindejaarsuitkering_OOP,2,TRUE)*H74/12</f>
        <v>0</v>
      </c>
      <c r="T74" s="487">
        <f t="shared" si="11"/>
        <v>0</v>
      </c>
      <c r="U74" s="489">
        <f t="shared" si="2"/>
        <v>0</v>
      </c>
      <c r="V74" s="488">
        <f>ROUND((SUM(N74:T74)*12),0)</f>
        <v>0</v>
      </c>
      <c r="W74" s="473"/>
      <c r="X74" s="489">
        <f t="shared" si="3"/>
        <v>0</v>
      </c>
      <c r="Y74" s="490">
        <v>0</v>
      </c>
      <c r="Z74" s="473"/>
      <c r="AA74" s="487">
        <f>IF(F74="",0,(IF(U74/H74&lt;tabellen!$E$7,0,(U74-tabellen!$E$7*H74)/12)*tabellen!$C$7))</f>
        <v>0</v>
      </c>
      <c r="AB74" s="487">
        <f>IF(F74="",0,(IF(U74/H74&lt;tabellen!$E$8,0,(U74-tabellen!$E$8*H74)/12)*tabellen!$C$8))</f>
        <v>0</v>
      </c>
      <c r="AC74" s="487">
        <f>U74/12*tabellen!$C$9</f>
        <v>0</v>
      </c>
      <c r="AD74" s="487">
        <f>IF(H74=0,0,IF(BI74&gt;tabellen!$G$10/12,$G$10/12,BI74)*(tabellen!$C$10+tabellen!$C$11))</f>
        <v>0</v>
      </c>
      <c r="AE74" s="487">
        <f>IF(F74="",0,BJ74)</f>
        <v>0</v>
      </c>
      <c r="AF74" s="491">
        <f>IF(F74="",0,(IF(BI74&gt;tabellen!$G$13*H74/12,tabellen!$G$13*H74/12,BI74*tabellen!$C$13)))</f>
        <v>0</v>
      </c>
      <c r="AG74" s="473"/>
      <c r="AH74" s="491">
        <f>IF(F74="",0,IF(K74="j",tabellen!$C$14*BI74,0))</f>
        <v>0</v>
      </c>
      <c r="AI74" s="491">
        <f>IF(F74="",0,IF(L74="j",tabellen!$C$15*BI74,0))</f>
        <v>0</v>
      </c>
      <c r="AJ74" s="492">
        <v>0</v>
      </c>
      <c r="AK74" s="473"/>
      <c r="AL74" s="492">
        <v>0</v>
      </c>
      <c r="AM74" s="473"/>
      <c r="AN74" s="488">
        <f t="shared" si="4"/>
        <v>0</v>
      </c>
      <c r="AO74" s="488">
        <f t="shared" si="5"/>
        <v>0</v>
      </c>
      <c r="AP74" s="473"/>
      <c r="AQ74" s="493" t="str">
        <f>IF(AN74=0,"",(AN74/N74-1))</f>
        <v/>
      </c>
      <c r="AR74" s="493" t="str">
        <f t="shared" si="1"/>
        <v/>
      </c>
      <c r="AS74" s="473"/>
      <c r="AT74" s="443"/>
      <c r="AU74" s="434"/>
      <c r="AV74" s="434"/>
      <c r="AW74" s="494">
        <f ca="1">YEAR($AW$9)-YEAR(E74)</f>
        <v>121</v>
      </c>
      <c r="AX74" s="494">
        <f ca="1">MONTH($AW$9)-MONTH(E74)</f>
        <v>7</v>
      </c>
      <c r="AY74" s="494">
        <f ca="1">DAY($AW$9)-DAY(E74)</f>
        <v>5</v>
      </c>
      <c r="AZ74" s="444">
        <f>IF(AND(F74&gt;0,F74&lt;18),0,100)</f>
        <v>100</v>
      </c>
      <c r="BA74" s="444">
        <f>F74</f>
        <v>0</v>
      </c>
      <c r="BB74" s="469">
        <v>42583</v>
      </c>
      <c r="BC74" s="495">
        <f t="shared" si="10"/>
        <v>0.08</v>
      </c>
      <c r="BD74" s="496">
        <f>tabellen!$D$33</f>
        <v>0.08</v>
      </c>
      <c r="BE74" s="494">
        <f>IF(AZ74=100,0,F74)</f>
        <v>0</v>
      </c>
      <c r="BF74" s="497" t="e">
        <f>IF(U74/H74&lt;tabellen!$E$7,0,(U74-tabellen!$E$7*H74)/12*tabellen!$D$7)</f>
        <v>#DIV/0!</v>
      </c>
      <c r="BG74" s="497" t="e">
        <f>IF(U74/H74&lt;tabellen!$E$8,0,(U74-tabellen!$E$8*H74)/12*tabellen!$D$8)</f>
        <v>#DIV/0!</v>
      </c>
      <c r="BH74" s="498" t="e">
        <f t="shared" si="6"/>
        <v>#DIV/0!</v>
      </c>
      <c r="BI74" s="499" t="e">
        <v>#DIV/0!</v>
      </c>
      <c r="BJ74" s="499" t="e">
        <f>ROUND(IF(BI74&gt;tabellen!$H$12,tabellen!$H$12,BI74)*tabellen!$C$12,2)</f>
        <v>#DIV/0!</v>
      </c>
      <c r="BK74" s="499" t="e">
        <f>+'wgl tot'!BI74+'wgl tot'!BJ74</f>
        <v>#DIV/0!</v>
      </c>
      <c r="BL74" s="500">
        <f>YEAR(E74)</f>
        <v>1900</v>
      </c>
      <c r="BM74" s="500">
        <f>MONTH(E74)</f>
        <v>1</v>
      </c>
      <c r="BN74" s="494">
        <f>DAY(E74)</f>
        <v>0</v>
      </c>
      <c r="BO74" s="469">
        <f t="shared" si="7"/>
        <v>22462</v>
      </c>
      <c r="BP74" s="469">
        <f t="shared" ca="1" si="8"/>
        <v>44413.920839467595</v>
      </c>
      <c r="BQ74" s="444"/>
      <c r="BR74" s="469"/>
      <c r="BS74" s="444"/>
      <c r="BT74" s="501"/>
      <c r="BU74" s="501"/>
      <c r="BV74" s="501"/>
      <c r="BW74" s="501"/>
      <c r="BX74" s="501"/>
      <c r="BY74" s="501"/>
      <c r="BZ74" s="434"/>
      <c r="CA74" s="434"/>
    </row>
    <row r="75" spans="1:79" s="446" customFormat="1" ht="12" customHeight="1" x14ac:dyDescent="0.2">
      <c r="A75" s="434"/>
      <c r="B75" s="435"/>
      <c r="C75" s="473"/>
      <c r="D75" s="482"/>
      <c r="E75" s="483"/>
      <c r="F75" s="484"/>
      <c r="G75" s="484"/>
      <c r="H75" s="485"/>
      <c r="I75" s="524"/>
      <c r="J75" s="484"/>
      <c r="K75" s="486"/>
      <c r="L75" s="486"/>
      <c r="M75" s="487">
        <f>IF(F75="",0,(VLOOKUP('wgl tot'!F75,saltab2020aug,G75+1,FALSE)))</f>
        <v>0</v>
      </c>
      <c r="N75" s="488">
        <f t="shared" si="0"/>
        <v>0</v>
      </c>
      <c r="O75" s="473"/>
      <c r="P75" s="487">
        <f>ROUND(IF((M75+Q75)*BC75&lt;H75*tabellen!$D$31,H75*tabellen!$D$31,(M75+R75)*BC75),2)</f>
        <v>0</v>
      </c>
      <c r="Q75" s="487">
        <f>ROUND(+(M75+R75)*BD75,2)</f>
        <v>0</v>
      </c>
      <c r="R75" s="487">
        <f>ROUND(IF(J75="j",VLOOKUP(BA75,uitlooptoeslag,2,FALSE))*IF(H75&gt;1,1,H75),2)</f>
        <v>0</v>
      </c>
      <c r="S75" s="487">
        <f>VLOOKUP(BE75,eindejaarsuitkering_OOP,2,TRUE)*H75/12</f>
        <v>0</v>
      </c>
      <c r="T75" s="487">
        <f t="shared" si="11"/>
        <v>0</v>
      </c>
      <c r="U75" s="489">
        <f t="shared" si="2"/>
        <v>0</v>
      </c>
      <c r="V75" s="488">
        <f>ROUND((SUM(N75:T75)*12),0)</f>
        <v>0</v>
      </c>
      <c r="W75" s="473"/>
      <c r="X75" s="489">
        <f t="shared" si="3"/>
        <v>0</v>
      </c>
      <c r="Y75" s="490">
        <v>0</v>
      </c>
      <c r="Z75" s="473"/>
      <c r="AA75" s="487">
        <f>IF(F75="",0,(IF(U75/H75&lt;tabellen!$E$7,0,(U75-tabellen!$E$7*H75)/12)*tabellen!$C$7))</f>
        <v>0</v>
      </c>
      <c r="AB75" s="487">
        <f>IF(F75="",0,(IF(U75/H75&lt;tabellen!$E$8,0,(U75-tabellen!$E$8*H75)/12)*tabellen!$C$8))</f>
        <v>0</v>
      </c>
      <c r="AC75" s="487">
        <f>U75/12*tabellen!$C$9</f>
        <v>0</v>
      </c>
      <c r="AD75" s="487">
        <f>IF(H75=0,0,IF(BI75&gt;tabellen!$G$10/12,$G$10/12,BI75)*(tabellen!$C$10+tabellen!$C$11))</f>
        <v>0</v>
      </c>
      <c r="AE75" s="487">
        <f>IF(F75="",0,BJ75)</f>
        <v>0</v>
      </c>
      <c r="AF75" s="491">
        <f>IF(F75="",0,(IF(BI75&gt;tabellen!$G$13*H75/12,tabellen!$G$13*H75/12,BI75*tabellen!$C$13)))</f>
        <v>0</v>
      </c>
      <c r="AG75" s="473"/>
      <c r="AH75" s="491">
        <f>IF(F75="",0,IF(K75="j",tabellen!$C$14*BI75,0))</f>
        <v>0</v>
      </c>
      <c r="AI75" s="491">
        <f>IF(F75="",0,IF(L75="j",tabellen!$C$15*BI75,0))</f>
        <v>0</v>
      </c>
      <c r="AJ75" s="492">
        <v>0</v>
      </c>
      <c r="AK75" s="473"/>
      <c r="AL75" s="492">
        <v>0</v>
      </c>
      <c r="AM75" s="473"/>
      <c r="AN75" s="488">
        <f t="shared" si="4"/>
        <v>0</v>
      </c>
      <c r="AO75" s="488">
        <f t="shared" si="5"/>
        <v>0</v>
      </c>
      <c r="AP75" s="473"/>
      <c r="AQ75" s="493" t="str">
        <f>IF(AN75=0,"",(AN75/N75-1))</f>
        <v/>
      </c>
      <c r="AR75" s="493" t="str">
        <f t="shared" si="1"/>
        <v/>
      </c>
      <c r="AS75" s="473"/>
      <c r="AT75" s="443"/>
      <c r="AU75" s="434"/>
      <c r="AV75" s="434"/>
      <c r="AW75" s="494">
        <f ca="1">YEAR($AW$9)-YEAR(E75)</f>
        <v>121</v>
      </c>
      <c r="AX75" s="494">
        <f ca="1">MONTH($AW$9)-MONTH(E75)</f>
        <v>7</v>
      </c>
      <c r="AY75" s="494">
        <f ca="1">DAY($AW$9)-DAY(E75)</f>
        <v>5</v>
      </c>
      <c r="AZ75" s="444">
        <f>IF(AND(F75&gt;0,F75&lt;18),0,100)</f>
        <v>100</v>
      </c>
      <c r="BA75" s="444">
        <f>F75</f>
        <v>0</v>
      </c>
      <c r="BB75" s="469">
        <v>42583</v>
      </c>
      <c r="BC75" s="495">
        <f t="shared" si="10"/>
        <v>0.08</v>
      </c>
      <c r="BD75" s="496">
        <f>tabellen!$D$33</f>
        <v>0.08</v>
      </c>
      <c r="BE75" s="494">
        <f>IF(AZ75=100,0,F75)</f>
        <v>0</v>
      </c>
      <c r="BF75" s="497" t="e">
        <f>IF(U75/H75&lt;tabellen!$E$7,0,(U75-tabellen!$E$7*H75)/12*tabellen!$D$7)</f>
        <v>#DIV/0!</v>
      </c>
      <c r="BG75" s="497" t="e">
        <f>IF(U75/H75&lt;tabellen!$E$8,0,(U75-tabellen!$E$8*H75)/12*tabellen!$D$8)</f>
        <v>#DIV/0!</v>
      </c>
      <c r="BH75" s="498" t="e">
        <f t="shared" si="6"/>
        <v>#DIV/0!</v>
      </c>
      <c r="BI75" s="499" t="e">
        <v>#DIV/0!</v>
      </c>
      <c r="BJ75" s="499" t="e">
        <f>ROUND(IF(BI75&gt;tabellen!$H$12,tabellen!$H$12,BI75)*tabellen!$C$12,2)</f>
        <v>#DIV/0!</v>
      </c>
      <c r="BK75" s="499" t="e">
        <f>+'wgl tot'!BI75+'wgl tot'!BJ75</f>
        <v>#DIV/0!</v>
      </c>
      <c r="BL75" s="500">
        <f>YEAR(E75)</f>
        <v>1900</v>
      </c>
      <c r="BM75" s="500">
        <f>MONTH(E75)</f>
        <v>1</v>
      </c>
      <c r="BN75" s="494">
        <f>DAY(E75)</f>
        <v>0</v>
      </c>
      <c r="BO75" s="469">
        <f t="shared" si="7"/>
        <v>22462</v>
      </c>
      <c r="BP75" s="469">
        <f t="shared" ca="1" si="8"/>
        <v>44413.920839467595</v>
      </c>
      <c r="BQ75" s="444"/>
      <c r="BR75" s="469"/>
      <c r="BS75" s="444"/>
      <c r="BT75" s="501"/>
      <c r="BU75" s="501"/>
      <c r="BV75" s="501"/>
      <c r="BW75" s="501"/>
      <c r="BX75" s="501"/>
      <c r="BY75" s="501"/>
      <c r="BZ75" s="434"/>
      <c r="CA75" s="434"/>
    </row>
    <row r="76" spans="1:79" s="446" customFormat="1" ht="12" customHeight="1" x14ac:dyDescent="0.2">
      <c r="A76" s="434"/>
      <c r="B76" s="435"/>
      <c r="C76" s="473"/>
      <c r="D76" s="482"/>
      <c r="E76" s="483"/>
      <c r="F76" s="484"/>
      <c r="G76" s="484"/>
      <c r="H76" s="485"/>
      <c r="I76" s="524"/>
      <c r="J76" s="484"/>
      <c r="K76" s="486"/>
      <c r="L76" s="486"/>
      <c r="M76" s="487">
        <f>IF(F76="",0,(VLOOKUP('wgl tot'!F76,saltab2020aug,G76+1,FALSE)))</f>
        <v>0</v>
      </c>
      <c r="N76" s="488">
        <f t="shared" ref="N76:N86" si="12">M76*H76</f>
        <v>0</v>
      </c>
      <c r="O76" s="473"/>
      <c r="P76" s="487">
        <f>ROUND(IF((M76+Q76)*BC76&lt;H76*tabellen!$D$31,H76*tabellen!$D$31,(M76+R76)*BC76),2)</f>
        <v>0</v>
      </c>
      <c r="Q76" s="487">
        <f>ROUND(+(M76+R76)*BD76,2)</f>
        <v>0</v>
      </c>
      <c r="R76" s="487">
        <f>ROUND(IF(J76="j",VLOOKUP(BA76,uitlooptoeslag,2,FALSE))*IF(H76&gt;1,1,H76),2)</f>
        <v>0</v>
      </c>
      <c r="S76" s="487">
        <f>VLOOKUP(BE76,eindejaarsuitkering_OOP,2,TRUE)*H76/12</f>
        <v>0</v>
      </c>
      <c r="T76" s="487">
        <f t="shared" si="11"/>
        <v>0</v>
      </c>
      <c r="U76" s="489">
        <f t="shared" si="2"/>
        <v>0</v>
      </c>
      <c r="V76" s="488">
        <f>ROUND((SUM(N76:T76)*12),0)</f>
        <v>0</v>
      </c>
      <c r="W76" s="473"/>
      <c r="X76" s="489">
        <f t="shared" si="3"/>
        <v>0</v>
      </c>
      <c r="Y76" s="490">
        <v>0</v>
      </c>
      <c r="Z76" s="473"/>
      <c r="AA76" s="487">
        <f>IF(F76="",0,(IF(U76/H76&lt;tabellen!$E$7,0,(U76-tabellen!$E$7*H76)/12)*tabellen!$C$7))</f>
        <v>0</v>
      </c>
      <c r="AB76" s="487">
        <f>IF(F76="",0,(IF(U76/H76&lt;tabellen!$E$8,0,(U76-tabellen!$E$8*H76)/12)*tabellen!$C$8))</f>
        <v>0</v>
      </c>
      <c r="AC76" s="487">
        <f>U76/12*tabellen!$C$9</f>
        <v>0</v>
      </c>
      <c r="AD76" s="487">
        <f>IF(H76=0,0,IF(BI76&gt;tabellen!$G$10/12,$G$10/12,BI76)*(tabellen!$C$10+tabellen!$C$11))</f>
        <v>0</v>
      </c>
      <c r="AE76" s="487">
        <f>IF(F76="",0,BJ76)</f>
        <v>0</v>
      </c>
      <c r="AF76" s="491">
        <f>IF(F76="",0,(IF(BI76&gt;tabellen!$G$13*H76/12,tabellen!$G$13*H76/12,BI76*tabellen!$C$13)))</f>
        <v>0</v>
      </c>
      <c r="AG76" s="473"/>
      <c r="AH76" s="491">
        <f>IF(F76="",0,IF(K76="j",tabellen!$C$14*BI76,0))</f>
        <v>0</v>
      </c>
      <c r="AI76" s="491">
        <f>IF(F76="",0,IF(L76="j",tabellen!$C$15*BI76,0))</f>
        <v>0</v>
      </c>
      <c r="AJ76" s="492">
        <v>0</v>
      </c>
      <c r="AK76" s="473"/>
      <c r="AL76" s="492">
        <v>0</v>
      </c>
      <c r="AM76" s="473"/>
      <c r="AN76" s="488">
        <f t="shared" si="4"/>
        <v>0</v>
      </c>
      <c r="AO76" s="488">
        <f t="shared" si="5"/>
        <v>0</v>
      </c>
      <c r="AP76" s="473"/>
      <c r="AQ76" s="493" t="str">
        <f>IF(AN76=0,"",(AN76/N76-1))</f>
        <v/>
      </c>
      <c r="AR76" s="493" t="str">
        <f t="shared" ref="AR76:AR86" si="13">IF(AN76=0,"",(AN76/(V76/12))-1)</f>
        <v/>
      </c>
      <c r="AS76" s="473"/>
      <c r="AT76" s="443"/>
      <c r="AU76" s="434"/>
      <c r="AV76" s="434"/>
      <c r="AW76" s="494">
        <f ca="1">YEAR($AW$9)-YEAR(E76)</f>
        <v>121</v>
      </c>
      <c r="AX76" s="494">
        <f ca="1">MONTH($AW$9)-MONTH(E76)</f>
        <v>7</v>
      </c>
      <c r="AY76" s="494">
        <f ca="1">DAY($AW$9)-DAY(E76)</f>
        <v>5</v>
      </c>
      <c r="AZ76" s="444">
        <f>IF(AND(F76&gt;0,F76&lt;18),0,100)</f>
        <v>100</v>
      </c>
      <c r="BA76" s="444">
        <f>F76</f>
        <v>0</v>
      </c>
      <c r="BB76" s="469">
        <v>42583</v>
      </c>
      <c r="BC76" s="495">
        <f t="shared" si="10"/>
        <v>0.08</v>
      </c>
      <c r="BD76" s="496">
        <f>tabellen!$D$33</f>
        <v>0.08</v>
      </c>
      <c r="BE76" s="494">
        <f>IF(AZ76=100,0,F76)</f>
        <v>0</v>
      </c>
      <c r="BF76" s="497" t="e">
        <f>IF(U76/H76&lt;tabellen!$E$7,0,(U76-tabellen!$E$7*H76)/12*tabellen!$D$7)</f>
        <v>#DIV/0!</v>
      </c>
      <c r="BG76" s="497" t="e">
        <f>IF(U76/H76&lt;tabellen!$E$8,0,(U76-tabellen!$E$8*H76)/12*tabellen!$D$8)</f>
        <v>#DIV/0!</v>
      </c>
      <c r="BH76" s="498" t="e">
        <f t="shared" si="6"/>
        <v>#DIV/0!</v>
      </c>
      <c r="BI76" s="499" t="e">
        <v>#DIV/0!</v>
      </c>
      <c r="BJ76" s="499" t="e">
        <f>ROUND(IF(BI76&gt;tabellen!$H$12,tabellen!$H$12,BI76)*tabellen!$C$12,2)</f>
        <v>#DIV/0!</v>
      </c>
      <c r="BK76" s="499" t="e">
        <f>+'wgl tot'!BI76+'wgl tot'!BJ76</f>
        <v>#DIV/0!</v>
      </c>
      <c r="BL76" s="500">
        <f>YEAR(E76)</f>
        <v>1900</v>
      </c>
      <c r="BM76" s="500">
        <f>MONTH(E76)</f>
        <v>1</v>
      </c>
      <c r="BN76" s="494">
        <f>DAY(E76)</f>
        <v>0</v>
      </c>
      <c r="BO76" s="469">
        <f t="shared" si="7"/>
        <v>22462</v>
      </c>
      <c r="BP76" s="469">
        <f t="shared" ca="1" si="8"/>
        <v>44413.920839467595</v>
      </c>
      <c r="BQ76" s="444"/>
      <c r="BR76" s="469"/>
      <c r="BS76" s="444"/>
      <c r="BT76" s="501"/>
      <c r="BU76" s="501"/>
      <c r="BV76" s="501"/>
      <c r="BW76" s="501"/>
      <c r="BX76" s="501"/>
      <c r="BY76" s="501"/>
      <c r="BZ76" s="434"/>
      <c r="CA76" s="434"/>
    </row>
    <row r="77" spans="1:79" s="446" customFormat="1" ht="12" customHeight="1" x14ac:dyDescent="0.2">
      <c r="A77" s="434"/>
      <c r="B77" s="435"/>
      <c r="C77" s="473"/>
      <c r="D77" s="482"/>
      <c r="E77" s="483"/>
      <c r="F77" s="484"/>
      <c r="G77" s="484"/>
      <c r="H77" s="485"/>
      <c r="I77" s="524"/>
      <c r="J77" s="484"/>
      <c r="K77" s="486"/>
      <c r="L77" s="486"/>
      <c r="M77" s="487">
        <f>IF(F77="",0,(VLOOKUP('wgl tot'!F77,saltab2020aug,G77+1,FALSE)))</f>
        <v>0</v>
      </c>
      <c r="N77" s="488">
        <f t="shared" si="12"/>
        <v>0</v>
      </c>
      <c r="O77" s="473"/>
      <c r="P77" s="487">
        <f>ROUND(IF((M77+Q77)*BC77&lt;H77*tabellen!$D$31,H77*tabellen!$D$31,(M77+R77)*BC77),2)</f>
        <v>0</v>
      </c>
      <c r="Q77" s="487">
        <f>ROUND(+(M77+R77)*BD77,2)</f>
        <v>0</v>
      </c>
      <c r="R77" s="487">
        <f>ROUND(IF(J77="j",VLOOKUP(BA77,uitlooptoeslag,2,FALSE))*IF(H77&gt;1,1,H77),2)</f>
        <v>0</v>
      </c>
      <c r="S77" s="487">
        <f>VLOOKUP(BE77,eindejaarsuitkering_OOP,2,TRUE)*H77/12</f>
        <v>0</v>
      </c>
      <c r="T77" s="487">
        <f t="shared" si="11"/>
        <v>0</v>
      </c>
      <c r="U77" s="489">
        <f t="shared" ref="U77:U86" si="14">ROUND((SUM(N77:T77)*12),0)</f>
        <v>0</v>
      </c>
      <c r="V77" s="488">
        <f>ROUND((SUM(N77:T77)*12),0)</f>
        <v>0</v>
      </c>
      <c r="W77" s="473"/>
      <c r="X77" s="489">
        <f t="shared" ref="X77:X86" si="15">V77/12</f>
        <v>0</v>
      </c>
      <c r="Y77" s="490">
        <v>0</v>
      </c>
      <c r="Z77" s="473"/>
      <c r="AA77" s="487">
        <f>IF(F77="",0,(IF(U77/H77&lt;tabellen!$E$7,0,(U77-tabellen!$E$7*H77)/12)*tabellen!$C$7))</f>
        <v>0</v>
      </c>
      <c r="AB77" s="487">
        <f>IF(F77="",0,(IF(U77/H77&lt;tabellen!$E$8,0,(U77-tabellen!$E$8*H77)/12)*tabellen!$C$8))</f>
        <v>0</v>
      </c>
      <c r="AC77" s="487">
        <f>U77/12*tabellen!$C$9</f>
        <v>0</v>
      </c>
      <c r="AD77" s="487">
        <f>IF(H77=0,0,IF(BI77&gt;tabellen!$G$10/12,$G$10/12,BI77)*(tabellen!$C$10+tabellen!$C$11))</f>
        <v>0</v>
      </c>
      <c r="AE77" s="487">
        <f>IF(F77="",0,BJ77)</f>
        <v>0</v>
      </c>
      <c r="AF77" s="491">
        <f>IF(F77="",0,(IF(BI77&gt;tabellen!$G$13*H77/12,tabellen!$G$13*H77/12,BI77*tabellen!$C$13)))</f>
        <v>0</v>
      </c>
      <c r="AG77" s="473"/>
      <c r="AH77" s="491">
        <f>IF(F77="",0,IF(K77="j",tabellen!$C$14*BI77,0))</f>
        <v>0</v>
      </c>
      <c r="AI77" s="491">
        <f>IF(F77="",0,IF(L77="j",tabellen!$C$15*BI77,0))</f>
        <v>0</v>
      </c>
      <c r="AJ77" s="492">
        <v>0</v>
      </c>
      <c r="AK77" s="473"/>
      <c r="AL77" s="492">
        <v>0</v>
      </c>
      <c r="AM77" s="473"/>
      <c r="AN77" s="488">
        <f t="shared" ref="AN77:AN86" si="16">SUM(X77:AL77)</f>
        <v>0</v>
      </c>
      <c r="AO77" s="488">
        <f t="shared" ref="AO77:AO86" si="17">AN77*12</f>
        <v>0</v>
      </c>
      <c r="AP77" s="473"/>
      <c r="AQ77" s="493" t="str">
        <f>IF(AN77=0,"",(AN77/N77-1))</f>
        <v/>
      </c>
      <c r="AR77" s="493" t="str">
        <f t="shared" si="13"/>
        <v/>
      </c>
      <c r="AS77" s="473"/>
      <c r="AT77" s="443"/>
      <c r="AU77" s="434"/>
      <c r="AV77" s="434"/>
      <c r="AW77" s="494">
        <f ca="1">YEAR($AW$9)-YEAR(E77)</f>
        <v>121</v>
      </c>
      <c r="AX77" s="494">
        <f ca="1">MONTH($AW$9)-MONTH(E77)</f>
        <v>7</v>
      </c>
      <c r="AY77" s="494">
        <f ca="1">DAY($AW$9)-DAY(E77)</f>
        <v>5</v>
      </c>
      <c r="AZ77" s="444">
        <f>IF(AND(F77&gt;0,F77&lt;18),0,100)</f>
        <v>100</v>
      </c>
      <c r="BA77" s="444">
        <f>F77</f>
        <v>0</v>
      </c>
      <c r="BB77" s="469">
        <v>42583</v>
      </c>
      <c r="BC77" s="495">
        <f t="shared" si="10"/>
        <v>0.08</v>
      </c>
      <c r="BD77" s="496">
        <f>tabellen!$D$33</f>
        <v>0.08</v>
      </c>
      <c r="BE77" s="494">
        <f>IF(AZ77=100,0,F77)</f>
        <v>0</v>
      </c>
      <c r="BF77" s="497" t="e">
        <f>IF(U77/H77&lt;tabellen!$E$7,0,(U77-tabellen!$E$7*H77)/12*tabellen!$D$7)</f>
        <v>#DIV/0!</v>
      </c>
      <c r="BG77" s="497" t="e">
        <f>IF(U77/H77&lt;tabellen!$E$8,0,(U77-tabellen!$E$8*H77)/12*tabellen!$D$8)</f>
        <v>#DIV/0!</v>
      </c>
      <c r="BH77" s="498" t="e">
        <f t="shared" ref="BH77:BH86" si="18">SUM(BF77:BG77)</f>
        <v>#DIV/0!</v>
      </c>
      <c r="BI77" s="499" t="e">
        <v>#DIV/0!</v>
      </c>
      <c r="BJ77" s="499" t="e">
        <f>ROUND(IF(BI77&gt;tabellen!$H$12,tabellen!$H$12,BI77)*tabellen!$C$12,2)</f>
        <v>#DIV/0!</v>
      </c>
      <c r="BK77" s="499" t="e">
        <f>+'wgl tot'!BI77+'wgl tot'!BJ77</f>
        <v>#DIV/0!</v>
      </c>
      <c r="BL77" s="500">
        <f>YEAR(E77)</f>
        <v>1900</v>
      </c>
      <c r="BM77" s="500">
        <f>MONTH(E77)</f>
        <v>1</v>
      </c>
      <c r="BN77" s="494">
        <f>DAY(E77)</f>
        <v>0</v>
      </c>
      <c r="BO77" s="469">
        <f t="shared" si="7"/>
        <v>22462</v>
      </c>
      <c r="BP77" s="469">
        <f t="shared" ca="1" si="8"/>
        <v>44413.920839467595</v>
      </c>
      <c r="BQ77" s="444"/>
      <c r="BR77" s="469"/>
      <c r="BS77" s="444"/>
      <c r="BT77" s="501"/>
      <c r="BU77" s="501"/>
      <c r="BV77" s="501"/>
      <c r="BW77" s="501"/>
      <c r="BX77" s="501"/>
      <c r="BY77" s="501"/>
      <c r="BZ77" s="434"/>
      <c r="CA77" s="434"/>
    </row>
    <row r="78" spans="1:79" s="446" customFormat="1" ht="12" customHeight="1" x14ac:dyDescent="0.2">
      <c r="A78" s="434"/>
      <c r="B78" s="435"/>
      <c r="C78" s="473"/>
      <c r="D78" s="482"/>
      <c r="E78" s="483"/>
      <c r="F78" s="484"/>
      <c r="G78" s="484"/>
      <c r="H78" s="485"/>
      <c r="I78" s="524"/>
      <c r="J78" s="484"/>
      <c r="K78" s="486"/>
      <c r="L78" s="486"/>
      <c r="M78" s="487">
        <f>IF(F78="",0,(VLOOKUP('wgl tot'!F78,saltab2020aug,G78+1,FALSE)))</f>
        <v>0</v>
      </c>
      <c r="N78" s="488">
        <f t="shared" si="12"/>
        <v>0</v>
      </c>
      <c r="O78" s="473"/>
      <c r="P78" s="487">
        <f>ROUND(IF((M78+Q78)*BC78&lt;H78*tabellen!$D$31,H78*tabellen!$D$31,(M78+R78)*BC78),2)</f>
        <v>0</v>
      </c>
      <c r="Q78" s="487">
        <f>ROUND(+(M78+R78)*BD78,2)</f>
        <v>0</v>
      </c>
      <c r="R78" s="487">
        <f>ROUND(IF(J78="j",VLOOKUP(BA78,uitlooptoeslag,2,FALSE))*IF(H78&gt;1,1,H78),2)</f>
        <v>0</v>
      </c>
      <c r="S78" s="487">
        <f>VLOOKUP(BE78,eindejaarsuitkering_OOP,2,TRUE)*H78/12</f>
        <v>0</v>
      </c>
      <c r="T78" s="487">
        <f t="shared" ref="T78:T86" si="19">ROUND(IF(I78="",0,VLOOKUP(I78,bindingstoelage,3,FALSE))*IF(H78&gt;1,1,H78),I78)</f>
        <v>0</v>
      </c>
      <c r="U78" s="489">
        <f t="shared" si="14"/>
        <v>0</v>
      </c>
      <c r="V78" s="488">
        <f>ROUND((SUM(N78:T78)*12),0)</f>
        <v>0</v>
      </c>
      <c r="W78" s="473"/>
      <c r="X78" s="489">
        <f t="shared" si="15"/>
        <v>0</v>
      </c>
      <c r="Y78" s="490">
        <v>0</v>
      </c>
      <c r="Z78" s="473"/>
      <c r="AA78" s="487">
        <f>IF(F78="",0,(IF(U78/H78&lt;tabellen!$E$7,0,(U78-tabellen!$E$7*H78)/12)*tabellen!$C$7))</f>
        <v>0</v>
      </c>
      <c r="AB78" s="487">
        <f>IF(F78="",0,(IF(U78/H78&lt;tabellen!$E$8,0,(U78-tabellen!$E$8*H78)/12)*tabellen!$C$8))</f>
        <v>0</v>
      </c>
      <c r="AC78" s="487">
        <f>U78/12*tabellen!$C$9</f>
        <v>0</v>
      </c>
      <c r="AD78" s="487">
        <f>IF(H78=0,0,IF(BI78&gt;tabellen!$G$10/12,$G$10/12,BI78)*(tabellen!$C$10+tabellen!$C$11))</f>
        <v>0</v>
      </c>
      <c r="AE78" s="487">
        <f>IF(F78="",0,BJ78)</f>
        <v>0</v>
      </c>
      <c r="AF78" s="491">
        <f>IF(F78="",0,(IF(BI78&gt;tabellen!$G$13*H78/12,tabellen!$G$13*H78/12,BI78*tabellen!$C$13)))</f>
        <v>0</v>
      </c>
      <c r="AG78" s="473"/>
      <c r="AH78" s="491">
        <f>IF(F78="",0,IF(K78="j",tabellen!$C$14*BI78,0))</f>
        <v>0</v>
      </c>
      <c r="AI78" s="491">
        <f>IF(F78="",0,IF(L78="j",tabellen!$C$15*BI78,0))</f>
        <v>0</v>
      </c>
      <c r="AJ78" s="492">
        <v>0</v>
      </c>
      <c r="AK78" s="473"/>
      <c r="AL78" s="492">
        <v>0</v>
      </c>
      <c r="AM78" s="473"/>
      <c r="AN78" s="488">
        <f t="shared" si="16"/>
        <v>0</v>
      </c>
      <c r="AO78" s="488">
        <f t="shared" si="17"/>
        <v>0</v>
      </c>
      <c r="AP78" s="473"/>
      <c r="AQ78" s="493" t="str">
        <f>IF(AN78=0,"",(AN78/N78-1))</f>
        <v/>
      </c>
      <c r="AR78" s="493" t="str">
        <f t="shared" si="13"/>
        <v/>
      </c>
      <c r="AS78" s="473"/>
      <c r="AT78" s="443"/>
      <c r="AU78" s="434"/>
      <c r="AV78" s="434"/>
      <c r="AW78" s="494">
        <f ca="1">YEAR($AW$9)-YEAR(E78)</f>
        <v>121</v>
      </c>
      <c r="AX78" s="494">
        <f ca="1">MONTH($AW$9)-MONTH(E78)</f>
        <v>7</v>
      </c>
      <c r="AY78" s="494">
        <f ca="1">DAY($AW$9)-DAY(E78)</f>
        <v>5</v>
      </c>
      <c r="AZ78" s="444">
        <f>IF(AND(F78&gt;0,F78&lt;18),0,100)</f>
        <v>100</v>
      </c>
      <c r="BA78" s="444">
        <f>F78</f>
        <v>0</v>
      </c>
      <c r="BB78" s="469">
        <v>42583</v>
      </c>
      <c r="BC78" s="495">
        <f t="shared" si="10"/>
        <v>0.08</v>
      </c>
      <c r="BD78" s="496">
        <f>tabellen!$D$33</f>
        <v>0.08</v>
      </c>
      <c r="BE78" s="494">
        <f>IF(AZ78=100,0,F78)</f>
        <v>0</v>
      </c>
      <c r="BF78" s="497" t="e">
        <f>IF(U78/H78&lt;tabellen!$E$7,0,(U78-tabellen!$E$7*H78)/12*tabellen!$D$7)</f>
        <v>#DIV/0!</v>
      </c>
      <c r="BG78" s="497" t="e">
        <f>IF(U78/H78&lt;tabellen!$E$8,0,(U78-tabellen!$E$8*H78)/12*tabellen!$D$8)</f>
        <v>#DIV/0!</v>
      </c>
      <c r="BH78" s="498" t="e">
        <f t="shared" si="18"/>
        <v>#DIV/0!</v>
      </c>
      <c r="BI78" s="499" t="e">
        <v>#DIV/0!</v>
      </c>
      <c r="BJ78" s="499" t="e">
        <f>ROUND(IF(BI78&gt;tabellen!$H$12,tabellen!$H$12,BI78)*tabellen!$C$12,2)</f>
        <v>#DIV/0!</v>
      </c>
      <c r="BK78" s="499" t="e">
        <f>+'wgl tot'!BI78+'wgl tot'!BJ78</f>
        <v>#DIV/0!</v>
      </c>
      <c r="BL78" s="500">
        <f>YEAR(E78)</f>
        <v>1900</v>
      </c>
      <c r="BM78" s="500">
        <f>MONTH(E78)</f>
        <v>1</v>
      </c>
      <c r="BN78" s="494">
        <f>DAY(E78)</f>
        <v>0</v>
      </c>
      <c r="BO78" s="469">
        <f t="shared" si="7"/>
        <v>22462</v>
      </c>
      <c r="BP78" s="469">
        <f t="shared" ca="1" si="8"/>
        <v>44413.920839467595</v>
      </c>
      <c r="BQ78" s="444"/>
      <c r="BR78" s="469"/>
      <c r="BS78" s="444"/>
      <c r="BT78" s="501"/>
      <c r="BU78" s="501"/>
      <c r="BV78" s="501"/>
      <c r="BW78" s="501"/>
      <c r="BX78" s="501"/>
      <c r="BY78" s="501"/>
      <c r="BZ78" s="434"/>
      <c r="CA78" s="434"/>
    </row>
    <row r="79" spans="1:79" s="446" customFormat="1" ht="12" customHeight="1" x14ac:dyDescent="0.2">
      <c r="A79" s="434"/>
      <c r="B79" s="435"/>
      <c r="C79" s="473"/>
      <c r="D79" s="482"/>
      <c r="E79" s="483"/>
      <c r="F79" s="484"/>
      <c r="G79" s="484"/>
      <c r="H79" s="485"/>
      <c r="I79" s="524"/>
      <c r="J79" s="484"/>
      <c r="K79" s="486"/>
      <c r="L79" s="486"/>
      <c r="M79" s="487">
        <f>IF(F79="",0,(VLOOKUP('wgl tot'!F79,saltab2020aug,G79+1,FALSE)))</f>
        <v>0</v>
      </c>
      <c r="N79" s="488">
        <f t="shared" si="12"/>
        <v>0</v>
      </c>
      <c r="O79" s="473"/>
      <c r="P79" s="487">
        <f>ROUND(IF((M79+Q79)*BC79&lt;H79*tabellen!$D$31,H79*tabellen!$D$31,(M79+R79)*BC79),2)</f>
        <v>0</v>
      </c>
      <c r="Q79" s="487">
        <f>ROUND(+(M79+R79)*BD79,2)</f>
        <v>0</v>
      </c>
      <c r="R79" s="487">
        <f>ROUND(IF(J79="j",VLOOKUP(BA79,uitlooptoeslag,2,FALSE))*IF(H79&gt;1,1,H79),2)</f>
        <v>0</v>
      </c>
      <c r="S79" s="487">
        <f>VLOOKUP(BE79,eindejaarsuitkering_OOP,2,TRUE)*H79/12</f>
        <v>0</v>
      </c>
      <c r="T79" s="487">
        <f t="shared" si="19"/>
        <v>0</v>
      </c>
      <c r="U79" s="489">
        <f t="shared" si="14"/>
        <v>0</v>
      </c>
      <c r="V79" s="488">
        <f>ROUND((SUM(N79:T79)*12),0)</f>
        <v>0</v>
      </c>
      <c r="W79" s="473"/>
      <c r="X79" s="489">
        <f t="shared" si="15"/>
        <v>0</v>
      </c>
      <c r="Y79" s="490">
        <v>0</v>
      </c>
      <c r="Z79" s="473"/>
      <c r="AA79" s="487">
        <f>IF(F79="",0,(IF(U79/H79&lt;tabellen!$E$7,0,(U79-tabellen!$E$7*H79)/12)*tabellen!$C$7))</f>
        <v>0</v>
      </c>
      <c r="AB79" s="487">
        <f>IF(F79="",0,(IF(U79/H79&lt;tabellen!$E$8,0,(U79-tabellen!$E$8*H79)/12)*tabellen!$C$8))</f>
        <v>0</v>
      </c>
      <c r="AC79" s="487">
        <f>U79/12*tabellen!$C$9</f>
        <v>0</v>
      </c>
      <c r="AD79" s="487">
        <f>IF(H79=0,0,IF(BI79&gt;tabellen!$G$10/12,$G$10/12,BI79)*(tabellen!$C$10+tabellen!$C$11))</f>
        <v>0</v>
      </c>
      <c r="AE79" s="487">
        <f>IF(F79="",0,BJ79)</f>
        <v>0</v>
      </c>
      <c r="AF79" s="491">
        <f>IF(F79="",0,(IF(BI79&gt;tabellen!$G$13*H79/12,tabellen!$G$13*H79/12,BI79*tabellen!$C$13)))</f>
        <v>0</v>
      </c>
      <c r="AG79" s="473"/>
      <c r="AH79" s="491">
        <f>IF(F79="",0,IF(K79="j",tabellen!$C$14*BI79,0))</f>
        <v>0</v>
      </c>
      <c r="AI79" s="491">
        <f>IF(F79="",0,IF(L79="j",tabellen!$C$15*BI79,0))</f>
        <v>0</v>
      </c>
      <c r="AJ79" s="492">
        <v>0</v>
      </c>
      <c r="AK79" s="473"/>
      <c r="AL79" s="492">
        <v>0</v>
      </c>
      <c r="AM79" s="473"/>
      <c r="AN79" s="488">
        <f t="shared" si="16"/>
        <v>0</v>
      </c>
      <c r="AO79" s="488">
        <f t="shared" si="17"/>
        <v>0</v>
      </c>
      <c r="AP79" s="473"/>
      <c r="AQ79" s="493" t="str">
        <f>IF(AN79=0,"",(AN79/N79-1))</f>
        <v/>
      </c>
      <c r="AR79" s="493" t="str">
        <f t="shared" si="13"/>
        <v/>
      </c>
      <c r="AS79" s="473"/>
      <c r="AT79" s="443"/>
      <c r="AU79" s="434"/>
      <c r="AV79" s="434"/>
      <c r="AW79" s="494">
        <f ca="1">YEAR($AW$9)-YEAR(E79)</f>
        <v>121</v>
      </c>
      <c r="AX79" s="494">
        <f ca="1">MONTH($AW$9)-MONTH(E79)</f>
        <v>7</v>
      </c>
      <c r="AY79" s="494">
        <f ca="1">DAY($AW$9)-DAY(E79)</f>
        <v>5</v>
      </c>
      <c r="AZ79" s="444">
        <f>IF(AND(F79&gt;0,F79&lt;18),0,100)</f>
        <v>100</v>
      </c>
      <c r="BA79" s="444">
        <f>F79</f>
        <v>0</v>
      </c>
      <c r="BB79" s="469">
        <v>42583</v>
      </c>
      <c r="BC79" s="495">
        <f t="shared" si="10"/>
        <v>0.08</v>
      </c>
      <c r="BD79" s="496">
        <f>tabellen!$D$33</f>
        <v>0.08</v>
      </c>
      <c r="BE79" s="494">
        <f>IF(AZ79=100,0,F79)</f>
        <v>0</v>
      </c>
      <c r="BF79" s="497" t="e">
        <f>IF(U79/H79&lt;tabellen!$E$7,0,(U79-tabellen!$E$7*H79)/12*tabellen!$D$7)</f>
        <v>#DIV/0!</v>
      </c>
      <c r="BG79" s="497" t="e">
        <f>IF(U79/H79&lt;tabellen!$E$8,0,(U79-tabellen!$E$8*H79)/12*tabellen!$D$8)</f>
        <v>#DIV/0!</v>
      </c>
      <c r="BH79" s="498" t="e">
        <f t="shared" si="18"/>
        <v>#DIV/0!</v>
      </c>
      <c r="BI79" s="499" t="e">
        <v>#DIV/0!</v>
      </c>
      <c r="BJ79" s="499" t="e">
        <f>ROUND(IF(BI79&gt;tabellen!$H$12,tabellen!$H$12,BI79)*tabellen!$C$12,2)</f>
        <v>#DIV/0!</v>
      </c>
      <c r="BK79" s="499" t="e">
        <f>+'wgl tot'!BI79+'wgl tot'!BJ79</f>
        <v>#DIV/0!</v>
      </c>
      <c r="BL79" s="500">
        <f>YEAR(E79)</f>
        <v>1900</v>
      </c>
      <c r="BM79" s="500">
        <f>MONTH(E79)</f>
        <v>1</v>
      </c>
      <c r="BN79" s="494">
        <f>DAY(E79)</f>
        <v>0</v>
      </c>
      <c r="BO79" s="469">
        <f t="shared" si="7"/>
        <v>22462</v>
      </c>
      <c r="BP79" s="469">
        <f t="shared" ca="1" si="8"/>
        <v>44413.920839467595</v>
      </c>
      <c r="BQ79" s="444"/>
      <c r="BR79" s="469"/>
      <c r="BS79" s="444"/>
      <c r="BT79" s="501"/>
      <c r="BU79" s="501"/>
      <c r="BV79" s="501"/>
      <c r="BW79" s="501"/>
      <c r="BX79" s="501"/>
      <c r="BY79" s="501"/>
      <c r="BZ79" s="434"/>
      <c r="CA79" s="434"/>
    </row>
    <row r="80" spans="1:79" s="446" customFormat="1" ht="12" customHeight="1" x14ac:dyDescent="0.2">
      <c r="A80" s="434"/>
      <c r="B80" s="435"/>
      <c r="C80" s="473"/>
      <c r="D80" s="482"/>
      <c r="E80" s="483"/>
      <c r="F80" s="484"/>
      <c r="G80" s="484"/>
      <c r="H80" s="485"/>
      <c r="I80" s="524"/>
      <c r="J80" s="484"/>
      <c r="K80" s="486"/>
      <c r="L80" s="486"/>
      <c r="M80" s="487">
        <f>IF(F80="",0,(VLOOKUP('wgl tot'!F80,saltab2020aug,G80+1,FALSE)))</f>
        <v>0</v>
      </c>
      <c r="N80" s="488">
        <f t="shared" si="12"/>
        <v>0</v>
      </c>
      <c r="O80" s="473"/>
      <c r="P80" s="487">
        <f>ROUND(IF((M80+Q80)*BC80&lt;H80*tabellen!$D$31,H80*tabellen!$D$31,(M80+R80)*BC80),2)</f>
        <v>0</v>
      </c>
      <c r="Q80" s="487">
        <f>ROUND(+(M80+R80)*BD80,2)</f>
        <v>0</v>
      </c>
      <c r="R80" s="487">
        <f>ROUND(IF(J80="j",VLOOKUP(BA80,uitlooptoeslag,2,FALSE))*IF(H80&gt;1,1,H80),2)</f>
        <v>0</v>
      </c>
      <c r="S80" s="487">
        <f>VLOOKUP(BE80,eindejaarsuitkering_OOP,2,TRUE)*H80/12</f>
        <v>0</v>
      </c>
      <c r="T80" s="487">
        <f t="shared" si="19"/>
        <v>0</v>
      </c>
      <c r="U80" s="489">
        <f t="shared" si="14"/>
        <v>0</v>
      </c>
      <c r="V80" s="488">
        <f>ROUND((SUM(N80:T80)*12),0)</f>
        <v>0</v>
      </c>
      <c r="W80" s="473"/>
      <c r="X80" s="489">
        <f t="shared" si="15"/>
        <v>0</v>
      </c>
      <c r="Y80" s="490">
        <v>0</v>
      </c>
      <c r="Z80" s="473"/>
      <c r="AA80" s="487">
        <f>IF(F80="",0,(IF(U80/H80&lt;tabellen!$E$7,0,(U80-tabellen!$E$7*H80)/12)*tabellen!$C$7))</f>
        <v>0</v>
      </c>
      <c r="AB80" s="487">
        <f>IF(F80="",0,(IF(U80/H80&lt;tabellen!$E$8,0,(U80-tabellen!$E$8*H80)/12)*tabellen!$C$8))</f>
        <v>0</v>
      </c>
      <c r="AC80" s="487">
        <f>U80/12*tabellen!$C$9</f>
        <v>0</v>
      </c>
      <c r="AD80" s="487">
        <f>IF(H80=0,0,IF(BI80&gt;tabellen!$G$10/12,$G$10/12,BI80)*(tabellen!$C$10+tabellen!$C$11))</f>
        <v>0</v>
      </c>
      <c r="AE80" s="487">
        <f>IF(F80="",0,BJ80)</f>
        <v>0</v>
      </c>
      <c r="AF80" s="491">
        <f>IF(F80="",0,(IF(BI80&gt;tabellen!$G$13*H80/12,tabellen!$G$13*H80/12,BI80*tabellen!$C$13)))</f>
        <v>0</v>
      </c>
      <c r="AG80" s="473"/>
      <c r="AH80" s="491">
        <f>IF(F80="",0,IF(K80="j",tabellen!$C$14*BI80,0))</f>
        <v>0</v>
      </c>
      <c r="AI80" s="491">
        <f>IF(F80="",0,IF(L80="j",tabellen!$C$15*BI80,0))</f>
        <v>0</v>
      </c>
      <c r="AJ80" s="492">
        <v>0</v>
      </c>
      <c r="AK80" s="473"/>
      <c r="AL80" s="492">
        <v>0</v>
      </c>
      <c r="AM80" s="473"/>
      <c r="AN80" s="488">
        <f t="shared" si="16"/>
        <v>0</v>
      </c>
      <c r="AO80" s="488">
        <f t="shared" si="17"/>
        <v>0</v>
      </c>
      <c r="AP80" s="473"/>
      <c r="AQ80" s="493" t="str">
        <f>IF(AN80=0,"",(AN80/N80-1))</f>
        <v/>
      </c>
      <c r="AR80" s="493" t="str">
        <f t="shared" si="13"/>
        <v/>
      </c>
      <c r="AS80" s="473"/>
      <c r="AT80" s="443"/>
      <c r="AU80" s="434"/>
      <c r="AV80" s="434"/>
      <c r="AW80" s="494">
        <f ca="1">YEAR($AW$9)-YEAR(E80)</f>
        <v>121</v>
      </c>
      <c r="AX80" s="494">
        <f ca="1">MONTH($AW$9)-MONTH(E80)</f>
        <v>7</v>
      </c>
      <c r="AY80" s="494">
        <f ca="1">DAY($AW$9)-DAY(E80)</f>
        <v>5</v>
      </c>
      <c r="AZ80" s="444">
        <f>IF(AND(F80&gt;0,F80&lt;18),0,100)</f>
        <v>100</v>
      </c>
      <c r="BA80" s="444">
        <f>F80</f>
        <v>0</v>
      </c>
      <c r="BB80" s="469">
        <v>42583</v>
      </c>
      <c r="BC80" s="495">
        <f t="shared" si="10"/>
        <v>0.08</v>
      </c>
      <c r="BD80" s="496">
        <f>tabellen!$D$33</f>
        <v>0.08</v>
      </c>
      <c r="BE80" s="494">
        <f>IF(AZ80=100,0,F80)</f>
        <v>0</v>
      </c>
      <c r="BF80" s="497" t="e">
        <f>IF(U80/H80&lt;tabellen!$E$7,0,(U80-tabellen!$E$7*H80)/12*tabellen!$D$7)</f>
        <v>#DIV/0!</v>
      </c>
      <c r="BG80" s="497" t="e">
        <f>IF(U80/H80&lt;tabellen!$E$8,0,(U80-tabellen!$E$8*H80)/12*tabellen!$D$8)</f>
        <v>#DIV/0!</v>
      </c>
      <c r="BH80" s="498" t="e">
        <f t="shared" si="18"/>
        <v>#DIV/0!</v>
      </c>
      <c r="BI80" s="499" t="e">
        <v>#DIV/0!</v>
      </c>
      <c r="BJ80" s="499" t="e">
        <f>ROUND(IF(BI80&gt;tabellen!$H$12,tabellen!$H$12,BI80)*tabellen!$C$12,2)</f>
        <v>#DIV/0!</v>
      </c>
      <c r="BK80" s="499" t="e">
        <f>+'wgl tot'!BI80+'wgl tot'!BJ80</f>
        <v>#DIV/0!</v>
      </c>
      <c r="BL80" s="500">
        <f>YEAR(E80)</f>
        <v>1900</v>
      </c>
      <c r="BM80" s="500">
        <f>MONTH(E80)</f>
        <v>1</v>
      </c>
      <c r="BN80" s="494">
        <f>DAY(E80)</f>
        <v>0</v>
      </c>
      <c r="BO80" s="469">
        <f t="shared" si="7"/>
        <v>22462</v>
      </c>
      <c r="BP80" s="469">
        <f t="shared" ca="1" si="8"/>
        <v>44413.920839467595</v>
      </c>
      <c r="BQ80" s="444"/>
      <c r="BR80" s="469"/>
      <c r="BS80" s="444"/>
      <c r="BT80" s="501"/>
      <c r="BU80" s="501"/>
      <c r="BV80" s="501"/>
      <c r="BW80" s="501"/>
      <c r="BX80" s="501"/>
      <c r="BY80" s="501"/>
      <c r="BZ80" s="434"/>
      <c r="CA80" s="434"/>
    </row>
    <row r="81" spans="1:79" s="446" customFormat="1" ht="12" customHeight="1" x14ac:dyDescent="0.2">
      <c r="A81" s="434"/>
      <c r="B81" s="435"/>
      <c r="C81" s="473"/>
      <c r="D81" s="482"/>
      <c r="E81" s="483"/>
      <c r="F81" s="484"/>
      <c r="G81" s="484"/>
      <c r="H81" s="485"/>
      <c r="I81" s="524"/>
      <c r="J81" s="484"/>
      <c r="K81" s="486"/>
      <c r="L81" s="486"/>
      <c r="M81" s="487">
        <f>IF(F81="",0,(VLOOKUP('wgl tot'!F81,saltab2020aug,G81+1,FALSE)))</f>
        <v>0</v>
      </c>
      <c r="N81" s="488">
        <f t="shared" si="12"/>
        <v>0</v>
      </c>
      <c r="O81" s="473"/>
      <c r="P81" s="487">
        <f>ROUND(IF((M81+Q81)*BC81&lt;H81*tabellen!$D$31,H81*tabellen!$D$31,(M81+R81)*BC81),2)</f>
        <v>0</v>
      </c>
      <c r="Q81" s="487">
        <f>ROUND(+(M81+R81)*BD81,2)</f>
        <v>0</v>
      </c>
      <c r="R81" s="487">
        <f>ROUND(IF(J81="j",VLOOKUP(BA81,uitlooptoeslag,2,FALSE))*IF(H81&gt;1,1,H81),2)</f>
        <v>0</v>
      </c>
      <c r="S81" s="487">
        <f>VLOOKUP(BE81,eindejaarsuitkering_OOP,2,TRUE)*H81/12</f>
        <v>0</v>
      </c>
      <c r="T81" s="487">
        <f t="shared" si="19"/>
        <v>0</v>
      </c>
      <c r="U81" s="489">
        <f t="shared" si="14"/>
        <v>0</v>
      </c>
      <c r="V81" s="488">
        <f>ROUND((SUM(N81:T81)*12),0)</f>
        <v>0</v>
      </c>
      <c r="W81" s="473"/>
      <c r="X81" s="489">
        <f t="shared" si="15"/>
        <v>0</v>
      </c>
      <c r="Y81" s="490">
        <v>0</v>
      </c>
      <c r="Z81" s="473"/>
      <c r="AA81" s="487">
        <f>IF(F81="",0,(IF(U81/H81&lt;tabellen!$E$7,0,(U81-tabellen!$E$7*H81)/12)*tabellen!$C$7))</f>
        <v>0</v>
      </c>
      <c r="AB81" s="487">
        <f>IF(F81="",0,(IF(U81/H81&lt;tabellen!$E$8,0,(U81-tabellen!$E$8*H81)/12)*tabellen!$C$8))</f>
        <v>0</v>
      </c>
      <c r="AC81" s="487">
        <f>U81/12*tabellen!$C$9</f>
        <v>0</v>
      </c>
      <c r="AD81" s="487">
        <f>IF(H81=0,0,IF(BI81&gt;tabellen!$G$10/12,$G$10/12,BI81)*(tabellen!$C$10+tabellen!$C$11))</f>
        <v>0</v>
      </c>
      <c r="AE81" s="487">
        <f>IF(F81="",0,BJ81)</f>
        <v>0</v>
      </c>
      <c r="AF81" s="491">
        <f>IF(F81="",0,(IF(BI81&gt;tabellen!$G$13*H81/12,tabellen!$G$13*H81/12,BI81*tabellen!$C$13)))</f>
        <v>0</v>
      </c>
      <c r="AG81" s="473"/>
      <c r="AH81" s="491">
        <f>IF(F81="",0,IF(K81="j",tabellen!$C$14*BI81,0))</f>
        <v>0</v>
      </c>
      <c r="AI81" s="491">
        <f>IF(F81="",0,IF(L81="j",tabellen!$C$15*BI81,0))</f>
        <v>0</v>
      </c>
      <c r="AJ81" s="492">
        <v>0</v>
      </c>
      <c r="AK81" s="473"/>
      <c r="AL81" s="492">
        <v>0</v>
      </c>
      <c r="AM81" s="473"/>
      <c r="AN81" s="488">
        <f t="shared" si="16"/>
        <v>0</v>
      </c>
      <c r="AO81" s="488">
        <f t="shared" si="17"/>
        <v>0</v>
      </c>
      <c r="AP81" s="473"/>
      <c r="AQ81" s="493" t="str">
        <f>IF(AN81=0,"",(AN81/N81-1))</f>
        <v/>
      </c>
      <c r="AR81" s="493" t="str">
        <f t="shared" si="13"/>
        <v/>
      </c>
      <c r="AS81" s="473"/>
      <c r="AT81" s="443"/>
      <c r="AU81" s="434"/>
      <c r="AV81" s="434"/>
      <c r="AW81" s="494">
        <f ca="1">YEAR($AW$9)-YEAR(E81)</f>
        <v>121</v>
      </c>
      <c r="AX81" s="494">
        <f ca="1">MONTH($AW$9)-MONTH(E81)</f>
        <v>7</v>
      </c>
      <c r="AY81" s="494">
        <f ca="1">DAY($AW$9)-DAY(E81)</f>
        <v>5</v>
      </c>
      <c r="AZ81" s="444">
        <f>IF(AND(F81&gt;0,F81&lt;18),0,100)</f>
        <v>100</v>
      </c>
      <c r="BA81" s="444">
        <f>F81</f>
        <v>0</v>
      </c>
      <c r="BB81" s="469">
        <v>42583</v>
      </c>
      <c r="BC81" s="495">
        <f t="shared" si="10"/>
        <v>0.08</v>
      </c>
      <c r="BD81" s="496">
        <f>tabellen!$D$33</f>
        <v>0.08</v>
      </c>
      <c r="BE81" s="494">
        <f>IF(AZ81=100,0,F81)</f>
        <v>0</v>
      </c>
      <c r="BF81" s="497" t="e">
        <f>IF(U81/H81&lt;tabellen!$E$7,0,(U81-tabellen!$E$7*H81)/12*tabellen!$D$7)</f>
        <v>#DIV/0!</v>
      </c>
      <c r="BG81" s="497" t="e">
        <f>IF(U81/H81&lt;tabellen!$E$8,0,(U81-tabellen!$E$8*H81)/12*tabellen!$D$8)</f>
        <v>#DIV/0!</v>
      </c>
      <c r="BH81" s="498" t="e">
        <f t="shared" si="18"/>
        <v>#DIV/0!</v>
      </c>
      <c r="BI81" s="499" t="e">
        <v>#DIV/0!</v>
      </c>
      <c r="BJ81" s="499" t="e">
        <f>ROUND(IF(BI81&gt;tabellen!$H$12,tabellen!$H$12,BI81)*tabellen!$C$12,2)</f>
        <v>#DIV/0!</v>
      </c>
      <c r="BK81" s="499" t="e">
        <f>+'wgl tot'!BI81+'wgl tot'!BJ81</f>
        <v>#DIV/0!</v>
      </c>
      <c r="BL81" s="500">
        <f>YEAR(E81)</f>
        <v>1900</v>
      </c>
      <c r="BM81" s="500">
        <f>MONTH(E81)</f>
        <v>1</v>
      </c>
      <c r="BN81" s="494">
        <f>DAY(E81)</f>
        <v>0</v>
      </c>
      <c r="BO81" s="469">
        <f t="shared" si="7"/>
        <v>22462</v>
      </c>
      <c r="BP81" s="469">
        <f t="shared" ca="1" si="8"/>
        <v>44413.920839467595</v>
      </c>
      <c r="BQ81" s="444"/>
      <c r="BR81" s="469"/>
      <c r="BS81" s="444"/>
      <c r="BT81" s="501"/>
      <c r="BU81" s="501"/>
      <c r="BV81" s="501"/>
      <c r="BW81" s="501"/>
      <c r="BX81" s="501"/>
      <c r="BY81" s="501"/>
      <c r="BZ81" s="434"/>
      <c r="CA81" s="434"/>
    </row>
    <row r="82" spans="1:79" s="446" customFormat="1" ht="12" customHeight="1" x14ac:dyDescent="0.2">
      <c r="A82" s="434"/>
      <c r="B82" s="435"/>
      <c r="C82" s="473"/>
      <c r="D82" s="482"/>
      <c r="E82" s="483"/>
      <c r="F82" s="484"/>
      <c r="G82" s="484"/>
      <c r="H82" s="485"/>
      <c r="I82" s="524"/>
      <c r="J82" s="484"/>
      <c r="K82" s="486"/>
      <c r="L82" s="486"/>
      <c r="M82" s="487">
        <f>IF(F82="",0,(VLOOKUP('wgl tot'!F82,saltab2020aug,G82+1,FALSE)))</f>
        <v>0</v>
      </c>
      <c r="N82" s="488">
        <f t="shared" si="12"/>
        <v>0</v>
      </c>
      <c r="O82" s="473"/>
      <c r="P82" s="487">
        <f>ROUND(IF((M82+Q82)*BC82&lt;H82*tabellen!$D$31,H82*tabellen!$D$31,(M82+R82)*BC82),2)</f>
        <v>0</v>
      </c>
      <c r="Q82" s="487">
        <f>ROUND(+(M82+R82)*BD82,2)</f>
        <v>0</v>
      </c>
      <c r="R82" s="487">
        <f>ROUND(IF(J82="j",VLOOKUP(BA82,uitlooptoeslag,2,FALSE))*IF(H82&gt;1,1,H82),2)</f>
        <v>0</v>
      </c>
      <c r="S82" s="487">
        <f>VLOOKUP(BE82,eindejaarsuitkering_OOP,2,TRUE)*H82/12</f>
        <v>0</v>
      </c>
      <c r="T82" s="487">
        <f t="shared" si="19"/>
        <v>0</v>
      </c>
      <c r="U82" s="489">
        <f t="shared" si="14"/>
        <v>0</v>
      </c>
      <c r="V82" s="488">
        <f>ROUND((SUM(N82:T82)*12),0)</f>
        <v>0</v>
      </c>
      <c r="W82" s="473"/>
      <c r="X82" s="489">
        <f t="shared" si="15"/>
        <v>0</v>
      </c>
      <c r="Y82" s="490">
        <v>0</v>
      </c>
      <c r="Z82" s="473"/>
      <c r="AA82" s="487">
        <f>IF(F82="",0,(IF(U82/H82&lt;tabellen!$E$7,0,(U82-tabellen!$E$7*H82)/12)*tabellen!$C$7))</f>
        <v>0</v>
      </c>
      <c r="AB82" s="487">
        <f>IF(F82="",0,(IF(U82/H82&lt;tabellen!$E$8,0,(U82-tabellen!$E$8*H82)/12)*tabellen!$C$8))</f>
        <v>0</v>
      </c>
      <c r="AC82" s="487">
        <f>U82/12*tabellen!$C$9</f>
        <v>0</v>
      </c>
      <c r="AD82" s="487">
        <f>IF(H82=0,0,IF(BI82&gt;tabellen!$G$10/12,$G$10/12,BI82)*(tabellen!$C$10+tabellen!$C$11))</f>
        <v>0</v>
      </c>
      <c r="AE82" s="487">
        <f>IF(F82="",0,BJ82)</f>
        <v>0</v>
      </c>
      <c r="AF82" s="491">
        <f>IF(F82="",0,(IF(BI82&gt;tabellen!$G$13*H82/12,tabellen!$G$13*H82/12,BI82*tabellen!$C$13)))</f>
        <v>0</v>
      </c>
      <c r="AG82" s="473"/>
      <c r="AH82" s="491">
        <f>IF(F82="",0,IF(K82="j",tabellen!$C$14*BI82,0))</f>
        <v>0</v>
      </c>
      <c r="AI82" s="491">
        <f>IF(F82="",0,IF(L82="j",tabellen!$C$15*BI82,0))</f>
        <v>0</v>
      </c>
      <c r="AJ82" s="492">
        <v>0</v>
      </c>
      <c r="AK82" s="473"/>
      <c r="AL82" s="492">
        <v>0</v>
      </c>
      <c r="AM82" s="473"/>
      <c r="AN82" s="488">
        <f t="shared" si="16"/>
        <v>0</v>
      </c>
      <c r="AO82" s="488">
        <f t="shared" si="17"/>
        <v>0</v>
      </c>
      <c r="AP82" s="473"/>
      <c r="AQ82" s="493" t="str">
        <f>IF(AN82=0,"",(AN82/N82-1))</f>
        <v/>
      </c>
      <c r="AR82" s="493" t="str">
        <f t="shared" si="13"/>
        <v/>
      </c>
      <c r="AS82" s="473"/>
      <c r="AT82" s="443"/>
      <c r="AU82" s="434"/>
      <c r="AV82" s="434"/>
      <c r="AW82" s="494">
        <f ca="1">YEAR($AW$9)-YEAR(E82)</f>
        <v>121</v>
      </c>
      <c r="AX82" s="494">
        <f ca="1">MONTH($AW$9)-MONTH(E82)</f>
        <v>7</v>
      </c>
      <c r="AY82" s="494">
        <f ca="1">DAY($AW$9)-DAY(E82)</f>
        <v>5</v>
      </c>
      <c r="AZ82" s="444">
        <f>IF(AND(F82&gt;0,F82&lt;18),0,100)</f>
        <v>100</v>
      </c>
      <c r="BA82" s="444">
        <f>F82</f>
        <v>0</v>
      </c>
      <c r="BB82" s="469">
        <v>42583</v>
      </c>
      <c r="BC82" s="495">
        <f t="shared" si="10"/>
        <v>0.08</v>
      </c>
      <c r="BD82" s="496">
        <f>tabellen!$D$33</f>
        <v>0.08</v>
      </c>
      <c r="BE82" s="494">
        <f>IF(AZ82=100,0,F82)</f>
        <v>0</v>
      </c>
      <c r="BF82" s="497" t="e">
        <f>IF(U82/H82&lt;tabellen!$E$7,0,(U82-tabellen!$E$7*H82)/12*tabellen!$D$7)</f>
        <v>#DIV/0!</v>
      </c>
      <c r="BG82" s="497" t="e">
        <f>IF(U82/H82&lt;tabellen!$E$8,0,(U82-tabellen!$E$8*H82)/12*tabellen!$D$8)</f>
        <v>#DIV/0!</v>
      </c>
      <c r="BH82" s="498" t="e">
        <f t="shared" si="18"/>
        <v>#DIV/0!</v>
      </c>
      <c r="BI82" s="499" t="e">
        <v>#DIV/0!</v>
      </c>
      <c r="BJ82" s="499" t="e">
        <f>ROUND(IF(BI82&gt;tabellen!$H$12,tabellen!$H$12,BI82)*tabellen!$C$12,2)</f>
        <v>#DIV/0!</v>
      </c>
      <c r="BK82" s="499" t="e">
        <f>+'wgl tot'!BI82+'wgl tot'!BJ82</f>
        <v>#DIV/0!</v>
      </c>
      <c r="BL82" s="500">
        <f>YEAR(E82)</f>
        <v>1900</v>
      </c>
      <c r="BM82" s="500">
        <f>MONTH(E82)</f>
        <v>1</v>
      </c>
      <c r="BN82" s="494">
        <f>DAY(E82)</f>
        <v>0</v>
      </c>
      <c r="BO82" s="469">
        <f t="shared" si="7"/>
        <v>22462</v>
      </c>
      <c r="BP82" s="469">
        <f t="shared" ca="1" si="8"/>
        <v>44413.920839467595</v>
      </c>
      <c r="BQ82" s="444"/>
      <c r="BR82" s="469"/>
      <c r="BS82" s="444"/>
      <c r="BT82" s="501"/>
      <c r="BU82" s="501"/>
      <c r="BV82" s="501"/>
      <c r="BW82" s="501"/>
      <c r="BX82" s="501"/>
      <c r="BY82" s="501"/>
      <c r="BZ82" s="434"/>
      <c r="CA82" s="434"/>
    </row>
    <row r="83" spans="1:79" s="446" customFormat="1" ht="12" customHeight="1" x14ac:dyDescent="0.2">
      <c r="A83" s="434"/>
      <c r="B83" s="435"/>
      <c r="C83" s="473"/>
      <c r="D83" s="482"/>
      <c r="E83" s="483"/>
      <c r="F83" s="484"/>
      <c r="G83" s="484"/>
      <c r="H83" s="485"/>
      <c r="I83" s="524"/>
      <c r="J83" s="484"/>
      <c r="K83" s="486"/>
      <c r="L83" s="486"/>
      <c r="M83" s="487">
        <f>IF(F83="",0,(VLOOKUP('wgl tot'!F83,saltab2020aug,G83+1,FALSE)))</f>
        <v>0</v>
      </c>
      <c r="N83" s="488">
        <f t="shared" si="12"/>
        <v>0</v>
      </c>
      <c r="O83" s="473"/>
      <c r="P83" s="487">
        <f>ROUND(IF((M83+Q83)*BC83&lt;H83*tabellen!$D$31,H83*tabellen!$D$31,(M83+R83)*BC83),2)</f>
        <v>0</v>
      </c>
      <c r="Q83" s="487">
        <f>ROUND(+(M83+R83)*BD83,2)</f>
        <v>0</v>
      </c>
      <c r="R83" s="487">
        <f>ROUND(IF(J83="j",VLOOKUP(BA83,uitlooptoeslag,2,FALSE))*IF(H83&gt;1,1,H83),2)</f>
        <v>0</v>
      </c>
      <c r="S83" s="487">
        <f>VLOOKUP(BE83,eindejaarsuitkering_OOP,2,TRUE)*H83/12</f>
        <v>0</v>
      </c>
      <c r="T83" s="487">
        <f t="shared" si="19"/>
        <v>0</v>
      </c>
      <c r="U83" s="489">
        <f t="shared" si="14"/>
        <v>0</v>
      </c>
      <c r="V83" s="488">
        <f>ROUND((SUM(N83:T83)*12),0)</f>
        <v>0</v>
      </c>
      <c r="W83" s="473"/>
      <c r="X83" s="489">
        <f t="shared" si="15"/>
        <v>0</v>
      </c>
      <c r="Y83" s="490">
        <v>0</v>
      </c>
      <c r="Z83" s="473"/>
      <c r="AA83" s="487">
        <f>IF(F83="",0,(IF(U83/H83&lt;tabellen!$E$7,0,(U83-tabellen!$E$7*H83)/12)*tabellen!$C$7))</f>
        <v>0</v>
      </c>
      <c r="AB83" s="487">
        <f>IF(F83="",0,(IF(U83/H83&lt;tabellen!$E$8,0,(U83-tabellen!$E$8*H83)/12)*tabellen!$C$8))</f>
        <v>0</v>
      </c>
      <c r="AC83" s="487">
        <f>U83/12*tabellen!$C$9</f>
        <v>0</v>
      </c>
      <c r="AD83" s="487">
        <f>IF(H83=0,0,IF(BI83&gt;tabellen!$G$10/12,$G$10/12,BI83)*(tabellen!$C$10+tabellen!$C$11))</f>
        <v>0</v>
      </c>
      <c r="AE83" s="487">
        <f>IF(F83="",0,BJ83)</f>
        <v>0</v>
      </c>
      <c r="AF83" s="491">
        <f>IF(F83="",0,(IF(BI83&gt;tabellen!$G$13*H83/12,tabellen!$G$13*H83/12,BI83*tabellen!$C$13)))</f>
        <v>0</v>
      </c>
      <c r="AG83" s="473"/>
      <c r="AH83" s="491">
        <f>IF(F83="",0,IF(K83="j",tabellen!$C$14*BI83,0))</f>
        <v>0</v>
      </c>
      <c r="AI83" s="491">
        <f>IF(F83="",0,IF(L83="j",tabellen!$C$15*BI83,0))</f>
        <v>0</v>
      </c>
      <c r="AJ83" s="492">
        <v>0</v>
      </c>
      <c r="AK83" s="473"/>
      <c r="AL83" s="492">
        <v>0</v>
      </c>
      <c r="AM83" s="473"/>
      <c r="AN83" s="488">
        <f t="shared" si="16"/>
        <v>0</v>
      </c>
      <c r="AO83" s="488">
        <f t="shared" si="17"/>
        <v>0</v>
      </c>
      <c r="AP83" s="473"/>
      <c r="AQ83" s="493" t="str">
        <f>IF(AN83=0,"",(AN83/N83-1))</f>
        <v/>
      </c>
      <c r="AR83" s="493" t="str">
        <f t="shared" si="13"/>
        <v/>
      </c>
      <c r="AS83" s="473"/>
      <c r="AT83" s="443"/>
      <c r="AU83" s="434"/>
      <c r="AV83" s="434"/>
      <c r="AW83" s="494">
        <f ca="1">YEAR($AW$9)-YEAR(E83)</f>
        <v>121</v>
      </c>
      <c r="AX83" s="494">
        <f ca="1">MONTH($AW$9)-MONTH(E83)</f>
        <v>7</v>
      </c>
      <c r="AY83" s="494">
        <f ca="1">DAY($AW$9)-DAY(E83)</f>
        <v>5</v>
      </c>
      <c r="AZ83" s="444">
        <f>IF(AND(F83&gt;0,F83&lt;18),0,100)</f>
        <v>100</v>
      </c>
      <c r="BA83" s="444">
        <f>F83</f>
        <v>0</v>
      </c>
      <c r="BB83" s="469">
        <v>42583</v>
      </c>
      <c r="BC83" s="495">
        <f t="shared" si="10"/>
        <v>0.08</v>
      </c>
      <c r="BD83" s="496">
        <f>tabellen!$D$33</f>
        <v>0.08</v>
      </c>
      <c r="BE83" s="494">
        <f>IF(AZ83=100,0,F83)</f>
        <v>0</v>
      </c>
      <c r="BF83" s="497" t="e">
        <f>IF(U83/H83&lt;tabellen!$E$7,0,(U83-tabellen!$E$7*H83)/12*tabellen!$D$7)</f>
        <v>#DIV/0!</v>
      </c>
      <c r="BG83" s="497" t="e">
        <f>IF(U83/H83&lt;tabellen!$E$8,0,(U83-tabellen!$E$8*H83)/12*tabellen!$D$8)</f>
        <v>#DIV/0!</v>
      </c>
      <c r="BH83" s="498" t="e">
        <f t="shared" si="18"/>
        <v>#DIV/0!</v>
      </c>
      <c r="BI83" s="499" t="e">
        <v>#DIV/0!</v>
      </c>
      <c r="BJ83" s="499" t="e">
        <f>ROUND(IF(BI83&gt;tabellen!$H$12,tabellen!$H$12,BI83)*tabellen!$C$12,2)</f>
        <v>#DIV/0!</v>
      </c>
      <c r="BK83" s="499" t="e">
        <f>+'wgl tot'!BI83+'wgl tot'!BJ83</f>
        <v>#DIV/0!</v>
      </c>
      <c r="BL83" s="500">
        <f>YEAR(E83)</f>
        <v>1900</v>
      </c>
      <c r="BM83" s="500">
        <f>MONTH(E83)</f>
        <v>1</v>
      </c>
      <c r="BN83" s="494">
        <f>DAY(E83)</f>
        <v>0</v>
      </c>
      <c r="BO83" s="469">
        <f t="shared" si="7"/>
        <v>22462</v>
      </c>
      <c r="BP83" s="469">
        <f t="shared" ca="1" si="8"/>
        <v>44413.920839467595</v>
      </c>
      <c r="BQ83" s="444"/>
      <c r="BR83" s="469"/>
      <c r="BS83" s="444"/>
      <c r="BT83" s="501"/>
      <c r="BU83" s="501"/>
      <c r="BV83" s="501"/>
      <c r="BW83" s="501"/>
      <c r="BX83" s="501"/>
      <c r="BY83" s="501"/>
      <c r="BZ83" s="434"/>
      <c r="CA83" s="434"/>
    </row>
    <row r="84" spans="1:79" s="446" customFormat="1" ht="12" customHeight="1" x14ac:dyDescent="0.2">
      <c r="A84" s="434"/>
      <c r="B84" s="435"/>
      <c r="C84" s="473"/>
      <c r="D84" s="482"/>
      <c r="E84" s="483"/>
      <c r="F84" s="484"/>
      <c r="G84" s="484"/>
      <c r="H84" s="485"/>
      <c r="I84" s="524"/>
      <c r="J84" s="484"/>
      <c r="K84" s="486"/>
      <c r="L84" s="486"/>
      <c r="M84" s="487">
        <f>IF(F84="",0,(VLOOKUP('wgl tot'!F84,saltab2020aug,G84+1,FALSE)))</f>
        <v>0</v>
      </c>
      <c r="N84" s="488">
        <f t="shared" si="12"/>
        <v>0</v>
      </c>
      <c r="O84" s="473"/>
      <c r="P84" s="487">
        <f>ROUND(IF((M84+Q84)*BC84&lt;H84*tabellen!$D$31,H84*tabellen!$D$31,(M84+R84)*BC84),2)</f>
        <v>0</v>
      </c>
      <c r="Q84" s="487">
        <f>ROUND(+(M84+R84)*BD84,2)</f>
        <v>0</v>
      </c>
      <c r="R84" s="487">
        <f>ROUND(IF(J84="j",VLOOKUP(BA84,uitlooptoeslag,2,FALSE))*IF(H84&gt;1,1,H84),2)</f>
        <v>0</v>
      </c>
      <c r="S84" s="487">
        <f>VLOOKUP(BE84,eindejaarsuitkering_OOP,2,TRUE)*H84/12</f>
        <v>0</v>
      </c>
      <c r="T84" s="487">
        <f t="shared" si="19"/>
        <v>0</v>
      </c>
      <c r="U84" s="489">
        <f t="shared" si="14"/>
        <v>0</v>
      </c>
      <c r="V84" s="488">
        <f>ROUND((SUM(N84:T84)*12),0)</f>
        <v>0</v>
      </c>
      <c r="W84" s="473"/>
      <c r="X84" s="489">
        <f t="shared" si="15"/>
        <v>0</v>
      </c>
      <c r="Y84" s="490">
        <v>0</v>
      </c>
      <c r="Z84" s="473"/>
      <c r="AA84" s="487">
        <f>IF(F84="",0,(IF(U84/H84&lt;tabellen!$E$7,0,(U84-tabellen!$E$7*H84)/12)*tabellen!$C$7))</f>
        <v>0</v>
      </c>
      <c r="AB84" s="487">
        <f>IF(F84="",0,(IF(U84/H84&lt;tabellen!$E$8,0,(U84-tabellen!$E$8*H84)/12)*tabellen!$C$8))</f>
        <v>0</v>
      </c>
      <c r="AC84" s="487">
        <f>U84/12*tabellen!$C$9</f>
        <v>0</v>
      </c>
      <c r="AD84" s="487">
        <f>IF(H84=0,0,IF(BI84&gt;tabellen!$G$10/12,$G$10/12,BI84)*(tabellen!$C$10+tabellen!$C$11))</f>
        <v>0</v>
      </c>
      <c r="AE84" s="487">
        <f>IF(F84="",0,BJ84)</f>
        <v>0</v>
      </c>
      <c r="AF84" s="491">
        <f>IF(F84="",0,(IF(BI84&gt;tabellen!$G$13*H84/12,tabellen!$G$13*H84/12,BI84*tabellen!$C$13)))</f>
        <v>0</v>
      </c>
      <c r="AG84" s="473"/>
      <c r="AH84" s="491">
        <f>IF(F84="",0,IF(K84="j",tabellen!$C$14*BI84,0))</f>
        <v>0</v>
      </c>
      <c r="AI84" s="491">
        <f>IF(F84="",0,IF(L84="j",tabellen!$C$15*BI84,0))</f>
        <v>0</v>
      </c>
      <c r="AJ84" s="492">
        <v>0</v>
      </c>
      <c r="AK84" s="473"/>
      <c r="AL84" s="492">
        <v>0</v>
      </c>
      <c r="AM84" s="473"/>
      <c r="AN84" s="488">
        <f t="shared" si="16"/>
        <v>0</v>
      </c>
      <c r="AO84" s="488">
        <f t="shared" si="17"/>
        <v>0</v>
      </c>
      <c r="AP84" s="473"/>
      <c r="AQ84" s="493" t="str">
        <f>IF(AN84=0,"",(AN84/N84-1))</f>
        <v/>
      </c>
      <c r="AR84" s="493" t="str">
        <f t="shared" si="13"/>
        <v/>
      </c>
      <c r="AS84" s="473"/>
      <c r="AT84" s="443"/>
      <c r="AU84" s="434"/>
      <c r="AV84" s="434"/>
      <c r="AW84" s="494">
        <f ca="1">YEAR($AW$9)-YEAR(E84)</f>
        <v>121</v>
      </c>
      <c r="AX84" s="494">
        <f ca="1">MONTH($AW$9)-MONTH(E84)</f>
        <v>7</v>
      </c>
      <c r="AY84" s="494">
        <f ca="1">DAY($AW$9)-DAY(E84)</f>
        <v>5</v>
      </c>
      <c r="AZ84" s="444">
        <f>IF(AND(F84&gt;0,F84&lt;18),0,100)</f>
        <v>100</v>
      </c>
      <c r="BA84" s="444">
        <f>F84</f>
        <v>0</v>
      </c>
      <c r="BB84" s="469">
        <v>42583</v>
      </c>
      <c r="BC84" s="495">
        <f t="shared" si="10"/>
        <v>0.08</v>
      </c>
      <c r="BD84" s="496">
        <f>tabellen!$D$33</f>
        <v>0.08</v>
      </c>
      <c r="BE84" s="494">
        <f>IF(AZ84=100,0,F84)</f>
        <v>0</v>
      </c>
      <c r="BF84" s="497" t="e">
        <f>IF(U84/H84&lt;tabellen!$E$7,0,(U84-tabellen!$E$7*H84)/12*tabellen!$D$7)</f>
        <v>#DIV/0!</v>
      </c>
      <c r="BG84" s="497" t="e">
        <f>IF(U84/H84&lt;tabellen!$E$8,0,(U84-tabellen!$E$8*H84)/12*tabellen!$D$8)</f>
        <v>#DIV/0!</v>
      </c>
      <c r="BH84" s="498" t="e">
        <f t="shared" si="18"/>
        <v>#DIV/0!</v>
      </c>
      <c r="BI84" s="499" t="e">
        <v>#DIV/0!</v>
      </c>
      <c r="BJ84" s="499" t="e">
        <f>ROUND(IF(BI84&gt;tabellen!$H$12,tabellen!$H$12,BI84)*tabellen!$C$12,2)</f>
        <v>#DIV/0!</v>
      </c>
      <c r="BK84" s="499" t="e">
        <f>+'wgl tot'!BI84+'wgl tot'!BJ84</f>
        <v>#DIV/0!</v>
      </c>
      <c r="BL84" s="500">
        <f>YEAR(E84)</f>
        <v>1900</v>
      </c>
      <c r="BM84" s="500">
        <f>MONTH(E84)</f>
        <v>1</v>
      </c>
      <c r="BN84" s="494">
        <f>DAY(E84)</f>
        <v>0</v>
      </c>
      <c r="BO84" s="469">
        <f t="shared" si="7"/>
        <v>22462</v>
      </c>
      <c r="BP84" s="469">
        <f t="shared" ca="1" si="8"/>
        <v>44413.920839467595</v>
      </c>
      <c r="BQ84" s="444"/>
      <c r="BR84" s="469"/>
      <c r="BS84" s="444"/>
      <c r="BT84" s="501"/>
      <c r="BU84" s="501"/>
      <c r="BV84" s="501"/>
      <c r="BW84" s="501"/>
      <c r="BX84" s="501"/>
      <c r="BY84" s="501"/>
      <c r="BZ84" s="434"/>
      <c r="CA84" s="434"/>
    </row>
    <row r="85" spans="1:79" s="446" customFormat="1" ht="12" customHeight="1" x14ac:dyDescent="0.2">
      <c r="A85" s="434"/>
      <c r="B85" s="435"/>
      <c r="C85" s="473"/>
      <c r="D85" s="482"/>
      <c r="E85" s="483"/>
      <c r="F85" s="484"/>
      <c r="G85" s="484"/>
      <c r="H85" s="485"/>
      <c r="I85" s="524"/>
      <c r="J85" s="484"/>
      <c r="K85" s="486"/>
      <c r="L85" s="486"/>
      <c r="M85" s="487">
        <f>IF(F85="",0,(VLOOKUP('wgl tot'!F85,saltab2020aug,G85+1,FALSE)))</f>
        <v>0</v>
      </c>
      <c r="N85" s="488">
        <f t="shared" si="12"/>
        <v>0</v>
      </c>
      <c r="O85" s="473"/>
      <c r="P85" s="487">
        <f>ROUND(IF((M85+Q85)*BC85&lt;H85*tabellen!$D$31,H85*tabellen!$D$31,(M85+R85)*BC85),2)</f>
        <v>0</v>
      </c>
      <c r="Q85" s="487">
        <f>ROUND(+(M85+R85)*BD85,2)</f>
        <v>0</v>
      </c>
      <c r="R85" s="487">
        <f>ROUND(IF(J85="j",VLOOKUP(BA85,uitlooptoeslag,2,FALSE))*IF(H85&gt;1,1,H85),2)</f>
        <v>0</v>
      </c>
      <c r="S85" s="487">
        <f>VLOOKUP(BE85,eindejaarsuitkering_OOP,2,TRUE)*H85/12</f>
        <v>0</v>
      </c>
      <c r="T85" s="487">
        <f t="shared" si="19"/>
        <v>0</v>
      </c>
      <c r="U85" s="489">
        <f t="shared" si="14"/>
        <v>0</v>
      </c>
      <c r="V85" s="488">
        <f>ROUND((SUM(N85:T85)*12),0)</f>
        <v>0</v>
      </c>
      <c r="W85" s="473"/>
      <c r="X85" s="489">
        <f t="shared" si="15"/>
        <v>0</v>
      </c>
      <c r="Y85" s="490">
        <v>0</v>
      </c>
      <c r="Z85" s="473"/>
      <c r="AA85" s="487">
        <f>IF(F85="",0,(IF(U85/H85&lt;tabellen!$E$7,0,(U85-tabellen!$E$7*H85)/12)*tabellen!$C$7))</f>
        <v>0</v>
      </c>
      <c r="AB85" s="487">
        <f>IF(F85="",0,(IF(U85/H85&lt;tabellen!$E$8,0,(U85-tabellen!$E$8*H85)/12)*tabellen!$C$8))</f>
        <v>0</v>
      </c>
      <c r="AC85" s="487">
        <f>U85/12*tabellen!$C$9</f>
        <v>0</v>
      </c>
      <c r="AD85" s="487">
        <f>IF(H85=0,0,IF(BI85&gt;tabellen!$G$10/12,$G$10/12,BI85)*(tabellen!$C$10+tabellen!$C$11))</f>
        <v>0</v>
      </c>
      <c r="AE85" s="487">
        <f>IF(F85="",0,BJ85)</f>
        <v>0</v>
      </c>
      <c r="AF85" s="491">
        <f>IF(F85="",0,(IF(BI85&gt;tabellen!$G$13*H85/12,tabellen!$G$13*H85/12,BI85*tabellen!$C$13)))</f>
        <v>0</v>
      </c>
      <c r="AG85" s="473"/>
      <c r="AH85" s="491">
        <f>IF(F85="",0,IF(K85="j",tabellen!$C$14*BI85,0))</f>
        <v>0</v>
      </c>
      <c r="AI85" s="491">
        <f>IF(F85="",0,IF(L85="j",tabellen!$C$15*BI85,0))</f>
        <v>0</v>
      </c>
      <c r="AJ85" s="492">
        <v>0</v>
      </c>
      <c r="AK85" s="473"/>
      <c r="AL85" s="492">
        <v>0</v>
      </c>
      <c r="AM85" s="473"/>
      <c r="AN85" s="488">
        <f t="shared" si="16"/>
        <v>0</v>
      </c>
      <c r="AO85" s="488">
        <f t="shared" si="17"/>
        <v>0</v>
      </c>
      <c r="AP85" s="473"/>
      <c r="AQ85" s="493" t="str">
        <f>IF(AN85=0,"",(AN85/N85-1))</f>
        <v/>
      </c>
      <c r="AR85" s="493" t="str">
        <f t="shared" si="13"/>
        <v/>
      </c>
      <c r="AS85" s="473"/>
      <c r="AT85" s="443"/>
      <c r="AU85" s="434"/>
      <c r="AV85" s="434"/>
      <c r="AW85" s="494">
        <f ca="1">YEAR($AW$9)-YEAR(E85)</f>
        <v>121</v>
      </c>
      <c r="AX85" s="494">
        <f ca="1">MONTH($AW$9)-MONTH(E85)</f>
        <v>7</v>
      </c>
      <c r="AY85" s="494">
        <f ca="1">DAY($AW$9)-DAY(E85)</f>
        <v>5</v>
      </c>
      <c r="AZ85" s="444">
        <f>IF(AND(F85&gt;0,F85&lt;18),0,100)</f>
        <v>100</v>
      </c>
      <c r="BA85" s="444">
        <f>F85</f>
        <v>0</v>
      </c>
      <c r="BB85" s="469">
        <v>42583</v>
      </c>
      <c r="BC85" s="495">
        <f t="shared" si="10"/>
        <v>0.08</v>
      </c>
      <c r="BD85" s="496">
        <f>tabellen!$D$33</f>
        <v>0.08</v>
      </c>
      <c r="BE85" s="494">
        <f>IF(AZ85=100,0,F85)</f>
        <v>0</v>
      </c>
      <c r="BF85" s="497" t="e">
        <f>IF(U85/H85&lt;tabellen!$E$7,0,(U85-tabellen!$E$7*H85)/12*tabellen!$D$7)</f>
        <v>#DIV/0!</v>
      </c>
      <c r="BG85" s="497" t="e">
        <f>IF(U85/H85&lt;tabellen!$E$8,0,(U85-tabellen!$E$8*H85)/12*tabellen!$D$8)</f>
        <v>#DIV/0!</v>
      </c>
      <c r="BH85" s="498" t="e">
        <f t="shared" si="18"/>
        <v>#DIV/0!</v>
      </c>
      <c r="BI85" s="499" t="e">
        <v>#DIV/0!</v>
      </c>
      <c r="BJ85" s="499" t="e">
        <f>ROUND(IF(BI85&gt;tabellen!$H$12,tabellen!$H$12,BI85)*tabellen!$C$12,2)</f>
        <v>#DIV/0!</v>
      </c>
      <c r="BK85" s="499" t="e">
        <f>+'wgl tot'!BI85+'wgl tot'!BJ85</f>
        <v>#DIV/0!</v>
      </c>
      <c r="BL85" s="500">
        <f>YEAR(E85)</f>
        <v>1900</v>
      </c>
      <c r="BM85" s="500">
        <f>MONTH(E85)</f>
        <v>1</v>
      </c>
      <c r="BN85" s="494">
        <f>DAY(E85)</f>
        <v>0</v>
      </c>
      <c r="BO85" s="469">
        <f t="shared" si="7"/>
        <v>22462</v>
      </c>
      <c r="BP85" s="469">
        <f t="shared" ca="1" si="8"/>
        <v>44413.920839467595</v>
      </c>
      <c r="BQ85" s="444"/>
      <c r="BR85" s="469"/>
      <c r="BS85" s="444"/>
      <c r="BT85" s="501"/>
      <c r="BU85" s="501"/>
      <c r="BV85" s="501"/>
      <c r="BW85" s="501"/>
      <c r="BX85" s="501"/>
      <c r="BY85" s="501"/>
      <c r="BZ85" s="434"/>
      <c r="CA85" s="434"/>
    </row>
    <row r="86" spans="1:79" s="446" customFormat="1" ht="12" customHeight="1" x14ac:dyDescent="0.2">
      <c r="A86" s="434"/>
      <c r="B86" s="435"/>
      <c r="C86" s="473"/>
      <c r="D86" s="482"/>
      <c r="E86" s="483"/>
      <c r="F86" s="484"/>
      <c r="G86" s="484"/>
      <c r="H86" s="485"/>
      <c r="I86" s="524"/>
      <c r="J86" s="484"/>
      <c r="K86" s="486"/>
      <c r="L86" s="486"/>
      <c r="M86" s="487">
        <f>IF(F86="",0,(VLOOKUP('wgl tot'!F86,saltab2020aug,G86+1,FALSE)))</f>
        <v>0</v>
      </c>
      <c r="N86" s="488">
        <f t="shared" si="12"/>
        <v>0</v>
      </c>
      <c r="O86" s="473"/>
      <c r="P86" s="487">
        <f>ROUND(IF((M86+Q86)*BC86&lt;H86*tabellen!$D$31,H86*tabellen!$D$31,(M86+R86)*BC86),2)</f>
        <v>0</v>
      </c>
      <c r="Q86" s="487">
        <f>ROUND(+(M86+R86)*BD86,2)</f>
        <v>0</v>
      </c>
      <c r="R86" s="487">
        <f>ROUND(IF(J86="j",VLOOKUP(BA86,uitlooptoeslag,2,FALSE))*IF(H86&gt;1,1,H86),2)</f>
        <v>0</v>
      </c>
      <c r="S86" s="487">
        <f>VLOOKUP(BE86,eindejaarsuitkering_OOP,2,TRUE)*H86/12</f>
        <v>0</v>
      </c>
      <c r="T86" s="487">
        <f t="shared" si="19"/>
        <v>0</v>
      </c>
      <c r="U86" s="489">
        <f t="shared" si="14"/>
        <v>0</v>
      </c>
      <c r="V86" s="488">
        <f>ROUND((SUM(N86:T86)*12),0)</f>
        <v>0</v>
      </c>
      <c r="W86" s="473"/>
      <c r="X86" s="489">
        <f t="shared" si="15"/>
        <v>0</v>
      </c>
      <c r="Y86" s="490">
        <v>0</v>
      </c>
      <c r="Z86" s="473"/>
      <c r="AA86" s="487">
        <f>IF(F86="",0,(IF(U86/H86&lt;tabellen!$E$7,0,(U86-tabellen!$E$7*H86)/12)*tabellen!$C$7))</f>
        <v>0</v>
      </c>
      <c r="AB86" s="487">
        <f>IF(F86="",0,(IF(U86/H86&lt;tabellen!$E$8,0,(U86-tabellen!$E$8*H86)/12)*tabellen!$C$8))</f>
        <v>0</v>
      </c>
      <c r="AC86" s="487">
        <f>U86/12*tabellen!$C$9</f>
        <v>0</v>
      </c>
      <c r="AD86" s="487">
        <f>IF(H86=0,0,IF(BI86&gt;tabellen!$G$10/12,$G$10/12,BI86)*(tabellen!$C$10+tabellen!$C$11))</f>
        <v>0</v>
      </c>
      <c r="AE86" s="487">
        <f>IF(F86="",0,BJ86)</f>
        <v>0</v>
      </c>
      <c r="AF86" s="491">
        <f>IF(F86="",0,(IF(BI86&gt;tabellen!$G$13*H86/12,tabellen!$G$13*H86/12,BI86*tabellen!$C$13)))</f>
        <v>0</v>
      </c>
      <c r="AG86" s="473"/>
      <c r="AH86" s="491">
        <f>IF(F86="",0,IF(K86="j",tabellen!$C$14*BI86,0))</f>
        <v>0</v>
      </c>
      <c r="AI86" s="491">
        <f>IF(F86="",0,IF(L86="j",tabellen!$C$15*BI86,0))</f>
        <v>0</v>
      </c>
      <c r="AJ86" s="492">
        <v>0</v>
      </c>
      <c r="AK86" s="473"/>
      <c r="AL86" s="492">
        <v>0</v>
      </c>
      <c r="AM86" s="473"/>
      <c r="AN86" s="488">
        <f t="shared" si="16"/>
        <v>0</v>
      </c>
      <c r="AO86" s="488">
        <f t="shared" si="17"/>
        <v>0</v>
      </c>
      <c r="AP86" s="473"/>
      <c r="AQ86" s="493" t="str">
        <f>IF(AN86=0,"",(AN86/N86-1))</f>
        <v/>
      </c>
      <c r="AR86" s="493" t="str">
        <f t="shared" si="13"/>
        <v/>
      </c>
      <c r="AS86" s="473"/>
      <c r="AT86" s="443"/>
      <c r="AU86" s="434"/>
      <c r="AV86" s="434"/>
      <c r="AW86" s="494">
        <f ca="1">YEAR($AW$9)-YEAR(E86)</f>
        <v>121</v>
      </c>
      <c r="AX86" s="494">
        <f ca="1">MONTH($AW$9)-MONTH(E86)</f>
        <v>7</v>
      </c>
      <c r="AY86" s="494">
        <f ca="1">DAY($AW$9)-DAY(E86)</f>
        <v>5</v>
      </c>
      <c r="AZ86" s="444">
        <f>IF(AND(F86&gt;0,F86&lt;18),0,100)</f>
        <v>100</v>
      </c>
      <c r="BA86" s="444">
        <f>F86</f>
        <v>0</v>
      </c>
      <c r="BB86" s="469">
        <v>42583</v>
      </c>
      <c r="BC86" s="495">
        <f t="shared" si="10"/>
        <v>0.08</v>
      </c>
      <c r="BD86" s="496">
        <f>tabellen!$D$33</f>
        <v>0.08</v>
      </c>
      <c r="BE86" s="494">
        <f>IF(AZ86=100,0,F86)</f>
        <v>0</v>
      </c>
      <c r="BF86" s="497" t="e">
        <f>IF(U86/H86&lt;tabellen!$E$7,0,(U86-tabellen!$E$7*H86)/12*tabellen!$D$7)</f>
        <v>#DIV/0!</v>
      </c>
      <c r="BG86" s="497" t="e">
        <f>IF(U86/H86&lt;tabellen!$E$8,0,(U86-tabellen!$E$8*H86)/12*tabellen!$D$8)</f>
        <v>#DIV/0!</v>
      </c>
      <c r="BH86" s="498" t="e">
        <f t="shared" si="18"/>
        <v>#DIV/0!</v>
      </c>
      <c r="BI86" s="499" t="e">
        <v>#DIV/0!</v>
      </c>
      <c r="BJ86" s="499" t="e">
        <f>ROUND(IF(BI86&gt;tabellen!$H$12,tabellen!$H$12,BI86)*tabellen!$C$12,2)</f>
        <v>#DIV/0!</v>
      </c>
      <c r="BK86" s="499" t="e">
        <f>+'wgl tot'!BI86+'wgl tot'!BJ86</f>
        <v>#DIV/0!</v>
      </c>
      <c r="BL86" s="500">
        <f>YEAR(E86)</f>
        <v>1900</v>
      </c>
      <c r="BM86" s="500">
        <f>MONTH(E86)</f>
        <v>1</v>
      </c>
      <c r="BN86" s="494">
        <f>DAY(E86)</f>
        <v>0</v>
      </c>
      <c r="BO86" s="469">
        <f t="shared" si="7"/>
        <v>22462</v>
      </c>
      <c r="BP86" s="469">
        <f t="shared" ca="1" si="8"/>
        <v>44413.920839467595</v>
      </c>
      <c r="BQ86" s="444"/>
      <c r="BR86" s="469"/>
      <c r="BS86" s="444"/>
      <c r="BT86" s="501"/>
      <c r="BU86" s="501"/>
      <c r="BV86" s="501"/>
      <c r="BW86" s="501"/>
      <c r="BX86" s="501"/>
      <c r="BY86" s="501"/>
      <c r="BZ86" s="434"/>
      <c r="CA86" s="434"/>
    </row>
    <row r="87" spans="1:79" s="446" customFormat="1" ht="12" customHeight="1" x14ac:dyDescent="0.2">
      <c r="A87" s="434"/>
      <c r="B87" s="435"/>
      <c r="C87" s="473"/>
      <c r="D87" s="474"/>
      <c r="E87" s="473"/>
      <c r="F87" s="473"/>
      <c r="G87" s="473"/>
      <c r="H87" s="473"/>
      <c r="I87" s="473"/>
      <c r="J87" s="473"/>
      <c r="K87" s="473"/>
      <c r="L87" s="473"/>
      <c r="M87" s="473"/>
      <c r="N87" s="473"/>
      <c r="O87" s="473"/>
      <c r="P87" s="473"/>
      <c r="Q87" s="473"/>
      <c r="R87" s="473"/>
      <c r="S87" s="473"/>
      <c r="T87" s="473"/>
      <c r="U87" s="476"/>
      <c r="V87" s="473"/>
      <c r="W87" s="473"/>
      <c r="X87" s="476"/>
      <c r="Y87" s="502"/>
      <c r="Z87" s="473"/>
      <c r="AA87" s="473"/>
      <c r="AB87" s="473"/>
      <c r="AC87" s="473"/>
      <c r="AD87" s="473"/>
      <c r="AE87" s="473"/>
      <c r="AF87" s="478"/>
      <c r="AG87" s="473"/>
      <c r="AH87" s="478"/>
      <c r="AI87" s="478"/>
      <c r="AJ87" s="503"/>
      <c r="AK87" s="473"/>
      <c r="AL87" s="473"/>
      <c r="AM87" s="473"/>
      <c r="AN87" s="473"/>
      <c r="AO87" s="473"/>
      <c r="AP87" s="473"/>
      <c r="AQ87" s="473"/>
      <c r="AR87" s="473"/>
      <c r="AS87" s="473"/>
      <c r="AT87" s="443"/>
      <c r="AU87" s="434"/>
      <c r="AV87" s="434"/>
      <c r="AW87" s="444"/>
      <c r="AX87" s="444"/>
      <c r="AY87" s="444"/>
      <c r="AZ87" s="444"/>
      <c r="BA87" s="444"/>
      <c r="BB87" s="444"/>
      <c r="BC87" s="444"/>
      <c r="BD87" s="444"/>
      <c r="BE87" s="444"/>
      <c r="BF87" s="444"/>
      <c r="BG87" s="444"/>
      <c r="BH87" s="444"/>
      <c r="BI87" s="444"/>
      <c r="BJ87" s="444"/>
      <c r="BK87" s="444"/>
      <c r="BL87" s="444"/>
      <c r="BM87" s="444"/>
      <c r="BN87" s="444"/>
      <c r="BO87" s="444"/>
      <c r="BP87" s="444"/>
      <c r="BQ87" s="445"/>
      <c r="BR87" s="445"/>
      <c r="BS87" s="445"/>
      <c r="BT87" s="444"/>
      <c r="BU87" s="444"/>
      <c r="BV87" s="444"/>
      <c r="BW87" s="444"/>
      <c r="BX87" s="444"/>
      <c r="BY87" s="444"/>
      <c r="BZ87" s="434"/>
      <c r="CA87" s="434"/>
    </row>
    <row r="88" spans="1:79" s="446" customFormat="1" ht="12" customHeight="1" x14ac:dyDescent="0.2">
      <c r="A88" s="434"/>
      <c r="B88" s="504"/>
      <c r="C88" s="505"/>
      <c r="D88" s="506"/>
      <c r="E88" s="505"/>
      <c r="F88" s="505"/>
      <c r="G88" s="505"/>
      <c r="H88" s="505"/>
      <c r="I88" s="505"/>
      <c r="J88" s="505"/>
      <c r="K88" s="505"/>
      <c r="L88" s="505"/>
      <c r="M88" s="505"/>
      <c r="N88" s="505"/>
      <c r="O88" s="505"/>
      <c r="P88" s="505"/>
      <c r="Q88" s="505"/>
      <c r="R88" s="505"/>
      <c r="S88" s="505"/>
      <c r="T88" s="505"/>
      <c r="U88" s="507"/>
      <c r="V88" s="505"/>
      <c r="W88" s="505"/>
      <c r="X88" s="507"/>
      <c r="Y88" s="508"/>
      <c r="Z88" s="505"/>
      <c r="AA88" s="505"/>
      <c r="AB88" s="505"/>
      <c r="AC88" s="505"/>
      <c r="AD88" s="505"/>
      <c r="AE88" s="505"/>
      <c r="AF88" s="509"/>
      <c r="AG88" s="505"/>
      <c r="AH88" s="509"/>
      <c r="AI88" s="509"/>
      <c r="AJ88" s="510"/>
      <c r="AK88" s="505"/>
      <c r="AL88" s="505"/>
      <c r="AM88" s="505"/>
      <c r="AN88" s="505"/>
      <c r="AO88" s="505"/>
      <c r="AP88" s="505"/>
      <c r="AQ88" s="505"/>
      <c r="AR88" s="505"/>
      <c r="AS88" s="505"/>
      <c r="AT88" s="511"/>
      <c r="AU88" s="434"/>
      <c r="AV88" s="434"/>
      <c r="AW88" s="444"/>
      <c r="AX88" s="444"/>
      <c r="AY88" s="444"/>
      <c r="AZ88" s="444"/>
      <c r="BA88" s="444"/>
      <c r="BB88" s="444"/>
      <c r="BC88" s="444"/>
      <c r="BD88" s="444"/>
      <c r="BE88" s="444"/>
      <c r="BF88" s="444"/>
      <c r="BG88" s="444"/>
      <c r="BH88" s="444"/>
      <c r="BI88" s="444"/>
      <c r="BJ88" s="444"/>
      <c r="BK88" s="444"/>
      <c r="BL88" s="444"/>
      <c r="BM88" s="444"/>
      <c r="BN88" s="444"/>
      <c r="BO88" s="444"/>
      <c r="BP88" s="444"/>
      <c r="BQ88" s="445"/>
      <c r="BR88" s="445"/>
      <c r="BS88" s="445"/>
      <c r="BT88" s="444"/>
      <c r="BU88" s="444"/>
      <c r="BV88" s="444"/>
      <c r="BW88" s="444"/>
      <c r="BX88" s="444"/>
      <c r="BY88" s="444"/>
      <c r="BZ88" s="434"/>
      <c r="CA88" s="434"/>
    </row>
    <row r="89" spans="1:79" s="391" customFormat="1" ht="13.5" customHeight="1" x14ac:dyDescent="0.2">
      <c r="D89" s="392"/>
      <c r="U89" s="393"/>
      <c r="X89" s="393"/>
      <c r="Y89" s="394"/>
      <c r="AF89" s="395"/>
      <c r="AH89" s="395"/>
      <c r="AI89" s="395"/>
      <c r="AJ89" s="396"/>
      <c r="AW89" s="397"/>
      <c r="AX89" s="397"/>
      <c r="AY89" s="397"/>
      <c r="AZ89" s="397"/>
      <c r="BA89" s="397"/>
      <c r="BB89" s="397"/>
      <c r="BC89" s="397"/>
      <c r="BD89" s="397"/>
      <c r="BE89" s="397"/>
      <c r="BF89" s="397"/>
      <c r="BG89" s="397"/>
      <c r="BH89" s="397"/>
      <c r="BI89" s="397"/>
      <c r="BJ89" s="397"/>
      <c r="BK89" s="397"/>
      <c r="BL89" s="397"/>
      <c r="BM89" s="397"/>
      <c r="BN89" s="397"/>
      <c r="BO89" s="397"/>
      <c r="BP89" s="397"/>
      <c r="BQ89" s="398"/>
      <c r="BR89" s="398"/>
      <c r="BS89" s="398"/>
      <c r="BT89" s="397"/>
      <c r="BU89" s="397"/>
      <c r="BV89" s="397"/>
      <c r="BW89" s="397"/>
      <c r="BX89" s="397"/>
      <c r="BY89" s="397"/>
    </row>
    <row r="90" spans="1:79" s="391" customFormat="1" ht="13.5" customHeight="1" x14ac:dyDescent="0.2">
      <c r="D90" s="392"/>
      <c r="U90" s="393"/>
      <c r="X90" s="393"/>
      <c r="Y90" s="394"/>
      <c r="AF90" s="395"/>
      <c r="AH90" s="395"/>
      <c r="AI90" s="395"/>
      <c r="AJ90" s="396"/>
      <c r="AW90" s="397"/>
      <c r="AX90" s="397"/>
      <c r="AY90" s="397"/>
      <c r="AZ90" s="397"/>
      <c r="BA90" s="397"/>
      <c r="BB90" s="397"/>
      <c r="BC90" s="397"/>
      <c r="BD90" s="397"/>
      <c r="BE90" s="397"/>
      <c r="BF90" s="397"/>
      <c r="BG90" s="397"/>
      <c r="BH90" s="397"/>
      <c r="BI90" s="397"/>
      <c r="BJ90" s="397"/>
      <c r="BK90" s="397"/>
      <c r="BL90" s="397"/>
      <c r="BM90" s="397"/>
      <c r="BN90" s="397"/>
      <c r="BO90" s="397"/>
      <c r="BP90" s="397"/>
      <c r="BQ90" s="398"/>
      <c r="BR90" s="398"/>
      <c r="BS90" s="398"/>
      <c r="BT90" s="397"/>
      <c r="BU90" s="397"/>
      <c r="BV90" s="397"/>
      <c r="BW90" s="397"/>
      <c r="BX90" s="397"/>
      <c r="BY90" s="397"/>
    </row>
    <row r="91" spans="1:79" s="512" customFormat="1" ht="13.5" customHeight="1" x14ac:dyDescent="0.2">
      <c r="C91" s="521" t="s">
        <v>5</v>
      </c>
      <c r="D91" s="513"/>
      <c r="P91" s="391"/>
      <c r="U91" s="514"/>
      <c r="X91" s="514"/>
      <c r="Y91" s="394"/>
      <c r="AD91" s="391"/>
      <c r="AE91" s="391"/>
      <c r="AF91" s="395"/>
      <c r="AH91" s="395"/>
      <c r="AI91" s="395"/>
      <c r="AJ91" s="396"/>
      <c r="AW91" s="397"/>
      <c r="AX91" s="397"/>
      <c r="AY91" s="397"/>
      <c r="AZ91" s="397"/>
      <c r="BA91" s="397"/>
      <c r="BB91" s="397"/>
      <c r="BC91" s="397"/>
      <c r="BD91" s="397"/>
      <c r="BE91" s="397"/>
      <c r="BF91" s="397"/>
      <c r="BG91" s="397"/>
      <c r="BH91" s="397"/>
      <c r="BI91" s="397"/>
      <c r="BJ91" s="397"/>
      <c r="BK91" s="397"/>
      <c r="BL91" s="397"/>
      <c r="BM91" s="397"/>
      <c r="BN91" s="397"/>
      <c r="BO91" s="397"/>
      <c r="BP91" s="397"/>
      <c r="BQ91" s="398"/>
      <c r="BR91" s="398"/>
      <c r="BS91" s="398"/>
      <c r="BT91" s="397"/>
      <c r="BU91" s="397"/>
      <c r="BV91" s="397"/>
      <c r="BW91" s="397"/>
      <c r="BX91" s="397"/>
      <c r="BY91" s="397"/>
    </row>
    <row r="92" spans="1:79" s="512" customFormat="1" ht="13.5" customHeight="1" x14ac:dyDescent="0.2">
      <c r="C92" s="521" t="s">
        <v>6</v>
      </c>
      <c r="D92" s="513"/>
      <c r="P92" s="391"/>
      <c r="U92" s="514"/>
      <c r="X92" s="514"/>
      <c r="Y92" s="394"/>
      <c r="AD92" s="391"/>
      <c r="AE92" s="391"/>
      <c r="AF92" s="395"/>
      <c r="AH92" s="395"/>
      <c r="AI92" s="395"/>
      <c r="AJ92" s="396"/>
      <c r="AW92" s="397"/>
      <c r="AX92" s="397"/>
      <c r="AY92" s="397"/>
      <c r="AZ92" s="397"/>
      <c r="BA92" s="397"/>
      <c r="BB92" s="397"/>
      <c r="BC92" s="397"/>
      <c r="BD92" s="397"/>
      <c r="BE92" s="397"/>
      <c r="BF92" s="397"/>
      <c r="BG92" s="397"/>
      <c r="BH92" s="397"/>
      <c r="BI92" s="397"/>
      <c r="BJ92" s="397"/>
      <c r="BK92" s="397"/>
      <c r="BL92" s="397"/>
      <c r="BM92" s="397"/>
      <c r="BN92" s="397"/>
      <c r="BO92" s="397"/>
      <c r="BP92" s="397"/>
      <c r="BQ92" s="398"/>
      <c r="BR92" s="398"/>
      <c r="BS92" s="398"/>
      <c r="BT92" s="397"/>
      <c r="BU92" s="397"/>
      <c r="BV92" s="397"/>
      <c r="BW92" s="397"/>
      <c r="BX92" s="397"/>
      <c r="BY92" s="397"/>
    </row>
    <row r="93" spans="1:79" s="512" customFormat="1" ht="13.5" customHeight="1" x14ac:dyDescent="0.2">
      <c r="C93" s="521" t="s">
        <v>7</v>
      </c>
      <c r="D93" s="513"/>
      <c r="P93" s="391"/>
      <c r="U93" s="514"/>
      <c r="X93" s="514"/>
      <c r="Y93" s="394"/>
      <c r="AD93" s="391"/>
      <c r="AE93" s="391"/>
      <c r="AF93" s="395"/>
      <c r="AH93" s="395"/>
      <c r="AI93" s="395"/>
      <c r="AJ93" s="396"/>
      <c r="AW93" s="397"/>
      <c r="AX93" s="397"/>
      <c r="AY93" s="397"/>
      <c r="AZ93" s="397"/>
      <c r="BA93" s="397"/>
      <c r="BB93" s="397"/>
      <c r="BC93" s="397"/>
      <c r="BD93" s="397"/>
      <c r="BE93" s="397"/>
      <c r="BF93" s="397"/>
      <c r="BG93" s="397"/>
      <c r="BH93" s="397"/>
      <c r="BI93" s="397"/>
      <c r="BJ93" s="397"/>
      <c r="BK93" s="397"/>
      <c r="BL93" s="397"/>
      <c r="BM93" s="397"/>
      <c r="BN93" s="397"/>
      <c r="BO93" s="397"/>
      <c r="BP93" s="397"/>
      <c r="BQ93" s="398"/>
      <c r="BR93" s="398"/>
      <c r="BS93" s="398"/>
      <c r="BT93" s="397"/>
      <c r="BU93" s="397"/>
      <c r="BV93" s="397"/>
      <c r="BW93" s="397"/>
      <c r="BX93" s="397"/>
      <c r="BY93" s="397"/>
    </row>
    <row r="94" spans="1:79" s="512" customFormat="1" ht="13.5" customHeight="1" x14ac:dyDescent="0.2">
      <c r="C94" s="521" t="s">
        <v>8</v>
      </c>
      <c r="D94" s="513"/>
      <c r="P94" s="391"/>
      <c r="U94" s="514"/>
      <c r="X94" s="514"/>
      <c r="Y94" s="394"/>
      <c r="AD94" s="391"/>
      <c r="AE94" s="391"/>
      <c r="AF94" s="395"/>
      <c r="AH94" s="395"/>
      <c r="AI94" s="395"/>
      <c r="AJ94" s="396"/>
      <c r="AW94" s="397"/>
      <c r="AX94" s="397"/>
      <c r="AY94" s="397"/>
      <c r="AZ94" s="397"/>
      <c r="BA94" s="397"/>
      <c r="BB94" s="397"/>
      <c r="BC94" s="397"/>
      <c r="BD94" s="397"/>
      <c r="BE94" s="397"/>
      <c r="BF94" s="397"/>
      <c r="BG94" s="397"/>
      <c r="BH94" s="397"/>
      <c r="BI94" s="397"/>
      <c r="BJ94" s="397"/>
      <c r="BK94" s="397"/>
      <c r="BL94" s="397"/>
      <c r="BM94" s="397"/>
      <c r="BN94" s="397"/>
      <c r="BO94" s="397"/>
      <c r="BP94" s="397"/>
      <c r="BQ94" s="398"/>
      <c r="BR94" s="398"/>
      <c r="BS94" s="398"/>
      <c r="BT94" s="397"/>
      <c r="BU94" s="397"/>
      <c r="BV94" s="397"/>
      <c r="BW94" s="397"/>
      <c r="BX94" s="397"/>
      <c r="BY94" s="397"/>
    </row>
    <row r="95" spans="1:79" s="512" customFormat="1" ht="13.5" customHeight="1" x14ac:dyDescent="0.2">
      <c r="C95" s="521">
        <v>1</v>
      </c>
      <c r="D95" s="513"/>
      <c r="P95" s="391"/>
      <c r="U95" s="514"/>
      <c r="X95" s="514"/>
      <c r="Y95" s="394"/>
      <c r="AD95" s="391"/>
      <c r="AE95" s="391"/>
      <c r="AF95" s="395"/>
      <c r="AH95" s="395"/>
      <c r="AI95" s="395"/>
      <c r="AJ95" s="396"/>
      <c r="AW95" s="397"/>
      <c r="AX95" s="397"/>
      <c r="AY95" s="397"/>
      <c r="AZ95" s="397"/>
      <c r="BA95" s="397"/>
      <c r="BB95" s="397"/>
      <c r="BC95" s="397"/>
      <c r="BD95" s="397"/>
      <c r="BE95" s="397"/>
      <c r="BF95" s="397"/>
      <c r="BG95" s="397"/>
      <c r="BH95" s="397"/>
      <c r="BI95" s="397"/>
      <c r="BJ95" s="397"/>
      <c r="BK95" s="397"/>
      <c r="BL95" s="397"/>
      <c r="BM95" s="397"/>
      <c r="BN95" s="397"/>
      <c r="BO95" s="397"/>
      <c r="BP95" s="397"/>
      <c r="BQ95" s="398"/>
      <c r="BR95" s="398"/>
      <c r="BS95" s="398"/>
      <c r="BT95" s="397"/>
      <c r="BU95" s="397"/>
      <c r="BV95" s="397"/>
      <c r="BW95" s="397"/>
      <c r="BX95" s="397"/>
      <c r="BY95" s="397"/>
    </row>
    <row r="96" spans="1:79" s="512" customFormat="1" ht="13.5" customHeight="1" x14ac:dyDescent="0.2">
      <c r="C96" s="521">
        <v>2</v>
      </c>
      <c r="D96" s="513"/>
      <c r="P96" s="391"/>
      <c r="U96" s="514"/>
      <c r="X96" s="514"/>
      <c r="Y96" s="394"/>
      <c r="AD96" s="391"/>
      <c r="AE96" s="391"/>
      <c r="AF96" s="395"/>
      <c r="AH96" s="395"/>
      <c r="AI96" s="395"/>
      <c r="AJ96" s="396"/>
      <c r="AW96" s="397"/>
      <c r="AX96" s="397"/>
      <c r="AY96" s="397"/>
      <c r="AZ96" s="397"/>
      <c r="BA96" s="397"/>
      <c r="BB96" s="397"/>
      <c r="BC96" s="397"/>
      <c r="BD96" s="397"/>
      <c r="BE96" s="397"/>
      <c r="BF96" s="397"/>
      <c r="BG96" s="397"/>
      <c r="BH96" s="397"/>
      <c r="BI96" s="397"/>
      <c r="BJ96" s="397"/>
      <c r="BK96" s="397"/>
      <c r="BL96" s="397"/>
      <c r="BM96" s="397"/>
      <c r="BN96" s="397"/>
      <c r="BO96" s="397"/>
      <c r="BP96" s="397"/>
      <c r="BQ96" s="398"/>
      <c r="BR96" s="398"/>
      <c r="BS96" s="398"/>
      <c r="BT96" s="397"/>
      <c r="BU96" s="397"/>
      <c r="BV96" s="397"/>
      <c r="BW96" s="397"/>
      <c r="BX96" s="397"/>
      <c r="BY96" s="397"/>
    </row>
    <row r="97" spans="3:77" s="512" customFormat="1" ht="13.5" customHeight="1" x14ac:dyDescent="0.2">
      <c r="C97" s="521">
        <v>3</v>
      </c>
      <c r="D97" s="513"/>
      <c r="P97" s="391"/>
      <c r="U97" s="514"/>
      <c r="X97" s="514"/>
      <c r="Y97" s="394"/>
      <c r="AD97" s="391"/>
      <c r="AE97" s="391"/>
      <c r="AF97" s="395"/>
      <c r="AH97" s="395"/>
      <c r="AI97" s="395"/>
      <c r="AJ97" s="396"/>
      <c r="AW97" s="397"/>
      <c r="AX97" s="397"/>
      <c r="AY97" s="397"/>
      <c r="AZ97" s="397"/>
      <c r="BA97" s="397"/>
      <c r="BB97" s="397"/>
      <c r="BC97" s="397"/>
      <c r="BD97" s="397"/>
      <c r="BE97" s="397"/>
      <c r="BF97" s="397"/>
      <c r="BG97" s="397"/>
      <c r="BH97" s="397"/>
      <c r="BI97" s="397"/>
      <c r="BJ97" s="397"/>
      <c r="BK97" s="397"/>
      <c r="BL97" s="397"/>
      <c r="BM97" s="397"/>
      <c r="BN97" s="397"/>
      <c r="BO97" s="397"/>
      <c r="BP97" s="397"/>
      <c r="BQ97" s="398"/>
      <c r="BR97" s="398"/>
      <c r="BS97" s="398"/>
      <c r="BT97" s="397"/>
      <c r="BU97" s="397"/>
      <c r="BV97" s="397"/>
      <c r="BW97" s="397"/>
      <c r="BX97" s="397"/>
      <c r="BY97" s="397"/>
    </row>
    <row r="98" spans="3:77" s="512" customFormat="1" ht="13.5" customHeight="1" x14ac:dyDescent="0.2">
      <c r="C98" s="521">
        <v>4</v>
      </c>
      <c r="D98" s="513"/>
      <c r="P98" s="391"/>
      <c r="U98" s="514"/>
      <c r="X98" s="514"/>
      <c r="Y98" s="394"/>
      <c r="AD98" s="391"/>
      <c r="AE98" s="391"/>
      <c r="AF98" s="395"/>
      <c r="AH98" s="395"/>
      <c r="AI98" s="395"/>
      <c r="AJ98" s="396"/>
      <c r="AW98" s="397"/>
      <c r="AX98" s="397"/>
      <c r="AY98" s="397"/>
      <c r="AZ98" s="397"/>
      <c r="BA98" s="397"/>
      <c r="BB98" s="397"/>
      <c r="BC98" s="397"/>
      <c r="BD98" s="397"/>
      <c r="BE98" s="397"/>
      <c r="BF98" s="397"/>
      <c r="BG98" s="397"/>
      <c r="BH98" s="397"/>
      <c r="BI98" s="397"/>
      <c r="BJ98" s="397"/>
      <c r="BK98" s="397"/>
      <c r="BL98" s="397"/>
      <c r="BM98" s="397"/>
      <c r="BN98" s="397"/>
      <c r="BO98" s="397"/>
      <c r="BP98" s="397"/>
      <c r="BQ98" s="398"/>
      <c r="BR98" s="398"/>
      <c r="BS98" s="398"/>
      <c r="BT98" s="397"/>
      <c r="BU98" s="397"/>
      <c r="BV98" s="397"/>
      <c r="BW98" s="397"/>
      <c r="BX98" s="397"/>
      <c r="BY98" s="397"/>
    </row>
    <row r="99" spans="3:77" s="512" customFormat="1" ht="13.5" customHeight="1" x14ac:dyDescent="0.2">
      <c r="C99" s="521">
        <v>5</v>
      </c>
      <c r="D99" s="513"/>
      <c r="P99" s="391"/>
      <c r="U99" s="514"/>
      <c r="X99" s="514"/>
      <c r="Y99" s="394"/>
      <c r="AD99" s="391"/>
      <c r="AE99" s="391"/>
      <c r="AF99" s="395"/>
      <c r="AH99" s="395"/>
      <c r="AI99" s="395"/>
      <c r="AJ99" s="396"/>
      <c r="AW99" s="397"/>
      <c r="AX99" s="397"/>
      <c r="AY99" s="397"/>
      <c r="AZ99" s="397"/>
      <c r="BA99" s="397"/>
      <c r="BB99" s="397"/>
      <c r="BC99" s="397"/>
      <c r="BD99" s="397"/>
      <c r="BE99" s="397"/>
      <c r="BF99" s="397"/>
      <c r="BG99" s="397"/>
      <c r="BH99" s="397"/>
      <c r="BI99" s="397"/>
      <c r="BJ99" s="397"/>
      <c r="BK99" s="397"/>
      <c r="BL99" s="397"/>
      <c r="BM99" s="397"/>
      <c r="BN99" s="397"/>
      <c r="BO99" s="397"/>
      <c r="BP99" s="397"/>
      <c r="BQ99" s="398"/>
      <c r="BR99" s="398"/>
      <c r="BS99" s="398"/>
      <c r="BT99" s="397"/>
      <c r="BU99" s="397"/>
      <c r="BV99" s="397"/>
      <c r="BW99" s="397"/>
      <c r="BX99" s="397"/>
      <c r="BY99" s="397"/>
    </row>
    <row r="100" spans="3:77" s="512" customFormat="1" ht="13.5" customHeight="1" x14ac:dyDescent="0.2">
      <c r="C100" s="521">
        <v>6</v>
      </c>
      <c r="D100" s="513"/>
      <c r="P100" s="391"/>
      <c r="U100" s="514"/>
      <c r="X100" s="514"/>
      <c r="Y100" s="394"/>
      <c r="AD100" s="391"/>
      <c r="AE100" s="391"/>
      <c r="AF100" s="395"/>
      <c r="AH100" s="395"/>
      <c r="AI100" s="395"/>
      <c r="AJ100" s="396"/>
      <c r="AW100" s="397"/>
      <c r="AX100" s="397"/>
      <c r="AY100" s="397"/>
      <c r="AZ100" s="397"/>
      <c r="BA100" s="397"/>
      <c r="BB100" s="397"/>
      <c r="BC100" s="397"/>
      <c r="BD100" s="397"/>
      <c r="BE100" s="397"/>
      <c r="BF100" s="397"/>
      <c r="BG100" s="397"/>
      <c r="BH100" s="397"/>
      <c r="BI100" s="397"/>
      <c r="BJ100" s="397"/>
      <c r="BK100" s="397"/>
      <c r="BL100" s="397"/>
      <c r="BM100" s="397"/>
      <c r="BN100" s="397"/>
      <c r="BO100" s="397"/>
      <c r="BP100" s="397"/>
      <c r="BQ100" s="398"/>
      <c r="BR100" s="398"/>
      <c r="BS100" s="398"/>
      <c r="BT100" s="397"/>
      <c r="BU100" s="397"/>
      <c r="BV100" s="397"/>
      <c r="BW100" s="397"/>
      <c r="BX100" s="397"/>
      <c r="BY100" s="397"/>
    </row>
    <row r="101" spans="3:77" s="512" customFormat="1" ht="13.5" customHeight="1" x14ac:dyDescent="0.2">
      <c r="C101" s="521">
        <v>7</v>
      </c>
      <c r="D101" s="513"/>
      <c r="P101" s="391"/>
      <c r="U101" s="514"/>
      <c r="X101" s="514"/>
      <c r="Y101" s="394"/>
      <c r="AD101" s="391"/>
      <c r="AE101" s="391"/>
      <c r="AF101" s="395"/>
      <c r="AH101" s="395"/>
      <c r="AI101" s="395"/>
      <c r="AJ101" s="396"/>
      <c r="AW101" s="397"/>
      <c r="AX101" s="397"/>
      <c r="AY101" s="397"/>
      <c r="AZ101" s="397"/>
      <c r="BA101" s="397"/>
      <c r="BB101" s="397"/>
      <c r="BC101" s="397"/>
      <c r="BD101" s="397"/>
      <c r="BE101" s="397"/>
      <c r="BF101" s="397"/>
      <c r="BG101" s="397"/>
      <c r="BH101" s="397"/>
      <c r="BI101" s="397"/>
      <c r="BJ101" s="397"/>
      <c r="BK101" s="397"/>
      <c r="BL101" s="397"/>
      <c r="BM101" s="397"/>
      <c r="BN101" s="397"/>
      <c r="BO101" s="397"/>
      <c r="BP101" s="397"/>
      <c r="BQ101" s="398"/>
      <c r="BR101" s="398"/>
      <c r="BS101" s="398"/>
      <c r="BT101" s="397"/>
      <c r="BU101" s="397"/>
      <c r="BV101" s="397"/>
      <c r="BW101" s="397"/>
      <c r="BX101" s="397"/>
      <c r="BY101" s="397"/>
    </row>
    <row r="102" spans="3:77" s="512" customFormat="1" ht="13.5" customHeight="1" x14ac:dyDescent="0.2">
      <c r="C102" s="521">
        <v>8</v>
      </c>
      <c r="D102" s="513"/>
      <c r="P102" s="391"/>
      <c r="U102" s="514"/>
      <c r="X102" s="514"/>
      <c r="Y102" s="394"/>
      <c r="AD102" s="391"/>
      <c r="AE102" s="391"/>
      <c r="AF102" s="395"/>
      <c r="AH102" s="395"/>
      <c r="AI102" s="395"/>
      <c r="AJ102" s="396"/>
      <c r="AW102" s="397"/>
      <c r="AX102" s="397"/>
      <c r="AY102" s="397"/>
      <c r="AZ102" s="397"/>
      <c r="BA102" s="397"/>
      <c r="BB102" s="397"/>
      <c r="BC102" s="397"/>
      <c r="BD102" s="397"/>
      <c r="BE102" s="397"/>
      <c r="BF102" s="397"/>
      <c r="BG102" s="397"/>
      <c r="BH102" s="397"/>
      <c r="BI102" s="397"/>
      <c r="BJ102" s="397"/>
      <c r="BK102" s="397"/>
      <c r="BL102" s="397"/>
      <c r="BM102" s="397"/>
      <c r="BN102" s="397"/>
      <c r="BO102" s="397"/>
      <c r="BP102" s="397"/>
      <c r="BQ102" s="398"/>
      <c r="BR102" s="398"/>
      <c r="BS102" s="398"/>
      <c r="BT102" s="397"/>
      <c r="BU102" s="397"/>
      <c r="BV102" s="397"/>
      <c r="BW102" s="397"/>
      <c r="BX102" s="397"/>
      <c r="BY102" s="397"/>
    </row>
    <row r="103" spans="3:77" s="512" customFormat="1" ht="13.5" customHeight="1" x14ac:dyDescent="0.2">
      <c r="C103" s="521">
        <v>9</v>
      </c>
      <c r="D103" s="513"/>
      <c r="P103" s="391"/>
      <c r="U103" s="514"/>
      <c r="X103" s="514"/>
      <c r="Y103" s="394"/>
      <c r="AD103" s="391"/>
      <c r="AE103" s="391"/>
      <c r="AF103" s="395"/>
      <c r="AH103" s="395"/>
      <c r="AI103" s="395"/>
      <c r="AJ103" s="396"/>
      <c r="AW103" s="397"/>
      <c r="AX103" s="397"/>
      <c r="AY103" s="397"/>
      <c r="AZ103" s="397"/>
      <c r="BA103" s="397"/>
      <c r="BB103" s="397"/>
      <c r="BC103" s="397"/>
      <c r="BD103" s="397"/>
      <c r="BE103" s="397"/>
      <c r="BF103" s="397"/>
      <c r="BG103" s="397"/>
      <c r="BH103" s="397"/>
      <c r="BI103" s="397"/>
      <c r="BJ103" s="397"/>
      <c r="BK103" s="397"/>
      <c r="BL103" s="397"/>
      <c r="BM103" s="397"/>
      <c r="BN103" s="397"/>
      <c r="BO103" s="397"/>
      <c r="BP103" s="397"/>
      <c r="BQ103" s="398"/>
      <c r="BR103" s="398"/>
      <c r="BS103" s="398"/>
      <c r="BT103" s="397"/>
      <c r="BU103" s="397"/>
      <c r="BV103" s="397"/>
      <c r="BW103" s="397"/>
      <c r="BX103" s="397"/>
      <c r="BY103" s="397"/>
    </row>
    <row r="104" spans="3:77" s="512" customFormat="1" ht="13.5" customHeight="1" x14ac:dyDescent="0.2">
      <c r="C104" s="521">
        <v>10</v>
      </c>
      <c r="D104" s="513"/>
      <c r="P104" s="391"/>
      <c r="U104" s="514"/>
      <c r="X104" s="514"/>
      <c r="Y104" s="394"/>
      <c r="AD104" s="391"/>
      <c r="AE104" s="391"/>
      <c r="AF104" s="395"/>
      <c r="AH104" s="395"/>
      <c r="AI104" s="395"/>
      <c r="AJ104" s="396"/>
      <c r="AW104" s="397"/>
      <c r="AX104" s="397"/>
      <c r="AY104" s="397"/>
      <c r="AZ104" s="397"/>
      <c r="BA104" s="397"/>
      <c r="BB104" s="397"/>
      <c r="BC104" s="397"/>
      <c r="BD104" s="397"/>
      <c r="BE104" s="397"/>
      <c r="BF104" s="397"/>
      <c r="BG104" s="397"/>
      <c r="BH104" s="397"/>
      <c r="BI104" s="397"/>
      <c r="BJ104" s="397"/>
      <c r="BK104" s="397"/>
      <c r="BL104" s="397"/>
      <c r="BM104" s="397"/>
      <c r="BN104" s="397"/>
      <c r="BO104" s="397"/>
      <c r="BP104" s="397"/>
      <c r="BQ104" s="398"/>
      <c r="BR104" s="398"/>
      <c r="BS104" s="398"/>
      <c r="BT104" s="397"/>
      <c r="BU104" s="397"/>
      <c r="BV104" s="397"/>
      <c r="BW104" s="397"/>
      <c r="BX104" s="397"/>
      <c r="BY104" s="397"/>
    </row>
    <row r="105" spans="3:77" s="512" customFormat="1" ht="13.5" customHeight="1" x14ac:dyDescent="0.2">
      <c r="C105" s="521">
        <v>11</v>
      </c>
      <c r="D105" s="513"/>
      <c r="P105" s="391"/>
      <c r="U105" s="514"/>
      <c r="X105" s="514"/>
      <c r="Y105" s="394"/>
      <c r="AD105" s="391"/>
      <c r="AE105" s="391"/>
      <c r="AF105" s="395"/>
      <c r="AH105" s="395"/>
      <c r="AI105" s="395"/>
      <c r="AJ105" s="396"/>
      <c r="AW105" s="397"/>
      <c r="AX105" s="397"/>
      <c r="AY105" s="397"/>
      <c r="AZ105" s="397"/>
      <c r="BA105" s="397"/>
      <c r="BB105" s="397"/>
      <c r="BC105" s="397"/>
      <c r="BD105" s="397"/>
      <c r="BE105" s="397"/>
      <c r="BF105" s="397"/>
      <c r="BG105" s="397"/>
      <c r="BH105" s="397"/>
      <c r="BI105" s="397"/>
      <c r="BJ105" s="397"/>
      <c r="BK105" s="397"/>
      <c r="BL105" s="397"/>
      <c r="BM105" s="397"/>
      <c r="BN105" s="397"/>
      <c r="BO105" s="397"/>
      <c r="BP105" s="397"/>
      <c r="BQ105" s="398"/>
      <c r="BR105" s="398"/>
      <c r="BS105" s="398"/>
      <c r="BT105" s="397"/>
      <c r="BU105" s="397"/>
      <c r="BV105" s="397"/>
      <c r="BW105" s="397"/>
      <c r="BX105" s="397"/>
      <c r="BY105" s="397"/>
    </row>
    <row r="106" spans="3:77" s="512" customFormat="1" ht="13.5" customHeight="1" x14ac:dyDescent="0.2">
      <c r="C106" s="521">
        <v>12</v>
      </c>
      <c r="D106" s="513"/>
      <c r="P106" s="391"/>
      <c r="U106" s="514"/>
      <c r="X106" s="514"/>
      <c r="Y106" s="394"/>
      <c r="AD106" s="391"/>
      <c r="AE106" s="391"/>
      <c r="AF106" s="395"/>
      <c r="AH106" s="395"/>
      <c r="AI106" s="395"/>
      <c r="AJ106" s="396"/>
      <c r="AW106" s="397"/>
      <c r="AX106" s="397"/>
      <c r="AY106" s="397"/>
      <c r="AZ106" s="397"/>
      <c r="BA106" s="397"/>
      <c r="BB106" s="397"/>
      <c r="BC106" s="397"/>
      <c r="BD106" s="397"/>
      <c r="BE106" s="397"/>
      <c r="BF106" s="397"/>
      <c r="BG106" s="397"/>
      <c r="BH106" s="397"/>
      <c r="BI106" s="397"/>
      <c r="BJ106" s="397"/>
      <c r="BK106" s="397"/>
      <c r="BL106" s="397"/>
      <c r="BM106" s="397"/>
      <c r="BN106" s="397"/>
      <c r="BO106" s="397"/>
      <c r="BP106" s="397"/>
      <c r="BQ106" s="398"/>
      <c r="BR106" s="398"/>
      <c r="BS106" s="398"/>
      <c r="BT106" s="397"/>
      <c r="BU106" s="397"/>
      <c r="BV106" s="397"/>
      <c r="BW106" s="397"/>
      <c r="BX106" s="397"/>
      <c r="BY106" s="397"/>
    </row>
    <row r="107" spans="3:77" s="512" customFormat="1" ht="13.5" customHeight="1" x14ac:dyDescent="0.2">
      <c r="C107" s="521">
        <v>13</v>
      </c>
      <c r="D107" s="513"/>
      <c r="P107" s="391"/>
      <c r="U107" s="514"/>
      <c r="X107" s="514"/>
      <c r="Y107" s="394"/>
      <c r="AD107" s="391"/>
      <c r="AE107" s="391"/>
      <c r="AF107" s="395"/>
      <c r="AH107" s="395"/>
      <c r="AI107" s="395"/>
      <c r="AJ107" s="396"/>
      <c r="AW107" s="397"/>
      <c r="AX107" s="397"/>
      <c r="AY107" s="397"/>
      <c r="AZ107" s="397"/>
      <c r="BA107" s="397"/>
      <c r="BB107" s="397"/>
      <c r="BC107" s="397"/>
      <c r="BD107" s="397"/>
      <c r="BE107" s="397"/>
      <c r="BF107" s="397"/>
      <c r="BG107" s="397"/>
      <c r="BH107" s="397"/>
      <c r="BI107" s="397"/>
      <c r="BJ107" s="397"/>
      <c r="BK107" s="397"/>
      <c r="BL107" s="397"/>
      <c r="BM107" s="397"/>
      <c r="BN107" s="397"/>
      <c r="BO107" s="397"/>
      <c r="BP107" s="397"/>
      <c r="BQ107" s="398"/>
      <c r="BR107" s="398"/>
      <c r="BS107" s="398"/>
      <c r="BT107" s="397"/>
      <c r="BU107" s="397"/>
      <c r="BV107" s="397"/>
      <c r="BW107" s="397"/>
      <c r="BX107" s="397"/>
      <c r="BY107" s="397"/>
    </row>
    <row r="108" spans="3:77" s="512" customFormat="1" ht="13.5" customHeight="1" x14ac:dyDescent="0.2">
      <c r="C108" s="521">
        <v>14</v>
      </c>
      <c r="D108" s="513"/>
      <c r="P108" s="391"/>
      <c r="U108" s="514"/>
      <c r="X108" s="514"/>
      <c r="Y108" s="394"/>
      <c r="AD108" s="391"/>
      <c r="AE108" s="391"/>
      <c r="AF108" s="395"/>
      <c r="AH108" s="395"/>
      <c r="AI108" s="395"/>
      <c r="AJ108" s="396"/>
      <c r="AW108" s="397"/>
      <c r="AX108" s="397"/>
      <c r="AY108" s="397"/>
      <c r="AZ108" s="397"/>
      <c r="BA108" s="397"/>
      <c r="BB108" s="397"/>
      <c r="BC108" s="397"/>
      <c r="BD108" s="397"/>
      <c r="BE108" s="397"/>
      <c r="BF108" s="397"/>
      <c r="BG108" s="397"/>
      <c r="BH108" s="397"/>
      <c r="BI108" s="397"/>
      <c r="BJ108" s="397"/>
      <c r="BK108" s="397"/>
      <c r="BL108" s="397"/>
      <c r="BM108" s="397"/>
      <c r="BN108" s="397"/>
      <c r="BO108" s="397"/>
      <c r="BP108" s="397"/>
      <c r="BQ108" s="398"/>
      <c r="BR108" s="398"/>
      <c r="BS108" s="398"/>
      <c r="BT108" s="397"/>
      <c r="BU108" s="397"/>
      <c r="BV108" s="397"/>
      <c r="BW108" s="397"/>
      <c r="BX108" s="397"/>
      <c r="BY108" s="397"/>
    </row>
    <row r="109" spans="3:77" s="512" customFormat="1" ht="13.5" customHeight="1" x14ac:dyDescent="0.2">
      <c r="C109" s="521">
        <v>15</v>
      </c>
      <c r="D109" s="513"/>
      <c r="P109" s="391"/>
      <c r="U109" s="514"/>
      <c r="X109" s="514"/>
      <c r="Y109" s="394"/>
      <c r="AD109" s="391"/>
      <c r="AE109" s="391"/>
      <c r="AF109" s="395"/>
      <c r="AH109" s="395"/>
      <c r="AI109" s="395"/>
      <c r="AJ109" s="396"/>
      <c r="AW109" s="397"/>
      <c r="AX109" s="397"/>
      <c r="AY109" s="397"/>
      <c r="AZ109" s="397"/>
      <c r="BA109" s="397"/>
      <c r="BB109" s="397"/>
      <c r="BC109" s="397"/>
      <c r="BD109" s="397"/>
      <c r="BE109" s="397"/>
      <c r="BF109" s="397"/>
      <c r="BG109" s="397"/>
      <c r="BH109" s="397"/>
      <c r="BI109" s="397"/>
      <c r="BJ109" s="397"/>
      <c r="BK109" s="397"/>
      <c r="BL109" s="397"/>
      <c r="BM109" s="397"/>
      <c r="BN109" s="397"/>
      <c r="BO109" s="397"/>
      <c r="BP109" s="397"/>
      <c r="BQ109" s="398"/>
      <c r="BR109" s="398"/>
      <c r="BS109" s="398"/>
      <c r="BT109" s="397"/>
      <c r="BU109" s="397"/>
      <c r="BV109" s="397"/>
      <c r="BW109" s="397"/>
      <c r="BX109" s="397"/>
      <c r="BY109" s="397"/>
    </row>
    <row r="110" spans="3:77" s="512" customFormat="1" ht="13.5" customHeight="1" x14ac:dyDescent="0.2">
      <c r="C110" s="521">
        <v>16</v>
      </c>
      <c r="D110" s="513"/>
      <c r="P110" s="391"/>
      <c r="U110" s="514"/>
      <c r="X110" s="514"/>
      <c r="Y110" s="394"/>
      <c r="AD110" s="391"/>
      <c r="AE110" s="391"/>
      <c r="AF110" s="395"/>
      <c r="AH110" s="395"/>
      <c r="AI110" s="395"/>
      <c r="AJ110" s="396"/>
      <c r="AW110" s="397"/>
      <c r="AX110" s="397"/>
      <c r="AY110" s="397"/>
      <c r="AZ110" s="397"/>
      <c r="BA110" s="397"/>
      <c r="BB110" s="397"/>
      <c r="BC110" s="397"/>
      <c r="BD110" s="397"/>
      <c r="BE110" s="397"/>
      <c r="BF110" s="397"/>
      <c r="BG110" s="397"/>
      <c r="BH110" s="397"/>
      <c r="BI110" s="397"/>
      <c r="BJ110" s="397"/>
      <c r="BK110" s="397"/>
      <c r="BL110" s="397"/>
      <c r="BM110" s="397"/>
      <c r="BN110" s="397"/>
      <c r="BO110" s="397"/>
      <c r="BP110" s="397"/>
      <c r="BQ110" s="398"/>
      <c r="BR110" s="398"/>
      <c r="BS110" s="398"/>
      <c r="BT110" s="397"/>
      <c r="BU110" s="397"/>
      <c r="BV110" s="397"/>
      <c r="BW110" s="397"/>
      <c r="BX110" s="397"/>
      <c r="BY110" s="397"/>
    </row>
    <row r="111" spans="3:77" s="512" customFormat="1" ht="13.5" customHeight="1" x14ac:dyDescent="0.2">
      <c r="C111" s="521">
        <v>17</v>
      </c>
      <c r="D111" s="513"/>
      <c r="P111" s="391"/>
      <c r="U111" s="514"/>
      <c r="X111" s="514"/>
      <c r="Y111" s="394"/>
      <c r="AD111" s="391"/>
      <c r="AE111" s="391"/>
      <c r="AF111" s="395"/>
      <c r="AH111" s="395"/>
      <c r="AI111" s="395"/>
      <c r="AJ111" s="396"/>
      <c r="AW111" s="397"/>
      <c r="AX111" s="397"/>
      <c r="AY111" s="397"/>
      <c r="AZ111" s="397"/>
      <c r="BA111" s="397"/>
      <c r="BB111" s="397"/>
      <c r="BC111" s="397"/>
      <c r="BD111" s="397"/>
      <c r="BE111" s="397"/>
      <c r="BF111" s="397"/>
      <c r="BG111" s="397"/>
      <c r="BH111" s="397"/>
      <c r="BI111" s="397"/>
      <c r="BJ111" s="397"/>
      <c r="BK111" s="397"/>
      <c r="BL111" s="397"/>
      <c r="BM111" s="397"/>
      <c r="BN111" s="397"/>
      <c r="BO111" s="397"/>
      <c r="BP111" s="397"/>
      <c r="BQ111" s="398"/>
      <c r="BR111" s="398"/>
      <c r="BS111" s="398"/>
      <c r="BT111" s="397"/>
      <c r="BU111" s="397"/>
      <c r="BV111" s="397"/>
      <c r="BW111" s="397"/>
      <c r="BX111" s="397"/>
      <c r="BY111" s="397"/>
    </row>
    <row r="112" spans="3:77" s="512" customFormat="1" ht="13.5" customHeight="1" x14ac:dyDescent="0.2">
      <c r="C112" s="521" t="s">
        <v>9</v>
      </c>
      <c r="D112" s="513"/>
      <c r="P112" s="391"/>
      <c r="U112" s="514"/>
      <c r="X112" s="514"/>
      <c r="Y112" s="394"/>
      <c r="AD112" s="391"/>
      <c r="AE112" s="391"/>
      <c r="AF112" s="395"/>
      <c r="AH112" s="395"/>
      <c r="AI112" s="395"/>
      <c r="AJ112" s="396"/>
      <c r="AW112" s="397"/>
      <c r="AX112" s="397"/>
      <c r="AY112" s="397"/>
      <c r="AZ112" s="397"/>
      <c r="BA112" s="397"/>
      <c r="BB112" s="397"/>
      <c r="BC112" s="397"/>
      <c r="BD112" s="397"/>
      <c r="BE112" s="397"/>
      <c r="BF112" s="397"/>
      <c r="BG112" s="397"/>
      <c r="BH112" s="397"/>
      <c r="BI112" s="397"/>
      <c r="BJ112" s="397"/>
      <c r="BK112" s="397"/>
      <c r="BL112" s="397"/>
      <c r="BM112" s="397"/>
      <c r="BN112" s="397"/>
      <c r="BO112" s="397"/>
      <c r="BP112" s="397"/>
      <c r="BQ112" s="398"/>
      <c r="BR112" s="398"/>
      <c r="BS112" s="398"/>
      <c r="BT112" s="397"/>
      <c r="BU112" s="397"/>
      <c r="BV112" s="397"/>
      <c r="BW112" s="397"/>
      <c r="BX112" s="397"/>
      <c r="BY112" s="397"/>
    </row>
    <row r="113" spans="3:77" s="512" customFormat="1" ht="13.5" customHeight="1" x14ac:dyDescent="0.2">
      <c r="C113" s="521" t="s">
        <v>10</v>
      </c>
      <c r="D113" s="513"/>
      <c r="P113" s="391"/>
      <c r="U113" s="514"/>
      <c r="X113" s="514"/>
      <c r="Y113" s="394"/>
      <c r="AD113" s="391"/>
      <c r="AE113" s="391"/>
      <c r="AF113" s="395"/>
      <c r="AH113" s="395"/>
      <c r="AI113" s="395"/>
      <c r="AJ113" s="396"/>
      <c r="AW113" s="397"/>
      <c r="AX113" s="397"/>
      <c r="AY113" s="397"/>
      <c r="AZ113" s="397"/>
      <c r="BA113" s="397"/>
      <c r="BB113" s="397"/>
      <c r="BC113" s="397"/>
      <c r="BD113" s="397"/>
      <c r="BE113" s="397"/>
      <c r="BF113" s="397"/>
      <c r="BG113" s="397"/>
      <c r="BH113" s="397"/>
      <c r="BI113" s="397"/>
      <c r="BJ113" s="397"/>
      <c r="BK113" s="397"/>
      <c r="BL113" s="397"/>
      <c r="BM113" s="397"/>
      <c r="BN113" s="397"/>
      <c r="BO113" s="397"/>
      <c r="BP113" s="397"/>
      <c r="BQ113" s="398"/>
      <c r="BR113" s="398"/>
      <c r="BS113" s="398"/>
      <c r="BT113" s="397"/>
      <c r="BU113" s="397"/>
      <c r="BV113" s="397"/>
      <c r="BW113" s="397"/>
      <c r="BX113" s="397"/>
      <c r="BY113" s="397"/>
    </row>
    <row r="114" spans="3:77" s="512" customFormat="1" ht="13.5" customHeight="1" x14ac:dyDescent="0.2">
      <c r="C114" s="521" t="s">
        <v>11</v>
      </c>
      <c r="D114" s="513"/>
      <c r="P114" s="391"/>
      <c r="U114" s="514"/>
      <c r="X114" s="514"/>
      <c r="Y114" s="394"/>
      <c r="AD114" s="391"/>
      <c r="AE114" s="391"/>
      <c r="AF114" s="395"/>
      <c r="AH114" s="395"/>
      <c r="AI114" s="395"/>
      <c r="AJ114" s="396"/>
      <c r="AW114" s="397"/>
      <c r="AX114" s="397"/>
      <c r="AY114" s="397"/>
      <c r="AZ114" s="397"/>
      <c r="BA114" s="397"/>
      <c r="BB114" s="397"/>
      <c r="BC114" s="397"/>
      <c r="BD114" s="397"/>
      <c r="BE114" s="397"/>
      <c r="BF114" s="397"/>
      <c r="BG114" s="397"/>
      <c r="BH114" s="397"/>
      <c r="BI114" s="397"/>
      <c r="BJ114" s="397"/>
      <c r="BK114" s="397"/>
      <c r="BL114" s="397"/>
      <c r="BM114" s="397"/>
      <c r="BN114" s="397"/>
      <c r="BO114" s="397"/>
      <c r="BP114" s="397"/>
      <c r="BQ114" s="398"/>
      <c r="BR114" s="398"/>
      <c r="BS114" s="398"/>
      <c r="BT114" s="397"/>
      <c r="BU114" s="397"/>
      <c r="BV114" s="397"/>
      <c r="BW114" s="397"/>
      <c r="BX114" s="397"/>
      <c r="BY114" s="397"/>
    </row>
    <row r="115" spans="3:77" s="512" customFormat="1" ht="13.5" customHeight="1" x14ac:dyDescent="0.2">
      <c r="C115" s="521" t="s">
        <v>12</v>
      </c>
      <c r="D115" s="513"/>
      <c r="P115" s="391"/>
      <c r="U115" s="514"/>
      <c r="X115" s="514"/>
      <c r="Y115" s="394"/>
      <c r="AD115" s="391"/>
      <c r="AE115" s="391"/>
      <c r="AF115" s="395"/>
      <c r="AH115" s="395"/>
      <c r="AI115" s="395"/>
      <c r="AJ115" s="396"/>
      <c r="AW115" s="397"/>
      <c r="AX115" s="397"/>
      <c r="AY115" s="397"/>
      <c r="AZ115" s="397"/>
      <c r="BA115" s="397"/>
      <c r="BB115" s="397"/>
      <c r="BC115" s="397"/>
      <c r="BD115" s="397"/>
      <c r="BE115" s="397"/>
      <c r="BF115" s="397"/>
      <c r="BG115" s="397"/>
      <c r="BH115" s="397"/>
      <c r="BI115" s="397"/>
      <c r="BJ115" s="397"/>
      <c r="BK115" s="397"/>
      <c r="BL115" s="397"/>
      <c r="BM115" s="397"/>
      <c r="BN115" s="397"/>
      <c r="BO115" s="397"/>
      <c r="BP115" s="397"/>
      <c r="BQ115" s="398"/>
      <c r="BR115" s="398"/>
      <c r="BS115" s="398"/>
      <c r="BT115" s="397"/>
      <c r="BU115" s="397"/>
      <c r="BV115" s="397"/>
      <c r="BW115" s="397"/>
      <c r="BX115" s="397"/>
      <c r="BY115" s="397"/>
    </row>
    <row r="116" spans="3:77" s="512" customFormat="1" ht="13.5" customHeight="1" x14ac:dyDescent="0.2">
      <c r="C116" s="515" t="s">
        <v>386</v>
      </c>
      <c r="D116" s="513"/>
      <c r="P116" s="391"/>
      <c r="U116" s="514"/>
      <c r="X116" s="514"/>
      <c r="Y116" s="394"/>
      <c r="AD116" s="391"/>
      <c r="AE116" s="391"/>
      <c r="AF116" s="395"/>
      <c r="AH116" s="395"/>
      <c r="AI116" s="395"/>
      <c r="AJ116" s="396"/>
      <c r="AW116" s="397"/>
      <c r="AX116" s="397"/>
      <c r="AY116" s="397"/>
      <c r="AZ116" s="397"/>
      <c r="BA116" s="397"/>
      <c r="BB116" s="397"/>
      <c r="BC116" s="397"/>
      <c r="BD116" s="397"/>
      <c r="BE116" s="397"/>
      <c r="BF116" s="397"/>
      <c r="BG116" s="397"/>
      <c r="BH116" s="397"/>
      <c r="BI116" s="397"/>
      <c r="BJ116" s="397"/>
      <c r="BK116" s="397"/>
      <c r="BL116" s="397"/>
      <c r="BM116" s="397"/>
      <c r="BN116" s="397"/>
      <c r="BO116" s="397"/>
      <c r="BP116" s="397"/>
      <c r="BQ116" s="398"/>
      <c r="BR116" s="398"/>
      <c r="BS116" s="398"/>
      <c r="BT116" s="397"/>
      <c r="BU116" s="397"/>
      <c r="BV116" s="397"/>
      <c r="BW116" s="397"/>
      <c r="BX116" s="397"/>
      <c r="BY116" s="397"/>
    </row>
    <row r="117" spans="3:77" s="512" customFormat="1" ht="13.5" customHeight="1" x14ac:dyDescent="0.2">
      <c r="C117" s="515">
        <v>1</v>
      </c>
      <c r="D117" s="513"/>
      <c r="P117" s="391"/>
      <c r="U117" s="514"/>
      <c r="X117" s="514"/>
      <c r="Y117" s="394"/>
      <c r="AD117" s="391"/>
      <c r="AE117" s="391"/>
      <c r="AF117" s="395"/>
      <c r="AH117" s="395"/>
      <c r="AI117" s="395"/>
      <c r="AJ117" s="396"/>
      <c r="AW117" s="397"/>
      <c r="AX117" s="397"/>
      <c r="AY117" s="397"/>
      <c r="AZ117" s="397"/>
      <c r="BA117" s="397"/>
      <c r="BB117" s="397"/>
      <c r="BC117" s="397"/>
      <c r="BD117" s="397"/>
      <c r="BE117" s="397"/>
      <c r="BF117" s="397"/>
      <c r="BG117" s="397"/>
      <c r="BH117" s="397"/>
      <c r="BI117" s="397"/>
      <c r="BJ117" s="397"/>
      <c r="BK117" s="397"/>
      <c r="BL117" s="397"/>
      <c r="BM117" s="397"/>
      <c r="BN117" s="397"/>
      <c r="BO117" s="397"/>
      <c r="BP117" s="397"/>
      <c r="BQ117" s="398"/>
      <c r="BR117" s="398"/>
      <c r="BS117" s="398"/>
      <c r="BT117" s="397"/>
      <c r="BU117" s="397"/>
      <c r="BV117" s="397"/>
      <c r="BW117" s="397"/>
      <c r="BX117" s="397"/>
      <c r="BY117" s="397"/>
    </row>
    <row r="118" spans="3:77" s="512" customFormat="1" ht="13.5" customHeight="1" x14ac:dyDescent="0.2">
      <c r="C118" s="515">
        <v>2</v>
      </c>
      <c r="D118" s="513"/>
      <c r="P118" s="391"/>
      <c r="U118" s="514"/>
      <c r="X118" s="514"/>
      <c r="Y118" s="394"/>
      <c r="AD118" s="391"/>
      <c r="AE118" s="391"/>
      <c r="AF118" s="395"/>
      <c r="AH118" s="395"/>
      <c r="AI118" s="395"/>
      <c r="AJ118" s="396"/>
      <c r="AW118" s="397"/>
      <c r="AX118" s="397"/>
      <c r="AY118" s="397"/>
      <c r="AZ118" s="397"/>
      <c r="BA118" s="397"/>
      <c r="BB118" s="397"/>
      <c r="BC118" s="397"/>
      <c r="BD118" s="397"/>
      <c r="BE118" s="397"/>
      <c r="BF118" s="397"/>
      <c r="BG118" s="397"/>
      <c r="BH118" s="397"/>
      <c r="BI118" s="397"/>
      <c r="BJ118" s="397"/>
      <c r="BK118" s="397"/>
      <c r="BL118" s="397"/>
      <c r="BM118" s="397"/>
      <c r="BN118" s="397"/>
      <c r="BO118" s="397"/>
      <c r="BP118" s="397"/>
      <c r="BQ118" s="398"/>
      <c r="BR118" s="398"/>
      <c r="BS118" s="398"/>
      <c r="BT118" s="397"/>
      <c r="BU118" s="397"/>
      <c r="BV118" s="397"/>
      <c r="BW118" s="397"/>
      <c r="BX118" s="397"/>
      <c r="BY118" s="397"/>
    </row>
    <row r="119" spans="3:77" s="512" customFormat="1" ht="13.5" customHeight="1" x14ac:dyDescent="0.2">
      <c r="C119" s="515">
        <v>3</v>
      </c>
      <c r="D119" s="513"/>
      <c r="P119" s="391"/>
      <c r="U119" s="514"/>
      <c r="X119" s="514"/>
      <c r="Y119" s="394"/>
      <c r="AD119" s="391"/>
      <c r="AE119" s="391"/>
      <c r="AF119" s="395"/>
      <c r="AH119" s="395"/>
      <c r="AI119" s="395"/>
      <c r="AJ119" s="396"/>
      <c r="AW119" s="397"/>
      <c r="AX119" s="397"/>
      <c r="AY119" s="397"/>
      <c r="AZ119" s="397"/>
      <c r="BA119" s="397"/>
      <c r="BB119" s="397"/>
      <c r="BC119" s="397"/>
      <c r="BD119" s="397"/>
      <c r="BE119" s="397"/>
      <c r="BF119" s="397"/>
      <c r="BG119" s="397"/>
      <c r="BH119" s="397"/>
      <c r="BI119" s="397"/>
      <c r="BJ119" s="397"/>
      <c r="BK119" s="397"/>
      <c r="BL119" s="397"/>
      <c r="BM119" s="397"/>
      <c r="BN119" s="397"/>
      <c r="BO119" s="397"/>
      <c r="BP119" s="397"/>
      <c r="BQ119" s="398"/>
      <c r="BR119" s="398"/>
      <c r="BS119" s="398"/>
      <c r="BT119" s="397"/>
      <c r="BU119" s="397"/>
      <c r="BV119" s="397"/>
      <c r="BW119" s="397"/>
      <c r="BX119" s="397"/>
      <c r="BY119" s="397"/>
    </row>
    <row r="120" spans="3:77" s="512" customFormat="1" ht="13.5" customHeight="1" x14ac:dyDescent="0.2">
      <c r="C120" s="515">
        <v>4</v>
      </c>
      <c r="D120" s="513"/>
      <c r="P120" s="391"/>
      <c r="U120" s="514"/>
      <c r="X120" s="514"/>
      <c r="Y120" s="394"/>
      <c r="AD120" s="391"/>
      <c r="AE120" s="391"/>
      <c r="AF120" s="395"/>
      <c r="AH120" s="395"/>
      <c r="AI120" s="395"/>
      <c r="AJ120" s="396"/>
      <c r="AW120" s="397"/>
      <c r="AX120" s="397"/>
      <c r="AY120" s="397"/>
      <c r="AZ120" s="397"/>
      <c r="BA120" s="397"/>
      <c r="BB120" s="397"/>
      <c r="BC120" s="397"/>
      <c r="BD120" s="397"/>
      <c r="BE120" s="397"/>
      <c r="BF120" s="397"/>
      <c r="BG120" s="397"/>
      <c r="BH120" s="397"/>
      <c r="BI120" s="397"/>
      <c r="BJ120" s="397"/>
      <c r="BK120" s="397"/>
      <c r="BL120" s="397"/>
      <c r="BM120" s="397"/>
      <c r="BN120" s="397"/>
      <c r="BO120" s="397"/>
      <c r="BP120" s="397"/>
      <c r="BQ120" s="398"/>
      <c r="BR120" s="398"/>
      <c r="BS120" s="398"/>
      <c r="BT120" s="397"/>
      <c r="BU120" s="397"/>
      <c r="BV120" s="397"/>
      <c r="BW120" s="397"/>
      <c r="BX120" s="397"/>
      <c r="BY120" s="397"/>
    </row>
    <row r="121" spans="3:77" s="512" customFormat="1" ht="13.5" customHeight="1" x14ac:dyDescent="0.2">
      <c r="C121" s="515">
        <v>5</v>
      </c>
      <c r="D121" s="513"/>
      <c r="P121" s="391"/>
      <c r="U121" s="514"/>
      <c r="X121" s="514"/>
      <c r="Y121" s="394"/>
      <c r="AD121" s="391"/>
      <c r="AE121" s="391"/>
      <c r="AF121" s="395"/>
      <c r="AH121" s="395"/>
      <c r="AI121" s="395"/>
      <c r="AJ121" s="396"/>
      <c r="AW121" s="397"/>
      <c r="AX121" s="397"/>
      <c r="AY121" s="397"/>
      <c r="AZ121" s="397"/>
      <c r="BA121" s="397"/>
      <c r="BB121" s="397"/>
      <c r="BC121" s="397"/>
      <c r="BD121" s="397"/>
      <c r="BE121" s="397"/>
      <c r="BF121" s="397"/>
      <c r="BG121" s="397"/>
      <c r="BH121" s="397"/>
      <c r="BI121" s="397"/>
      <c r="BJ121" s="397"/>
      <c r="BK121" s="397"/>
      <c r="BL121" s="397"/>
      <c r="BM121" s="397"/>
      <c r="BN121" s="397"/>
      <c r="BO121" s="397"/>
      <c r="BP121" s="397"/>
      <c r="BQ121" s="398"/>
      <c r="BR121" s="398"/>
      <c r="BS121" s="398"/>
      <c r="BT121" s="397"/>
      <c r="BU121" s="397"/>
      <c r="BV121" s="397"/>
      <c r="BW121" s="397"/>
      <c r="BX121" s="397"/>
      <c r="BY121" s="397"/>
    </row>
    <row r="122" spans="3:77" s="512" customFormat="1" ht="13.5" customHeight="1" x14ac:dyDescent="0.2">
      <c r="C122" s="515">
        <v>6</v>
      </c>
      <c r="D122" s="513"/>
      <c r="P122" s="391"/>
      <c r="U122" s="514"/>
      <c r="X122" s="514"/>
      <c r="Y122" s="394"/>
      <c r="AD122" s="391"/>
      <c r="AE122" s="391"/>
      <c r="AF122" s="395"/>
      <c r="AH122" s="395"/>
      <c r="AI122" s="395"/>
      <c r="AJ122" s="396"/>
      <c r="AW122" s="397"/>
      <c r="AX122" s="397"/>
      <c r="AY122" s="397"/>
      <c r="AZ122" s="397"/>
      <c r="BA122" s="397"/>
      <c r="BB122" s="397"/>
      <c r="BC122" s="397"/>
      <c r="BD122" s="397"/>
      <c r="BE122" s="397"/>
      <c r="BF122" s="397"/>
      <c r="BG122" s="397"/>
      <c r="BH122" s="397"/>
      <c r="BI122" s="397"/>
      <c r="BJ122" s="397"/>
      <c r="BK122" s="397"/>
      <c r="BL122" s="397"/>
      <c r="BM122" s="397"/>
      <c r="BN122" s="397"/>
      <c r="BO122" s="397"/>
      <c r="BP122" s="397"/>
      <c r="BQ122" s="398"/>
      <c r="BR122" s="398"/>
      <c r="BS122" s="398"/>
      <c r="BT122" s="397"/>
      <c r="BU122" s="397"/>
      <c r="BV122" s="397"/>
      <c r="BW122" s="397"/>
      <c r="BX122" s="397"/>
      <c r="BY122" s="397"/>
    </row>
    <row r="123" spans="3:77" s="512" customFormat="1" ht="13.5" customHeight="1" x14ac:dyDescent="0.2">
      <c r="C123" s="515">
        <v>7</v>
      </c>
      <c r="D123" s="513"/>
      <c r="P123" s="391"/>
      <c r="U123" s="514"/>
      <c r="X123" s="514"/>
      <c r="Y123" s="394"/>
      <c r="AD123" s="391"/>
      <c r="AE123" s="391"/>
      <c r="AF123" s="395"/>
      <c r="AH123" s="395"/>
      <c r="AI123" s="395"/>
      <c r="AJ123" s="396"/>
      <c r="AW123" s="397"/>
      <c r="AX123" s="397"/>
      <c r="AY123" s="397"/>
      <c r="AZ123" s="397"/>
      <c r="BA123" s="397"/>
      <c r="BB123" s="397"/>
      <c r="BC123" s="397"/>
      <c r="BD123" s="397"/>
      <c r="BE123" s="397"/>
      <c r="BF123" s="397"/>
      <c r="BG123" s="397"/>
      <c r="BH123" s="397"/>
      <c r="BI123" s="397"/>
      <c r="BJ123" s="397"/>
      <c r="BK123" s="397"/>
      <c r="BL123" s="397"/>
      <c r="BM123" s="397"/>
      <c r="BN123" s="397"/>
      <c r="BO123" s="397"/>
      <c r="BP123" s="397"/>
      <c r="BQ123" s="398"/>
      <c r="BR123" s="398"/>
      <c r="BS123" s="398"/>
      <c r="BT123" s="397"/>
      <c r="BU123" s="397"/>
      <c r="BV123" s="397"/>
      <c r="BW123" s="397"/>
      <c r="BX123" s="397"/>
      <c r="BY123" s="397"/>
    </row>
    <row r="124" spans="3:77" s="512" customFormat="1" ht="13.5" customHeight="1" x14ac:dyDescent="0.2">
      <c r="C124" s="515">
        <v>8</v>
      </c>
      <c r="D124" s="513"/>
      <c r="P124" s="391"/>
      <c r="U124" s="514"/>
      <c r="X124" s="514"/>
      <c r="Y124" s="394"/>
      <c r="AD124" s="391"/>
      <c r="AE124" s="391"/>
      <c r="AF124" s="395"/>
      <c r="AH124" s="395"/>
      <c r="AI124" s="395"/>
      <c r="AJ124" s="396"/>
      <c r="AW124" s="397"/>
      <c r="AX124" s="397"/>
      <c r="AY124" s="397"/>
      <c r="AZ124" s="397"/>
      <c r="BA124" s="397"/>
      <c r="BB124" s="397"/>
      <c r="BC124" s="397"/>
      <c r="BD124" s="397"/>
      <c r="BE124" s="397"/>
      <c r="BF124" s="397"/>
      <c r="BG124" s="397"/>
      <c r="BH124" s="397"/>
      <c r="BI124" s="397"/>
      <c r="BJ124" s="397"/>
      <c r="BK124" s="397"/>
      <c r="BL124" s="397"/>
      <c r="BM124" s="397"/>
      <c r="BN124" s="397"/>
      <c r="BO124" s="397"/>
      <c r="BP124" s="397"/>
      <c r="BQ124" s="398"/>
      <c r="BR124" s="398"/>
      <c r="BS124" s="398"/>
      <c r="BT124" s="397"/>
      <c r="BU124" s="397"/>
      <c r="BV124" s="397"/>
      <c r="BW124" s="397"/>
      <c r="BX124" s="397"/>
      <c r="BY124" s="397"/>
    </row>
    <row r="125" spans="3:77" s="512" customFormat="1" ht="13.5" customHeight="1" x14ac:dyDescent="0.2">
      <c r="C125" s="515">
        <v>9</v>
      </c>
      <c r="D125" s="513"/>
      <c r="P125" s="391"/>
      <c r="U125" s="514"/>
      <c r="X125" s="514"/>
      <c r="Y125" s="394"/>
      <c r="AD125" s="391"/>
      <c r="AE125" s="391"/>
      <c r="AF125" s="395"/>
      <c r="AH125" s="395"/>
      <c r="AI125" s="395"/>
      <c r="AJ125" s="396"/>
      <c r="AW125" s="397"/>
      <c r="AX125" s="397"/>
      <c r="AY125" s="397"/>
      <c r="AZ125" s="397"/>
      <c r="BA125" s="397"/>
      <c r="BB125" s="397"/>
      <c r="BC125" s="397"/>
      <c r="BD125" s="397"/>
      <c r="BE125" s="397"/>
      <c r="BF125" s="397"/>
      <c r="BG125" s="397"/>
      <c r="BH125" s="397"/>
      <c r="BI125" s="397"/>
      <c r="BJ125" s="397"/>
      <c r="BK125" s="397"/>
      <c r="BL125" s="397"/>
      <c r="BM125" s="397"/>
      <c r="BN125" s="397"/>
      <c r="BO125" s="397"/>
      <c r="BP125" s="397"/>
      <c r="BQ125" s="398"/>
      <c r="BR125" s="398"/>
      <c r="BS125" s="398"/>
      <c r="BT125" s="397"/>
      <c r="BU125" s="397"/>
      <c r="BV125" s="397"/>
      <c r="BW125" s="397"/>
      <c r="BX125" s="397"/>
      <c r="BY125" s="397"/>
    </row>
    <row r="126" spans="3:77" s="512" customFormat="1" ht="13.5" customHeight="1" x14ac:dyDescent="0.2">
      <c r="C126" s="515">
        <v>10</v>
      </c>
      <c r="D126" s="513"/>
      <c r="P126" s="391"/>
      <c r="U126" s="514"/>
      <c r="X126" s="514"/>
      <c r="Y126" s="394"/>
      <c r="AD126" s="391"/>
      <c r="AE126" s="391"/>
      <c r="AF126" s="395"/>
      <c r="AH126" s="395"/>
      <c r="AI126" s="395"/>
      <c r="AJ126" s="396"/>
      <c r="AW126" s="397"/>
      <c r="AX126" s="397"/>
      <c r="AY126" s="397"/>
      <c r="AZ126" s="397"/>
      <c r="BA126" s="397"/>
      <c r="BB126" s="397"/>
      <c r="BC126" s="397"/>
      <c r="BD126" s="397"/>
      <c r="BE126" s="397"/>
      <c r="BF126" s="397"/>
      <c r="BG126" s="397"/>
      <c r="BH126" s="397"/>
      <c r="BI126" s="397"/>
      <c r="BJ126" s="397"/>
      <c r="BK126" s="397"/>
      <c r="BL126" s="397"/>
      <c r="BM126" s="397"/>
      <c r="BN126" s="397"/>
      <c r="BO126" s="397"/>
      <c r="BP126" s="397"/>
      <c r="BQ126" s="398"/>
      <c r="BR126" s="398"/>
      <c r="BS126" s="398"/>
      <c r="BT126" s="397"/>
      <c r="BU126" s="397"/>
      <c r="BV126" s="397"/>
      <c r="BW126" s="397"/>
      <c r="BX126" s="397"/>
      <c r="BY126" s="397"/>
    </row>
    <row r="127" spans="3:77" s="512" customFormat="1" ht="13.5" customHeight="1" x14ac:dyDescent="0.2">
      <c r="C127" s="515">
        <v>11</v>
      </c>
      <c r="D127" s="513"/>
      <c r="P127" s="391"/>
      <c r="U127" s="514"/>
      <c r="X127" s="514"/>
      <c r="Y127" s="394"/>
      <c r="AD127" s="391"/>
      <c r="AE127" s="391"/>
      <c r="AF127" s="395"/>
      <c r="AH127" s="395"/>
      <c r="AI127" s="395"/>
      <c r="AJ127" s="396"/>
      <c r="AW127" s="397"/>
      <c r="AX127" s="397"/>
      <c r="AY127" s="397"/>
      <c r="AZ127" s="397"/>
      <c r="BA127" s="397"/>
      <c r="BB127" s="397"/>
      <c r="BC127" s="397"/>
      <c r="BD127" s="397"/>
      <c r="BE127" s="397"/>
      <c r="BF127" s="397"/>
      <c r="BG127" s="397"/>
      <c r="BH127" s="397"/>
      <c r="BI127" s="397"/>
      <c r="BJ127" s="397"/>
      <c r="BK127" s="397"/>
      <c r="BL127" s="397"/>
      <c r="BM127" s="397"/>
      <c r="BN127" s="397"/>
      <c r="BO127" s="397"/>
      <c r="BP127" s="397"/>
      <c r="BQ127" s="398"/>
      <c r="BR127" s="398"/>
      <c r="BS127" s="398"/>
      <c r="BT127" s="397"/>
      <c r="BU127" s="397"/>
      <c r="BV127" s="397"/>
      <c r="BW127" s="397"/>
      <c r="BX127" s="397"/>
      <c r="BY127" s="397"/>
    </row>
    <row r="128" spans="3:77" s="512" customFormat="1" ht="13.5" customHeight="1" x14ac:dyDescent="0.2">
      <c r="C128" s="515">
        <v>12</v>
      </c>
      <c r="D128" s="513"/>
      <c r="P128" s="391"/>
      <c r="U128" s="514"/>
      <c r="X128" s="514"/>
      <c r="Y128" s="394"/>
      <c r="AD128" s="391"/>
      <c r="AE128" s="391"/>
      <c r="AF128" s="395"/>
      <c r="AH128" s="395"/>
      <c r="AI128" s="395"/>
      <c r="AJ128" s="396"/>
      <c r="AW128" s="397"/>
      <c r="AX128" s="397"/>
      <c r="AY128" s="397"/>
      <c r="AZ128" s="397"/>
      <c r="BA128" s="397"/>
      <c r="BB128" s="397"/>
      <c r="BC128" s="397"/>
      <c r="BD128" s="397"/>
      <c r="BE128" s="397"/>
      <c r="BF128" s="397"/>
      <c r="BG128" s="397"/>
      <c r="BH128" s="397"/>
      <c r="BI128" s="397"/>
      <c r="BJ128" s="397"/>
      <c r="BK128" s="397"/>
      <c r="BL128" s="397"/>
      <c r="BM128" s="397"/>
      <c r="BN128" s="397"/>
      <c r="BO128" s="397"/>
      <c r="BP128" s="397"/>
      <c r="BQ128" s="398"/>
      <c r="BR128" s="398"/>
      <c r="BS128" s="398"/>
      <c r="BT128" s="397"/>
      <c r="BU128" s="397"/>
      <c r="BV128" s="397"/>
      <c r="BW128" s="397"/>
      <c r="BX128" s="397"/>
      <c r="BY128" s="397"/>
    </row>
    <row r="129" spans="3:77" s="512" customFormat="1" ht="13.5" customHeight="1" x14ac:dyDescent="0.2">
      <c r="C129" s="515">
        <v>13</v>
      </c>
      <c r="D129" s="513"/>
      <c r="P129" s="391"/>
      <c r="U129" s="514"/>
      <c r="X129" s="514"/>
      <c r="Y129" s="394"/>
      <c r="AD129" s="391"/>
      <c r="AE129" s="391"/>
      <c r="AF129" s="395"/>
      <c r="AH129" s="395"/>
      <c r="AI129" s="395"/>
      <c r="AJ129" s="396"/>
      <c r="AW129" s="397"/>
      <c r="AX129" s="397"/>
      <c r="AY129" s="397"/>
      <c r="AZ129" s="397"/>
      <c r="BA129" s="397"/>
      <c r="BB129" s="397"/>
      <c r="BC129" s="397"/>
      <c r="BD129" s="397"/>
      <c r="BE129" s="397"/>
      <c r="BF129" s="397"/>
      <c r="BG129" s="397"/>
      <c r="BH129" s="397"/>
      <c r="BI129" s="397"/>
      <c r="BJ129" s="397"/>
      <c r="BK129" s="397"/>
      <c r="BL129" s="397"/>
      <c r="BM129" s="397"/>
      <c r="BN129" s="397"/>
      <c r="BO129" s="397"/>
      <c r="BP129" s="397"/>
      <c r="BQ129" s="398"/>
      <c r="BR129" s="398"/>
      <c r="BS129" s="398"/>
      <c r="BT129" s="397"/>
      <c r="BU129" s="397"/>
      <c r="BV129" s="397"/>
      <c r="BW129" s="397"/>
      <c r="BX129" s="397"/>
      <c r="BY129" s="397"/>
    </row>
    <row r="130" spans="3:77" s="512" customFormat="1" ht="13.5" customHeight="1" x14ac:dyDescent="0.2">
      <c r="C130" s="515">
        <v>14</v>
      </c>
      <c r="D130" s="513"/>
      <c r="P130" s="391"/>
      <c r="U130" s="514"/>
      <c r="X130" s="514"/>
      <c r="Y130" s="394"/>
      <c r="AD130" s="391"/>
      <c r="AE130" s="391"/>
      <c r="AF130" s="395"/>
      <c r="AH130" s="395"/>
      <c r="AI130" s="395"/>
      <c r="AJ130" s="396"/>
      <c r="AW130" s="397"/>
      <c r="AX130" s="397"/>
      <c r="AY130" s="397"/>
      <c r="AZ130" s="397"/>
      <c r="BA130" s="397"/>
      <c r="BB130" s="397"/>
      <c r="BC130" s="397"/>
      <c r="BD130" s="397"/>
      <c r="BE130" s="397"/>
      <c r="BF130" s="397"/>
      <c r="BG130" s="397"/>
      <c r="BH130" s="397"/>
      <c r="BI130" s="397"/>
      <c r="BJ130" s="397"/>
      <c r="BK130" s="397"/>
      <c r="BL130" s="397"/>
      <c r="BM130" s="397"/>
      <c r="BN130" s="397"/>
      <c r="BO130" s="397"/>
      <c r="BP130" s="397"/>
      <c r="BQ130" s="398"/>
      <c r="BR130" s="398"/>
      <c r="BS130" s="398"/>
      <c r="BT130" s="397"/>
      <c r="BU130" s="397"/>
      <c r="BV130" s="397"/>
      <c r="BW130" s="397"/>
      <c r="BX130" s="397"/>
      <c r="BY130" s="397"/>
    </row>
    <row r="131" spans="3:77" s="512" customFormat="1" ht="13.5" customHeight="1" x14ac:dyDescent="0.2">
      <c r="C131" s="515">
        <v>15</v>
      </c>
      <c r="D131" s="513"/>
      <c r="P131" s="391"/>
      <c r="U131" s="514"/>
      <c r="X131" s="514"/>
      <c r="Y131" s="394"/>
      <c r="AD131" s="391"/>
      <c r="AE131" s="391"/>
      <c r="AF131" s="395"/>
      <c r="AH131" s="395"/>
      <c r="AI131" s="395"/>
      <c r="AJ131" s="396"/>
      <c r="AW131" s="397"/>
      <c r="AX131" s="397"/>
      <c r="AY131" s="397"/>
      <c r="AZ131" s="397"/>
      <c r="BA131" s="397"/>
      <c r="BB131" s="397"/>
      <c r="BC131" s="397"/>
      <c r="BD131" s="397"/>
      <c r="BE131" s="397"/>
      <c r="BF131" s="397"/>
      <c r="BG131" s="397"/>
      <c r="BH131" s="397"/>
      <c r="BI131" s="397"/>
      <c r="BJ131" s="397"/>
      <c r="BK131" s="397"/>
      <c r="BL131" s="397"/>
      <c r="BM131" s="397"/>
      <c r="BN131" s="397"/>
      <c r="BO131" s="397"/>
      <c r="BP131" s="397"/>
      <c r="BQ131" s="398"/>
      <c r="BR131" s="398"/>
      <c r="BS131" s="398"/>
      <c r="BT131" s="397"/>
      <c r="BU131" s="397"/>
      <c r="BV131" s="397"/>
      <c r="BW131" s="397"/>
      <c r="BX131" s="397"/>
      <c r="BY131" s="397"/>
    </row>
    <row r="132" spans="3:77" s="512" customFormat="1" ht="13.5" customHeight="1" x14ac:dyDescent="0.2">
      <c r="C132" s="515">
        <v>16</v>
      </c>
      <c r="D132" s="513"/>
      <c r="P132" s="391"/>
      <c r="U132" s="514"/>
      <c r="X132" s="514"/>
      <c r="Y132" s="394"/>
      <c r="AD132" s="391"/>
      <c r="AE132" s="391"/>
      <c r="AF132" s="395"/>
      <c r="AH132" s="395"/>
      <c r="AI132" s="395"/>
      <c r="AJ132" s="396"/>
      <c r="AW132" s="397"/>
      <c r="AX132" s="397"/>
      <c r="AY132" s="397"/>
      <c r="AZ132" s="397"/>
      <c r="BA132" s="397"/>
      <c r="BB132" s="397"/>
      <c r="BC132" s="397"/>
      <c r="BD132" s="397"/>
      <c r="BE132" s="397"/>
      <c r="BF132" s="397"/>
      <c r="BG132" s="397"/>
      <c r="BH132" s="397"/>
      <c r="BI132" s="397"/>
      <c r="BJ132" s="397"/>
      <c r="BK132" s="397"/>
      <c r="BL132" s="397"/>
      <c r="BM132" s="397"/>
      <c r="BN132" s="397"/>
      <c r="BO132" s="397"/>
      <c r="BP132" s="397"/>
      <c r="BQ132" s="398"/>
      <c r="BR132" s="398"/>
      <c r="BS132" s="398"/>
      <c r="BT132" s="397"/>
      <c r="BU132" s="397"/>
      <c r="BV132" s="397"/>
      <c r="BW132" s="397"/>
      <c r="BX132" s="397"/>
      <c r="BY132" s="397"/>
    </row>
    <row r="133" spans="3:77" s="512" customFormat="1" ht="13.5" customHeight="1" x14ac:dyDescent="0.2">
      <c r="C133" s="513"/>
      <c r="D133" s="513"/>
      <c r="P133" s="391"/>
      <c r="U133" s="514"/>
      <c r="X133" s="514"/>
      <c r="Y133" s="394"/>
      <c r="AD133" s="391"/>
      <c r="AE133" s="391"/>
      <c r="AF133" s="395"/>
      <c r="AH133" s="395"/>
      <c r="AI133" s="395"/>
      <c r="AJ133" s="396"/>
      <c r="AW133" s="397"/>
      <c r="AX133" s="397"/>
      <c r="AY133" s="397"/>
      <c r="AZ133" s="397"/>
      <c r="BA133" s="397"/>
      <c r="BB133" s="397"/>
      <c r="BC133" s="397"/>
      <c r="BD133" s="397"/>
      <c r="BE133" s="397"/>
      <c r="BF133" s="397"/>
      <c r="BG133" s="397"/>
      <c r="BH133" s="397"/>
      <c r="BI133" s="397"/>
      <c r="BJ133" s="397"/>
      <c r="BK133" s="397"/>
      <c r="BL133" s="397"/>
      <c r="BM133" s="397"/>
      <c r="BN133" s="397"/>
      <c r="BO133" s="397"/>
      <c r="BP133" s="397"/>
      <c r="BQ133" s="398"/>
      <c r="BR133" s="398"/>
      <c r="BS133" s="398"/>
      <c r="BT133" s="397"/>
      <c r="BU133" s="397"/>
      <c r="BV133" s="397"/>
      <c r="BW133" s="397"/>
      <c r="BX133" s="397"/>
      <c r="BY133" s="397"/>
    </row>
    <row r="134" spans="3:77" s="512" customFormat="1" ht="13.5" customHeight="1" x14ac:dyDescent="0.2">
      <c r="C134" s="513"/>
      <c r="D134" s="513"/>
      <c r="P134" s="391"/>
      <c r="U134" s="514"/>
      <c r="X134" s="514"/>
      <c r="Y134" s="394"/>
      <c r="AD134" s="391"/>
      <c r="AE134" s="391"/>
      <c r="AF134" s="395"/>
      <c r="AH134" s="395"/>
      <c r="AI134" s="395"/>
      <c r="AJ134" s="396"/>
      <c r="AW134" s="397"/>
      <c r="AX134" s="397"/>
      <c r="AY134" s="397"/>
      <c r="AZ134" s="397"/>
      <c r="BA134" s="397"/>
      <c r="BB134" s="397"/>
      <c r="BC134" s="397"/>
      <c r="BD134" s="397"/>
      <c r="BE134" s="397"/>
      <c r="BF134" s="397"/>
      <c r="BG134" s="397"/>
      <c r="BH134" s="397"/>
      <c r="BI134" s="397"/>
      <c r="BJ134" s="397"/>
      <c r="BK134" s="397"/>
      <c r="BL134" s="397"/>
      <c r="BM134" s="397"/>
      <c r="BN134" s="397"/>
      <c r="BO134" s="397"/>
      <c r="BP134" s="397"/>
      <c r="BQ134" s="398"/>
      <c r="BR134" s="398"/>
      <c r="BS134" s="398"/>
      <c r="BT134" s="397"/>
      <c r="BU134" s="397"/>
      <c r="BV134" s="397"/>
      <c r="BW134" s="397"/>
      <c r="BX134" s="397"/>
      <c r="BY134" s="397"/>
    </row>
    <row r="135" spans="3:77" s="391" customFormat="1" ht="13.5" customHeight="1" x14ac:dyDescent="0.2">
      <c r="D135" s="392"/>
      <c r="U135" s="393"/>
      <c r="X135" s="393"/>
      <c r="Y135" s="394"/>
      <c r="AF135" s="395"/>
      <c r="AH135" s="395"/>
      <c r="AI135" s="395"/>
      <c r="AJ135" s="396"/>
      <c r="AW135" s="397"/>
      <c r="AX135" s="397"/>
      <c r="AY135" s="397"/>
      <c r="AZ135" s="397"/>
      <c r="BA135" s="397"/>
      <c r="BB135" s="397"/>
      <c r="BC135" s="397"/>
      <c r="BD135" s="397"/>
      <c r="BE135" s="397"/>
      <c r="BF135" s="397"/>
      <c r="BG135" s="397"/>
      <c r="BH135" s="397"/>
      <c r="BI135" s="397"/>
      <c r="BJ135" s="397"/>
      <c r="BK135" s="397"/>
      <c r="BL135" s="397"/>
      <c r="BM135" s="397"/>
      <c r="BN135" s="397"/>
      <c r="BO135" s="397"/>
      <c r="BP135" s="397"/>
      <c r="BQ135" s="398"/>
      <c r="BR135" s="398"/>
      <c r="BS135" s="398"/>
      <c r="BT135" s="397"/>
      <c r="BU135" s="397"/>
      <c r="BV135" s="397"/>
      <c r="BW135" s="397"/>
      <c r="BX135" s="397"/>
      <c r="BY135" s="397"/>
    </row>
    <row r="136" spans="3:77" s="391" customFormat="1" ht="13.5" customHeight="1" x14ac:dyDescent="0.2">
      <c r="D136" s="392"/>
      <c r="U136" s="393"/>
      <c r="X136" s="393"/>
      <c r="Y136" s="394"/>
      <c r="AF136" s="395"/>
      <c r="AH136" s="395"/>
      <c r="AI136" s="395"/>
      <c r="AJ136" s="396"/>
      <c r="AW136" s="397"/>
      <c r="AX136" s="397"/>
      <c r="AY136" s="397"/>
      <c r="AZ136" s="397"/>
      <c r="BA136" s="397"/>
      <c r="BB136" s="397"/>
      <c r="BC136" s="397"/>
      <c r="BD136" s="397"/>
      <c r="BE136" s="397"/>
      <c r="BF136" s="397"/>
      <c r="BG136" s="397"/>
      <c r="BH136" s="397"/>
      <c r="BI136" s="397"/>
      <c r="BJ136" s="397"/>
      <c r="BK136" s="397"/>
      <c r="BL136" s="397"/>
      <c r="BM136" s="397"/>
      <c r="BN136" s="397"/>
      <c r="BO136" s="397"/>
      <c r="BP136" s="397"/>
      <c r="BQ136" s="398"/>
      <c r="BR136" s="398"/>
      <c r="BS136" s="398"/>
      <c r="BT136" s="397"/>
      <c r="BU136" s="397"/>
      <c r="BV136" s="397"/>
      <c r="BW136" s="397"/>
      <c r="BX136" s="397"/>
      <c r="BY136" s="397"/>
    </row>
    <row r="137" spans="3:77" s="391" customFormat="1" ht="13.5" customHeight="1" x14ac:dyDescent="0.2">
      <c r="D137" s="392"/>
      <c r="U137" s="393"/>
      <c r="X137" s="393"/>
      <c r="Y137" s="394"/>
      <c r="AF137" s="395"/>
      <c r="AH137" s="395"/>
      <c r="AI137" s="395"/>
      <c r="AJ137" s="396"/>
      <c r="AW137" s="397"/>
      <c r="AX137" s="397"/>
      <c r="AY137" s="397"/>
      <c r="AZ137" s="397"/>
      <c r="BA137" s="397"/>
      <c r="BB137" s="397"/>
      <c r="BC137" s="397"/>
      <c r="BD137" s="397"/>
      <c r="BE137" s="397"/>
      <c r="BF137" s="397"/>
      <c r="BG137" s="397"/>
      <c r="BH137" s="397"/>
      <c r="BI137" s="397"/>
      <c r="BJ137" s="397"/>
      <c r="BK137" s="397"/>
      <c r="BL137" s="397"/>
      <c r="BM137" s="397"/>
      <c r="BN137" s="397"/>
      <c r="BO137" s="397"/>
      <c r="BP137" s="397"/>
      <c r="BQ137" s="398"/>
      <c r="BR137" s="398"/>
      <c r="BS137" s="398"/>
      <c r="BT137" s="397"/>
      <c r="BU137" s="397"/>
      <c r="BV137" s="397"/>
      <c r="BW137" s="397"/>
      <c r="BX137" s="397"/>
      <c r="BY137" s="397"/>
    </row>
    <row r="138" spans="3:77" s="391" customFormat="1" ht="13.5" customHeight="1" x14ac:dyDescent="0.2">
      <c r="D138" s="392"/>
      <c r="U138" s="393"/>
      <c r="X138" s="393"/>
      <c r="Y138" s="394"/>
      <c r="AF138" s="395"/>
      <c r="AH138" s="395"/>
      <c r="AI138" s="395"/>
      <c r="AJ138" s="396"/>
      <c r="AW138" s="397"/>
      <c r="AX138" s="397"/>
      <c r="AY138" s="397"/>
      <c r="AZ138" s="397"/>
      <c r="BA138" s="397"/>
      <c r="BB138" s="397"/>
      <c r="BC138" s="397"/>
      <c r="BD138" s="397"/>
      <c r="BE138" s="397"/>
      <c r="BF138" s="397"/>
      <c r="BG138" s="397"/>
      <c r="BH138" s="397"/>
      <c r="BI138" s="397"/>
      <c r="BJ138" s="397"/>
      <c r="BK138" s="397"/>
      <c r="BL138" s="397"/>
      <c r="BM138" s="397"/>
      <c r="BN138" s="397"/>
      <c r="BO138" s="397"/>
      <c r="BP138" s="397"/>
      <c r="BQ138" s="398"/>
      <c r="BR138" s="398"/>
      <c r="BS138" s="398"/>
      <c r="BT138" s="397"/>
      <c r="BU138" s="397"/>
      <c r="BV138" s="397"/>
      <c r="BW138" s="397"/>
      <c r="BX138" s="397"/>
      <c r="BY138" s="397"/>
    </row>
    <row r="139" spans="3:77" s="391" customFormat="1" ht="13.5" customHeight="1" x14ac:dyDescent="0.2">
      <c r="D139" s="392"/>
      <c r="U139" s="393"/>
      <c r="X139" s="393"/>
      <c r="Y139" s="394"/>
      <c r="AF139" s="395"/>
      <c r="AH139" s="395"/>
      <c r="AI139" s="395"/>
      <c r="AJ139" s="396"/>
      <c r="AW139" s="397"/>
      <c r="AX139" s="397"/>
      <c r="AY139" s="397"/>
      <c r="AZ139" s="397"/>
      <c r="BA139" s="397"/>
      <c r="BB139" s="397"/>
      <c r="BC139" s="397"/>
      <c r="BD139" s="397"/>
      <c r="BE139" s="397"/>
      <c r="BF139" s="397"/>
      <c r="BG139" s="397"/>
      <c r="BH139" s="397"/>
      <c r="BI139" s="397"/>
      <c r="BJ139" s="397"/>
      <c r="BK139" s="397"/>
      <c r="BL139" s="397"/>
      <c r="BM139" s="397"/>
      <c r="BN139" s="397"/>
      <c r="BO139" s="397"/>
      <c r="BP139" s="397"/>
      <c r="BQ139" s="398"/>
      <c r="BR139" s="398"/>
      <c r="BS139" s="398"/>
      <c r="BT139" s="397"/>
      <c r="BU139" s="397"/>
      <c r="BV139" s="397"/>
      <c r="BW139" s="397"/>
      <c r="BX139" s="397"/>
      <c r="BY139" s="397"/>
    </row>
    <row r="140" spans="3:77" s="391" customFormat="1" ht="13.5" customHeight="1" x14ac:dyDescent="0.2">
      <c r="D140" s="392"/>
      <c r="U140" s="393"/>
      <c r="X140" s="393"/>
      <c r="Y140" s="394"/>
      <c r="AF140" s="395"/>
      <c r="AH140" s="395"/>
      <c r="AI140" s="395"/>
      <c r="AJ140" s="396"/>
      <c r="AW140" s="397"/>
      <c r="AX140" s="397"/>
      <c r="AY140" s="397"/>
      <c r="AZ140" s="397"/>
      <c r="BA140" s="397"/>
      <c r="BB140" s="397"/>
      <c r="BC140" s="397"/>
      <c r="BD140" s="397"/>
      <c r="BE140" s="397"/>
      <c r="BF140" s="397"/>
      <c r="BG140" s="397"/>
      <c r="BH140" s="397"/>
      <c r="BI140" s="397"/>
      <c r="BJ140" s="397"/>
      <c r="BK140" s="397"/>
      <c r="BL140" s="397"/>
      <c r="BM140" s="397"/>
      <c r="BN140" s="397"/>
      <c r="BO140" s="397"/>
      <c r="BP140" s="397"/>
      <c r="BQ140" s="398"/>
      <c r="BR140" s="398"/>
      <c r="BS140" s="398"/>
      <c r="BT140" s="397"/>
      <c r="BU140" s="397"/>
      <c r="BV140" s="397"/>
      <c r="BW140" s="397"/>
      <c r="BX140" s="397"/>
      <c r="BY140" s="397"/>
    </row>
    <row r="141" spans="3:77" s="391" customFormat="1" ht="13.5" customHeight="1" x14ac:dyDescent="0.2">
      <c r="D141" s="392"/>
      <c r="U141" s="393"/>
      <c r="X141" s="393"/>
      <c r="Y141" s="394"/>
      <c r="AF141" s="395"/>
      <c r="AH141" s="395"/>
      <c r="AI141" s="395"/>
      <c r="AJ141" s="396"/>
      <c r="AW141" s="397"/>
      <c r="AX141" s="397"/>
      <c r="AY141" s="397"/>
      <c r="AZ141" s="397"/>
      <c r="BA141" s="397"/>
      <c r="BB141" s="397"/>
      <c r="BC141" s="397"/>
      <c r="BD141" s="397"/>
      <c r="BE141" s="397"/>
      <c r="BF141" s="397"/>
      <c r="BG141" s="397"/>
      <c r="BH141" s="397"/>
      <c r="BI141" s="397"/>
      <c r="BJ141" s="397"/>
      <c r="BK141" s="397"/>
      <c r="BL141" s="397"/>
      <c r="BM141" s="397"/>
      <c r="BN141" s="397"/>
      <c r="BO141" s="397"/>
      <c r="BP141" s="397"/>
      <c r="BQ141" s="398"/>
      <c r="BR141" s="398"/>
      <c r="BS141" s="398"/>
      <c r="BT141" s="397"/>
      <c r="BU141" s="397"/>
      <c r="BV141" s="397"/>
      <c r="BW141" s="397"/>
      <c r="BX141" s="397"/>
      <c r="BY141" s="397"/>
    </row>
    <row r="142" spans="3:77" s="391" customFormat="1" ht="13.5" customHeight="1" x14ac:dyDescent="0.2">
      <c r="D142" s="392"/>
      <c r="U142" s="393"/>
      <c r="X142" s="393"/>
      <c r="Y142" s="394"/>
      <c r="AF142" s="395"/>
      <c r="AH142" s="395"/>
      <c r="AI142" s="395"/>
      <c r="AJ142" s="396"/>
      <c r="AW142" s="397"/>
      <c r="AX142" s="397"/>
      <c r="AY142" s="397"/>
      <c r="AZ142" s="397"/>
      <c r="BA142" s="397"/>
      <c r="BB142" s="397"/>
      <c r="BC142" s="397"/>
      <c r="BD142" s="397"/>
      <c r="BE142" s="397"/>
      <c r="BF142" s="397"/>
      <c r="BG142" s="397"/>
      <c r="BH142" s="397"/>
      <c r="BI142" s="397"/>
      <c r="BJ142" s="397"/>
      <c r="BK142" s="397"/>
      <c r="BL142" s="397"/>
      <c r="BM142" s="397"/>
      <c r="BN142" s="397"/>
      <c r="BO142" s="397"/>
      <c r="BP142" s="397"/>
      <c r="BQ142" s="398"/>
      <c r="BR142" s="398"/>
      <c r="BS142" s="398"/>
      <c r="BT142" s="397"/>
      <c r="BU142" s="397"/>
      <c r="BV142" s="397"/>
      <c r="BW142" s="397"/>
      <c r="BX142" s="397"/>
      <c r="BY142" s="397"/>
    </row>
    <row r="143" spans="3:77" s="391" customFormat="1" ht="13.5" customHeight="1" x14ac:dyDescent="0.2">
      <c r="D143" s="392"/>
      <c r="U143" s="393"/>
      <c r="X143" s="393"/>
      <c r="Y143" s="394"/>
      <c r="AF143" s="395"/>
      <c r="AH143" s="395"/>
      <c r="AI143" s="395"/>
      <c r="AJ143" s="396"/>
      <c r="AW143" s="397"/>
      <c r="AX143" s="397"/>
      <c r="AY143" s="397"/>
      <c r="AZ143" s="397"/>
      <c r="BA143" s="397"/>
      <c r="BB143" s="397"/>
      <c r="BC143" s="397"/>
      <c r="BD143" s="397"/>
      <c r="BE143" s="397"/>
      <c r="BF143" s="397"/>
      <c r="BG143" s="397"/>
      <c r="BH143" s="397"/>
      <c r="BI143" s="397"/>
      <c r="BJ143" s="397"/>
      <c r="BK143" s="397"/>
      <c r="BL143" s="397"/>
      <c r="BM143" s="397"/>
      <c r="BN143" s="397"/>
      <c r="BO143" s="397"/>
      <c r="BP143" s="397"/>
      <c r="BQ143" s="398"/>
      <c r="BR143" s="398"/>
      <c r="BS143" s="398"/>
      <c r="BT143" s="397"/>
      <c r="BU143" s="397"/>
      <c r="BV143" s="397"/>
      <c r="BW143" s="397"/>
      <c r="BX143" s="397"/>
      <c r="BY143" s="397"/>
    </row>
    <row r="144" spans="3:77" s="391" customFormat="1" ht="13.5" customHeight="1" x14ac:dyDescent="0.2">
      <c r="D144" s="392"/>
      <c r="U144" s="393"/>
      <c r="X144" s="393"/>
      <c r="Y144" s="394"/>
      <c r="AF144" s="395"/>
      <c r="AH144" s="395"/>
      <c r="AI144" s="395"/>
      <c r="AJ144" s="396"/>
      <c r="AW144" s="397"/>
      <c r="AX144" s="397"/>
      <c r="AY144" s="397"/>
      <c r="AZ144" s="397"/>
      <c r="BA144" s="397"/>
      <c r="BB144" s="397"/>
      <c r="BC144" s="397"/>
      <c r="BD144" s="397"/>
      <c r="BE144" s="397"/>
      <c r="BF144" s="397"/>
      <c r="BG144" s="397"/>
      <c r="BH144" s="397"/>
      <c r="BI144" s="397"/>
      <c r="BJ144" s="397"/>
      <c r="BK144" s="397"/>
      <c r="BL144" s="397"/>
      <c r="BM144" s="397"/>
      <c r="BN144" s="397"/>
      <c r="BO144" s="397"/>
      <c r="BP144" s="397"/>
      <c r="BQ144" s="398"/>
      <c r="BR144" s="398"/>
      <c r="BS144" s="398"/>
      <c r="BT144" s="397"/>
      <c r="BU144" s="397"/>
      <c r="BV144" s="397"/>
      <c r="BW144" s="397"/>
      <c r="BX144" s="397"/>
      <c r="BY144" s="397"/>
    </row>
    <row r="145" spans="4:77" s="391" customFormat="1" ht="13.5" customHeight="1" x14ac:dyDescent="0.2">
      <c r="D145" s="392"/>
      <c r="U145" s="393"/>
      <c r="X145" s="393"/>
      <c r="Y145" s="394"/>
      <c r="AF145" s="395"/>
      <c r="AH145" s="395"/>
      <c r="AI145" s="395"/>
      <c r="AJ145" s="396"/>
      <c r="AW145" s="397"/>
      <c r="AX145" s="397"/>
      <c r="AY145" s="397"/>
      <c r="AZ145" s="397"/>
      <c r="BA145" s="397"/>
      <c r="BB145" s="397"/>
      <c r="BC145" s="397"/>
      <c r="BD145" s="397"/>
      <c r="BE145" s="397"/>
      <c r="BF145" s="397"/>
      <c r="BG145" s="397"/>
      <c r="BH145" s="397"/>
      <c r="BI145" s="397"/>
      <c r="BJ145" s="397"/>
      <c r="BK145" s="397"/>
      <c r="BL145" s="397"/>
      <c r="BM145" s="397"/>
      <c r="BN145" s="397"/>
      <c r="BO145" s="397"/>
      <c r="BP145" s="397"/>
      <c r="BQ145" s="398"/>
      <c r="BR145" s="398"/>
      <c r="BS145" s="398"/>
      <c r="BT145" s="397"/>
      <c r="BU145" s="397"/>
      <c r="BV145" s="397"/>
      <c r="BW145" s="397"/>
      <c r="BX145" s="397"/>
      <c r="BY145" s="397"/>
    </row>
    <row r="146" spans="4:77" s="391" customFormat="1" ht="13.5" customHeight="1" x14ac:dyDescent="0.2">
      <c r="D146" s="392"/>
      <c r="U146" s="393"/>
      <c r="X146" s="393"/>
      <c r="Y146" s="394"/>
      <c r="AF146" s="395"/>
      <c r="AH146" s="395"/>
      <c r="AI146" s="395"/>
      <c r="AJ146" s="396"/>
      <c r="AW146" s="397"/>
      <c r="AX146" s="397"/>
      <c r="AY146" s="397"/>
      <c r="AZ146" s="397"/>
      <c r="BA146" s="397"/>
      <c r="BB146" s="397"/>
      <c r="BC146" s="397"/>
      <c r="BD146" s="397"/>
      <c r="BE146" s="397"/>
      <c r="BF146" s="397"/>
      <c r="BG146" s="397"/>
      <c r="BH146" s="397"/>
      <c r="BI146" s="397"/>
      <c r="BJ146" s="397"/>
      <c r="BK146" s="397"/>
      <c r="BL146" s="397"/>
      <c r="BM146" s="397"/>
      <c r="BN146" s="397"/>
      <c r="BO146" s="397"/>
      <c r="BP146" s="397"/>
      <c r="BQ146" s="398"/>
      <c r="BR146" s="398"/>
      <c r="BS146" s="398"/>
      <c r="BT146" s="397"/>
      <c r="BU146" s="397"/>
      <c r="BV146" s="397"/>
      <c r="BW146" s="397"/>
      <c r="BX146" s="397"/>
      <c r="BY146" s="397"/>
    </row>
    <row r="147" spans="4:77" s="391" customFormat="1" ht="13.5" customHeight="1" x14ac:dyDescent="0.2">
      <c r="D147" s="392" t="b">
        <v>0</v>
      </c>
      <c r="U147" s="393"/>
      <c r="X147" s="393"/>
      <c r="Y147" s="394"/>
      <c r="AF147" s="395"/>
      <c r="AH147" s="395"/>
      <c r="AI147" s="395"/>
      <c r="AJ147" s="396"/>
      <c r="AW147" s="397"/>
      <c r="AX147" s="397"/>
      <c r="AY147" s="397"/>
      <c r="AZ147" s="397"/>
      <c r="BA147" s="397"/>
      <c r="BB147" s="397"/>
      <c r="BC147" s="397"/>
      <c r="BD147" s="397"/>
      <c r="BE147" s="397"/>
      <c r="BF147" s="397"/>
      <c r="BG147" s="397"/>
      <c r="BH147" s="397"/>
      <c r="BI147" s="397"/>
      <c r="BJ147" s="397"/>
      <c r="BK147" s="397"/>
      <c r="BL147" s="397"/>
      <c r="BM147" s="397"/>
      <c r="BN147" s="397"/>
      <c r="BO147" s="397"/>
      <c r="BP147" s="397"/>
      <c r="BQ147" s="398"/>
      <c r="BR147" s="398"/>
      <c r="BS147" s="398"/>
      <c r="BT147" s="397"/>
      <c r="BU147" s="397"/>
      <c r="BV147" s="397"/>
      <c r="BW147" s="397"/>
      <c r="BX147" s="397"/>
      <c r="BY147" s="397"/>
    </row>
    <row r="148" spans="4:77" s="391" customFormat="1" ht="13.5" customHeight="1" x14ac:dyDescent="0.2">
      <c r="D148" s="392"/>
      <c r="U148" s="393"/>
      <c r="X148" s="393"/>
      <c r="Y148" s="394"/>
      <c r="AF148" s="395"/>
      <c r="AH148" s="395"/>
      <c r="AI148" s="395"/>
      <c r="AJ148" s="396"/>
      <c r="AW148" s="397"/>
      <c r="AX148" s="397"/>
      <c r="AY148" s="397"/>
      <c r="AZ148" s="397"/>
      <c r="BA148" s="397"/>
      <c r="BB148" s="397"/>
      <c r="BC148" s="397"/>
      <c r="BD148" s="397"/>
      <c r="BE148" s="397"/>
      <c r="BF148" s="397"/>
      <c r="BG148" s="397"/>
      <c r="BH148" s="397"/>
      <c r="BI148" s="397"/>
      <c r="BJ148" s="397"/>
      <c r="BK148" s="397"/>
      <c r="BL148" s="397"/>
      <c r="BM148" s="397"/>
      <c r="BN148" s="397"/>
      <c r="BO148" s="397"/>
      <c r="BP148" s="397"/>
      <c r="BQ148" s="398"/>
      <c r="BR148" s="398"/>
      <c r="BS148" s="398"/>
      <c r="BT148" s="397"/>
      <c r="BU148" s="397"/>
      <c r="BV148" s="397"/>
      <c r="BW148" s="397"/>
      <c r="BX148" s="397"/>
      <c r="BY148" s="397"/>
    </row>
    <row r="149" spans="4:77" s="391" customFormat="1" ht="13.5" customHeight="1" x14ac:dyDescent="0.2">
      <c r="D149" s="392"/>
      <c r="U149" s="393"/>
      <c r="X149" s="393"/>
      <c r="Y149" s="394"/>
      <c r="AF149" s="395"/>
      <c r="AH149" s="395"/>
      <c r="AI149" s="395"/>
      <c r="AJ149" s="396"/>
      <c r="AW149" s="397"/>
      <c r="AX149" s="397"/>
      <c r="AY149" s="397"/>
      <c r="AZ149" s="397"/>
      <c r="BA149" s="397"/>
      <c r="BB149" s="397"/>
      <c r="BC149" s="397"/>
      <c r="BD149" s="397"/>
      <c r="BE149" s="397"/>
      <c r="BF149" s="397"/>
      <c r="BG149" s="397"/>
      <c r="BH149" s="397"/>
      <c r="BI149" s="397"/>
      <c r="BJ149" s="397"/>
      <c r="BK149" s="397"/>
      <c r="BL149" s="397"/>
      <c r="BM149" s="397"/>
      <c r="BN149" s="397"/>
      <c r="BO149" s="397"/>
      <c r="BP149" s="397"/>
      <c r="BQ149" s="398"/>
      <c r="BR149" s="398"/>
      <c r="BS149" s="398"/>
      <c r="BT149" s="397"/>
      <c r="BU149" s="397"/>
      <c r="BV149" s="397"/>
      <c r="BW149" s="397"/>
      <c r="BX149" s="397"/>
      <c r="BY149" s="397"/>
    </row>
  </sheetData>
  <sheetProtection algorithmName="SHA-512" hashValue="Hqsbm0npypD26ttw5g7tH0HVI0yo3bHMWxBcckWSG++X2SqyxkwGlKQzyqSHVd/dQrRnEzOPWU/FWqkizf0LeA==" saltValue="S7oR1eXvfDPG03jUPZxHag==" spinCount="100000" sheet="1" objects="1" scenarios="1"/>
  <mergeCells count="4">
    <mergeCell ref="F8:G8"/>
    <mergeCell ref="AJ8:AJ10"/>
    <mergeCell ref="AL8:AL10"/>
    <mergeCell ref="AN8:AO8"/>
  </mergeCells>
  <dataValidations count="6">
    <dataValidation type="list" allowBlank="1" showInputMessage="1" showErrorMessage="1" sqref="F13:F86" xr:uid="{00000000-0002-0000-0200-000000000000}">
      <formula1>$C$90:$C$132</formula1>
    </dataValidation>
    <dataValidation type="list" allowBlank="1" showInputMessage="1" showErrorMessage="1" sqref="J12:L86" xr:uid="{00000000-0002-0000-0200-000001000000}">
      <formula1>"j,n"</formula1>
    </dataValidation>
    <dataValidation type="list" allowBlank="1" showInputMessage="1" showErrorMessage="1" sqref="BA14:BA86" xr:uid="{00000000-0002-0000-0200-000002000000}">
      <formula1>"L10,L11,L12,L13"</formula1>
    </dataValidation>
    <dataValidation type="list" allowBlank="1" showInputMessage="1" showErrorMessage="1" sqref="F12" xr:uid="{00000000-0002-0000-0200-000003000000}">
      <formula1>$C$90:$C$115</formula1>
    </dataValidation>
    <dataValidation type="list" allowBlank="1" showInputMessage="1" showErrorMessage="1" sqref="BA12:BA13" xr:uid="{00000000-0002-0000-0200-000004000000}">
      <formula1>"LB,LC,LD,LE"</formula1>
    </dataValidation>
    <dataValidation type="list" allowBlank="1" showInputMessage="1" showErrorMessage="1" sqref="I12:I86" xr:uid="{00000000-0002-0000-0200-000005000000}">
      <formula1>"leraar,directie,OOP S9,OOP &lt;S9"</formula1>
    </dataValidation>
  </dataValidations>
  <pageMargins left="0.70866141732283472" right="0.70866141732283472" top="0.74803149606299213" bottom="0.74803149606299213" header="0.31496062992125984" footer="0.31496062992125984"/>
  <pageSetup paperSize="9" scale="3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G28"/>
  <sheetViews>
    <sheetView workbookViewId="0">
      <selection sqref="A1:XFD1048576"/>
    </sheetView>
  </sheetViews>
  <sheetFormatPr defaultRowHeight="12.75" x14ac:dyDescent="0.2"/>
  <cols>
    <col min="2" max="10" width="12" customWidth="1"/>
  </cols>
  <sheetData>
    <row r="3" spans="2:7" ht="15" x14ac:dyDescent="0.2">
      <c r="B3" s="379" t="s">
        <v>312</v>
      </c>
      <c r="C3" s="380"/>
      <c r="D3" s="380"/>
      <c r="E3" s="380"/>
      <c r="F3" s="380"/>
      <c r="G3" s="380"/>
    </row>
    <row r="4" spans="2:7" ht="15" x14ac:dyDescent="0.2">
      <c r="B4" s="381" t="s">
        <v>329</v>
      </c>
      <c r="C4" s="380"/>
      <c r="D4" s="380"/>
      <c r="E4" s="380"/>
      <c r="F4" s="380"/>
      <c r="G4" s="380"/>
    </row>
    <row r="5" spans="2:7" ht="15" x14ac:dyDescent="0.2">
      <c r="B5" s="381" t="s">
        <v>314</v>
      </c>
      <c r="C5" s="380"/>
      <c r="D5" s="380"/>
      <c r="E5" s="380"/>
      <c r="F5" s="380"/>
      <c r="G5" s="380"/>
    </row>
    <row r="6" spans="2:7" ht="15" x14ac:dyDescent="0.2">
      <c r="B6" s="381" t="s">
        <v>315</v>
      </c>
      <c r="C6" s="380"/>
      <c r="D6" s="380"/>
      <c r="E6" s="380"/>
      <c r="F6" s="380"/>
      <c r="G6" s="380"/>
    </row>
    <row r="7" spans="2:7" x14ac:dyDescent="0.2">
      <c r="B7" s="380" t="s">
        <v>316</v>
      </c>
      <c r="C7" s="380"/>
      <c r="D7" s="380"/>
      <c r="E7" s="380"/>
      <c r="F7" s="380"/>
      <c r="G7" s="380"/>
    </row>
    <row r="8" spans="2:7" x14ac:dyDescent="0.2">
      <c r="B8" s="380" t="s">
        <v>317</v>
      </c>
      <c r="C8" s="380"/>
      <c r="D8" s="380"/>
      <c r="E8" s="380"/>
      <c r="F8" s="380"/>
      <c r="G8" s="380"/>
    </row>
    <row r="9" spans="2:7" ht="15" x14ac:dyDescent="0.2">
      <c r="B9" s="379" t="s">
        <v>313</v>
      </c>
      <c r="C9" s="380"/>
      <c r="D9" s="380"/>
      <c r="E9" s="380"/>
      <c r="F9" s="380"/>
      <c r="G9" s="380"/>
    </row>
    <row r="10" spans="2:7" ht="15" x14ac:dyDescent="0.2">
      <c r="B10" s="382" t="s">
        <v>318</v>
      </c>
      <c r="C10" s="380"/>
      <c r="D10" s="380"/>
      <c r="E10" s="380"/>
      <c r="F10" s="380"/>
      <c r="G10" s="380"/>
    </row>
    <row r="11" spans="2:7" ht="15" x14ac:dyDescent="0.2">
      <c r="B11" s="382" t="s">
        <v>319</v>
      </c>
      <c r="C11" s="380"/>
      <c r="D11" s="380"/>
      <c r="E11" s="380"/>
      <c r="F11" s="380"/>
      <c r="G11" s="380"/>
    </row>
    <row r="12" spans="2:7" ht="15" x14ac:dyDescent="0.2">
      <c r="B12" s="382" t="s">
        <v>320</v>
      </c>
      <c r="C12" s="380"/>
      <c r="D12" s="380"/>
      <c r="E12" s="380"/>
      <c r="F12" s="380"/>
      <c r="G12" s="380"/>
    </row>
    <row r="13" spans="2:7" ht="15" x14ac:dyDescent="0.2">
      <c r="B13" s="381" t="s">
        <v>330</v>
      </c>
      <c r="C13" s="380"/>
      <c r="D13" s="380"/>
      <c r="E13" s="380"/>
      <c r="F13" s="380"/>
      <c r="G13" s="380"/>
    </row>
    <row r="14" spans="2:7" ht="15" x14ac:dyDescent="0.2">
      <c r="B14" s="381" t="s">
        <v>321</v>
      </c>
      <c r="C14" s="380"/>
      <c r="D14" s="380"/>
      <c r="E14" s="380"/>
      <c r="F14" s="380"/>
      <c r="G14" s="380"/>
    </row>
    <row r="15" spans="2:7" ht="15" x14ac:dyDescent="0.2">
      <c r="B15" s="381" t="s">
        <v>331</v>
      </c>
      <c r="C15" s="380"/>
      <c r="D15" s="380"/>
      <c r="E15" s="380"/>
      <c r="F15" s="380"/>
      <c r="G15" s="380"/>
    </row>
    <row r="16" spans="2:7" ht="15" x14ac:dyDescent="0.2">
      <c r="B16" s="381" t="s">
        <v>332</v>
      </c>
      <c r="C16" s="380"/>
      <c r="D16" s="380"/>
      <c r="E16" s="380"/>
      <c r="F16" s="380"/>
      <c r="G16" s="380"/>
    </row>
    <row r="17" spans="2:7" ht="15" x14ac:dyDescent="0.2">
      <c r="B17" s="381" t="s">
        <v>322</v>
      </c>
      <c r="C17" s="380"/>
      <c r="D17" s="380"/>
      <c r="E17" s="380"/>
      <c r="F17" s="380"/>
      <c r="G17" s="380"/>
    </row>
    <row r="18" spans="2:7" ht="15" x14ac:dyDescent="0.2">
      <c r="B18" s="381" t="s">
        <v>333</v>
      </c>
      <c r="C18" s="380"/>
      <c r="D18" s="380"/>
      <c r="E18" s="380"/>
      <c r="F18" s="380"/>
      <c r="G18" s="380"/>
    </row>
    <row r="19" spans="2:7" ht="15" x14ac:dyDescent="0.2">
      <c r="B19" s="381" t="s">
        <v>334</v>
      </c>
      <c r="C19" s="380"/>
      <c r="D19" s="380"/>
      <c r="E19" s="380"/>
      <c r="F19" s="380"/>
      <c r="G19" s="380"/>
    </row>
    <row r="20" spans="2:7" ht="15" x14ac:dyDescent="0.2">
      <c r="B20" s="382"/>
      <c r="C20" s="380"/>
      <c r="D20" s="380"/>
      <c r="E20" s="380"/>
      <c r="F20" s="380"/>
      <c r="G20" s="380"/>
    </row>
    <row r="21" spans="2:7" ht="17.25" x14ac:dyDescent="0.2">
      <c r="B21" s="383" t="s">
        <v>335</v>
      </c>
      <c r="C21" s="380"/>
      <c r="D21" s="380"/>
      <c r="E21" s="380"/>
      <c r="F21" s="380"/>
      <c r="G21" s="380"/>
    </row>
    <row r="22" spans="2:7" x14ac:dyDescent="0.2">
      <c r="B22" s="380" t="s">
        <v>323</v>
      </c>
      <c r="C22" s="380"/>
      <c r="D22" s="380"/>
      <c r="E22" s="380"/>
      <c r="F22" s="380"/>
      <c r="G22" s="380"/>
    </row>
    <row r="23" spans="2:7" x14ac:dyDescent="0.2">
      <c r="B23" s="380" t="s">
        <v>324</v>
      </c>
      <c r="C23" s="380"/>
      <c r="D23" s="380"/>
      <c r="E23" s="380"/>
      <c r="F23" s="380"/>
      <c r="G23" s="380"/>
    </row>
    <row r="24" spans="2:7" x14ac:dyDescent="0.2">
      <c r="B24" s="380"/>
      <c r="C24" s="380"/>
      <c r="D24" s="380"/>
      <c r="E24" s="380"/>
      <c r="F24" s="380"/>
      <c r="G24" s="380"/>
    </row>
    <row r="25" spans="2:7" ht="15" x14ac:dyDescent="0.25">
      <c r="B25" s="384" t="s">
        <v>325</v>
      </c>
      <c r="C25" s="380"/>
      <c r="D25" s="380"/>
      <c r="E25" s="380"/>
      <c r="F25" s="380"/>
      <c r="G25" s="380"/>
    </row>
    <row r="26" spans="2:7" x14ac:dyDescent="0.2">
      <c r="B26" s="380" t="s">
        <v>326</v>
      </c>
      <c r="C26" s="380"/>
      <c r="D26" s="380"/>
      <c r="E26" s="380"/>
      <c r="F26" s="380"/>
      <c r="G26" s="380"/>
    </row>
    <row r="27" spans="2:7" x14ac:dyDescent="0.2">
      <c r="B27" s="380" t="s">
        <v>327</v>
      </c>
      <c r="C27" s="380"/>
      <c r="D27" s="380"/>
      <c r="E27" s="380"/>
      <c r="F27" s="380"/>
      <c r="G27" s="380"/>
    </row>
    <row r="28" spans="2:7" x14ac:dyDescent="0.2">
      <c r="B28" s="380" t="s">
        <v>328</v>
      </c>
      <c r="C28" s="380"/>
      <c r="D28" s="380"/>
      <c r="E28" s="380"/>
      <c r="F28" s="380"/>
      <c r="G28" s="38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96"/>
  <sheetViews>
    <sheetView zoomScale="84" zoomScaleNormal="84" workbookViewId="0">
      <selection activeCell="B2" sqref="B2"/>
    </sheetView>
  </sheetViews>
  <sheetFormatPr defaultRowHeight="13.5" customHeight="1" x14ac:dyDescent="0.2"/>
  <cols>
    <col min="1" max="3" width="2.7109375" style="16" customWidth="1"/>
    <col min="4" max="4" width="35.7109375" style="16" customWidth="1"/>
    <col min="5" max="8" width="12.85546875" style="16" customWidth="1"/>
    <col min="9" max="10" width="16" style="16" customWidth="1"/>
    <col min="11" max="13" width="2.7109375" style="16" customWidth="1"/>
    <col min="14" max="16384" width="9.140625" style="16"/>
  </cols>
  <sheetData>
    <row r="1" spans="2:12" thickBot="1" x14ac:dyDescent="0.25"/>
    <row r="2" spans="2:12" ht="12.75" x14ac:dyDescent="0.2">
      <c r="B2" s="19"/>
      <c r="C2" s="20"/>
      <c r="D2" s="20"/>
      <c r="E2" s="20"/>
      <c r="F2" s="20"/>
      <c r="G2" s="20"/>
      <c r="H2" s="20"/>
      <c r="I2" s="20"/>
      <c r="J2" s="20"/>
      <c r="K2" s="20"/>
      <c r="L2" s="23"/>
    </row>
    <row r="3" spans="2:12" ht="12.75" x14ac:dyDescent="0.2">
      <c r="B3" s="24"/>
      <c r="C3" s="25"/>
      <c r="D3" s="25"/>
      <c r="E3" s="25"/>
      <c r="F3" s="25"/>
      <c r="G3" s="25"/>
      <c r="H3" s="25"/>
      <c r="I3" s="25"/>
      <c r="J3" s="25"/>
      <c r="K3" s="25"/>
      <c r="L3" s="28"/>
    </row>
    <row r="4" spans="2:12" s="42" customFormat="1" ht="18" x14ac:dyDescent="0.25">
      <c r="B4" s="39"/>
      <c r="C4" s="30" t="s">
        <v>155</v>
      </c>
      <c r="D4" s="61"/>
      <c r="E4" s="61"/>
      <c r="F4" s="61"/>
      <c r="G4" s="62"/>
      <c r="H4" s="63"/>
      <c r="I4" s="61"/>
      <c r="J4" s="61"/>
      <c r="K4" s="61"/>
      <c r="L4" s="41"/>
    </row>
    <row r="5" spans="2:12" ht="12.75" x14ac:dyDescent="0.2">
      <c r="B5" s="24"/>
      <c r="C5" s="25"/>
      <c r="D5" s="25"/>
      <c r="E5" s="25"/>
      <c r="F5" s="25"/>
      <c r="G5" s="25"/>
      <c r="H5" s="25"/>
      <c r="I5" s="25"/>
      <c r="J5" s="25"/>
      <c r="K5" s="25"/>
      <c r="L5" s="28"/>
    </row>
    <row r="6" spans="2:12" ht="12.75" x14ac:dyDescent="0.2">
      <c r="B6" s="24"/>
      <c r="C6" s="25"/>
      <c r="D6" s="25"/>
      <c r="E6" s="25"/>
      <c r="F6" s="25"/>
      <c r="G6" s="25"/>
      <c r="H6" s="25"/>
      <c r="I6" s="25"/>
      <c r="J6" s="25"/>
      <c r="K6" s="25"/>
      <c r="L6" s="28"/>
    </row>
    <row r="7" spans="2:12" ht="12.75" x14ac:dyDescent="0.2">
      <c r="B7" s="24"/>
      <c r="C7" s="148"/>
      <c r="D7" s="148"/>
      <c r="E7" s="148"/>
      <c r="F7" s="148"/>
      <c r="G7" s="148"/>
      <c r="H7" s="148"/>
      <c r="I7" s="148"/>
      <c r="J7" s="148"/>
      <c r="K7" s="148"/>
      <c r="L7" s="28"/>
    </row>
    <row r="8" spans="2:12" ht="12.75" x14ac:dyDescent="0.2">
      <c r="B8" s="24"/>
      <c r="C8" s="148"/>
      <c r="D8" s="152" t="s">
        <v>42</v>
      </c>
      <c r="E8" s="148"/>
      <c r="F8" s="148"/>
      <c r="G8" s="148"/>
      <c r="H8" s="148"/>
      <c r="I8" s="148"/>
      <c r="J8" s="148"/>
      <c r="K8" s="148"/>
      <c r="L8" s="28"/>
    </row>
    <row r="9" spans="2:12" ht="12.75" x14ac:dyDescent="0.2">
      <c r="B9" s="24"/>
      <c r="C9" s="148"/>
      <c r="D9" s="148"/>
      <c r="E9" s="148"/>
      <c r="F9" s="148"/>
      <c r="G9" s="148"/>
      <c r="H9" s="148"/>
      <c r="I9" s="148"/>
      <c r="J9" s="148"/>
      <c r="K9" s="148"/>
      <c r="L9" s="28"/>
    </row>
    <row r="10" spans="2:12" ht="12.75" x14ac:dyDescent="0.2">
      <c r="B10" s="24"/>
      <c r="C10" s="148"/>
      <c r="D10" s="148" t="s">
        <v>156</v>
      </c>
      <c r="E10" s="148"/>
      <c r="F10" s="148"/>
      <c r="G10" s="148"/>
      <c r="H10" s="548" t="s">
        <v>157</v>
      </c>
      <c r="I10" s="549"/>
      <c r="J10" s="198"/>
      <c r="K10" s="148"/>
      <c r="L10" s="28"/>
    </row>
    <row r="11" spans="2:12" ht="12.75" x14ac:dyDescent="0.2">
      <c r="B11" s="24"/>
      <c r="C11" s="148"/>
      <c r="D11" s="148"/>
      <c r="E11" s="148"/>
      <c r="F11" s="148"/>
      <c r="G11" s="150"/>
      <c r="H11" s="150"/>
      <c r="I11" s="198"/>
      <c r="J11" s="198"/>
      <c r="K11" s="148"/>
      <c r="L11" s="28"/>
    </row>
    <row r="12" spans="2:12" s="42" customFormat="1" ht="12.75" x14ac:dyDescent="0.2">
      <c r="B12" s="39"/>
      <c r="C12" s="152"/>
      <c r="D12" s="152" t="s">
        <v>46</v>
      </c>
      <c r="E12" s="152"/>
      <c r="F12" s="152"/>
      <c r="G12" s="152"/>
      <c r="H12" s="152"/>
      <c r="I12" s="152"/>
      <c r="J12" s="152"/>
      <c r="K12" s="152"/>
      <c r="L12" s="41"/>
    </row>
    <row r="13" spans="2:12" ht="12.75" x14ac:dyDescent="0.2">
      <c r="B13" s="24"/>
      <c r="C13" s="148"/>
      <c r="D13" s="148" t="s">
        <v>47</v>
      </c>
      <c r="E13" s="148"/>
      <c r="F13" s="148"/>
      <c r="G13" s="151"/>
      <c r="H13" s="223" t="s">
        <v>6</v>
      </c>
      <c r="I13" s="165"/>
      <c r="J13" s="148"/>
      <c r="K13" s="148"/>
      <c r="L13" s="28"/>
    </row>
    <row r="14" spans="2:12" ht="12.75" x14ac:dyDescent="0.2">
      <c r="B14" s="24"/>
      <c r="C14" s="148"/>
      <c r="D14" s="148" t="s">
        <v>48</v>
      </c>
      <c r="E14" s="148"/>
      <c r="F14" s="148"/>
      <c r="G14" s="151"/>
      <c r="H14" s="204">
        <v>7</v>
      </c>
      <c r="I14" s="241" t="s">
        <v>198</v>
      </c>
      <c r="J14" s="240">
        <f>VLOOKUP(H$13,saltab2020aug,18,FALSE)</f>
        <v>12</v>
      </c>
      <c r="K14" s="148"/>
      <c r="L14" s="28"/>
    </row>
    <row r="15" spans="2:12" ht="12.75" x14ac:dyDescent="0.2">
      <c r="B15" s="24"/>
      <c r="C15" s="148"/>
      <c r="D15" s="148" t="s">
        <v>51</v>
      </c>
      <c r="E15" s="148"/>
      <c r="F15" s="148"/>
      <c r="G15" s="237"/>
      <c r="H15" s="205">
        <f>VLOOKUP(H13,saltab2020aug,H14+1,FALSE)</f>
        <v>3797</v>
      </c>
      <c r="I15" s="148"/>
      <c r="J15" s="148"/>
      <c r="K15" s="148"/>
      <c r="L15" s="28"/>
    </row>
    <row r="16" spans="2:12" ht="12.75" x14ac:dyDescent="0.2">
      <c r="B16" s="24"/>
      <c r="C16" s="148"/>
      <c r="D16" s="148" t="s">
        <v>52</v>
      </c>
      <c r="E16" s="148"/>
      <c r="F16" s="148"/>
      <c r="G16" s="238"/>
      <c r="H16" s="206">
        <v>1</v>
      </c>
      <c r="I16" s="148"/>
      <c r="J16" s="148"/>
      <c r="K16" s="148"/>
      <c r="L16" s="28"/>
    </row>
    <row r="17" spans="2:12" ht="12.75" x14ac:dyDescent="0.2">
      <c r="B17" s="24"/>
      <c r="C17" s="148"/>
      <c r="D17" s="148" t="s">
        <v>53</v>
      </c>
      <c r="E17" s="148"/>
      <c r="F17" s="148"/>
      <c r="G17" s="239"/>
      <c r="H17" s="215">
        <f>+H15*H16</f>
        <v>3797</v>
      </c>
      <c r="I17" s="148"/>
      <c r="J17" s="148"/>
      <c r="K17" s="148"/>
      <c r="L17" s="28"/>
    </row>
    <row r="18" spans="2:12" ht="12.75" x14ac:dyDescent="0.2">
      <c r="B18" s="24"/>
      <c r="C18" s="148"/>
      <c r="D18" s="148"/>
      <c r="E18" s="148"/>
      <c r="F18" s="148"/>
      <c r="G18" s="239"/>
      <c r="H18" s="239"/>
      <c r="I18" s="148"/>
      <c r="J18" s="148"/>
      <c r="K18" s="148"/>
      <c r="L18" s="28"/>
    </row>
    <row r="19" spans="2:12" ht="12.75" x14ac:dyDescent="0.2">
      <c r="B19" s="24"/>
      <c r="C19" s="25"/>
      <c r="D19" s="25"/>
      <c r="E19" s="25"/>
      <c r="F19" s="25"/>
      <c r="G19" s="25"/>
      <c r="H19" s="25"/>
      <c r="I19" s="25"/>
      <c r="J19" s="25"/>
      <c r="K19" s="25"/>
      <c r="L19" s="28"/>
    </row>
    <row r="20" spans="2:12" ht="12.75" x14ac:dyDescent="0.2">
      <c r="B20" s="24"/>
      <c r="C20" s="148"/>
      <c r="D20" s="148"/>
      <c r="E20" s="148"/>
      <c r="F20" s="148"/>
      <c r="G20" s="148"/>
      <c r="H20" s="148"/>
      <c r="I20" s="148"/>
      <c r="J20" s="148"/>
      <c r="K20" s="148"/>
      <c r="L20" s="28"/>
    </row>
    <row r="21" spans="2:12" s="42" customFormat="1" ht="12.75" x14ac:dyDescent="0.2">
      <c r="B21" s="39"/>
      <c r="C21" s="152"/>
      <c r="D21" s="152" t="s">
        <v>158</v>
      </c>
      <c r="E21" s="152"/>
      <c r="F21" s="152"/>
      <c r="G21" s="194"/>
      <c r="H21" s="194" t="s">
        <v>159</v>
      </c>
      <c r="I21" s="194" t="s">
        <v>160</v>
      </c>
      <c r="J21" s="168"/>
      <c r="K21" s="168"/>
      <c r="L21" s="41"/>
    </row>
    <row r="22" spans="2:12" ht="12.75" x14ac:dyDescent="0.2">
      <c r="B22" s="24"/>
      <c r="C22" s="148"/>
      <c r="D22" s="148"/>
      <c r="E22" s="148"/>
      <c r="F22" s="148"/>
      <c r="G22" s="151"/>
      <c r="H22" s="151"/>
      <c r="I22" s="151"/>
      <c r="J22" s="151"/>
      <c r="K22" s="151"/>
      <c r="L22" s="28"/>
    </row>
    <row r="23" spans="2:12" ht="12.75" x14ac:dyDescent="0.2">
      <c r="B23" s="24"/>
      <c r="C23" s="148"/>
      <c r="D23" s="148" t="s">
        <v>161</v>
      </c>
      <c r="E23" s="148"/>
      <c r="F23" s="148"/>
      <c r="G23" s="151"/>
      <c r="H23" s="224" t="s">
        <v>203</v>
      </c>
      <c r="I23" s="151"/>
      <c r="J23" s="151"/>
      <c r="K23" s="151"/>
      <c r="L23" s="28"/>
    </row>
    <row r="24" spans="2:12" ht="12.75" x14ac:dyDescent="0.2">
      <c r="B24" s="24"/>
      <c r="C24" s="148"/>
      <c r="D24" s="148"/>
      <c r="E24" s="148"/>
      <c r="F24" s="148"/>
      <c r="G24" s="151"/>
      <c r="H24" s="151"/>
      <c r="I24" s="151"/>
      <c r="J24" s="151"/>
      <c r="K24" s="151"/>
      <c r="L24" s="28"/>
    </row>
    <row r="25" spans="2:12" ht="12.75" x14ac:dyDescent="0.2">
      <c r="B25" s="24"/>
      <c r="C25" s="148"/>
      <c r="D25" s="148" t="s">
        <v>162</v>
      </c>
      <c r="E25" s="148"/>
      <c r="F25" s="148"/>
      <c r="G25" s="151"/>
      <c r="H25" s="225">
        <f>ROUND(415*H16,0)</f>
        <v>415</v>
      </c>
      <c r="I25" s="226">
        <f>ROUND(233*H16,0)</f>
        <v>233</v>
      </c>
      <c r="J25" s="151"/>
      <c r="K25" s="151"/>
      <c r="L25" s="28"/>
    </row>
    <row r="26" spans="2:12" ht="12.75" x14ac:dyDescent="0.2">
      <c r="B26" s="24"/>
      <c r="C26" s="148"/>
      <c r="D26" s="148" t="s">
        <v>163</v>
      </c>
      <c r="E26" s="148"/>
      <c r="F26" s="148"/>
      <c r="G26" s="151"/>
      <c r="H26" s="207">
        <v>415</v>
      </c>
      <c r="I26" s="203">
        <v>233</v>
      </c>
      <c r="J26" s="151"/>
      <c r="K26" s="151"/>
      <c r="L26" s="28"/>
    </row>
    <row r="27" spans="2:12" ht="12.75" x14ac:dyDescent="0.2">
      <c r="B27" s="24"/>
      <c r="C27" s="148"/>
      <c r="D27" s="148" t="s">
        <v>164</v>
      </c>
      <c r="E27" s="148"/>
      <c r="F27" s="148"/>
      <c r="G27" s="164"/>
      <c r="H27" s="208">
        <f>+H26/H25</f>
        <v>1</v>
      </c>
      <c r="I27" s="217">
        <f>+I26/I25</f>
        <v>1</v>
      </c>
      <c r="J27" s="151"/>
      <c r="K27" s="151"/>
      <c r="L27" s="28"/>
    </row>
    <row r="28" spans="2:12" ht="12.75" x14ac:dyDescent="0.2">
      <c r="B28" s="24"/>
      <c r="C28" s="148"/>
      <c r="D28" s="148" t="s">
        <v>165</v>
      </c>
      <c r="E28" s="148"/>
      <c r="F28" s="148"/>
      <c r="G28" s="151"/>
      <c r="H28" s="216">
        <v>6</v>
      </c>
      <c r="I28" s="151" t="str">
        <f>IF(H28&lt;2.999,"moet minimaal 3 gehele maanden zijn"," ")</f>
        <v xml:space="preserve"> </v>
      </c>
      <c r="J28" s="151"/>
      <c r="K28" s="151"/>
      <c r="L28" s="28"/>
    </row>
    <row r="29" spans="2:12" ht="12.75" x14ac:dyDescent="0.2">
      <c r="B29" s="24"/>
      <c r="C29" s="148"/>
      <c r="D29" s="148"/>
      <c r="E29" s="148"/>
      <c r="F29" s="148"/>
      <c r="G29" s="151"/>
      <c r="H29" s="151"/>
      <c r="I29" s="151"/>
      <c r="J29" s="151"/>
      <c r="K29" s="151"/>
      <c r="L29" s="28"/>
    </row>
    <row r="30" spans="2:12" ht="12.75" x14ac:dyDescent="0.2">
      <c r="B30" s="24"/>
      <c r="C30" s="148"/>
      <c r="D30" s="148" t="s">
        <v>166</v>
      </c>
      <c r="E30" s="148"/>
      <c r="F30" s="148"/>
      <c r="G30" s="242"/>
      <c r="H30" s="228">
        <f>ROUND(IF(H23="ja",+(I26/I25),H26/H25)*(3/H28)*H16,4)</f>
        <v>0.5</v>
      </c>
      <c r="I30" s="151"/>
      <c r="J30" s="237"/>
      <c r="K30" s="177"/>
      <c r="L30" s="28"/>
    </row>
    <row r="31" spans="2:12" ht="12.75" x14ac:dyDescent="0.2">
      <c r="B31" s="24"/>
      <c r="C31" s="148"/>
      <c r="D31" s="148" t="s">
        <v>167</v>
      </c>
      <c r="E31" s="148"/>
      <c r="F31" s="148"/>
      <c r="G31" s="164"/>
      <c r="H31" s="220">
        <f>ROUND(+IF(H23="ja",I26,H26)/ROUND((IF(H23="ja",233,415)*H16),0)*1.35/H28,4)</f>
        <v>0.22500000000000001</v>
      </c>
      <c r="I31" s="151"/>
      <c r="J31" s="227">
        <f>+H31*H17</f>
        <v>854.32500000000005</v>
      </c>
      <c r="K31" s="175">
        <f>+H30*0.45*H15</f>
        <v>854.32500000000005</v>
      </c>
      <c r="L31" s="28"/>
    </row>
    <row r="32" spans="2:12" ht="12.75" x14ac:dyDescent="0.2">
      <c r="B32" s="24"/>
      <c r="C32" s="148"/>
      <c r="D32" s="148"/>
      <c r="E32" s="148"/>
      <c r="F32" s="148"/>
      <c r="G32" s="164"/>
      <c r="H32" s="164"/>
      <c r="I32" s="151"/>
      <c r="J32" s="237"/>
      <c r="K32" s="175"/>
      <c r="L32" s="28"/>
    </row>
    <row r="33" spans="2:12" ht="12.75" x14ac:dyDescent="0.2">
      <c r="B33" s="24"/>
      <c r="C33" s="148"/>
      <c r="D33" s="148" t="s">
        <v>168</v>
      </c>
      <c r="E33" s="148"/>
      <c r="F33" s="148"/>
      <c r="G33" s="164"/>
      <c r="H33" s="232">
        <f>ROUND((3*I27/H28),4)-H31</f>
        <v>0.27500000000000002</v>
      </c>
      <c r="I33" s="151"/>
      <c r="J33" s="231">
        <f>+H33*H17</f>
        <v>1044.1750000000002</v>
      </c>
      <c r="K33" s="175">
        <f>+H30*0.55*H15</f>
        <v>1044.1750000000002</v>
      </c>
      <c r="L33" s="28"/>
    </row>
    <row r="34" spans="2:12" ht="12.75" x14ac:dyDescent="0.2">
      <c r="B34" s="24"/>
      <c r="C34" s="148"/>
      <c r="D34" s="148" t="s">
        <v>169</v>
      </c>
      <c r="E34" s="148"/>
      <c r="F34" s="148"/>
      <c r="G34" s="164"/>
      <c r="H34" s="209">
        <f>1-ROUND(1/0.45*H31,4)</f>
        <v>0.5</v>
      </c>
      <c r="I34" s="151"/>
      <c r="J34" s="210">
        <f>+H34*H17</f>
        <v>1898.5</v>
      </c>
      <c r="K34" s="177"/>
      <c r="L34" s="28"/>
    </row>
    <row r="35" spans="2:12" s="42" customFormat="1" ht="12.75" x14ac:dyDescent="0.2">
      <c r="B35" s="39"/>
      <c r="C35" s="152"/>
      <c r="D35" s="152" t="s">
        <v>170</v>
      </c>
      <c r="E35" s="152"/>
      <c r="F35" s="152"/>
      <c r="G35" s="243"/>
      <c r="H35" s="218">
        <f>+H33+H34</f>
        <v>0.77500000000000002</v>
      </c>
      <c r="I35" s="168"/>
      <c r="J35" s="211">
        <f>SUM(J33:J34)</f>
        <v>2942.6750000000002</v>
      </c>
      <c r="K35" s="194"/>
      <c r="L35" s="41"/>
    </row>
    <row r="36" spans="2:12" ht="12.75" x14ac:dyDescent="0.2">
      <c r="B36" s="24"/>
      <c r="C36" s="148"/>
      <c r="D36" s="187" t="s">
        <v>171</v>
      </c>
      <c r="E36" s="187"/>
      <c r="F36" s="187"/>
      <c r="G36" s="177"/>
      <c r="H36" s="177"/>
      <c r="I36" s="177"/>
      <c r="J36" s="219">
        <f>+J33*H28</f>
        <v>6265.0500000000011</v>
      </c>
      <c r="K36" s="177"/>
      <c r="L36" s="28"/>
    </row>
    <row r="37" spans="2:12" ht="12.75" x14ac:dyDescent="0.2">
      <c r="B37" s="24"/>
      <c r="C37" s="148"/>
      <c r="D37" s="148"/>
      <c r="E37" s="148"/>
      <c r="F37" s="148"/>
      <c r="G37" s="151"/>
      <c r="H37" s="151"/>
      <c r="I37" s="151"/>
      <c r="J37" s="237"/>
      <c r="K37" s="177"/>
      <c r="L37" s="28"/>
    </row>
    <row r="38" spans="2:12" s="42" customFormat="1" ht="12.75" x14ac:dyDescent="0.2">
      <c r="B38" s="39"/>
      <c r="C38" s="152"/>
      <c r="D38" s="152" t="s">
        <v>172</v>
      </c>
      <c r="E38" s="152"/>
      <c r="F38" s="152"/>
      <c r="G38" s="244"/>
      <c r="H38" s="229">
        <f>+tabellen!C27</f>
        <v>0.55000000000000004</v>
      </c>
      <c r="I38" s="168"/>
      <c r="J38" s="230">
        <f>+J36*(1+H38)</f>
        <v>9710.8275000000012</v>
      </c>
      <c r="K38" s="152"/>
      <c r="L38" s="41"/>
    </row>
    <row r="39" spans="2:12" ht="12.75" x14ac:dyDescent="0.2">
      <c r="B39" s="24"/>
      <c r="C39" s="148"/>
      <c r="D39" s="187" t="s">
        <v>59</v>
      </c>
      <c r="E39" s="187"/>
      <c r="F39" s="187"/>
      <c r="G39" s="187"/>
      <c r="H39" s="187"/>
      <c r="I39" s="187"/>
      <c r="J39" s="219">
        <f>+J38/H$28</f>
        <v>1618.4712500000003</v>
      </c>
      <c r="K39" s="170"/>
      <c r="L39" s="28"/>
    </row>
    <row r="40" spans="2:12" ht="12.75" x14ac:dyDescent="0.2">
      <c r="B40" s="24"/>
      <c r="C40" s="148"/>
      <c r="D40" s="148"/>
      <c r="E40" s="148"/>
      <c r="F40" s="148"/>
      <c r="G40" s="148"/>
      <c r="H40" s="148"/>
      <c r="I40" s="148"/>
      <c r="J40" s="245"/>
      <c r="K40" s="170"/>
      <c r="L40" s="28"/>
    </row>
    <row r="41" spans="2:12" ht="12.75" x14ac:dyDescent="0.2">
      <c r="B41" s="24"/>
      <c r="C41" s="25"/>
      <c r="D41" s="25"/>
      <c r="E41" s="25"/>
      <c r="F41" s="25"/>
      <c r="G41" s="25"/>
      <c r="H41" s="25"/>
      <c r="I41" s="25"/>
      <c r="J41" s="48"/>
      <c r="K41" s="48"/>
      <c r="L41" s="28"/>
    </row>
    <row r="42" spans="2:12" ht="12.75" x14ac:dyDescent="0.2">
      <c r="B42" s="24"/>
      <c r="C42" s="148"/>
      <c r="D42" s="148"/>
      <c r="E42" s="148"/>
      <c r="F42" s="148"/>
      <c r="G42" s="148"/>
      <c r="H42" s="148"/>
      <c r="I42" s="170"/>
      <c r="J42" s="148"/>
      <c r="K42" s="148"/>
      <c r="L42" s="28"/>
    </row>
    <row r="43" spans="2:12" s="42" customFormat="1" ht="12.75" x14ac:dyDescent="0.2">
      <c r="B43" s="64"/>
      <c r="C43" s="153"/>
      <c r="D43" s="152" t="s">
        <v>173</v>
      </c>
      <c r="E43" s="152"/>
      <c r="F43" s="152"/>
      <c r="G43" s="152"/>
      <c r="H43" s="152"/>
      <c r="I43" s="550"/>
      <c r="J43" s="551"/>
      <c r="K43" s="152"/>
      <c r="L43" s="41"/>
    </row>
    <row r="44" spans="2:12" ht="12.75" x14ac:dyDescent="0.2">
      <c r="B44" s="65"/>
      <c r="C44" s="165"/>
      <c r="D44" s="148"/>
      <c r="E44" s="148"/>
      <c r="F44" s="148"/>
      <c r="G44" s="148"/>
      <c r="H44" s="148"/>
      <c r="I44" s="248"/>
      <c r="J44" s="198"/>
      <c r="K44" s="148"/>
      <c r="L44" s="28"/>
    </row>
    <row r="45" spans="2:12" ht="12.75" x14ac:dyDescent="0.2">
      <c r="B45" s="24"/>
      <c r="C45" s="148"/>
      <c r="D45" s="148" t="s">
        <v>174</v>
      </c>
      <c r="E45" s="148"/>
      <c r="F45" s="148"/>
      <c r="G45" s="148"/>
      <c r="H45" s="148"/>
      <c r="I45" s="170"/>
      <c r="J45" s="148"/>
      <c r="K45" s="148"/>
      <c r="L45" s="28"/>
    </row>
    <row r="46" spans="2:12" ht="12.75" x14ac:dyDescent="0.2">
      <c r="B46" s="24"/>
      <c r="C46" s="148"/>
      <c r="D46" s="148" t="s">
        <v>175</v>
      </c>
      <c r="E46" s="148"/>
      <c r="F46" s="148"/>
      <c r="G46" s="246"/>
      <c r="H46" s="235">
        <v>600</v>
      </c>
      <c r="I46" s="249" t="s">
        <v>176</v>
      </c>
      <c r="J46" s="148"/>
      <c r="K46" s="148"/>
      <c r="L46" s="28"/>
    </row>
    <row r="47" spans="2:12" ht="12.75" x14ac:dyDescent="0.2">
      <c r="B47" s="24"/>
      <c r="C47" s="148"/>
      <c r="D47" s="148" t="s">
        <v>177</v>
      </c>
      <c r="E47" s="148"/>
      <c r="F47" s="148"/>
      <c r="G47" s="247"/>
      <c r="H47" s="221">
        <v>0.75</v>
      </c>
      <c r="I47" s="249" t="s">
        <v>176</v>
      </c>
      <c r="J47" s="148"/>
      <c r="K47" s="148"/>
      <c r="L47" s="28"/>
    </row>
    <row r="48" spans="2:12" ht="12.75" x14ac:dyDescent="0.2">
      <c r="B48" s="24"/>
      <c r="C48" s="148"/>
      <c r="D48" s="148"/>
      <c r="E48" s="151" t="s">
        <v>178</v>
      </c>
      <c r="F48" s="151" t="s">
        <v>179</v>
      </c>
      <c r="G48" s="148"/>
      <c r="H48" s="151"/>
      <c r="I48" s="249"/>
      <c r="J48" s="148"/>
      <c r="K48" s="148"/>
      <c r="L48" s="28"/>
    </row>
    <row r="49" spans="2:14" ht="12.75" x14ac:dyDescent="0.2">
      <c r="B49" s="24"/>
      <c r="C49" s="148"/>
      <c r="D49" s="148" t="s">
        <v>180</v>
      </c>
      <c r="E49" s="233">
        <v>20</v>
      </c>
      <c r="F49" s="234">
        <v>40</v>
      </c>
      <c r="G49" s="247"/>
      <c r="H49" s="236">
        <v>0.375</v>
      </c>
      <c r="I49" s="249" t="s">
        <v>181</v>
      </c>
      <c r="J49" s="148"/>
      <c r="K49" s="148"/>
      <c r="L49" s="28"/>
    </row>
    <row r="50" spans="2:14" ht="12.75" x14ac:dyDescent="0.2">
      <c r="B50" s="24"/>
      <c r="C50" s="148"/>
      <c r="D50" s="148" t="s">
        <v>182</v>
      </c>
      <c r="E50" s="148"/>
      <c r="F50" s="148"/>
      <c r="G50" s="148"/>
      <c r="H50" s="204">
        <v>1.8</v>
      </c>
      <c r="I50" s="249" t="s">
        <v>183</v>
      </c>
      <c r="J50" s="148"/>
      <c r="K50" s="148"/>
      <c r="L50" s="28"/>
    </row>
    <row r="51" spans="2:14" ht="12.75" x14ac:dyDescent="0.2">
      <c r="B51" s="24"/>
      <c r="C51" s="148"/>
      <c r="D51" s="148" t="s">
        <v>184</v>
      </c>
      <c r="E51" s="148"/>
      <c r="F51" s="148"/>
      <c r="G51" s="246"/>
      <c r="H51" s="213">
        <f>ROUND(H46*H47*H49*H50,0)</f>
        <v>304</v>
      </c>
      <c r="I51" s="249"/>
      <c r="J51" s="148"/>
      <c r="K51" s="148"/>
      <c r="L51" s="28"/>
    </row>
    <row r="52" spans="2:14" ht="12.75" x14ac:dyDescent="0.2">
      <c r="B52" s="24"/>
      <c r="C52" s="148"/>
      <c r="D52" s="148" t="s">
        <v>185</v>
      </c>
      <c r="E52" s="148"/>
      <c r="F52" s="148"/>
      <c r="G52" s="247"/>
      <c r="H52" s="212">
        <v>1</v>
      </c>
      <c r="I52" s="249" t="s">
        <v>186</v>
      </c>
      <c r="J52" s="148"/>
      <c r="K52" s="148"/>
      <c r="L52" s="28"/>
    </row>
    <row r="53" spans="2:14" ht="12.75" x14ac:dyDescent="0.2">
      <c r="B53" s="24"/>
      <c r="C53" s="148"/>
      <c r="D53" s="148" t="s">
        <v>187</v>
      </c>
      <c r="E53" s="148"/>
      <c r="F53" s="148"/>
      <c r="G53" s="246"/>
      <c r="H53" s="213">
        <f>ROUND(H51*H52/(F49-E49),0)</f>
        <v>15</v>
      </c>
      <c r="I53" s="249"/>
      <c r="J53" s="148"/>
      <c r="K53" s="148"/>
      <c r="L53" s="28"/>
    </row>
    <row r="54" spans="2:14" ht="12.75" x14ac:dyDescent="0.2">
      <c r="B54" s="24"/>
      <c r="C54" s="148"/>
      <c r="D54" s="148" t="s">
        <v>188</v>
      </c>
      <c r="E54" s="148"/>
      <c r="F54" s="148"/>
      <c r="G54" s="251"/>
      <c r="H54" s="214">
        <v>9700</v>
      </c>
      <c r="I54" s="249" t="s">
        <v>186</v>
      </c>
      <c r="J54" s="148"/>
      <c r="K54" s="148"/>
      <c r="L54" s="28"/>
    </row>
    <row r="55" spans="2:14" s="42" customFormat="1" ht="12.75" x14ac:dyDescent="0.2">
      <c r="B55" s="39"/>
      <c r="C55" s="152"/>
      <c r="D55" s="152" t="s">
        <v>189</v>
      </c>
      <c r="E55" s="152"/>
      <c r="F55" s="152"/>
      <c r="G55" s="252"/>
      <c r="H55" s="222">
        <f>+H53*H54</f>
        <v>145500</v>
      </c>
      <c r="I55" s="250" t="s">
        <v>190</v>
      </c>
      <c r="J55" s="152"/>
      <c r="K55" s="152"/>
      <c r="L55" s="41"/>
    </row>
    <row r="56" spans="2:14" ht="12.75" x14ac:dyDescent="0.2">
      <c r="B56" s="24"/>
      <c r="C56" s="148"/>
      <c r="D56" s="148"/>
      <c r="E56" s="148"/>
      <c r="F56" s="148"/>
      <c r="G56" s="148"/>
      <c r="H56" s="148"/>
      <c r="I56" s="170"/>
      <c r="J56" s="148"/>
      <c r="K56" s="148"/>
      <c r="L56" s="28"/>
    </row>
    <row r="57" spans="2:14" ht="12.75" x14ac:dyDescent="0.2">
      <c r="B57" s="24"/>
      <c r="C57" s="25"/>
      <c r="D57" s="25"/>
      <c r="E57" s="25"/>
      <c r="F57" s="25"/>
      <c r="G57" s="25"/>
      <c r="H57" s="25"/>
      <c r="I57" s="48"/>
      <c r="J57" s="25"/>
      <c r="K57" s="25"/>
      <c r="L57" s="28"/>
    </row>
    <row r="58" spans="2:14" thickBot="1" x14ac:dyDescent="0.25">
      <c r="B58" s="49"/>
      <c r="C58" s="50"/>
      <c r="D58" s="50"/>
      <c r="E58" s="50"/>
      <c r="F58" s="50"/>
      <c r="G58" s="50"/>
      <c r="H58" s="50"/>
      <c r="I58" s="66"/>
      <c r="J58" s="50"/>
      <c r="K58" s="53" t="s">
        <v>75</v>
      </c>
      <c r="L58" s="54"/>
    </row>
    <row r="59" spans="2:14" ht="12.75" x14ac:dyDescent="0.2">
      <c r="I59" s="67"/>
    </row>
    <row r="60" spans="2:14" ht="13.5" customHeight="1" x14ac:dyDescent="0.2">
      <c r="I60" s="67"/>
      <c r="N60" s="68" t="s">
        <v>5</v>
      </c>
    </row>
    <row r="61" spans="2:14" ht="13.5" customHeight="1" x14ac:dyDescent="0.2">
      <c r="I61" s="67"/>
      <c r="N61" s="68" t="s">
        <v>6</v>
      </c>
    </row>
    <row r="62" spans="2:14" ht="13.5" customHeight="1" x14ac:dyDescent="0.2">
      <c r="I62" s="67"/>
      <c r="N62" s="68" t="s">
        <v>7</v>
      </c>
    </row>
    <row r="63" spans="2:14" ht="13.5" customHeight="1" x14ac:dyDescent="0.2">
      <c r="I63" s="67"/>
      <c r="N63" s="68" t="s">
        <v>8</v>
      </c>
    </row>
    <row r="64" spans="2:14" ht="13.5" customHeight="1" x14ac:dyDescent="0.2">
      <c r="I64" s="67"/>
      <c r="N64" s="17">
        <v>1</v>
      </c>
    </row>
    <row r="65" spans="9:14" ht="13.5" customHeight="1" x14ac:dyDescent="0.2">
      <c r="I65" s="67"/>
      <c r="N65" s="17">
        <v>2</v>
      </c>
    </row>
    <row r="66" spans="9:14" ht="13.5" customHeight="1" x14ac:dyDescent="0.2">
      <c r="I66" s="67"/>
      <c r="N66" s="17">
        <v>3</v>
      </c>
    </row>
    <row r="67" spans="9:14" ht="13.5" customHeight="1" x14ac:dyDescent="0.2">
      <c r="I67" s="67"/>
      <c r="N67" s="17">
        <v>4</v>
      </c>
    </row>
    <row r="68" spans="9:14" ht="13.5" customHeight="1" x14ac:dyDescent="0.2">
      <c r="I68" s="67"/>
      <c r="N68" s="17">
        <v>5</v>
      </c>
    </row>
    <row r="69" spans="9:14" ht="13.5" customHeight="1" x14ac:dyDescent="0.2">
      <c r="I69" s="67"/>
      <c r="N69" s="17">
        <v>6</v>
      </c>
    </row>
    <row r="70" spans="9:14" ht="13.5" customHeight="1" x14ac:dyDescent="0.2">
      <c r="I70" s="67"/>
      <c r="N70" s="17">
        <v>7</v>
      </c>
    </row>
    <row r="71" spans="9:14" ht="13.5" customHeight="1" x14ac:dyDescent="0.2">
      <c r="I71" s="67"/>
      <c r="N71" s="17">
        <v>8</v>
      </c>
    </row>
    <row r="72" spans="9:14" ht="13.5" customHeight="1" x14ac:dyDescent="0.2">
      <c r="I72" s="67"/>
      <c r="N72" s="17">
        <v>9</v>
      </c>
    </row>
    <row r="73" spans="9:14" ht="13.5" customHeight="1" x14ac:dyDescent="0.2">
      <c r="I73" s="67"/>
      <c r="N73" s="17">
        <v>10</v>
      </c>
    </row>
    <row r="74" spans="9:14" ht="13.5" customHeight="1" x14ac:dyDescent="0.2">
      <c r="I74" s="67"/>
      <c r="N74" s="17">
        <v>11</v>
      </c>
    </row>
    <row r="75" spans="9:14" ht="13.5" customHeight="1" x14ac:dyDescent="0.2">
      <c r="I75" s="67"/>
      <c r="N75" s="17">
        <v>12</v>
      </c>
    </row>
    <row r="76" spans="9:14" ht="13.5" customHeight="1" x14ac:dyDescent="0.2">
      <c r="I76" s="67"/>
      <c r="N76" s="17">
        <v>13</v>
      </c>
    </row>
    <row r="77" spans="9:14" ht="13.5" customHeight="1" x14ac:dyDescent="0.2">
      <c r="I77" s="67"/>
      <c r="N77" s="17">
        <v>14</v>
      </c>
    </row>
    <row r="78" spans="9:14" ht="13.5" customHeight="1" x14ac:dyDescent="0.2">
      <c r="I78" s="67"/>
      <c r="N78" s="17">
        <v>15</v>
      </c>
    </row>
    <row r="79" spans="9:14" ht="13.5" customHeight="1" x14ac:dyDescent="0.2">
      <c r="I79" s="67"/>
      <c r="N79" s="17">
        <v>16</v>
      </c>
    </row>
    <row r="80" spans="9:14" ht="13.5" customHeight="1" x14ac:dyDescent="0.2">
      <c r="I80" s="67"/>
      <c r="N80" s="17">
        <v>17</v>
      </c>
    </row>
    <row r="81" spans="6:14" ht="13.5" customHeight="1" x14ac:dyDescent="0.2">
      <c r="I81" s="67"/>
      <c r="N81" s="17" t="s">
        <v>9</v>
      </c>
    </row>
    <row r="82" spans="6:14" ht="13.5" customHeight="1" x14ac:dyDescent="0.2">
      <c r="I82" s="67"/>
      <c r="N82" s="17" t="s">
        <v>10</v>
      </c>
    </row>
    <row r="83" spans="6:14" ht="13.5" customHeight="1" x14ac:dyDescent="0.2">
      <c r="I83" s="67"/>
      <c r="N83" s="17" t="s">
        <v>11</v>
      </c>
    </row>
    <row r="84" spans="6:14" ht="13.5" customHeight="1" x14ac:dyDescent="0.2">
      <c r="I84" s="67"/>
      <c r="N84" s="17" t="s">
        <v>12</v>
      </c>
    </row>
    <row r="85" spans="6:14" ht="13.5" customHeight="1" x14ac:dyDescent="0.2">
      <c r="I85" s="67"/>
    </row>
    <row r="86" spans="6:14" ht="13.5" customHeight="1" x14ac:dyDescent="0.2">
      <c r="I86" s="67"/>
    </row>
    <row r="87" spans="6:14" ht="13.5" customHeight="1" x14ac:dyDescent="0.2">
      <c r="I87" s="67"/>
    </row>
    <row r="88" spans="6:14" ht="13.5" customHeight="1" x14ac:dyDescent="0.2">
      <c r="F88" s="69"/>
      <c r="G88" s="70"/>
      <c r="I88" s="67"/>
    </row>
    <row r="89" spans="6:14" ht="13.5" customHeight="1" x14ac:dyDescent="0.2">
      <c r="F89" s="69"/>
      <c r="G89" s="70"/>
      <c r="I89" s="67"/>
    </row>
    <row r="90" spans="6:14" ht="13.5" customHeight="1" x14ac:dyDescent="0.2">
      <c r="F90" s="69"/>
      <c r="G90" s="70"/>
      <c r="I90" s="67"/>
    </row>
    <row r="91" spans="6:14" ht="13.5" customHeight="1" x14ac:dyDescent="0.2">
      <c r="F91" s="69"/>
      <c r="G91" s="70"/>
      <c r="I91" s="67"/>
    </row>
    <row r="92" spans="6:14" ht="12.75" x14ac:dyDescent="0.2">
      <c r="F92" s="71"/>
      <c r="G92" s="67"/>
      <c r="I92" s="67"/>
    </row>
    <row r="93" spans="6:14" ht="12.75" x14ac:dyDescent="0.2">
      <c r="F93" s="69"/>
      <c r="G93" s="67"/>
      <c r="I93" s="67"/>
    </row>
    <row r="94" spans="6:14" ht="12.75" x14ac:dyDescent="0.2">
      <c r="F94" s="72"/>
      <c r="I94" s="67"/>
    </row>
    <row r="95" spans="6:14" ht="12.75" x14ac:dyDescent="0.2">
      <c r="I95" s="67"/>
    </row>
    <row r="96" spans="6:14" ht="12.75" x14ac:dyDescent="0.2">
      <c r="I96" s="67"/>
    </row>
  </sheetData>
  <sheetProtection algorithmName="SHA-512" hashValue="mQcw/rd0iI+Aw1eENi7qk+rx7/mEJbI9GY8u5Vxt062GZFvHs7BXP7qW7Sq4P/qIfi+jLemtMASkg7InFHdibQ==" saltValue="efHEUjf0JkDH8NqJDhSLgw==" spinCount="100000" sheet="1" objects="1" scenarios="1"/>
  <mergeCells count="2">
    <mergeCell ref="H10:I10"/>
    <mergeCell ref="I43:J43"/>
  </mergeCells>
  <dataValidations count="3">
    <dataValidation type="list" allowBlank="1" showInputMessage="1" showErrorMessage="1" sqref="H13" xr:uid="{00000000-0002-0000-0400-000000000000}">
      <formula1>$N$60:$N$84</formula1>
    </dataValidation>
    <dataValidation type="list" allowBlank="1" showInputMessage="1" showErrorMessage="1" sqref="H23" xr:uid="{00000000-0002-0000-0400-000001000000}">
      <formula1>"ja,nee"</formula1>
    </dataValidation>
    <dataValidation type="list" allowBlank="1" showInputMessage="1" showErrorMessage="1" sqref="G23" xr:uid="{00000000-0002-0000-0400-000002000000}">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104"/>
  <sheetViews>
    <sheetView zoomScale="85" zoomScaleNormal="85" workbookViewId="0">
      <selection activeCell="B2" sqref="B2"/>
    </sheetView>
  </sheetViews>
  <sheetFormatPr defaultColWidth="9.7109375" defaultRowHeight="13.5" customHeight="1" x14ac:dyDescent="0.2"/>
  <cols>
    <col min="1" max="3" width="2.7109375" style="73" customWidth="1"/>
    <col min="4" max="4" width="45.7109375" style="73" customWidth="1"/>
    <col min="5" max="5" width="2.7109375" style="73" customWidth="1"/>
    <col min="6" max="6" width="14.7109375" style="74" customWidth="1"/>
    <col min="7" max="7" width="2.7109375" style="74" customWidth="1"/>
    <col min="8" max="8" width="16.5703125" style="73" bestFit="1" customWidth="1"/>
    <col min="9" max="9" width="8.7109375" style="73" customWidth="1"/>
    <col min="10" max="12" width="2.7109375" style="73" customWidth="1"/>
    <col min="13" max="15" width="10.7109375" style="73" customWidth="1"/>
    <col min="16" max="16" width="6.140625" style="73" customWidth="1"/>
    <col min="17" max="17" width="8.140625" style="73" customWidth="1"/>
    <col min="18" max="18" width="2.42578125" style="73" customWidth="1"/>
    <col min="19" max="19" width="6.7109375" style="73" customWidth="1"/>
    <col min="20" max="20" width="10.7109375" style="73" customWidth="1"/>
    <col min="21" max="21" width="2.7109375" style="73" customWidth="1"/>
    <col min="22" max="22" width="10.7109375" style="73" customWidth="1"/>
    <col min="23" max="23" width="11.7109375" style="73" bestFit="1" customWidth="1"/>
    <col min="24" max="24" width="2.140625" style="73" customWidth="1"/>
    <col min="25" max="25" width="11.85546875" style="73" bestFit="1" customWidth="1"/>
    <col min="26" max="26" width="1.85546875" style="73" customWidth="1"/>
    <col min="27" max="27" width="4" style="73" bestFit="1" customWidth="1"/>
    <col min="28" max="29" width="10.7109375" style="73" customWidth="1"/>
    <col min="30" max="16384" width="9.7109375" style="73"/>
  </cols>
  <sheetData>
    <row r="1" spans="2:29" ht="12.75" customHeight="1" thickBot="1" x14ac:dyDescent="0.25"/>
    <row r="2" spans="2:29" ht="12.75" customHeight="1" x14ac:dyDescent="0.2">
      <c r="B2" s="19"/>
      <c r="C2" s="20"/>
      <c r="D2" s="20"/>
      <c r="E2" s="20"/>
      <c r="F2" s="22"/>
      <c r="G2" s="22"/>
      <c r="H2" s="20"/>
      <c r="I2" s="20"/>
      <c r="J2" s="20"/>
      <c r="K2" s="23"/>
    </row>
    <row r="3" spans="2:29" ht="12.75" customHeight="1" x14ac:dyDescent="0.2">
      <c r="B3" s="24"/>
      <c r="C3" s="25"/>
      <c r="D3" s="25"/>
      <c r="E3" s="25"/>
      <c r="F3" s="27"/>
      <c r="G3" s="27"/>
      <c r="H3" s="25"/>
      <c r="I3" s="25"/>
      <c r="J3" s="25"/>
      <c r="K3" s="28"/>
    </row>
    <row r="4" spans="2:29" ht="18" customHeight="1" x14ac:dyDescent="0.25">
      <c r="B4" s="24"/>
      <c r="C4" s="30" t="s">
        <v>191</v>
      </c>
      <c r="D4" s="25"/>
      <c r="E4" s="25"/>
      <c r="F4" s="62"/>
      <c r="G4" s="62"/>
      <c r="H4" s="63"/>
      <c r="I4" s="25"/>
      <c r="J4" s="25"/>
      <c r="K4" s="28"/>
    </row>
    <row r="5" spans="2:29" s="79" customFormat="1" ht="12.75" customHeight="1" x14ac:dyDescent="0.2">
      <c r="B5" s="75"/>
      <c r="C5" s="76" t="s">
        <v>252</v>
      </c>
      <c r="D5" s="76"/>
      <c r="E5" s="76"/>
      <c r="F5" s="77"/>
      <c r="G5" s="77"/>
      <c r="H5" s="76"/>
      <c r="I5" s="76"/>
      <c r="J5" s="76"/>
      <c r="K5" s="78"/>
    </row>
    <row r="6" spans="2:29" ht="12.75" customHeight="1" x14ac:dyDescent="0.2">
      <c r="B6" s="24"/>
      <c r="C6" s="76"/>
      <c r="D6" s="61"/>
      <c r="E6" s="25"/>
      <c r="F6" s="27"/>
      <c r="G6" s="27"/>
      <c r="H6" s="25"/>
      <c r="I6" s="25"/>
      <c r="J6" s="25"/>
      <c r="K6" s="28"/>
    </row>
    <row r="7" spans="2:29" ht="12.75" customHeight="1" x14ac:dyDescent="0.2">
      <c r="B7" s="24"/>
      <c r="C7" s="148"/>
      <c r="D7" s="152"/>
      <c r="E7" s="148"/>
      <c r="F7" s="151"/>
      <c r="G7" s="151"/>
      <c r="H7" s="148"/>
      <c r="I7" s="148"/>
      <c r="J7" s="148"/>
      <c r="K7" s="28"/>
    </row>
    <row r="8" spans="2:29" ht="12.75" customHeight="1" x14ac:dyDescent="0.2">
      <c r="B8" s="24"/>
      <c r="C8" s="148"/>
      <c r="D8" s="148" t="s">
        <v>156</v>
      </c>
      <c r="E8" s="148"/>
      <c r="F8" s="552" t="s">
        <v>44</v>
      </c>
      <c r="G8" s="553"/>
      <c r="H8" s="549"/>
      <c r="I8" s="148"/>
      <c r="J8" s="148"/>
      <c r="K8" s="28"/>
    </row>
    <row r="9" spans="2:29" ht="12.75" customHeight="1" x14ac:dyDescent="0.25">
      <c r="B9" s="24"/>
      <c r="C9" s="148"/>
      <c r="D9" s="260" t="s">
        <v>192</v>
      </c>
      <c r="E9" s="260"/>
      <c r="F9" s="80" t="s">
        <v>31</v>
      </c>
      <c r="G9" s="268"/>
      <c r="H9" s="261"/>
      <c r="I9" s="148"/>
      <c r="J9" s="148"/>
      <c r="K9" s="28"/>
    </row>
    <row r="10" spans="2:29" ht="12.75" customHeight="1" x14ac:dyDescent="0.2">
      <c r="B10" s="24"/>
      <c r="C10" s="148"/>
      <c r="D10" s="152"/>
      <c r="E10" s="148"/>
      <c r="F10" s="151"/>
      <c r="G10" s="151"/>
      <c r="H10" s="198"/>
      <c r="I10" s="148"/>
      <c r="J10" s="148"/>
      <c r="K10" s="28"/>
    </row>
    <row r="11" spans="2:29" ht="12.75" customHeight="1" x14ac:dyDescent="0.2">
      <c r="B11" s="24"/>
      <c r="C11" s="25"/>
      <c r="D11" s="61"/>
      <c r="E11" s="25"/>
      <c r="F11" s="27"/>
      <c r="G11" s="27"/>
      <c r="H11" s="81"/>
      <c r="I11" s="25"/>
      <c r="J11" s="25"/>
      <c r="K11" s="28"/>
    </row>
    <row r="12" spans="2:29" ht="12.75" customHeight="1" x14ac:dyDescent="0.2">
      <c r="B12" s="24"/>
      <c r="C12" s="148"/>
      <c r="D12" s="152"/>
      <c r="E12" s="148"/>
      <c r="F12" s="151"/>
      <c r="G12" s="151"/>
      <c r="H12" s="198"/>
      <c r="I12" s="148"/>
      <c r="J12" s="148"/>
      <c r="K12" s="28"/>
      <c r="P12" s="82" t="s">
        <v>193</v>
      </c>
      <c r="Q12" s="83"/>
      <c r="R12" s="83"/>
      <c r="S12" s="83"/>
      <c r="T12" s="83"/>
      <c r="U12" s="83"/>
      <c r="V12" s="83"/>
      <c r="W12" s="83"/>
      <c r="X12" s="83"/>
      <c r="Y12" s="83"/>
      <c r="Z12" s="83"/>
      <c r="AA12" s="83"/>
      <c r="AB12" s="83"/>
      <c r="AC12" s="84"/>
    </row>
    <row r="13" spans="2:29" ht="12.75" customHeight="1" x14ac:dyDescent="0.2">
      <c r="B13" s="24"/>
      <c r="C13" s="148"/>
      <c r="D13" s="152" t="s">
        <v>194</v>
      </c>
      <c r="E13" s="148"/>
      <c r="F13" s="151"/>
      <c r="G13" s="151"/>
      <c r="H13" s="148"/>
      <c r="I13" s="148"/>
      <c r="J13" s="148"/>
      <c r="K13" s="28"/>
      <c r="P13" s="83"/>
      <c r="Q13" s="83"/>
      <c r="R13" s="83"/>
      <c r="S13" s="83"/>
      <c r="T13" s="83"/>
      <c r="U13" s="83"/>
      <c r="V13" s="83"/>
      <c r="W13" s="83"/>
      <c r="X13" s="83"/>
      <c r="Y13" s="83"/>
      <c r="Z13" s="83"/>
      <c r="AA13" s="83"/>
      <c r="AB13" s="83"/>
      <c r="AC13" s="83"/>
    </row>
    <row r="14" spans="2:29" ht="12.75" customHeight="1" x14ac:dyDescent="0.2">
      <c r="B14" s="24"/>
      <c r="C14" s="148"/>
      <c r="D14" s="152"/>
      <c r="E14" s="148"/>
      <c r="F14" s="151"/>
      <c r="G14" s="151"/>
      <c r="H14" s="148"/>
      <c r="I14" s="148"/>
      <c r="J14" s="148"/>
      <c r="K14" s="28"/>
      <c r="P14" s="83" t="s">
        <v>195</v>
      </c>
      <c r="Q14" s="83"/>
      <c r="R14" s="83"/>
      <c r="S14" s="83" t="s">
        <v>196</v>
      </c>
      <c r="T14" s="83"/>
      <c r="U14" s="83"/>
      <c r="V14" s="83"/>
      <c r="W14" s="83"/>
      <c r="X14" s="83"/>
      <c r="Y14" s="83" t="s">
        <v>197</v>
      </c>
      <c r="Z14" s="83"/>
      <c r="AA14" s="83"/>
      <c r="AB14" s="83"/>
      <c r="AC14" s="84"/>
    </row>
    <row r="15" spans="2:29" ht="12.75" customHeight="1" x14ac:dyDescent="0.2">
      <c r="B15" s="24"/>
      <c r="C15" s="148"/>
      <c r="D15" s="148" t="s">
        <v>47</v>
      </c>
      <c r="E15" s="148"/>
      <c r="F15" s="257">
        <v>7</v>
      </c>
      <c r="G15" s="263"/>
      <c r="H15" s="148"/>
      <c r="I15" s="148"/>
      <c r="J15" s="148"/>
      <c r="K15" s="28"/>
      <c r="P15" s="83">
        <f t="shared" ref="P15:P60" si="0">+$F$29</f>
        <v>8</v>
      </c>
      <c r="Q15" s="83">
        <f>+$F$30+AA15</f>
        <v>8</v>
      </c>
      <c r="R15" s="83"/>
      <c r="S15" s="83">
        <f t="shared" ref="S15:S60" si="1">+$F$15</f>
        <v>7</v>
      </c>
      <c r="T15" s="83">
        <f>+$F$16+AA15</f>
        <v>12</v>
      </c>
      <c r="U15" s="83"/>
      <c r="V15" s="85">
        <f t="shared" ref="V15:V60" si="2">IF(AA15+1&gt;$F$44,0,IF(Q15&gt;$I$30,VLOOKUP($P15,saltab2020aug,$I$30+1,FALSE),VLOOKUP($P15,saltab2020aug,Q15+1,FALSE))*12*(1+F$42))</f>
        <v>58404</v>
      </c>
      <c r="W15" s="85">
        <f t="shared" ref="W15:W60" si="3">IF(AA15+1&gt;$F$44,0,IF(T15&gt;$I$16,VLOOKUP($S15,saltab2020aug,$I$16+1,FALSE),VLOOKUP($S15,saltab2020aug,T15+1,FALSE))*12*(1+F$42))</f>
        <v>57064.800000000003</v>
      </c>
      <c r="X15" s="83"/>
      <c r="Y15" s="85">
        <f t="shared" ref="Y15:Y60" si="4">+V15-W15</f>
        <v>1339.1999999999971</v>
      </c>
      <c r="Z15" s="83"/>
      <c r="AA15" s="83">
        <v>0</v>
      </c>
      <c r="AB15" s="83"/>
      <c r="AC15" s="84" t="s">
        <v>5</v>
      </c>
    </row>
    <row r="16" spans="2:29" ht="12.75" customHeight="1" x14ac:dyDescent="0.2">
      <c r="B16" s="24"/>
      <c r="C16" s="148"/>
      <c r="D16" s="148" t="s">
        <v>48</v>
      </c>
      <c r="E16" s="148"/>
      <c r="F16" s="204">
        <v>12</v>
      </c>
      <c r="G16" s="151"/>
      <c r="H16" s="241" t="s">
        <v>198</v>
      </c>
      <c r="I16" s="240">
        <f>VLOOKUP(F$15,saltab2020aug,18,FALSE)</f>
        <v>12</v>
      </c>
      <c r="J16" s="148"/>
      <c r="K16" s="28"/>
      <c r="P16" s="83">
        <f t="shared" si="0"/>
        <v>8</v>
      </c>
      <c r="Q16" s="83">
        <f t="shared" ref="Q16:Q60" si="5">+$F$30+AA16</f>
        <v>9</v>
      </c>
      <c r="R16" s="83"/>
      <c r="S16" s="83">
        <f t="shared" si="1"/>
        <v>7</v>
      </c>
      <c r="T16" s="83">
        <f t="shared" ref="T16:T60" si="6">+$F$16+AA16</f>
        <v>13</v>
      </c>
      <c r="U16" s="83"/>
      <c r="V16" s="85">
        <f t="shared" si="2"/>
        <v>59594.400000000001</v>
      </c>
      <c r="W16" s="85">
        <f t="shared" si="3"/>
        <v>57064.800000000003</v>
      </c>
      <c r="X16" s="83"/>
      <c r="Y16" s="85">
        <f t="shared" si="4"/>
        <v>2529.5999999999985</v>
      </c>
      <c r="Z16" s="83"/>
      <c r="AA16" s="83">
        <v>1</v>
      </c>
      <c r="AB16" s="86"/>
      <c r="AC16" s="84" t="s">
        <v>6</v>
      </c>
    </row>
    <row r="17" spans="2:29" ht="12.75" customHeight="1" x14ac:dyDescent="0.2">
      <c r="B17" s="24"/>
      <c r="C17" s="148"/>
      <c r="D17" s="148" t="s">
        <v>51</v>
      </c>
      <c r="E17" s="148"/>
      <c r="F17" s="210">
        <f>VLOOKUP(F15,saltab2020aug,IF(F16&gt;15,16,F16+1),FALSE)</f>
        <v>3068</v>
      </c>
      <c r="G17" s="237"/>
      <c r="H17" s="262"/>
      <c r="I17" s="177"/>
      <c r="J17" s="148"/>
      <c r="K17" s="28"/>
      <c r="P17" s="83">
        <f t="shared" si="0"/>
        <v>8</v>
      </c>
      <c r="Q17" s="83">
        <f t="shared" si="5"/>
        <v>10</v>
      </c>
      <c r="R17" s="83"/>
      <c r="S17" s="83">
        <f t="shared" si="1"/>
        <v>7</v>
      </c>
      <c r="T17" s="83">
        <f t="shared" si="6"/>
        <v>14</v>
      </c>
      <c r="U17" s="83"/>
      <c r="V17" s="85">
        <f t="shared" si="2"/>
        <v>60896.4</v>
      </c>
      <c r="W17" s="85">
        <f t="shared" si="3"/>
        <v>57064.800000000003</v>
      </c>
      <c r="X17" s="83"/>
      <c r="Y17" s="85">
        <f t="shared" si="4"/>
        <v>3831.5999999999985</v>
      </c>
      <c r="Z17" s="83"/>
      <c r="AA17" s="83">
        <v>2</v>
      </c>
      <c r="AB17" s="83"/>
      <c r="AC17" s="84" t="s">
        <v>7</v>
      </c>
    </row>
    <row r="18" spans="2:29" ht="12.75" customHeight="1" x14ac:dyDescent="0.2">
      <c r="B18" s="24"/>
      <c r="C18" s="148"/>
      <c r="D18" s="148" t="s">
        <v>199</v>
      </c>
      <c r="E18" s="148"/>
      <c r="F18" s="210">
        <f>IF(F16=I16,VLOOKUP(F9,bindingstoelage,3,FALSE),0)+IF(F9="leraar",1,0)*IF(F16=I16,IF(F15="LB",tabellen!D22,IF(F15="LC",tabellen!D23,IF(F15="LD",tabellen!D24,0))),0)</f>
        <v>21.67</v>
      </c>
      <c r="G18" s="237"/>
      <c r="H18" s="262"/>
      <c r="I18" s="177"/>
      <c r="J18" s="148"/>
      <c r="K18" s="28"/>
      <c r="P18" s="83">
        <f t="shared" si="0"/>
        <v>8</v>
      </c>
      <c r="Q18" s="83">
        <f t="shared" si="5"/>
        <v>11</v>
      </c>
      <c r="R18" s="83"/>
      <c r="S18" s="83">
        <f t="shared" si="1"/>
        <v>7</v>
      </c>
      <c r="T18" s="83">
        <f t="shared" si="6"/>
        <v>15</v>
      </c>
      <c r="U18" s="83"/>
      <c r="V18" s="85">
        <f t="shared" si="2"/>
        <v>62161.200000000004</v>
      </c>
      <c r="W18" s="85">
        <f t="shared" si="3"/>
        <v>57064.800000000003</v>
      </c>
      <c r="X18" s="83"/>
      <c r="Y18" s="85">
        <f t="shared" si="4"/>
        <v>5096.4000000000015</v>
      </c>
      <c r="Z18" s="83"/>
      <c r="AA18" s="83">
        <v>3</v>
      </c>
      <c r="AB18" s="83"/>
      <c r="AC18" s="84" t="s">
        <v>8</v>
      </c>
    </row>
    <row r="19" spans="2:29" ht="12.75" customHeight="1" x14ac:dyDescent="0.2">
      <c r="B19" s="24"/>
      <c r="C19" s="148"/>
      <c r="D19" s="152" t="s">
        <v>52</v>
      </c>
      <c r="E19" s="148"/>
      <c r="F19" s="253">
        <v>1</v>
      </c>
      <c r="G19" s="242"/>
      <c r="H19" s="262"/>
      <c r="I19" s="177"/>
      <c r="J19" s="148"/>
      <c r="K19" s="28"/>
      <c r="P19" s="83">
        <f t="shared" si="0"/>
        <v>8</v>
      </c>
      <c r="Q19" s="83">
        <f t="shared" si="5"/>
        <v>12</v>
      </c>
      <c r="R19" s="83"/>
      <c r="S19" s="83">
        <f t="shared" si="1"/>
        <v>7</v>
      </c>
      <c r="T19" s="83">
        <f t="shared" si="6"/>
        <v>16</v>
      </c>
      <c r="U19" s="83"/>
      <c r="V19" s="85">
        <f t="shared" si="2"/>
        <v>63351.6</v>
      </c>
      <c r="W19" s="85">
        <f t="shared" si="3"/>
        <v>57064.800000000003</v>
      </c>
      <c r="X19" s="83"/>
      <c r="Y19" s="85">
        <f t="shared" si="4"/>
        <v>6286.7999999999956</v>
      </c>
      <c r="Z19" s="83"/>
      <c r="AA19" s="83">
        <v>4</v>
      </c>
      <c r="AB19" s="83"/>
      <c r="AC19" s="84">
        <v>1</v>
      </c>
    </row>
    <row r="20" spans="2:29" ht="12.75" customHeight="1" x14ac:dyDescent="0.2">
      <c r="B20" s="24"/>
      <c r="C20" s="148"/>
      <c r="D20" s="148" t="s">
        <v>53</v>
      </c>
      <c r="E20" s="148"/>
      <c r="F20" s="256">
        <f>ROUND(+(F17+F18)*F19,2)</f>
        <v>3089.67</v>
      </c>
      <c r="G20" s="237"/>
      <c r="H20" s="262"/>
      <c r="I20" s="177"/>
      <c r="J20" s="148"/>
      <c r="K20" s="28"/>
      <c r="P20" s="83">
        <f t="shared" si="0"/>
        <v>8</v>
      </c>
      <c r="Q20" s="83">
        <f t="shared" si="5"/>
        <v>13</v>
      </c>
      <c r="R20" s="83"/>
      <c r="S20" s="83">
        <f t="shared" si="1"/>
        <v>7</v>
      </c>
      <c r="T20" s="83">
        <f t="shared" si="6"/>
        <v>17</v>
      </c>
      <c r="U20" s="83"/>
      <c r="V20" s="85">
        <f t="shared" si="2"/>
        <v>64486.200000000004</v>
      </c>
      <c r="W20" s="85">
        <f t="shared" si="3"/>
        <v>57064.800000000003</v>
      </c>
      <c r="X20" s="83"/>
      <c r="Y20" s="85">
        <f t="shared" si="4"/>
        <v>7421.4000000000015</v>
      </c>
      <c r="Z20" s="83"/>
      <c r="AA20" s="83">
        <v>5</v>
      </c>
      <c r="AB20" s="83"/>
      <c r="AC20" s="84">
        <v>2</v>
      </c>
    </row>
    <row r="21" spans="2:29" ht="12.75" customHeight="1" x14ac:dyDescent="0.2">
      <c r="B21" s="24"/>
      <c r="C21" s="148"/>
      <c r="D21" s="148"/>
      <c r="E21" s="148"/>
      <c r="F21" s="237"/>
      <c r="G21" s="237"/>
      <c r="H21" s="262"/>
      <c r="I21" s="177"/>
      <c r="J21" s="148"/>
      <c r="K21" s="28"/>
      <c r="P21" s="83">
        <f t="shared" si="0"/>
        <v>8</v>
      </c>
      <c r="Q21" s="83">
        <f t="shared" si="5"/>
        <v>14</v>
      </c>
      <c r="R21" s="83"/>
      <c r="S21" s="83">
        <f t="shared" si="1"/>
        <v>7</v>
      </c>
      <c r="T21" s="83">
        <f t="shared" si="6"/>
        <v>18</v>
      </c>
      <c r="U21" s="83"/>
      <c r="V21" s="85">
        <f t="shared" si="2"/>
        <v>64486.200000000004</v>
      </c>
      <c r="W21" s="85">
        <f t="shared" si="3"/>
        <v>57064.800000000003</v>
      </c>
      <c r="X21" s="83"/>
      <c r="Y21" s="85">
        <f t="shared" si="4"/>
        <v>7421.4000000000015</v>
      </c>
      <c r="Z21" s="83"/>
      <c r="AA21" s="83">
        <v>6</v>
      </c>
      <c r="AB21" s="83"/>
      <c r="AC21" s="84">
        <v>3</v>
      </c>
    </row>
    <row r="22" spans="2:29" ht="12.75" customHeight="1" x14ac:dyDescent="0.2">
      <c r="B22" s="24"/>
      <c r="C22" s="148"/>
      <c r="D22" s="152" t="s">
        <v>253</v>
      </c>
      <c r="E22" s="148"/>
      <c r="F22" s="223">
        <v>49</v>
      </c>
      <c r="G22" s="151"/>
      <c r="H22" s="262"/>
      <c r="I22" s="177"/>
      <c r="J22" s="148"/>
      <c r="K22" s="28"/>
      <c r="P22" s="83">
        <f t="shared" si="0"/>
        <v>8</v>
      </c>
      <c r="Q22" s="83">
        <f t="shared" si="5"/>
        <v>15</v>
      </c>
      <c r="R22" s="83"/>
      <c r="S22" s="83">
        <f t="shared" si="1"/>
        <v>7</v>
      </c>
      <c r="T22" s="83">
        <f t="shared" si="6"/>
        <v>19</v>
      </c>
      <c r="U22" s="83"/>
      <c r="V22" s="85">
        <f t="shared" si="2"/>
        <v>64486.200000000004</v>
      </c>
      <c r="W22" s="85">
        <f t="shared" si="3"/>
        <v>57064.800000000003</v>
      </c>
      <c r="X22" s="83"/>
      <c r="Y22" s="85">
        <f t="shared" si="4"/>
        <v>7421.4000000000015</v>
      </c>
      <c r="Z22" s="83"/>
      <c r="AA22" s="83">
        <v>7</v>
      </c>
      <c r="AB22" s="83"/>
      <c r="AC22" s="84">
        <v>4</v>
      </c>
    </row>
    <row r="23" spans="2:29" ht="12.75" customHeight="1" x14ac:dyDescent="0.2">
      <c r="B23" s="24"/>
      <c r="C23" s="148"/>
      <c r="D23" s="148" t="s">
        <v>200</v>
      </c>
      <c r="E23" s="148"/>
      <c r="F23" s="216">
        <v>66</v>
      </c>
      <c r="G23" s="151"/>
      <c r="H23" s="262"/>
      <c r="I23" s="177"/>
      <c r="J23" s="148"/>
      <c r="K23" s="28"/>
      <c r="P23" s="83">
        <f t="shared" si="0"/>
        <v>8</v>
      </c>
      <c r="Q23" s="83">
        <f t="shared" si="5"/>
        <v>16</v>
      </c>
      <c r="R23" s="83"/>
      <c r="S23" s="83">
        <f t="shared" si="1"/>
        <v>7</v>
      </c>
      <c r="T23" s="83">
        <f t="shared" si="6"/>
        <v>20</v>
      </c>
      <c r="U23" s="83"/>
      <c r="V23" s="85">
        <f t="shared" si="2"/>
        <v>64486.200000000004</v>
      </c>
      <c r="W23" s="85">
        <f t="shared" si="3"/>
        <v>57064.800000000003</v>
      </c>
      <c r="X23" s="83"/>
      <c r="Y23" s="85">
        <f t="shared" si="4"/>
        <v>7421.4000000000015</v>
      </c>
      <c r="Z23" s="83"/>
      <c r="AA23" s="83">
        <v>8</v>
      </c>
      <c r="AB23" s="83"/>
      <c r="AC23" s="84">
        <v>5</v>
      </c>
    </row>
    <row r="24" spans="2:29" ht="12.75" customHeight="1" x14ac:dyDescent="0.2">
      <c r="B24" s="24"/>
      <c r="C24" s="148"/>
      <c r="D24" s="148"/>
      <c r="E24" s="148"/>
      <c r="F24" s="151"/>
      <c r="G24" s="151"/>
      <c r="H24" s="262"/>
      <c r="I24" s="177"/>
      <c r="J24" s="148"/>
      <c r="K24" s="28"/>
      <c r="P24" s="83">
        <f t="shared" si="0"/>
        <v>8</v>
      </c>
      <c r="Q24" s="83">
        <f t="shared" si="5"/>
        <v>17</v>
      </c>
      <c r="R24" s="83"/>
      <c r="S24" s="83">
        <f t="shared" si="1"/>
        <v>7</v>
      </c>
      <c r="T24" s="83">
        <f t="shared" si="6"/>
        <v>21</v>
      </c>
      <c r="U24" s="83"/>
      <c r="V24" s="85">
        <f t="shared" si="2"/>
        <v>64486.200000000004</v>
      </c>
      <c r="W24" s="85">
        <f t="shared" si="3"/>
        <v>57064.800000000003</v>
      </c>
      <c r="X24" s="83"/>
      <c r="Y24" s="85">
        <f t="shared" si="4"/>
        <v>7421.4000000000015</v>
      </c>
      <c r="Z24" s="83"/>
      <c r="AA24" s="83">
        <v>9</v>
      </c>
      <c r="AB24" s="83"/>
      <c r="AC24" s="84">
        <v>6</v>
      </c>
    </row>
    <row r="25" spans="2:29" ht="12.75" customHeight="1" x14ac:dyDescent="0.2">
      <c r="B25" s="24"/>
      <c r="C25" s="25"/>
      <c r="D25" s="25"/>
      <c r="E25" s="25"/>
      <c r="F25" s="27"/>
      <c r="G25" s="27"/>
      <c r="H25" s="87"/>
      <c r="I25" s="77"/>
      <c r="J25" s="25"/>
      <c r="K25" s="28"/>
      <c r="P25" s="83">
        <f t="shared" si="0"/>
        <v>8</v>
      </c>
      <c r="Q25" s="83">
        <f t="shared" si="5"/>
        <v>18</v>
      </c>
      <c r="R25" s="83"/>
      <c r="S25" s="83">
        <f t="shared" si="1"/>
        <v>7</v>
      </c>
      <c r="T25" s="83">
        <f t="shared" si="6"/>
        <v>22</v>
      </c>
      <c r="U25" s="83"/>
      <c r="V25" s="85">
        <f t="shared" si="2"/>
        <v>64486.200000000004</v>
      </c>
      <c r="W25" s="85">
        <f t="shared" si="3"/>
        <v>57064.800000000003</v>
      </c>
      <c r="X25" s="83"/>
      <c r="Y25" s="85">
        <f t="shared" si="4"/>
        <v>7421.4000000000015</v>
      </c>
      <c r="Z25" s="83"/>
      <c r="AA25" s="83">
        <v>10</v>
      </c>
      <c r="AB25" s="83"/>
      <c r="AC25" s="84">
        <v>7</v>
      </c>
    </row>
    <row r="26" spans="2:29" ht="12.75" customHeight="1" x14ac:dyDescent="0.2">
      <c r="B26" s="24"/>
      <c r="C26" s="148"/>
      <c r="D26" s="148"/>
      <c r="E26" s="148"/>
      <c r="F26" s="151"/>
      <c r="G26" s="151"/>
      <c r="H26" s="262"/>
      <c r="I26" s="177"/>
      <c r="J26" s="148"/>
      <c r="K26" s="28"/>
      <c r="P26" s="83">
        <f t="shared" si="0"/>
        <v>8</v>
      </c>
      <c r="Q26" s="83">
        <f t="shared" si="5"/>
        <v>19</v>
      </c>
      <c r="R26" s="83"/>
      <c r="S26" s="83">
        <f t="shared" si="1"/>
        <v>7</v>
      </c>
      <c r="T26" s="83">
        <f t="shared" si="6"/>
        <v>23</v>
      </c>
      <c r="U26" s="83"/>
      <c r="V26" s="85">
        <f t="shared" si="2"/>
        <v>64486.200000000004</v>
      </c>
      <c r="W26" s="85">
        <f t="shared" si="3"/>
        <v>57064.800000000003</v>
      </c>
      <c r="X26" s="83"/>
      <c r="Y26" s="85">
        <f t="shared" si="4"/>
        <v>7421.4000000000015</v>
      </c>
      <c r="Z26" s="83"/>
      <c r="AA26" s="83">
        <v>11</v>
      </c>
      <c r="AB26" s="83"/>
      <c r="AC26" s="84">
        <v>8</v>
      </c>
    </row>
    <row r="27" spans="2:29" ht="12.75" customHeight="1" x14ac:dyDescent="0.2">
      <c r="B27" s="24"/>
      <c r="C27" s="148"/>
      <c r="D27" s="152" t="s">
        <v>201</v>
      </c>
      <c r="E27" s="148"/>
      <c r="F27" s="151"/>
      <c r="G27" s="151"/>
      <c r="H27" s="262"/>
      <c r="I27" s="177"/>
      <c r="J27" s="148"/>
      <c r="K27" s="28"/>
      <c r="P27" s="83">
        <f t="shared" si="0"/>
        <v>8</v>
      </c>
      <c r="Q27" s="83">
        <f t="shared" si="5"/>
        <v>20</v>
      </c>
      <c r="R27" s="83"/>
      <c r="S27" s="83">
        <f t="shared" si="1"/>
        <v>7</v>
      </c>
      <c r="T27" s="83">
        <f t="shared" si="6"/>
        <v>24</v>
      </c>
      <c r="U27" s="83"/>
      <c r="V27" s="85">
        <f t="shared" si="2"/>
        <v>64486.200000000004</v>
      </c>
      <c r="W27" s="85">
        <f t="shared" si="3"/>
        <v>57064.800000000003</v>
      </c>
      <c r="X27" s="83"/>
      <c r="Y27" s="85">
        <f t="shared" si="4"/>
        <v>7421.4000000000015</v>
      </c>
      <c r="Z27" s="83"/>
      <c r="AA27" s="83">
        <v>12</v>
      </c>
      <c r="AB27" s="83"/>
      <c r="AC27" s="84">
        <v>9</v>
      </c>
    </row>
    <row r="28" spans="2:29" ht="12.75" customHeight="1" x14ac:dyDescent="0.2">
      <c r="B28" s="24"/>
      <c r="C28" s="148"/>
      <c r="D28" s="152"/>
      <c r="E28" s="148"/>
      <c r="F28" s="151"/>
      <c r="G28" s="151"/>
      <c r="H28" s="262"/>
      <c r="I28" s="177"/>
      <c r="J28" s="148"/>
      <c r="K28" s="28"/>
      <c r="P28" s="83">
        <f t="shared" si="0"/>
        <v>8</v>
      </c>
      <c r="Q28" s="83">
        <f t="shared" si="5"/>
        <v>21</v>
      </c>
      <c r="R28" s="83"/>
      <c r="S28" s="83">
        <f t="shared" si="1"/>
        <v>7</v>
      </c>
      <c r="T28" s="83">
        <f t="shared" si="6"/>
        <v>25</v>
      </c>
      <c r="U28" s="83"/>
      <c r="V28" s="85">
        <f t="shared" si="2"/>
        <v>64486.200000000004</v>
      </c>
      <c r="W28" s="85">
        <f t="shared" si="3"/>
        <v>57064.800000000003</v>
      </c>
      <c r="X28" s="83"/>
      <c r="Y28" s="85">
        <f t="shared" si="4"/>
        <v>7421.4000000000015</v>
      </c>
      <c r="Z28" s="83"/>
      <c r="AA28" s="83">
        <v>13</v>
      </c>
      <c r="AB28" s="83"/>
      <c r="AC28" s="84">
        <v>10</v>
      </c>
    </row>
    <row r="29" spans="2:29" ht="12.75" customHeight="1" x14ac:dyDescent="0.2">
      <c r="B29" s="24"/>
      <c r="C29" s="148"/>
      <c r="D29" s="148" t="s">
        <v>47</v>
      </c>
      <c r="E29" s="148"/>
      <c r="F29" s="257">
        <v>8</v>
      </c>
      <c r="G29" s="263"/>
      <c r="H29" s="262"/>
      <c r="I29" s="177"/>
      <c r="J29" s="148"/>
      <c r="K29" s="28"/>
      <c r="P29" s="83">
        <f t="shared" si="0"/>
        <v>8</v>
      </c>
      <c r="Q29" s="83">
        <f t="shared" si="5"/>
        <v>22</v>
      </c>
      <c r="R29" s="83"/>
      <c r="S29" s="83">
        <f t="shared" si="1"/>
        <v>7</v>
      </c>
      <c r="T29" s="83">
        <f t="shared" si="6"/>
        <v>26</v>
      </c>
      <c r="U29" s="83"/>
      <c r="V29" s="85">
        <f t="shared" si="2"/>
        <v>64486.200000000004</v>
      </c>
      <c r="W29" s="85">
        <f t="shared" si="3"/>
        <v>57064.800000000003</v>
      </c>
      <c r="X29" s="83"/>
      <c r="Y29" s="85">
        <f t="shared" si="4"/>
        <v>7421.4000000000015</v>
      </c>
      <c r="Z29" s="83"/>
      <c r="AA29" s="83">
        <v>14</v>
      </c>
      <c r="AB29" s="83"/>
      <c r="AC29" s="84">
        <v>11</v>
      </c>
    </row>
    <row r="30" spans="2:29" ht="12.75" customHeight="1" x14ac:dyDescent="0.2">
      <c r="B30" s="24"/>
      <c r="C30" s="148"/>
      <c r="D30" s="148" t="s">
        <v>48</v>
      </c>
      <c r="E30" s="148"/>
      <c r="F30" s="204">
        <v>8</v>
      </c>
      <c r="G30" s="151"/>
      <c r="H30" s="241" t="s">
        <v>198</v>
      </c>
      <c r="I30" s="240">
        <f>VLOOKUP(F29,saltab2020aug,18,FALSE)</f>
        <v>13</v>
      </c>
      <c r="J30" s="148"/>
      <c r="K30" s="28"/>
      <c r="P30" s="83">
        <f t="shared" si="0"/>
        <v>8</v>
      </c>
      <c r="Q30" s="83">
        <f t="shared" si="5"/>
        <v>23</v>
      </c>
      <c r="R30" s="83"/>
      <c r="S30" s="83">
        <f t="shared" si="1"/>
        <v>7</v>
      </c>
      <c r="T30" s="83">
        <f t="shared" si="6"/>
        <v>27</v>
      </c>
      <c r="U30" s="83"/>
      <c r="V30" s="85">
        <f t="shared" si="2"/>
        <v>64486.200000000004</v>
      </c>
      <c r="W30" s="85">
        <f t="shared" si="3"/>
        <v>57064.800000000003</v>
      </c>
      <c r="X30" s="83"/>
      <c r="Y30" s="85">
        <f t="shared" si="4"/>
        <v>7421.4000000000015</v>
      </c>
      <c r="Z30" s="83"/>
      <c r="AA30" s="83">
        <v>15</v>
      </c>
      <c r="AB30" s="83"/>
      <c r="AC30" s="84">
        <v>12</v>
      </c>
    </row>
    <row r="31" spans="2:29" ht="12.75" customHeight="1" x14ac:dyDescent="0.2">
      <c r="B31" s="24"/>
      <c r="C31" s="148"/>
      <c r="D31" s="148" t="s">
        <v>51</v>
      </c>
      <c r="E31" s="148"/>
      <c r="F31" s="256">
        <f>VLOOKUP(F29,saltab2020aug,IF(F30&gt;15,16,F30+1),FALSE)</f>
        <v>3140</v>
      </c>
      <c r="G31" s="237"/>
      <c r="H31" s="148"/>
      <c r="I31" s="148"/>
      <c r="J31" s="148"/>
      <c r="K31" s="28"/>
      <c r="P31" s="83">
        <f t="shared" si="0"/>
        <v>8</v>
      </c>
      <c r="Q31" s="83">
        <f t="shared" si="5"/>
        <v>24</v>
      </c>
      <c r="R31" s="83"/>
      <c r="S31" s="83">
        <f t="shared" si="1"/>
        <v>7</v>
      </c>
      <c r="T31" s="83">
        <f t="shared" si="6"/>
        <v>28</v>
      </c>
      <c r="U31" s="83"/>
      <c r="V31" s="85">
        <f t="shared" si="2"/>
        <v>64486.200000000004</v>
      </c>
      <c r="W31" s="85">
        <f t="shared" si="3"/>
        <v>57064.800000000003</v>
      </c>
      <c r="X31" s="83"/>
      <c r="Y31" s="85">
        <f t="shared" si="4"/>
        <v>7421.4000000000015</v>
      </c>
      <c r="Z31" s="83"/>
      <c r="AA31" s="83">
        <v>16</v>
      </c>
      <c r="AB31" s="83"/>
      <c r="AC31" s="84">
        <v>13</v>
      </c>
    </row>
    <row r="32" spans="2:29" ht="12.75" customHeight="1" x14ac:dyDescent="0.2">
      <c r="B32" s="24"/>
      <c r="C32" s="148"/>
      <c r="D32" s="148"/>
      <c r="E32" s="148"/>
      <c r="F32" s="237"/>
      <c r="G32" s="237"/>
      <c r="H32" s="148"/>
      <c r="I32" s="148"/>
      <c r="J32" s="148"/>
      <c r="K32" s="28"/>
      <c r="P32" s="83">
        <f t="shared" si="0"/>
        <v>8</v>
      </c>
      <c r="Q32" s="83">
        <f t="shared" si="5"/>
        <v>25</v>
      </c>
      <c r="R32" s="83"/>
      <c r="S32" s="83">
        <f t="shared" si="1"/>
        <v>7</v>
      </c>
      <c r="T32" s="83">
        <f t="shared" si="6"/>
        <v>29</v>
      </c>
      <c r="U32" s="83"/>
      <c r="V32" s="85">
        <f t="shared" si="2"/>
        <v>0</v>
      </c>
      <c r="W32" s="85">
        <f t="shared" si="3"/>
        <v>0</v>
      </c>
      <c r="X32" s="83"/>
      <c r="Y32" s="85">
        <f t="shared" si="4"/>
        <v>0</v>
      </c>
      <c r="Z32" s="83"/>
      <c r="AA32" s="83">
        <v>17</v>
      </c>
      <c r="AB32" s="83"/>
      <c r="AC32" s="84">
        <v>14</v>
      </c>
    </row>
    <row r="33" spans="2:29" ht="12.75" customHeight="1" x14ac:dyDescent="0.2">
      <c r="B33" s="24"/>
      <c r="C33" s="148"/>
      <c r="D33" s="152" t="s">
        <v>202</v>
      </c>
      <c r="E33" s="148"/>
      <c r="F33" s="258" t="s">
        <v>203</v>
      </c>
      <c r="G33" s="264"/>
      <c r="H33" s="148"/>
      <c r="I33" s="148"/>
      <c r="J33" s="148"/>
      <c r="K33" s="28"/>
      <c r="P33" s="83">
        <f t="shared" si="0"/>
        <v>8</v>
      </c>
      <c r="Q33" s="83">
        <f t="shared" si="5"/>
        <v>26</v>
      </c>
      <c r="R33" s="83"/>
      <c r="S33" s="83">
        <f t="shared" si="1"/>
        <v>7</v>
      </c>
      <c r="T33" s="83">
        <f t="shared" si="6"/>
        <v>30</v>
      </c>
      <c r="U33" s="83"/>
      <c r="V33" s="85">
        <f t="shared" si="2"/>
        <v>0</v>
      </c>
      <c r="W33" s="85">
        <f t="shared" si="3"/>
        <v>0</v>
      </c>
      <c r="X33" s="83"/>
      <c r="Y33" s="85">
        <f t="shared" si="4"/>
        <v>0</v>
      </c>
      <c r="Z33" s="83"/>
      <c r="AA33" s="83">
        <v>18</v>
      </c>
      <c r="AB33" s="83"/>
      <c r="AC33" s="84">
        <v>15</v>
      </c>
    </row>
    <row r="34" spans="2:29" ht="12.75" customHeight="1" x14ac:dyDescent="0.2">
      <c r="B34" s="24"/>
      <c r="C34" s="148"/>
      <c r="D34" s="148" t="s">
        <v>204</v>
      </c>
      <c r="E34" s="148"/>
      <c r="F34" s="254">
        <v>0</v>
      </c>
      <c r="G34" s="264"/>
      <c r="H34" s="148"/>
      <c r="I34" s="148"/>
      <c r="J34" s="148"/>
      <c r="K34" s="28"/>
      <c r="P34" s="83">
        <f t="shared" si="0"/>
        <v>8</v>
      </c>
      <c r="Q34" s="83">
        <f t="shared" si="5"/>
        <v>27</v>
      </c>
      <c r="R34" s="83"/>
      <c r="S34" s="83">
        <f t="shared" si="1"/>
        <v>7</v>
      </c>
      <c r="T34" s="83">
        <f t="shared" si="6"/>
        <v>31</v>
      </c>
      <c r="U34" s="83"/>
      <c r="V34" s="85">
        <f t="shared" si="2"/>
        <v>0</v>
      </c>
      <c r="W34" s="85">
        <f t="shared" si="3"/>
        <v>0</v>
      </c>
      <c r="X34" s="83"/>
      <c r="Y34" s="85">
        <f t="shared" si="4"/>
        <v>0</v>
      </c>
      <c r="Z34" s="83"/>
      <c r="AA34" s="83">
        <v>19</v>
      </c>
      <c r="AB34" s="83"/>
      <c r="AC34" s="84">
        <v>16</v>
      </c>
    </row>
    <row r="35" spans="2:29" ht="12.75" customHeight="1" x14ac:dyDescent="0.2">
      <c r="B35" s="24"/>
      <c r="C35" s="148"/>
      <c r="D35" s="148" t="s">
        <v>53</v>
      </c>
      <c r="E35" s="148"/>
      <c r="F35" s="256">
        <f>ROUND(IF(F33="ja",F31*F34,F31*F19),2)</f>
        <v>3140</v>
      </c>
      <c r="G35" s="237"/>
      <c r="H35" s="148"/>
      <c r="I35" s="148"/>
      <c r="J35" s="148"/>
      <c r="K35" s="28"/>
      <c r="P35" s="83">
        <f t="shared" si="0"/>
        <v>8</v>
      </c>
      <c r="Q35" s="83">
        <f t="shared" si="5"/>
        <v>28</v>
      </c>
      <c r="R35" s="83"/>
      <c r="S35" s="83">
        <f t="shared" si="1"/>
        <v>7</v>
      </c>
      <c r="T35" s="83">
        <f t="shared" si="6"/>
        <v>32</v>
      </c>
      <c r="U35" s="83"/>
      <c r="V35" s="85">
        <f t="shared" si="2"/>
        <v>0</v>
      </c>
      <c r="W35" s="85">
        <f t="shared" si="3"/>
        <v>0</v>
      </c>
      <c r="X35" s="83"/>
      <c r="Y35" s="85">
        <f t="shared" si="4"/>
        <v>0</v>
      </c>
      <c r="Z35" s="83"/>
      <c r="AA35" s="83">
        <v>20</v>
      </c>
      <c r="AB35" s="83"/>
      <c r="AC35" s="84">
        <v>17</v>
      </c>
    </row>
    <row r="36" spans="2:29" ht="12.75" customHeight="1" x14ac:dyDescent="0.2">
      <c r="B36" s="24"/>
      <c r="C36" s="148"/>
      <c r="D36" s="148"/>
      <c r="E36" s="148"/>
      <c r="F36" s="151"/>
      <c r="G36" s="151"/>
      <c r="H36" s="148"/>
      <c r="I36" s="148"/>
      <c r="J36" s="148"/>
      <c r="K36" s="28"/>
      <c r="P36" s="83">
        <f t="shared" si="0"/>
        <v>8</v>
      </c>
      <c r="Q36" s="83">
        <f t="shared" si="5"/>
        <v>29</v>
      </c>
      <c r="R36" s="83"/>
      <c r="S36" s="83">
        <f t="shared" si="1"/>
        <v>7</v>
      </c>
      <c r="T36" s="83">
        <f t="shared" si="6"/>
        <v>33</v>
      </c>
      <c r="U36" s="83"/>
      <c r="V36" s="85">
        <f t="shared" si="2"/>
        <v>0</v>
      </c>
      <c r="W36" s="85">
        <f t="shared" si="3"/>
        <v>0</v>
      </c>
      <c r="X36" s="83"/>
      <c r="Y36" s="85">
        <f t="shared" si="4"/>
        <v>0</v>
      </c>
      <c r="Z36" s="83"/>
      <c r="AA36" s="83">
        <v>21</v>
      </c>
      <c r="AB36" s="83"/>
      <c r="AC36" s="84" t="s">
        <v>9</v>
      </c>
    </row>
    <row r="37" spans="2:29" ht="12.75" customHeight="1" x14ac:dyDescent="0.2">
      <c r="B37" s="24"/>
      <c r="C37" s="25"/>
      <c r="D37" s="25"/>
      <c r="E37" s="25"/>
      <c r="F37" s="27"/>
      <c r="G37" s="27"/>
      <c r="H37" s="25"/>
      <c r="I37" s="25"/>
      <c r="J37" s="25"/>
      <c r="K37" s="28"/>
      <c r="P37" s="83">
        <f t="shared" si="0"/>
        <v>8</v>
      </c>
      <c r="Q37" s="83">
        <f t="shared" si="5"/>
        <v>30</v>
      </c>
      <c r="R37" s="83"/>
      <c r="S37" s="83">
        <f t="shared" si="1"/>
        <v>7</v>
      </c>
      <c r="T37" s="83">
        <f t="shared" si="6"/>
        <v>34</v>
      </c>
      <c r="U37" s="83"/>
      <c r="V37" s="85">
        <f t="shared" si="2"/>
        <v>0</v>
      </c>
      <c r="W37" s="85">
        <f t="shared" si="3"/>
        <v>0</v>
      </c>
      <c r="X37" s="83"/>
      <c r="Y37" s="85">
        <f t="shared" si="4"/>
        <v>0</v>
      </c>
      <c r="Z37" s="83"/>
      <c r="AA37" s="83">
        <v>22</v>
      </c>
      <c r="AB37" s="83"/>
      <c r="AC37" s="84" t="s">
        <v>10</v>
      </c>
    </row>
    <row r="38" spans="2:29" ht="12.75" customHeight="1" x14ac:dyDescent="0.2">
      <c r="B38" s="24"/>
      <c r="C38" s="148"/>
      <c r="D38" s="148"/>
      <c r="E38" s="148"/>
      <c r="F38" s="151"/>
      <c r="G38" s="151"/>
      <c r="H38" s="148"/>
      <c r="I38" s="148"/>
      <c r="J38" s="148"/>
      <c r="K38" s="28"/>
      <c r="P38" s="83">
        <f t="shared" si="0"/>
        <v>8</v>
      </c>
      <c r="Q38" s="83">
        <f t="shared" si="5"/>
        <v>31</v>
      </c>
      <c r="R38" s="83"/>
      <c r="S38" s="83">
        <f t="shared" si="1"/>
        <v>7</v>
      </c>
      <c r="T38" s="83">
        <f t="shared" si="6"/>
        <v>35</v>
      </c>
      <c r="U38" s="83"/>
      <c r="V38" s="85">
        <f t="shared" si="2"/>
        <v>0</v>
      </c>
      <c r="W38" s="85">
        <f t="shared" si="3"/>
        <v>0</v>
      </c>
      <c r="X38" s="83"/>
      <c r="Y38" s="85">
        <f t="shared" si="4"/>
        <v>0</v>
      </c>
      <c r="Z38" s="83"/>
      <c r="AA38" s="83">
        <v>23</v>
      </c>
      <c r="AB38" s="83"/>
      <c r="AC38" s="84" t="s">
        <v>11</v>
      </c>
    </row>
    <row r="39" spans="2:29" ht="12.75" customHeight="1" x14ac:dyDescent="0.2">
      <c r="B39" s="24"/>
      <c r="C39" s="148"/>
      <c r="D39" s="152" t="s">
        <v>205</v>
      </c>
      <c r="E39" s="148"/>
      <c r="F39" s="151"/>
      <c r="G39" s="151"/>
      <c r="H39" s="148"/>
      <c r="I39" s="148"/>
      <c r="J39" s="148"/>
      <c r="K39" s="28"/>
      <c r="P39" s="83">
        <f t="shared" si="0"/>
        <v>8</v>
      </c>
      <c r="Q39" s="83">
        <f t="shared" si="5"/>
        <v>32</v>
      </c>
      <c r="R39" s="83"/>
      <c r="S39" s="83">
        <f t="shared" si="1"/>
        <v>7</v>
      </c>
      <c r="T39" s="83">
        <f t="shared" si="6"/>
        <v>36</v>
      </c>
      <c r="U39" s="83"/>
      <c r="V39" s="85">
        <f t="shared" si="2"/>
        <v>0</v>
      </c>
      <c r="W39" s="85">
        <f t="shared" si="3"/>
        <v>0</v>
      </c>
      <c r="X39" s="83"/>
      <c r="Y39" s="85">
        <f t="shared" si="4"/>
        <v>0</v>
      </c>
      <c r="Z39" s="83"/>
      <c r="AA39" s="83">
        <v>24</v>
      </c>
      <c r="AB39" s="83"/>
      <c r="AC39" s="84" t="s">
        <v>12</v>
      </c>
    </row>
    <row r="40" spans="2:29" ht="12.75" customHeight="1" x14ac:dyDescent="0.2">
      <c r="B40" s="24"/>
      <c r="C40" s="148"/>
      <c r="D40" s="148"/>
      <c r="E40" s="148"/>
      <c r="F40" s="151"/>
      <c r="G40" s="151"/>
      <c r="H40" s="148"/>
      <c r="I40" s="148"/>
      <c r="J40" s="148"/>
      <c r="K40" s="28"/>
      <c r="P40" s="83">
        <f t="shared" si="0"/>
        <v>8</v>
      </c>
      <c r="Q40" s="83">
        <f t="shared" si="5"/>
        <v>33</v>
      </c>
      <c r="R40" s="83"/>
      <c r="S40" s="83">
        <f t="shared" si="1"/>
        <v>7</v>
      </c>
      <c r="T40" s="83">
        <f t="shared" si="6"/>
        <v>37</v>
      </c>
      <c r="U40" s="83"/>
      <c r="V40" s="85">
        <f t="shared" si="2"/>
        <v>0</v>
      </c>
      <c r="W40" s="85">
        <f t="shared" si="3"/>
        <v>0</v>
      </c>
      <c r="X40" s="83"/>
      <c r="Y40" s="85">
        <f t="shared" si="4"/>
        <v>0</v>
      </c>
      <c r="Z40" s="83"/>
      <c r="AA40" s="83">
        <v>25</v>
      </c>
      <c r="AB40" s="83"/>
      <c r="AC40" s="83"/>
    </row>
    <row r="41" spans="2:29" ht="12.75" customHeight="1" x14ac:dyDescent="0.2">
      <c r="B41" s="24"/>
      <c r="C41" s="148"/>
      <c r="D41" s="148" t="s">
        <v>206</v>
      </c>
      <c r="E41" s="148"/>
      <c r="F41" s="231">
        <f>+F35-F20</f>
        <v>50.329999999999927</v>
      </c>
      <c r="G41" s="237"/>
      <c r="H41" s="148"/>
      <c r="I41" s="148"/>
      <c r="J41" s="148"/>
      <c r="K41" s="28"/>
      <c r="P41" s="83">
        <f t="shared" si="0"/>
        <v>8</v>
      </c>
      <c r="Q41" s="83">
        <f t="shared" si="5"/>
        <v>34</v>
      </c>
      <c r="R41" s="83"/>
      <c r="S41" s="83">
        <f t="shared" si="1"/>
        <v>7</v>
      </c>
      <c r="T41" s="83">
        <f t="shared" si="6"/>
        <v>38</v>
      </c>
      <c r="U41" s="83"/>
      <c r="V41" s="85">
        <f t="shared" si="2"/>
        <v>0</v>
      </c>
      <c r="W41" s="85">
        <f t="shared" si="3"/>
        <v>0</v>
      </c>
      <c r="X41" s="83"/>
      <c r="Y41" s="85">
        <f t="shared" si="4"/>
        <v>0</v>
      </c>
      <c r="Z41" s="83"/>
      <c r="AA41" s="83">
        <v>26</v>
      </c>
      <c r="AB41" s="83"/>
      <c r="AC41" s="88" t="s">
        <v>29</v>
      </c>
    </row>
    <row r="42" spans="2:29" ht="12.75" customHeight="1" x14ac:dyDescent="0.2">
      <c r="B42" s="24"/>
      <c r="C42" s="148"/>
      <c r="D42" s="148" t="s">
        <v>207</v>
      </c>
      <c r="E42" s="148"/>
      <c r="F42" s="212">
        <f>+tabellen!C27</f>
        <v>0.55000000000000004</v>
      </c>
      <c r="G42" s="265"/>
      <c r="H42" s="148"/>
      <c r="I42" s="148"/>
      <c r="J42" s="148"/>
      <c r="K42" s="28"/>
      <c r="P42" s="83">
        <f t="shared" si="0"/>
        <v>8</v>
      </c>
      <c r="Q42" s="83">
        <f t="shared" si="5"/>
        <v>35</v>
      </c>
      <c r="R42" s="83"/>
      <c r="S42" s="83">
        <f t="shared" si="1"/>
        <v>7</v>
      </c>
      <c r="T42" s="83">
        <f t="shared" si="6"/>
        <v>39</v>
      </c>
      <c r="U42" s="83"/>
      <c r="V42" s="85">
        <f t="shared" si="2"/>
        <v>0</v>
      </c>
      <c r="W42" s="85">
        <f t="shared" si="3"/>
        <v>0</v>
      </c>
      <c r="X42" s="83"/>
      <c r="Y42" s="85">
        <f t="shared" si="4"/>
        <v>0</v>
      </c>
      <c r="Z42" s="83"/>
      <c r="AA42" s="83">
        <v>27</v>
      </c>
      <c r="AB42" s="83"/>
      <c r="AC42" s="88" t="s">
        <v>30</v>
      </c>
    </row>
    <row r="43" spans="2:29" ht="12.75" customHeight="1" x14ac:dyDescent="0.2">
      <c r="B43" s="24"/>
      <c r="C43" s="148"/>
      <c r="D43" s="148" t="s">
        <v>208</v>
      </c>
      <c r="E43" s="148"/>
      <c r="F43" s="211">
        <f>+F41*12*(1+F42)</f>
        <v>936.13799999999867</v>
      </c>
      <c r="G43" s="237"/>
      <c r="H43" s="148"/>
      <c r="I43" s="148"/>
      <c r="J43" s="148"/>
      <c r="K43" s="28"/>
      <c r="P43" s="83">
        <f t="shared" si="0"/>
        <v>8</v>
      </c>
      <c r="Q43" s="83">
        <f t="shared" si="5"/>
        <v>36</v>
      </c>
      <c r="R43" s="83"/>
      <c r="S43" s="83">
        <f t="shared" si="1"/>
        <v>7</v>
      </c>
      <c r="T43" s="83">
        <f t="shared" si="6"/>
        <v>40</v>
      </c>
      <c r="U43" s="83"/>
      <c r="V43" s="85">
        <f t="shared" si="2"/>
        <v>0</v>
      </c>
      <c r="W43" s="85">
        <f t="shared" si="3"/>
        <v>0</v>
      </c>
      <c r="X43" s="83"/>
      <c r="Y43" s="85">
        <f t="shared" si="4"/>
        <v>0</v>
      </c>
      <c r="Z43" s="83"/>
      <c r="AA43" s="83">
        <v>28</v>
      </c>
      <c r="AB43" s="83"/>
      <c r="AC43" s="88" t="s">
        <v>31</v>
      </c>
    </row>
    <row r="44" spans="2:29" ht="12.75" customHeight="1" x14ac:dyDescent="0.2">
      <c r="B44" s="24"/>
      <c r="C44" s="148"/>
      <c r="D44" s="148" t="s">
        <v>209</v>
      </c>
      <c r="E44" s="148"/>
      <c r="F44" s="255">
        <f>+F23-F22</f>
        <v>17</v>
      </c>
      <c r="G44" s="151"/>
      <c r="H44" s="148"/>
      <c r="I44" s="148"/>
      <c r="J44" s="148"/>
      <c r="K44" s="28"/>
      <c r="L44" s="89"/>
      <c r="M44" s="89"/>
      <c r="N44" s="89"/>
      <c r="O44" s="89"/>
      <c r="P44" s="83">
        <f t="shared" si="0"/>
        <v>8</v>
      </c>
      <c r="Q44" s="83">
        <f t="shared" si="5"/>
        <v>37</v>
      </c>
      <c r="R44" s="83"/>
      <c r="S44" s="83">
        <f t="shared" si="1"/>
        <v>7</v>
      </c>
      <c r="T44" s="83">
        <f t="shared" si="6"/>
        <v>41</v>
      </c>
      <c r="U44" s="83"/>
      <c r="V44" s="85">
        <f t="shared" si="2"/>
        <v>0</v>
      </c>
      <c r="W44" s="85">
        <f t="shared" si="3"/>
        <v>0</v>
      </c>
      <c r="X44" s="83"/>
      <c r="Y44" s="85">
        <f t="shared" si="4"/>
        <v>0</v>
      </c>
      <c r="Z44" s="83"/>
      <c r="AA44" s="83">
        <v>29</v>
      </c>
      <c r="AB44" s="83"/>
      <c r="AC44" s="90" t="s">
        <v>32</v>
      </c>
    </row>
    <row r="45" spans="2:29" s="92" customFormat="1" ht="12.75" customHeight="1" x14ac:dyDescent="0.2">
      <c r="B45" s="24"/>
      <c r="C45" s="148"/>
      <c r="D45" s="148" t="s">
        <v>210</v>
      </c>
      <c r="E45" s="148"/>
      <c r="F45" s="222">
        <f>IF(F33="nee",Y63*F19,Y63*F34)</f>
        <v>6361.199999999998</v>
      </c>
      <c r="G45" s="266"/>
      <c r="H45" s="170"/>
      <c r="I45" s="148"/>
      <c r="J45" s="148"/>
      <c r="K45" s="28"/>
      <c r="L45" s="91"/>
      <c r="M45" s="91"/>
      <c r="N45" s="91"/>
      <c r="O45" s="91"/>
      <c r="P45" s="83">
        <f t="shared" si="0"/>
        <v>8</v>
      </c>
      <c r="Q45" s="83">
        <f t="shared" si="5"/>
        <v>38</v>
      </c>
      <c r="R45" s="83"/>
      <c r="S45" s="83">
        <f t="shared" si="1"/>
        <v>7</v>
      </c>
      <c r="T45" s="83">
        <f t="shared" si="6"/>
        <v>42</v>
      </c>
      <c r="U45" s="83"/>
      <c r="V45" s="85">
        <f t="shared" si="2"/>
        <v>0</v>
      </c>
      <c r="W45" s="85">
        <f t="shared" si="3"/>
        <v>0</v>
      </c>
      <c r="X45" s="83"/>
      <c r="Y45" s="85">
        <f t="shared" si="4"/>
        <v>0</v>
      </c>
      <c r="Z45" s="83"/>
      <c r="AA45" s="83">
        <v>30</v>
      </c>
      <c r="AB45" s="83"/>
      <c r="AC45" s="83"/>
    </row>
    <row r="46" spans="2:29" ht="12.75" customHeight="1" x14ac:dyDescent="0.2">
      <c r="B46" s="24"/>
      <c r="C46" s="148"/>
      <c r="D46" s="152"/>
      <c r="E46" s="148"/>
      <c r="F46" s="267"/>
      <c r="G46" s="267"/>
      <c r="H46" s="170"/>
      <c r="I46" s="148"/>
      <c r="J46" s="170"/>
      <c r="K46" s="93"/>
      <c r="L46" s="89"/>
      <c r="M46" s="89"/>
      <c r="N46" s="89"/>
      <c r="O46" s="89"/>
      <c r="P46" s="83">
        <f t="shared" si="0"/>
        <v>8</v>
      </c>
      <c r="Q46" s="83">
        <f t="shared" si="5"/>
        <v>39</v>
      </c>
      <c r="R46" s="83"/>
      <c r="S46" s="83">
        <f t="shared" si="1"/>
        <v>7</v>
      </c>
      <c r="T46" s="83">
        <f t="shared" si="6"/>
        <v>43</v>
      </c>
      <c r="U46" s="83"/>
      <c r="V46" s="85">
        <f t="shared" si="2"/>
        <v>0</v>
      </c>
      <c r="W46" s="85">
        <f t="shared" si="3"/>
        <v>0</v>
      </c>
      <c r="X46" s="83"/>
      <c r="Y46" s="85">
        <f t="shared" si="4"/>
        <v>0</v>
      </c>
      <c r="Z46" s="83"/>
      <c r="AA46" s="83">
        <v>31</v>
      </c>
      <c r="AB46" s="83"/>
      <c r="AC46" s="83"/>
    </row>
    <row r="47" spans="2:29" ht="12.75" customHeight="1" x14ac:dyDescent="0.2">
      <c r="B47" s="39"/>
      <c r="C47" s="152"/>
      <c r="D47" s="152" t="s">
        <v>211</v>
      </c>
      <c r="E47" s="152"/>
      <c r="F47" s="259">
        <f>+Y62*F19</f>
        <v>108140.39999999997</v>
      </c>
      <c r="G47" s="267"/>
      <c r="H47" s="152"/>
      <c r="I47" s="152"/>
      <c r="J47" s="186"/>
      <c r="K47" s="94"/>
      <c r="L47" s="89"/>
      <c r="M47" s="89"/>
      <c r="N47" s="89"/>
      <c r="O47" s="89"/>
      <c r="P47" s="83">
        <f t="shared" si="0"/>
        <v>8</v>
      </c>
      <c r="Q47" s="83">
        <f t="shared" si="5"/>
        <v>40</v>
      </c>
      <c r="R47" s="83"/>
      <c r="S47" s="83">
        <f t="shared" si="1"/>
        <v>7</v>
      </c>
      <c r="T47" s="83">
        <f t="shared" si="6"/>
        <v>44</v>
      </c>
      <c r="U47" s="83"/>
      <c r="V47" s="85">
        <f t="shared" si="2"/>
        <v>0</v>
      </c>
      <c r="W47" s="85">
        <f t="shared" si="3"/>
        <v>0</v>
      </c>
      <c r="X47" s="83"/>
      <c r="Y47" s="85">
        <f t="shared" si="4"/>
        <v>0</v>
      </c>
      <c r="Z47" s="83"/>
      <c r="AA47" s="83">
        <v>32</v>
      </c>
      <c r="AB47" s="83"/>
      <c r="AC47" s="83"/>
    </row>
    <row r="48" spans="2:29" ht="12.75" customHeight="1" x14ac:dyDescent="0.2">
      <c r="B48" s="24"/>
      <c r="C48" s="148"/>
      <c r="D48" s="148"/>
      <c r="E48" s="148"/>
      <c r="F48" s="151"/>
      <c r="G48" s="151"/>
      <c r="H48" s="148"/>
      <c r="I48" s="148"/>
      <c r="J48" s="170"/>
      <c r="K48" s="93"/>
      <c r="L48" s="89"/>
      <c r="M48" s="89"/>
      <c r="N48" s="89"/>
      <c r="O48" s="89"/>
      <c r="P48" s="83">
        <f t="shared" si="0"/>
        <v>8</v>
      </c>
      <c r="Q48" s="83">
        <f t="shared" si="5"/>
        <v>41</v>
      </c>
      <c r="R48" s="83"/>
      <c r="S48" s="83">
        <f t="shared" si="1"/>
        <v>7</v>
      </c>
      <c r="T48" s="83">
        <f t="shared" si="6"/>
        <v>45</v>
      </c>
      <c r="U48" s="83"/>
      <c r="V48" s="85">
        <f t="shared" si="2"/>
        <v>0</v>
      </c>
      <c r="W48" s="85">
        <f t="shared" si="3"/>
        <v>0</v>
      </c>
      <c r="X48" s="83"/>
      <c r="Y48" s="85">
        <f t="shared" si="4"/>
        <v>0</v>
      </c>
      <c r="Z48" s="83"/>
      <c r="AA48" s="83">
        <v>33</v>
      </c>
      <c r="AB48" s="83"/>
      <c r="AC48" s="83"/>
    </row>
    <row r="49" spans="2:29" ht="12.75" customHeight="1" x14ac:dyDescent="0.2">
      <c r="B49" s="24"/>
      <c r="C49" s="25"/>
      <c r="D49" s="25"/>
      <c r="E49" s="25"/>
      <c r="F49" s="27"/>
      <c r="G49" s="27"/>
      <c r="H49" s="25"/>
      <c r="I49" s="25"/>
      <c r="J49" s="48"/>
      <c r="K49" s="93"/>
      <c r="L49" s="89"/>
      <c r="M49" s="89"/>
      <c r="N49" s="89"/>
      <c r="O49" s="89"/>
      <c r="P49" s="83">
        <f t="shared" si="0"/>
        <v>8</v>
      </c>
      <c r="Q49" s="83">
        <f t="shared" si="5"/>
        <v>42</v>
      </c>
      <c r="R49" s="83"/>
      <c r="S49" s="83">
        <f t="shared" si="1"/>
        <v>7</v>
      </c>
      <c r="T49" s="83">
        <f t="shared" si="6"/>
        <v>46</v>
      </c>
      <c r="U49" s="83"/>
      <c r="V49" s="85">
        <f t="shared" si="2"/>
        <v>0</v>
      </c>
      <c r="W49" s="85">
        <f t="shared" si="3"/>
        <v>0</v>
      </c>
      <c r="X49" s="83"/>
      <c r="Y49" s="85">
        <f t="shared" si="4"/>
        <v>0</v>
      </c>
      <c r="Z49" s="83"/>
      <c r="AA49" s="83">
        <v>34</v>
      </c>
      <c r="AB49" s="83"/>
      <c r="AC49" s="83"/>
    </row>
    <row r="50" spans="2:29" ht="12.75" customHeight="1" thickBot="1" x14ac:dyDescent="0.25">
      <c r="B50" s="49"/>
      <c r="C50" s="50"/>
      <c r="D50" s="50"/>
      <c r="E50" s="50"/>
      <c r="F50" s="95"/>
      <c r="G50" s="95"/>
      <c r="H50" s="50"/>
      <c r="I50" s="50"/>
      <c r="J50" s="53" t="s">
        <v>75</v>
      </c>
      <c r="K50" s="96"/>
      <c r="L50" s="89"/>
      <c r="M50" s="89"/>
      <c r="N50" s="89"/>
      <c r="O50" s="89"/>
      <c r="P50" s="83">
        <f t="shared" si="0"/>
        <v>8</v>
      </c>
      <c r="Q50" s="83">
        <f t="shared" si="5"/>
        <v>43</v>
      </c>
      <c r="R50" s="83"/>
      <c r="S50" s="83">
        <f t="shared" si="1"/>
        <v>7</v>
      </c>
      <c r="T50" s="83">
        <f t="shared" si="6"/>
        <v>47</v>
      </c>
      <c r="U50" s="83"/>
      <c r="V50" s="85">
        <f t="shared" si="2"/>
        <v>0</v>
      </c>
      <c r="W50" s="85">
        <f t="shared" si="3"/>
        <v>0</v>
      </c>
      <c r="X50" s="83"/>
      <c r="Y50" s="85">
        <f t="shared" si="4"/>
        <v>0</v>
      </c>
      <c r="Z50" s="83"/>
      <c r="AA50" s="83">
        <v>35</v>
      </c>
      <c r="AB50" s="83"/>
      <c r="AC50" s="83"/>
    </row>
    <row r="51" spans="2:29" ht="12.75" customHeight="1" x14ac:dyDescent="0.2">
      <c r="J51" s="97"/>
      <c r="K51" s="89"/>
      <c r="L51" s="89"/>
      <c r="M51" s="89"/>
      <c r="N51" s="89"/>
      <c r="O51" s="89"/>
      <c r="P51" s="83">
        <f t="shared" si="0"/>
        <v>8</v>
      </c>
      <c r="Q51" s="83">
        <f t="shared" si="5"/>
        <v>44</v>
      </c>
      <c r="R51" s="83"/>
      <c r="S51" s="83">
        <f t="shared" si="1"/>
        <v>7</v>
      </c>
      <c r="T51" s="83">
        <f t="shared" si="6"/>
        <v>48</v>
      </c>
      <c r="U51" s="83"/>
      <c r="V51" s="85">
        <f t="shared" si="2"/>
        <v>0</v>
      </c>
      <c r="W51" s="85">
        <f t="shared" si="3"/>
        <v>0</v>
      </c>
      <c r="X51" s="83"/>
      <c r="Y51" s="85">
        <f t="shared" si="4"/>
        <v>0</v>
      </c>
      <c r="Z51" s="83"/>
      <c r="AA51" s="83">
        <v>36</v>
      </c>
      <c r="AB51" s="83"/>
      <c r="AC51" s="83"/>
    </row>
    <row r="52" spans="2:29" ht="12.75" customHeight="1" x14ac:dyDescent="0.2">
      <c r="J52" s="89"/>
      <c r="K52" s="89"/>
      <c r="L52" s="89"/>
      <c r="M52" s="89"/>
      <c r="N52" s="89"/>
      <c r="O52" s="89"/>
      <c r="P52" s="83">
        <f t="shared" si="0"/>
        <v>8</v>
      </c>
      <c r="Q52" s="83">
        <f t="shared" si="5"/>
        <v>45</v>
      </c>
      <c r="R52" s="83"/>
      <c r="S52" s="83">
        <f t="shared" si="1"/>
        <v>7</v>
      </c>
      <c r="T52" s="83">
        <f t="shared" si="6"/>
        <v>49</v>
      </c>
      <c r="U52" s="83"/>
      <c r="V52" s="85">
        <f t="shared" si="2"/>
        <v>0</v>
      </c>
      <c r="W52" s="85">
        <f t="shared" si="3"/>
        <v>0</v>
      </c>
      <c r="X52" s="83"/>
      <c r="Y52" s="85">
        <f t="shared" si="4"/>
        <v>0</v>
      </c>
      <c r="Z52" s="83"/>
      <c r="AA52" s="83">
        <v>37</v>
      </c>
      <c r="AB52" s="83"/>
      <c r="AC52" s="83"/>
    </row>
    <row r="53" spans="2:29" ht="12.75" customHeight="1" x14ac:dyDescent="0.2">
      <c r="J53" s="89"/>
      <c r="K53" s="89"/>
      <c r="L53" s="89"/>
      <c r="P53" s="83">
        <f t="shared" si="0"/>
        <v>8</v>
      </c>
      <c r="Q53" s="83">
        <f t="shared" si="5"/>
        <v>46</v>
      </c>
      <c r="R53" s="83"/>
      <c r="S53" s="83">
        <f t="shared" si="1"/>
        <v>7</v>
      </c>
      <c r="T53" s="83">
        <f t="shared" si="6"/>
        <v>50</v>
      </c>
      <c r="U53" s="83"/>
      <c r="V53" s="85">
        <f t="shared" si="2"/>
        <v>0</v>
      </c>
      <c r="W53" s="85">
        <f t="shared" si="3"/>
        <v>0</v>
      </c>
      <c r="X53" s="83"/>
      <c r="Y53" s="85">
        <f t="shared" si="4"/>
        <v>0</v>
      </c>
      <c r="Z53" s="83"/>
      <c r="AA53" s="83">
        <v>38</v>
      </c>
      <c r="AB53" s="83"/>
      <c r="AC53" s="83"/>
    </row>
    <row r="54" spans="2:29" ht="12.75" customHeight="1" x14ac:dyDescent="0.2">
      <c r="J54" s="89"/>
      <c r="K54" s="89"/>
      <c r="L54" s="89"/>
      <c r="P54" s="83">
        <f t="shared" si="0"/>
        <v>8</v>
      </c>
      <c r="Q54" s="83">
        <f t="shared" si="5"/>
        <v>47</v>
      </c>
      <c r="R54" s="83"/>
      <c r="S54" s="83">
        <f t="shared" si="1"/>
        <v>7</v>
      </c>
      <c r="T54" s="83">
        <f t="shared" si="6"/>
        <v>51</v>
      </c>
      <c r="U54" s="83"/>
      <c r="V54" s="85">
        <f t="shared" si="2"/>
        <v>0</v>
      </c>
      <c r="W54" s="85">
        <f t="shared" si="3"/>
        <v>0</v>
      </c>
      <c r="X54" s="83"/>
      <c r="Y54" s="85">
        <f t="shared" si="4"/>
        <v>0</v>
      </c>
      <c r="Z54" s="83"/>
      <c r="AA54" s="83">
        <v>39</v>
      </c>
      <c r="AB54" s="83"/>
      <c r="AC54" s="83"/>
    </row>
    <row r="55" spans="2:29" ht="12.75" customHeight="1" x14ac:dyDescent="0.2">
      <c r="J55" s="89"/>
      <c r="K55" s="89"/>
      <c r="L55" s="89"/>
      <c r="P55" s="83">
        <f t="shared" si="0"/>
        <v>8</v>
      </c>
      <c r="Q55" s="83">
        <f t="shared" si="5"/>
        <v>48</v>
      </c>
      <c r="R55" s="83"/>
      <c r="S55" s="83">
        <f t="shared" si="1"/>
        <v>7</v>
      </c>
      <c r="T55" s="83">
        <f t="shared" si="6"/>
        <v>52</v>
      </c>
      <c r="U55" s="83"/>
      <c r="V55" s="85">
        <f t="shared" si="2"/>
        <v>0</v>
      </c>
      <c r="W55" s="85">
        <f t="shared" si="3"/>
        <v>0</v>
      </c>
      <c r="X55" s="83"/>
      <c r="Y55" s="85">
        <f t="shared" si="4"/>
        <v>0</v>
      </c>
      <c r="Z55" s="83"/>
      <c r="AA55" s="83">
        <v>40</v>
      </c>
      <c r="AB55" s="83"/>
      <c r="AC55" s="83"/>
    </row>
    <row r="56" spans="2:29" ht="12.75" customHeight="1" x14ac:dyDescent="0.2">
      <c r="J56" s="89"/>
      <c r="K56" s="89"/>
      <c r="L56" s="89"/>
      <c r="P56" s="83">
        <f t="shared" si="0"/>
        <v>8</v>
      </c>
      <c r="Q56" s="83">
        <f t="shared" si="5"/>
        <v>49</v>
      </c>
      <c r="R56" s="83"/>
      <c r="S56" s="83">
        <f t="shared" si="1"/>
        <v>7</v>
      </c>
      <c r="T56" s="83">
        <f t="shared" si="6"/>
        <v>53</v>
      </c>
      <c r="U56" s="83"/>
      <c r="V56" s="85">
        <f t="shared" si="2"/>
        <v>0</v>
      </c>
      <c r="W56" s="85">
        <f t="shared" si="3"/>
        <v>0</v>
      </c>
      <c r="X56" s="83"/>
      <c r="Y56" s="85">
        <f t="shared" si="4"/>
        <v>0</v>
      </c>
      <c r="Z56" s="83"/>
      <c r="AA56" s="83">
        <v>41</v>
      </c>
      <c r="AB56" s="98"/>
      <c r="AC56" s="83"/>
    </row>
    <row r="57" spans="2:29" ht="12.75" customHeight="1" x14ac:dyDescent="0.2">
      <c r="J57" s="89"/>
      <c r="K57" s="89"/>
      <c r="L57" s="89"/>
      <c r="P57" s="83">
        <f t="shared" si="0"/>
        <v>8</v>
      </c>
      <c r="Q57" s="83">
        <f t="shared" si="5"/>
        <v>50</v>
      </c>
      <c r="R57" s="83"/>
      <c r="S57" s="83">
        <f t="shared" si="1"/>
        <v>7</v>
      </c>
      <c r="T57" s="83">
        <f t="shared" si="6"/>
        <v>54</v>
      </c>
      <c r="U57" s="83"/>
      <c r="V57" s="85">
        <f t="shared" si="2"/>
        <v>0</v>
      </c>
      <c r="W57" s="85">
        <f t="shared" si="3"/>
        <v>0</v>
      </c>
      <c r="X57" s="83"/>
      <c r="Y57" s="85">
        <f t="shared" si="4"/>
        <v>0</v>
      </c>
      <c r="Z57" s="83"/>
      <c r="AA57" s="83">
        <v>42</v>
      </c>
      <c r="AB57" s="99"/>
      <c r="AC57" s="99"/>
    </row>
    <row r="58" spans="2:29" ht="12.75" customHeight="1" x14ac:dyDescent="0.2">
      <c r="J58" s="89"/>
      <c r="K58" s="89"/>
      <c r="L58" s="89"/>
      <c r="P58" s="83">
        <f t="shared" si="0"/>
        <v>8</v>
      </c>
      <c r="Q58" s="83">
        <f t="shared" si="5"/>
        <v>51</v>
      </c>
      <c r="R58" s="83"/>
      <c r="S58" s="83">
        <f t="shared" si="1"/>
        <v>7</v>
      </c>
      <c r="T58" s="83">
        <f t="shared" si="6"/>
        <v>55</v>
      </c>
      <c r="U58" s="83"/>
      <c r="V58" s="85">
        <f t="shared" si="2"/>
        <v>0</v>
      </c>
      <c r="W58" s="85">
        <f t="shared" si="3"/>
        <v>0</v>
      </c>
      <c r="X58" s="83"/>
      <c r="Y58" s="85">
        <f t="shared" si="4"/>
        <v>0</v>
      </c>
      <c r="Z58" s="83"/>
      <c r="AA58" s="83">
        <v>43</v>
      </c>
      <c r="AB58" s="83"/>
      <c r="AC58" s="83"/>
    </row>
    <row r="59" spans="2:29" ht="12.75" customHeight="1" x14ac:dyDescent="0.2">
      <c r="J59" s="89"/>
      <c r="K59" s="89"/>
      <c r="L59" s="89"/>
      <c r="P59" s="83">
        <f t="shared" si="0"/>
        <v>8</v>
      </c>
      <c r="Q59" s="83">
        <f t="shared" si="5"/>
        <v>52</v>
      </c>
      <c r="R59" s="83"/>
      <c r="S59" s="83">
        <f t="shared" si="1"/>
        <v>7</v>
      </c>
      <c r="T59" s="83">
        <f t="shared" si="6"/>
        <v>56</v>
      </c>
      <c r="U59" s="83"/>
      <c r="V59" s="85">
        <f t="shared" si="2"/>
        <v>0</v>
      </c>
      <c r="W59" s="85">
        <f t="shared" si="3"/>
        <v>0</v>
      </c>
      <c r="X59" s="83"/>
      <c r="Y59" s="85">
        <f t="shared" si="4"/>
        <v>0</v>
      </c>
      <c r="Z59" s="83"/>
      <c r="AA59" s="83">
        <v>44</v>
      </c>
      <c r="AB59" s="83"/>
      <c r="AC59" s="83"/>
    </row>
    <row r="60" spans="2:29" ht="12.75" customHeight="1" x14ac:dyDescent="0.2">
      <c r="J60" s="89"/>
      <c r="K60" s="89"/>
      <c r="L60" s="89"/>
      <c r="P60" s="83">
        <f t="shared" si="0"/>
        <v>8</v>
      </c>
      <c r="Q60" s="83">
        <f t="shared" si="5"/>
        <v>53</v>
      </c>
      <c r="R60" s="83"/>
      <c r="S60" s="83">
        <f t="shared" si="1"/>
        <v>7</v>
      </c>
      <c r="T60" s="83">
        <f t="shared" si="6"/>
        <v>57</v>
      </c>
      <c r="U60" s="83"/>
      <c r="V60" s="85">
        <f t="shared" si="2"/>
        <v>0</v>
      </c>
      <c r="W60" s="85">
        <f t="shared" si="3"/>
        <v>0</v>
      </c>
      <c r="X60" s="83"/>
      <c r="Y60" s="85">
        <f t="shared" si="4"/>
        <v>0</v>
      </c>
      <c r="Z60" s="83"/>
      <c r="AA60" s="83">
        <v>45</v>
      </c>
      <c r="AB60" s="83"/>
      <c r="AC60" s="83"/>
    </row>
    <row r="61" spans="2:29" ht="12.75" customHeight="1" x14ac:dyDescent="0.2">
      <c r="C61" s="100"/>
      <c r="J61" s="89"/>
      <c r="K61" s="89"/>
      <c r="L61" s="89"/>
      <c r="P61" s="83"/>
      <c r="Q61" s="83"/>
      <c r="R61" s="83"/>
      <c r="S61" s="83"/>
      <c r="T61" s="83"/>
      <c r="U61" s="83"/>
      <c r="V61" s="83"/>
      <c r="W61" s="83"/>
      <c r="X61" s="83"/>
      <c r="Y61" s="83"/>
      <c r="Z61" s="83"/>
      <c r="AA61" s="83"/>
      <c r="AB61" s="83"/>
      <c r="AC61" s="83"/>
    </row>
    <row r="62" spans="2:29" ht="12.75" customHeight="1" x14ac:dyDescent="0.2">
      <c r="C62" s="100"/>
      <c r="J62" s="89"/>
      <c r="K62" s="89"/>
      <c r="L62" s="89"/>
      <c r="P62" s="83"/>
      <c r="Q62" s="83"/>
      <c r="R62" s="83"/>
      <c r="S62" s="83"/>
      <c r="T62" s="83"/>
      <c r="U62" s="83"/>
      <c r="V62" s="83"/>
      <c r="W62" s="83"/>
      <c r="X62" s="83"/>
      <c r="Y62" s="85">
        <f>SUM(Y15:Y60)</f>
        <v>108140.39999999997</v>
      </c>
      <c r="Z62" s="83"/>
      <c r="AA62" s="83"/>
      <c r="AB62" s="83"/>
      <c r="AC62" s="83"/>
    </row>
    <row r="63" spans="2:29" ht="13.5" customHeight="1" x14ac:dyDescent="0.2">
      <c r="C63" s="100"/>
      <c r="J63" s="89"/>
      <c r="K63" s="89"/>
      <c r="L63" s="89"/>
      <c r="P63" s="83"/>
      <c r="Q63" s="83"/>
      <c r="R63" s="83"/>
      <c r="S63" s="83"/>
      <c r="T63" s="83"/>
      <c r="U63" s="83"/>
      <c r="V63" s="83"/>
      <c r="W63" s="83" t="s">
        <v>212</v>
      </c>
      <c r="X63" s="83"/>
      <c r="Y63" s="85">
        <f>IF(F44=0,0,+Y62/F44)</f>
        <v>6361.199999999998</v>
      </c>
      <c r="Z63" s="83"/>
      <c r="AA63" s="83"/>
      <c r="AB63" s="83"/>
      <c r="AC63" s="83"/>
    </row>
    <row r="64" spans="2:29" ht="13.5" customHeight="1" x14ac:dyDescent="0.2">
      <c r="C64" s="101"/>
      <c r="J64" s="89"/>
      <c r="K64" s="89"/>
      <c r="L64" s="89"/>
      <c r="P64" s="102"/>
      <c r="Q64" s="102"/>
    </row>
    <row r="65" spans="10:17" s="73" customFormat="1" ht="12.75" x14ac:dyDescent="0.2">
      <c r="J65" s="89"/>
      <c r="K65" s="89"/>
      <c r="L65" s="89"/>
      <c r="P65" s="102"/>
      <c r="Q65" s="102"/>
    </row>
    <row r="66" spans="10:17" s="73" customFormat="1" ht="12.75" x14ac:dyDescent="0.2">
      <c r="J66" s="89"/>
      <c r="K66" s="89"/>
      <c r="L66" s="89"/>
      <c r="P66" s="102"/>
      <c r="Q66" s="102"/>
    </row>
    <row r="67" spans="10:17" s="73" customFormat="1" ht="12.75" x14ac:dyDescent="0.2">
      <c r="J67" s="89"/>
      <c r="K67" s="89"/>
      <c r="L67" s="89"/>
      <c r="P67" s="102"/>
      <c r="Q67" s="102"/>
    </row>
    <row r="68" spans="10:17" s="73" customFormat="1" ht="12.75" x14ac:dyDescent="0.2">
      <c r="J68" s="89"/>
      <c r="K68" s="89"/>
      <c r="L68" s="89"/>
      <c r="P68" s="102"/>
      <c r="Q68" s="102"/>
    </row>
    <row r="69" spans="10:17" s="73" customFormat="1" ht="12.75" x14ac:dyDescent="0.2">
      <c r="J69" s="89"/>
      <c r="K69" s="89"/>
      <c r="L69" s="89"/>
      <c r="P69" s="102"/>
      <c r="Q69" s="102"/>
    </row>
    <row r="70" spans="10:17" s="73" customFormat="1" ht="12.75" x14ac:dyDescent="0.2">
      <c r="J70" s="89"/>
      <c r="K70" s="89"/>
      <c r="L70" s="89"/>
      <c r="P70" s="102"/>
      <c r="Q70" s="102"/>
    </row>
    <row r="71" spans="10:17" s="73" customFormat="1" ht="12.75" x14ac:dyDescent="0.2">
      <c r="J71" s="89"/>
      <c r="K71" s="89"/>
      <c r="L71" s="89"/>
      <c r="P71" s="102"/>
      <c r="Q71" s="102"/>
    </row>
    <row r="72" spans="10:17" s="73" customFormat="1" ht="12.75" x14ac:dyDescent="0.2">
      <c r="J72" s="89"/>
      <c r="K72" s="89"/>
      <c r="L72" s="89"/>
      <c r="P72" s="102"/>
      <c r="Q72" s="102"/>
    </row>
    <row r="73" spans="10:17" s="73" customFormat="1" ht="12.75" x14ac:dyDescent="0.2">
      <c r="J73" s="89"/>
      <c r="K73" s="89"/>
      <c r="L73" s="89"/>
      <c r="P73" s="102"/>
      <c r="Q73" s="102"/>
    </row>
    <row r="74" spans="10:17" s="73" customFormat="1" ht="12.75" x14ac:dyDescent="0.2">
      <c r="J74" s="89"/>
      <c r="K74" s="89"/>
      <c r="L74" s="89"/>
      <c r="P74" s="102"/>
      <c r="Q74" s="102"/>
    </row>
    <row r="75" spans="10:17" s="73" customFormat="1" ht="12.75" x14ac:dyDescent="0.2">
      <c r="J75" s="89"/>
      <c r="K75" s="89"/>
      <c r="L75" s="89"/>
      <c r="P75" s="102"/>
      <c r="Q75" s="102"/>
    </row>
    <row r="76" spans="10:17" s="73" customFormat="1" ht="12.75" x14ac:dyDescent="0.2">
      <c r="J76" s="89"/>
      <c r="K76" s="89"/>
      <c r="L76" s="89"/>
      <c r="P76" s="102"/>
      <c r="Q76" s="102"/>
    </row>
    <row r="77" spans="10:17" s="73" customFormat="1" ht="12.75" x14ac:dyDescent="0.2">
      <c r="J77" s="89"/>
      <c r="K77" s="89"/>
      <c r="L77" s="89"/>
      <c r="P77" s="102"/>
      <c r="Q77" s="102"/>
    </row>
    <row r="78" spans="10:17" s="73" customFormat="1" ht="12.75" x14ac:dyDescent="0.2">
      <c r="J78" s="89"/>
      <c r="K78" s="89"/>
      <c r="L78" s="89"/>
      <c r="P78" s="102"/>
      <c r="Q78" s="102"/>
    </row>
    <row r="79" spans="10:17" s="73" customFormat="1" ht="12.75" x14ac:dyDescent="0.2">
      <c r="J79" s="89"/>
      <c r="K79" s="89"/>
      <c r="L79" s="89"/>
      <c r="P79" s="102"/>
      <c r="Q79" s="102"/>
    </row>
    <row r="80" spans="10:17" s="73" customFormat="1" ht="12.75" x14ac:dyDescent="0.2">
      <c r="J80" s="89"/>
      <c r="K80" s="89"/>
      <c r="L80" s="89"/>
      <c r="P80" s="102"/>
      <c r="Q80" s="102"/>
    </row>
    <row r="81" spans="6:17" ht="12.75" x14ac:dyDescent="0.2">
      <c r="J81" s="89"/>
      <c r="K81" s="89"/>
      <c r="L81" s="89"/>
      <c r="P81" s="102"/>
      <c r="Q81" s="102"/>
    </row>
    <row r="82" spans="6:17" ht="12.75" x14ac:dyDescent="0.2">
      <c r="J82" s="89"/>
      <c r="K82" s="89"/>
      <c r="L82" s="89"/>
      <c r="P82" s="102"/>
      <c r="Q82" s="102"/>
    </row>
    <row r="83" spans="6:17" ht="12.75" x14ac:dyDescent="0.2">
      <c r="J83" s="89"/>
      <c r="K83" s="89"/>
      <c r="L83" s="89"/>
      <c r="P83" s="102"/>
      <c r="Q83" s="102"/>
    </row>
    <row r="84" spans="6:17" ht="12.75" x14ac:dyDescent="0.2">
      <c r="J84" s="89"/>
      <c r="K84" s="89"/>
      <c r="L84" s="89"/>
      <c r="P84" s="102"/>
      <c r="Q84" s="102"/>
    </row>
    <row r="85" spans="6:17" ht="12.75" x14ac:dyDescent="0.2">
      <c r="J85" s="89"/>
      <c r="K85" s="89"/>
      <c r="L85" s="89"/>
      <c r="P85" s="102"/>
      <c r="Q85" s="102"/>
    </row>
    <row r="86" spans="6:17" ht="12.75" x14ac:dyDescent="0.2">
      <c r="J86" s="89"/>
      <c r="K86" s="89"/>
      <c r="L86" s="89"/>
      <c r="P86" s="102"/>
      <c r="Q86" s="102"/>
    </row>
    <row r="87" spans="6:17" ht="12.75" x14ac:dyDescent="0.2">
      <c r="J87" s="89"/>
      <c r="K87" s="89"/>
      <c r="L87" s="89"/>
      <c r="P87" s="102"/>
      <c r="Q87" s="102"/>
    </row>
    <row r="88" spans="6:17" ht="12.75" x14ac:dyDescent="0.2">
      <c r="J88" s="89"/>
      <c r="K88" s="89"/>
      <c r="L88" s="89"/>
      <c r="P88" s="102"/>
      <c r="Q88" s="102"/>
    </row>
    <row r="89" spans="6:17" ht="12.75" x14ac:dyDescent="0.2">
      <c r="J89" s="89"/>
      <c r="K89" s="89"/>
      <c r="L89" s="89"/>
      <c r="P89" s="102"/>
      <c r="Q89" s="102"/>
    </row>
    <row r="90" spans="6:17" ht="12.75" x14ac:dyDescent="0.2">
      <c r="J90" s="89"/>
      <c r="K90" s="89"/>
      <c r="L90" s="89"/>
      <c r="P90" s="102"/>
      <c r="Q90" s="102"/>
    </row>
    <row r="91" spans="6:17" ht="12.75" x14ac:dyDescent="0.2">
      <c r="J91" s="89"/>
      <c r="K91" s="89"/>
      <c r="L91" s="89"/>
      <c r="P91" s="102"/>
      <c r="Q91" s="102"/>
    </row>
    <row r="92" spans="6:17" ht="12.75" x14ac:dyDescent="0.2">
      <c r="J92" s="89"/>
      <c r="K92" s="89"/>
      <c r="L92" s="89"/>
      <c r="P92" s="102"/>
      <c r="Q92" s="102"/>
    </row>
    <row r="93" spans="6:17" ht="12.75" x14ac:dyDescent="0.2">
      <c r="J93" s="89"/>
      <c r="K93" s="89"/>
      <c r="L93" s="89"/>
      <c r="P93" s="102"/>
      <c r="Q93" s="102"/>
    </row>
    <row r="94" spans="6:17" ht="12.75" x14ac:dyDescent="0.2">
      <c r="J94" s="89"/>
      <c r="K94" s="89"/>
      <c r="L94" s="89"/>
      <c r="P94" s="102"/>
      <c r="Q94" s="102"/>
    </row>
    <row r="95" spans="6:17" ht="12.75" x14ac:dyDescent="0.2">
      <c r="J95" s="89"/>
      <c r="K95" s="89"/>
      <c r="L95" s="89"/>
      <c r="P95" s="102"/>
      <c r="Q95" s="102"/>
    </row>
    <row r="96" spans="6:17" ht="12.75" x14ac:dyDescent="0.2">
      <c r="F96" s="103"/>
      <c r="G96" s="103"/>
      <c r="H96" s="104"/>
      <c r="J96" s="89"/>
      <c r="K96" s="89"/>
      <c r="L96" s="89"/>
    </row>
    <row r="97" spans="6:12" ht="12.75" x14ac:dyDescent="0.2">
      <c r="F97" s="103"/>
      <c r="G97" s="103"/>
      <c r="H97" s="104"/>
      <c r="J97" s="89"/>
      <c r="K97" s="89"/>
      <c r="L97" s="89"/>
    </row>
    <row r="98" spans="6:12" ht="12.75" x14ac:dyDescent="0.2">
      <c r="F98" s="103"/>
      <c r="G98" s="103"/>
      <c r="H98" s="104"/>
      <c r="J98" s="89"/>
      <c r="K98" s="89"/>
      <c r="L98" s="89"/>
    </row>
    <row r="99" spans="6:12" ht="12.75" x14ac:dyDescent="0.2">
      <c r="F99" s="103"/>
      <c r="G99" s="103"/>
      <c r="H99" s="104"/>
      <c r="J99" s="89"/>
      <c r="K99" s="89"/>
      <c r="L99" s="89"/>
    </row>
    <row r="100" spans="6:12" ht="12.75" x14ac:dyDescent="0.2">
      <c r="F100" s="105"/>
      <c r="G100" s="105"/>
      <c r="H100" s="89"/>
      <c r="J100" s="89"/>
      <c r="K100" s="89"/>
      <c r="L100" s="89"/>
    </row>
    <row r="101" spans="6:12" ht="12.75" x14ac:dyDescent="0.2">
      <c r="F101" s="103"/>
      <c r="G101" s="103"/>
      <c r="H101" s="89"/>
      <c r="J101" s="89"/>
      <c r="K101" s="89"/>
      <c r="L101" s="89"/>
    </row>
    <row r="102" spans="6:12" ht="12.75" x14ac:dyDescent="0.2">
      <c r="F102" s="106"/>
      <c r="G102" s="106"/>
      <c r="J102" s="89"/>
      <c r="K102" s="89"/>
      <c r="L102" s="89"/>
    </row>
    <row r="103" spans="6:12" ht="12.75" x14ac:dyDescent="0.2">
      <c r="J103" s="89"/>
      <c r="K103" s="89"/>
    </row>
    <row r="104" spans="6:12" ht="12.75" x14ac:dyDescent="0.2">
      <c r="J104" s="89"/>
      <c r="K104" s="89"/>
    </row>
  </sheetData>
  <sheetProtection algorithmName="SHA-512" hashValue="51Ma6gSj5lK/ACmw7c51xdA8g2m2fL82SdtLZ6cIsZUrf2PedOktY1VR9QmUGNRpc1ejWUMRePaLTUX8cOO5ng==" saltValue="suD/+3jikVzbPQl86nEhjw==" spinCount="100000" sheet="1" objects="1" scenarios="1"/>
  <mergeCells count="1">
    <mergeCell ref="F8:H8"/>
  </mergeCells>
  <dataValidations count="4">
    <dataValidation type="list" allowBlank="1" showInputMessage="1" showErrorMessage="1" sqref="F9" xr:uid="{00000000-0002-0000-0500-000000000000}">
      <formula1>$AC$41:$AC$44</formula1>
    </dataValidation>
    <dataValidation type="list" allowBlank="1" showInputMessage="1" showErrorMessage="1" sqref="F33" xr:uid="{00000000-0002-0000-0500-000001000000}">
      <formula1>"ja,nee"</formula1>
    </dataValidation>
    <dataValidation type="list" allowBlank="1" showInputMessage="1" showErrorMessage="1" sqref="F29:G29 F15:G15" xr:uid="{00000000-0002-0000-0500-000002000000}">
      <formula1>$AC$15:$AC$39</formula1>
    </dataValidation>
    <dataValidation type="list" allowBlank="1" showInputMessage="1" showErrorMessage="1" sqref="G33" xr:uid="{00000000-0002-0000-0500-000003000000}">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139"/>
  <sheetViews>
    <sheetView zoomScale="85" zoomScaleNormal="85" workbookViewId="0">
      <selection activeCell="B2" sqref="B2"/>
    </sheetView>
  </sheetViews>
  <sheetFormatPr defaultColWidth="9.7109375" defaultRowHeight="13.5" customHeight="1" x14ac:dyDescent="0.2"/>
  <cols>
    <col min="1" max="3" width="2.7109375" style="73" customWidth="1"/>
    <col min="4" max="4" width="45.7109375" style="73" customWidth="1"/>
    <col min="5" max="5" width="2.85546875" style="73" customWidth="1"/>
    <col min="6" max="6" width="14.85546875" style="73" customWidth="1"/>
    <col min="7" max="7" width="2.7109375" style="73" customWidth="1"/>
    <col min="8" max="8" width="14.85546875" style="73" customWidth="1"/>
    <col min="9" max="9" width="14.42578125" style="73" customWidth="1"/>
    <col min="10" max="12" width="2.7109375" style="73" customWidth="1"/>
    <col min="13" max="40" width="10.7109375" style="73" customWidth="1"/>
    <col min="41" max="16384" width="9.7109375" style="73"/>
  </cols>
  <sheetData>
    <row r="1" spans="2:23" thickBot="1" x14ac:dyDescent="0.25"/>
    <row r="2" spans="2:23" ht="12.75" x14ac:dyDescent="0.2">
      <c r="B2" s="19"/>
      <c r="C2" s="20"/>
      <c r="D2" s="20"/>
      <c r="E2" s="20"/>
      <c r="F2" s="20"/>
      <c r="G2" s="20"/>
      <c r="H2" s="20"/>
      <c r="I2" s="20"/>
      <c r="J2" s="20"/>
      <c r="K2" s="23"/>
    </row>
    <row r="3" spans="2:23" ht="12.75" x14ac:dyDescent="0.2">
      <c r="B3" s="24"/>
      <c r="C3" s="25"/>
      <c r="D3" s="25"/>
      <c r="E3" s="25"/>
      <c r="F3" s="25"/>
      <c r="G3" s="25"/>
      <c r="H3" s="25"/>
      <c r="I3" s="25"/>
      <c r="J3" s="25"/>
      <c r="K3" s="28"/>
    </row>
    <row r="4" spans="2:23" ht="18" x14ac:dyDescent="0.25">
      <c r="B4" s="24"/>
      <c r="C4" s="30" t="s">
        <v>213</v>
      </c>
      <c r="D4" s="25"/>
      <c r="E4" s="25"/>
      <c r="F4" s="107"/>
      <c r="G4" s="62"/>
      <c r="H4" s="61"/>
      <c r="I4" s="25"/>
      <c r="J4" s="25"/>
      <c r="K4" s="28"/>
    </row>
    <row r="5" spans="2:23" ht="12.75" x14ac:dyDescent="0.2">
      <c r="B5" s="24"/>
      <c r="C5" s="25"/>
      <c r="D5" s="61"/>
      <c r="E5" s="25"/>
      <c r="F5" s="25"/>
      <c r="G5" s="25"/>
      <c r="H5" s="25"/>
      <c r="I5" s="25"/>
      <c r="J5" s="25"/>
      <c r="K5" s="28"/>
    </row>
    <row r="6" spans="2:23" ht="12.75" x14ac:dyDescent="0.2">
      <c r="B6" s="24"/>
      <c r="C6" s="25"/>
      <c r="D6" s="61"/>
      <c r="E6" s="25"/>
      <c r="F6" s="25"/>
      <c r="G6" s="25"/>
      <c r="H6" s="25"/>
      <c r="I6" s="25"/>
      <c r="J6" s="25"/>
      <c r="K6" s="28"/>
    </row>
    <row r="7" spans="2:23" ht="12.75" x14ac:dyDescent="0.2">
      <c r="B7" s="24"/>
      <c r="C7" s="148"/>
      <c r="D7" s="152"/>
      <c r="E7" s="148"/>
      <c r="F7" s="148"/>
      <c r="G7" s="148"/>
      <c r="H7" s="148"/>
      <c r="I7" s="148"/>
      <c r="J7" s="148"/>
      <c r="K7" s="28"/>
    </row>
    <row r="8" spans="2:23" ht="12.75" x14ac:dyDescent="0.2">
      <c r="B8" s="24"/>
      <c r="C8" s="152"/>
      <c r="D8" s="152" t="s">
        <v>214</v>
      </c>
      <c r="E8" s="148"/>
      <c r="F8" s="148"/>
      <c r="G8" s="148"/>
      <c r="H8" s="148"/>
      <c r="I8" s="148"/>
      <c r="J8" s="148"/>
      <c r="K8" s="28"/>
    </row>
    <row r="9" spans="2:23" ht="12.75" x14ac:dyDescent="0.2">
      <c r="B9" s="24"/>
      <c r="C9" s="152"/>
      <c r="D9" s="152"/>
      <c r="E9" s="148"/>
      <c r="F9" s="148"/>
      <c r="G9" s="148"/>
      <c r="H9" s="148"/>
      <c r="I9" s="148"/>
      <c r="J9" s="148"/>
      <c r="K9" s="28"/>
    </row>
    <row r="10" spans="2:23" ht="12.75" x14ac:dyDescent="0.2">
      <c r="B10" s="24"/>
      <c r="C10" s="148"/>
      <c r="D10" s="148" t="s">
        <v>156</v>
      </c>
      <c r="E10" s="148"/>
      <c r="F10" s="554" t="s">
        <v>44</v>
      </c>
      <c r="G10" s="555"/>
      <c r="H10" s="556"/>
      <c r="I10" s="148"/>
      <c r="J10" s="148"/>
      <c r="K10" s="28"/>
      <c r="P10" s="108"/>
    </row>
    <row r="11" spans="2:23" ht="12.75" x14ac:dyDescent="0.2">
      <c r="B11" s="24"/>
      <c r="C11" s="148"/>
      <c r="D11" s="148"/>
      <c r="E11" s="148"/>
      <c r="F11" s="198"/>
      <c r="G11" s="198"/>
      <c r="H11" s="198"/>
      <c r="I11" s="148"/>
      <c r="J11" s="148"/>
      <c r="K11" s="28"/>
      <c r="P11" s="108"/>
    </row>
    <row r="12" spans="2:23" ht="12.75" x14ac:dyDescent="0.2">
      <c r="B12" s="24"/>
      <c r="C12" s="25"/>
      <c r="D12" s="25"/>
      <c r="E12" s="25"/>
      <c r="F12" s="81"/>
      <c r="G12" s="81"/>
      <c r="H12" s="81"/>
      <c r="I12" s="25"/>
      <c r="J12" s="25"/>
      <c r="K12" s="28"/>
      <c r="P12" s="108"/>
    </row>
    <row r="13" spans="2:23" ht="12.75" x14ac:dyDescent="0.2">
      <c r="B13" s="24"/>
      <c r="C13" s="148"/>
      <c r="D13" s="152"/>
      <c r="E13" s="148"/>
      <c r="F13" s="198"/>
      <c r="G13" s="198"/>
      <c r="H13" s="198"/>
      <c r="I13" s="148"/>
      <c r="J13" s="148"/>
      <c r="K13" s="28"/>
      <c r="P13" s="108"/>
    </row>
    <row r="14" spans="2:23" ht="12.75" x14ac:dyDescent="0.2">
      <c r="B14" s="24"/>
      <c r="C14" s="148"/>
      <c r="D14" s="152" t="s">
        <v>46</v>
      </c>
      <c r="E14" s="148"/>
      <c r="F14" s="148"/>
      <c r="G14" s="148"/>
      <c r="H14" s="148"/>
      <c r="I14" s="148"/>
      <c r="J14" s="148"/>
      <c r="K14" s="28"/>
      <c r="P14" s="109"/>
    </row>
    <row r="15" spans="2:23" ht="12.75" x14ac:dyDescent="0.2">
      <c r="B15" s="24"/>
      <c r="C15" s="148"/>
      <c r="D15" s="152"/>
      <c r="E15" s="148"/>
      <c r="F15" s="148"/>
      <c r="G15" s="148"/>
      <c r="H15" s="148"/>
      <c r="I15" s="148"/>
      <c r="J15" s="148"/>
      <c r="K15" s="28"/>
      <c r="P15" s="110"/>
    </row>
    <row r="16" spans="2:23" ht="12.75" x14ac:dyDescent="0.2">
      <c r="B16" s="24"/>
      <c r="C16" s="148"/>
      <c r="D16" s="148" t="s">
        <v>47</v>
      </c>
      <c r="E16" s="148"/>
      <c r="F16" s="223" t="s">
        <v>5</v>
      </c>
      <c r="G16" s="151"/>
      <c r="H16" s="148"/>
      <c r="I16" s="148"/>
      <c r="J16" s="148"/>
      <c r="K16" s="28"/>
      <c r="P16" s="111" t="s">
        <v>47</v>
      </c>
      <c r="Q16" s="83" t="s">
        <v>215</v>
      </c>
      <c r="R16" s="83" t="s">
        <v>216</v>
      </c>
      <c r="S16" s="83"/>
      <c r="T16" s="83"/>
      <c r="U16" s="83"/>
      <c r="V16" s="83"/>
      <c r="W16" s="83"/>
    </row>
    <row r="17" spans="2:23" ht="12.75" x14ac:dyDescent="0.2">
      <c r="B17" s="24"/>
      <c r="C17" s="148"/>
      <c r="D17" s="148" t="s">
        <v>48</v>
      </c>
      <c r="E17" s="148"/>
      <c r="F17" s="204">
        <v>8</v>
      </c>
      <c r="G17" s="151"/>
      <c r="H17" s="276" t="s">
        <v>198</v>
      </c>
      <c r="I17" s="240">
        <f>VLOOKUP(F16,saltab2020aug,18,FALSE)</f>
        <v>12</v>
      </c>
      <c r="J17" s="148"/>
      <c r="K17" s="28"/>
      <c r="P17" s="112" t="str">
        <f>$F$16</f>
        <v>LB</v>
      </c>
      <c r="Q17" s="83">
        <f t="shared" ref="Q17:Q36" si="0">$F$17+$F$26+V17</f>
        <v>10</v>
      </c>
      <c r="R17" s="83">
        <f t="shared" ref="R17:R36" si="1">$F$17+V17</f>
        <v>8</v>
      </c>
      <c r="S17" s="113">
        <f t="shared" ref="S17:S36" si="2">IF(Q17&gt;$I$17,VLOOKUP(P17,saltab2020aug,$I$17+1,FALSE),VLOOKUP(P17,saltab2020aug,Q17+1,FALSE))*12*(1+$F$29)</f>
        <v>72112.2</v>
      </c>
      <c r="T17" s="113">
        <f t="shared" ref="T17:T36" si="3">IF(R17&gt;$I$17,VLOOKUP(P17,saltab2020aug,$I$17+1,FALSE),VLOOKUP(P17,saltab2020aug,R17+1,FALSE))*12*(1+$F$29)</f>
        <v>65695.199999999997</v>
      </c>
      <c r="U17" s="113">
        <f>S17-T17</f>
        <v>6417</v>
      </c>
      <c r="V17" s="83">
        <v>0</v>
      </c>
      <c r="W17" s="84" t="s">
        <v>5</v>
      </c>
    </row>
    <row r="18" spans="2:23" ht="12.75" x14ac:dyDescent="0.2">
      <c r="B18" s="24"/>
      <c r="C18" s="148"/>
      <c r="D18" s="148" t="s">
        <v>51</v>
      </c>
      <c r="E18" s="148"/>
      <c r="F18" s="269">
        <f>VLOOKUP(F16,saltab2020aug,F17+1,FALSE)</f>
        <v>3532</v>
      </c>
      <c r="G18" s="277"/>
      <c r="H18" s="148"/>
      <c r="I18" s="148"/>
      <c r="J18" s="148"/>
      <c r="K18" s="28"/>
      <c r="P18" s="112" t="str">
        <f t="shared" ref="P18:P36" si="4">$F$16</f>
        <v>LB</v>
      </c>
      <c r="Q18" s="83">
        <f t="shared" si="0"/>
        <v>11</v>
      </c>
      <c r="R18" s="83">
        <f t="shared" si="1"/>
        <v>9</v>
      </c>
      <c r="S18" s="113">
        <f t="shared" si="2"/>
        <v>75850.8</v>
      </c>
      <c r="T18" s="113">
        <f t="shared" si="3"/>
        <v>68745.600000000006</v>
      </c>
      <c r="U18" s="113">
        <f t="shared" ref="U18:U36" si="5">S18-T18</f>
        <v>7105.1999999999971</v>
      </c>
      <c r="V18" s="83">
        <v>1</v>
      </c>
      <c r="W18" s="84" t="s">
        <v>6</v>
      </c>
    </row>
    <row r="19" spans="2:23" ht="12.75" x14ac:dyDescent="0.2">
      <c r="B19" s="24"/>
      <c r="C19" s="148"/>
      <c r="D19" s="152" t="s">
        <v>52</v>
      </c>
      <c r="E19" s="148"/>
      <c r="F19" s="253">
        <v>1</v>
      </c>
      <c r="G19" s="242"/>
      <c r="H19" s="148"/>
      <c r="I19" s="148"/>
      <c r="J19" s="148"/>
      <c r="K19" s="28"/>
      <c r="P19" s="112" t="str">
        <f t="shared" si="4"/>
        <v>LB</v>
      </c>
      <c r="Q19" s="83">
        <f t="shared" si="0"/>
        <v>12</v>
      </c>
      <c r="R19" s="83">
        <f t="shared" si="1"/>
        <v>10</v>
      </c>
      <c r="S19" s="113">
        <f t="shared" si="2"/>
        <v>79998.600000000006</v>
      </c>
      <c r="T19" s="113">
        <f t="shared" si="3"/>
        <v>72112.2</v>
      </c>
      <c r="U19" s="113">
        <f t="shared" si="5"/>
        <v>7886.4000000000087</v>
      </c>
      <c r="V19" s="83">
        <v>2</v>
      </c>
      <c r="W19" s="84" t="s">
        <v>7</v>
      </c>
    </row>
    <row r="20" spans="2:23" ht="12.75" x14ac:dyDescent="0.2">
      <c r="B20" s="24"/>
      <c r="C20" s="148"/>
      <c r="D20" s="148" t="s">
        <v>53</v>
      </c>
      <c r="E20" s="148"/>
      <c r="F20" s="272">
        <f>+F18*F19</f>
        <v>3532</v>
      </c>
      <c r="G20" s="277"/>
      <c r="H20" s="148"/>
      <c r="I20" s="148"/>
      <c r="J20" s="148"/>
      <c r="K20" s="28"/>
      <c r="P20" s="112" t="str">
        <f t="shared" si="4"/>
        <v>LB</v>
      </c>
      <c r="Q20" s="83">
        <f t="shared" si="0"/>
        <v>13</v>
      </c>
      <c r="R20" s="83">
        <f t="shared" si="1"/>
        <v>11</v>
      </c>
      <c r="S20" s="113">
        <f t="shared" si="2"/>
        <v>79998.600000000006</v>
      </c>
      <c r="T20" s="113">
        <f t="shared" si="3"/>
        <v>75850.8</v>
      </c>
      <c r="U20" s="113">
        <f t="shared" si="5"/>
        <v>4147.8000000000029</v>
      </c>
      <c r="V20" s="83">
        <v>3</v>
      </c>
      <c r="W20" s="84" t="s">
        <v>8</v>
      </c>
    </row>
    <row r="21" spans="2:23" ht="12.75" x14ac:dyDescent="0.2">
      <c r="B21" s="24"/>
      <c r="C21" s="148"/>
      <c r="D21" s="148"/>
      <c r="E21" s="148"/>
      <c r="F21" s="151"/>
      <c r="G21" s="151"/>
      <c r="H21" s="148"/>
      <c r="I21" s="148"/>
      <c r="J21" s="148"/>
      <c r="K21" s="28"/>
      <c r="P21" s="112" t="str">
        <f t="shared" si="4"/>
        <v>LB</v>
      </c>
      <c r="Q21" s="83">
        <f t="shared" si="0"/>
        <v>14</v>
      </c>
      <c r="R21" s="83">
        <f t="shared" si="1"/>
        <v>12</v>
      </c>
      <c r="S21" s="113">
        <f t="shared" si="2"/>
        <v>79998.600000000006</v>
      </c>
      <c r="T21" s="113">
        <f t="shared" si="3"/>
        <v>79998.600000000006</v>
      </c>
      <c r="U21" s="113">
        <f t="shared" si="5"/>
        <v>0</v>
      </c>
      <c r="V21" s="83">
        <v>4</v>
      </c>
      <c r="W21" s="84">
        <v>1</v>
      </c>
    </row>
    <row r="22" spans="2:23" ht="12.75" x14ac:dyDescent="0.2">
      <c r="B22" s="24"/>
      <c r="C22" s="148"/>
      <c r="D22" s="152" t="s">
        <v>217</v>
      </c>
      <c r="E22" s="148"/>
      <c r="F22" s="151"/>
      <c r="G22" s="151"/>
      <c r="H22" s="148"/>
      <c r="I22" s="148"/>
      <c r="J22" s="148"/>
      <c r="K22" s="28"/>
      <c r="P22" s="112" t="str">
        <f t="shared" si="4"/>
        <v>LB</v>
      </c>
      <c r="Q22" s="83">
        <f t="shared" si="0"/>
        <v>15</v>
      </c>
      <c r="R22" s="83">
        <f t="shared" si="1"/>
        <v>13</v>
      </c>
      <c r="S22" s="113">
        <f t="shared" si="2"/>
        <v>79998.600000000006</v>
      </c>
      <c r="T22" s="113">
        <f t="shared" si="3"/>
        <v>79998.600000000006</v>
      </c>
      <c r="U22" s="113">
        <f t="shared" si="5"/>
        <v>0</v>
      </c>
      <c r="V22" s="83">
        <v>5</v>
      </c>
      <c r="W22" s="84">
        <v>2</v>
      </c>
    </row>
    <row r="23" spans="2:23" ht="12.75" x14ac:dyDescent="0.2">
      <c r="B23" s="24"/>
      <c r="C23" s="148"/>
      <c r="D23" s="148" t="s">
        <v>218</v>
      </c>
      <c r="E23" s="148"/>
      <c r="F23" s="223" t="s">
        <v>203</v>
      </c>
      <c r="G23" s="151"/>
      <c r="H23" s="148"/>
      <c r="I23" s="148"/>
      <c r="J23" s="148"/>
      <c r="K23" s="28"/>
      <c r="P23" s="112" t="str">
        <f t="shared" si="4"/>
        <v>LB</v>
      </c>
      <c r="Q23" s="83">
        <f t="shared" si="0"/>
        <v>16</v>
      </c>
      <c r="R23" s="83">
        <f t="shared" si="1"/>
        <v>14</v>
      </c>
      <c r="S23" s="113">
        <f t="shared" si="2"/>
        <v>79998.600000000006</v>
      </c>
      <c r="T23" s="113">
        <f t="shared" si="3"/>
        <v>79998.600000000006</v>
      </c>
      <c r="U23" s="113">
        <f t="shared" si="5"/>
        <v>0</v>
      </c>
      <c r="V23" s="83">
        <v>6</v>
      </c>
      <c r="W23" s="84">
        <v>3</v>
      </c>
    </row>
    <row r="24" spans="2:23" ht="12.75" x14ac:dyDescent="0.2">
      <c r="B24" s="24"/>
      <c r="C24" s="148"/>
      <c r="D24" s="148" t="s">
        <v>219</v>
      </c>
      <c r="E24" s="148"/>
      <c r="F24" s="204" t="s">
        <v>203</v>
      </c>
      <c r="G24" s="151"/>
      <c r="H24" s="148"/>
      <c r="I24" s="148"/>
      <c r="J24" s="148"/>
      <c r="K24" s="28"/>
      <c r="P24" s="112" t="str">
        <f t="shared" si="4"/>
        <v>LB</v>
      </c>
      <c r="Q24" s="83">
        <f t="shared" si="0"/>
        <v>17</v>
      </c>
      <c r="R24" s="83">
        <f t="shared" si="1"/>
        <v>15</v>
      </c>
      <c r="S24" s="113">
        <f t="shared" si="2"/>
        <v>79998.600000000006</v>
      </c>
      <c r="T24" s="113">
        <f t="shared" si="3"/>
        <v>79998.600000000006</v>
      </c>
      <c r="U24" s="113">
        <f t="shared" si="5"/>
        <v>0</v>
      </c>
      <c r="V24" s="83">
        <v>7</v>
      </c>
      <c r="W24" s="84">
        <v>4</v>
      </c>
    </row>
    <row r="25" spans="2:23" ht="12.75" x14ac:dyDescent="0.2">
      <c r="B25" s="24"/>
      <c r="C25" s="148"/>
      <c r="D25" s="148" t="s">
        <v>220</v>
      </c>
      <c r="E25" s="148"/>
      <c r="F25" s="204" t="s">
        <v>54</v>
      </c>
      <c r="G25" s="151"/>
      <c r="H25" s="148"/>
      <c r="I25" s="148"/>
      <c r="J25" s="148"/>
      <c r="K25" s="28"/>
      <c r="P25" s="112" t="str">
        <f t="shared" si="4"/>
        <v>LB</v>
      </c>
      <c r="Q25" s="83">
        <f t="shared" si="0"/>
        <v>18</v>
      </c>
      <c r="R25" s="83">
        <f t="shared" si="1"/>
        <v>16</v>
      </c>
      <c r="S25" s="113">
        <f t="shared" si="2"/>
        <v>79998.600000000006</v>
      </c>
      <c r="T25" s="113">
        <f t="shared" si="3"/>
        <v>79998.600000000006</v>
      </c>
      <c r="U25" s="113">
        <f t="shared" si="5"/>
        <v>0</v>
      </c>
      <c r="V25" s="83">
        <v>8</v>
      </c>
      <c r="W25" s="84">
        <v>5</v>
      </c>
    </row>
    <row r="26" spans="2:23" ht="12.75" x14ac:dyDescent="0.2">
      <c r="B26" s="24"/>
      <c r="C26" s="148"/>
      <c r="D26" s="148" t="s">
        <v>221</v>
      </c>
      <c r="E26" s="148"/>
      <c r="F26" s="216">
        <v>2</v>
      </c>
      <c r="G26" s="151"/>
      <c r="H26" s="148"/>
      <c r="I26" s="148"/>
      <c r="J26" s="148"/>
      <c r="K26" s="28"/>
      <c r="P26" s="112" t="str">
        <f t="shared" si="4"/>
        <v>LB</v>
      </c>
      <c r="Q26" s="83">
        <f t="shared" si="0"/>
        <v>19</v>
      </c>
      <c r="R26" s="83">
        <f t="shared" si="1"/>
        <v>17</v>
      </c>
      <c r="S26" s="113">
        <f t="shared" si="2"/>
        <v>79998.600000000006</v>
      </c>
      <c r="T26" s="113">
        <f t="shared" si="3"/>
        <v>79998.600000000006</v>
      </c>
      <c r="U26" s="113">
        <f t="shared" si="5"/>
        <v>0</v>
      </c>
      <c r="V26" s="83">
        <v>9</v>
      </c>
      <c r="W26" s="84">
        <v>6</v>
      </c>
    </row>
    <row r="27" spans="2:23" ht="12.75" x14ac:dyDescent="0.2">
      <c r="B27" s="24"/>
      <c r="C27" s="148"/>
      <c r="D27" s="148"/>
      <c r="E27" s="148"/>
      <c r="F27" s="151"/>
      <c r="G27" s="151"/>
      <c r="H27" s="148"/>
      <c r="I27" s="148"/>
      <c r="J27" s="148"/>
      <c r="K27" s="28"/>
      <c r="P27" s="112" t="str">
        <f t="shared" si="4"/>
        <v>LB</v>
      </c>
      <c r="Q27" s="83">
        <f t="shared" si="0"/>
        <v>20</v>
      </c>
      <c r="R27" s="83">
        <f t="shared" si="1"/>
        <v>18</v>
      </c>
      <c r="S27" s="113">
        <f t="shared" si="2"/>
        <v>79998.600000000006</v>
      </c>
      <c r="T27" s="113">
        <f t="shared" si="3"/>
        <v>79998.600000000006</v>
      </c>
      <c r="U27" s="113">
        <f t="shared" si="5"/>
        <v>0</v>
      </c>
      <c r="V27" s="83">
        <v>10</v>
      </c>
      <c r="W27" s="84">
        <v>7</v>
      </c>
    </row>
    <row r="28" spans="2:23" ht="12.75" x14ac:dyDescent="0.2">
      <c r="B28" s="24"/>
      <c r="C28" s="148"/>
      <c r="D28" s="148" t="s">
        <v>222</v>
      </c>
      <c r="E28" s="148"/>
      <c r="F28" s="231">
        <f>IF(F17+F26&gt;I17,"verkeerde invoer",(VLOOKUP(F16,saltab2020aug,F17+F26+1,FALSE)-VLOOKUP(F16,saltab2020aug,F17+1,FALSE))*F19)</f>
        <v>345</v>
      </c>
      <c r="G28" s="237"/>
      <c r="H28" s="148"/>
      <c r="I28" s="148"/>
      <c r="J28" s="148"/>
      <c r="K28" s="28"/>
      <c r="P28" s="112" t="str">
        <f t="shared" si="4"/>
        <v>LB</v>
      </c>
      <c r="Q28" s="83">
        <f t="shared" si="0"/>
        <v>21</v>
      </c>
      <c r="R28" s="83">
        <f t="shared" si="1"/>
        <v>19</v>
      </c>
      <c r="S28" s="113">
        <f t="shared" si="2"/>
        <v>79998.600000000006</v>
      </c>
      <c r="T28" s="113">
        <f t="shared" si="3"/>
        <v>79998.600000000006</v>
      </c>
      <c r="U28" s="113">
        <f t="shared" si="5"/>
        <v>0</v>
      </c>
      <c r="V28" s="83">
        <v>11</v>
      </c>
      <c r="W28" s="84">
        <v>8</v>
      </c>
    </row>
    <row r="29" spans="2:23" ht="12.75" x14ac:dyDescent="0.2">
      <c r="B29" s="24"/>
      <c r="C29" s="148"/>
      <c r="D29" s="148" t="s">
        <v>207</v>
      </c>
      <c r="E29" s="148"/>
      <c r="F29" s="212">
        <f>+tabellen!C27</f>
        <v>0.55000000000000004</v>
      </c>
      <c r="G29" s="265"/>
      <c r="H29" s="148"/>
      <c r="I29" s="148"/>
      <c r="J29" s="148"/>
      <c r="K29" s="28"/>
      <c r="P29" s="112" t="str">
        <f t="shared" si="4"/>
        <v>LB</v>
      </c>
      <c r="Q29" s="83">
        <f t="shared" si="0"/>
        <v>22</v>
      </c>
      <c r="R29" s="83">
        <f t="shared" si="1"/>
        <v>20</v>
      </c>
      <c r="S29" s="113">
        <f t="shared" si="2"/>
        <v>79998.600000000006</v>
      </c>
      <c r="T29" s="113">
        <f t="shared" si="3"/>
        <v>79998.600000000006</v>
      </c>
      <c r="U29" s="113">
        <f t="shared" si="5"/>
        <v>0</v>
      </c>
      <c r="V29" s="83">
        <v>12</v>
      </c>
      <c r="W29" s="84">
        <v>9</v>
      </c>
    </row>
    <row r="30" spans="2:23" ht="12.75" x14ac:dyDescent="0.2">
      <c r="B30" s="24"/>
      <c r="C30" s="148"/>
      <c r="D30" s="148" t="s">
        <v>208</v>
      </c>
      <c r="E30" s="148"/>
      <c r="F30" s="270">
        <f>+F28*12*(1+F29)</f>
        <v>6417</v>
      </c>
      <c r="G30" s="277"/>
      <c r="H30" s="148"/>
      <c r="I30" s="148"/>
      <c r="J30" s="148"/>
      <c r="K30" s="28"/>
      <c r="P30" s="112" t="str">
        <f t="shared" si="4"/>
        <v>LB</v>
      </c>
      <c r="Q30" s="83">
        <f t="shared" si="0"/>
        <v>23</v>
      </c>
      <c r="R30" s="83">
        <f t="shared" si="1"/>
        <v>21</v>
      </c>
      <c r="S30" s="113">
        <f t="shared" si="2"/>
        <v>79998.600000000006</v>
      </c>
      <c r="T30" s="113">
        <f t="shared" si="3"/>
        <v>79998.600000000006</v>
      </c>
      <c r="U30" s="113">
        <f t="shared" si="5"/>
        <v>0</v>
      </c>
      <c r="V30" s="83">
        <v>13</v>
      </c>
      <c r="W30" s="84">
        <v>10</v>
      </c>
    </row>
    <row r="31" spans="2:23" ht="12.75" x14ac:dyDescent="0.2">
      <c r="B31" s="24"/>
      <c r="C31" s="148"/>
      <c r="D31" s="148" t="s">
        <v>223</v>
      </c>
      <c r="E31" s="148"/>
      <c r="F31" s="271">
        <f>IF(F26=0,0,+I17-F17)</f>
        <v>4</v>
      </c>
      <c r="G31" s="151"/>
      <c r="H31" s="148"/>
      <c r="I31" s="148"/>
      <c r="J31" s="148"/>
      <c r="K31" s="28"/>
      <c r="P31" s="112" t="str">
        <f t="shared" si="4"/>
        <v>LB</v>
      </c>
      <c r="Q31" s="83">
        <f t="shared" si="0"/>
        <v>24</v>
      </c>
      <c r="R31" s="83">
        <f t="shared" si="1"/>
        <v>22</v>
      </c>
      <c r="S31" s="113">
        <f t="shared" si="2"/>
        <v>79998.600000000006</v>
      </c>
      <c r="T31" s="113">
        <f t="shared" si="3"/>
        <v>79998.600000000006</v>
      </c>
      <c r="U31" s="113">
        <f t="shared" si="5"/>
        <v>0</v>
      </c>
      <c r="V31" s="83">
        <v>14</v>
      </c>
      <c r="W31" s="84">
        <v>11</v>
      </c>
    </row>
    <row r="32" spans="2:23" ht="12.75" x14ac:dyDescent="0.2">
      <c r="B32" s="24"/>
      <c r="C32" s="148"/>
      <c r="D32" s="148" t="s">
        <v>210</v>
      </c>
      <c r="E32" s="148"/>
      <c r="F32" s="222">
        <f>U39*F19</f>
        <v>6389.1000000000022</v>
      </c>
      <c r="G32" s="266"/>
      <c r="H32" s="170"/>
      <c r="I32" s="148"/>
      <c r="J32" s="148"/>
      <c r="K32" s="28"/>
      <c r="P32" s="112" t="str">
        <f t="shared" si="4"/>
        <v>LB</v>
      </c>
      <c r="Q32" s="83">
        <f t="shared" si="0"/>
        <v>25</v>
      </c>
      <c r="R32" s="83">
        <f t="shared" si="1"/>
        <v>23</v>
      </c>
      <c r="S32" s="113">
        <f t="shared" si="2"/>
        <v>79998.600000000006</v>
      </c>
      <c r="T32" s="113">
        <f t="shared" si="3"/>
        <v>79998.600000000006</v>
      </c>
      <c r="U32" s="113">
        <f t="shared" si="5"/>
        <v>0</v>
      </c>
      <c r="V32" s="83">
        <v>15</v>
      </c>
      <c r="W32" s="84">
        <v>12</v>
      </c>
    </row>
    <row r="33" spans="2:23" ht="12.75" x14ac:dyDescent="0.2">
      <c r="B33" s="24"/>
      <c r="C33" s="148"/>
      <c r="D33" s="148"/>
      <c r="E33" s="148"/>
      <c r="F33" s="266"/>
      <c r="G33" s="266"/>
      <c r="H33" s="170"/>
      <c r="I33" s="148"/>
      <c r="J33" s="148"/>
      <c r="K33" s="28"/>
      <c r="P33" s="112" t="str">
        <f t="shared" si="4"/>
        <v>LB</v>
      </c>
      <c r="Q33" s="83">
        <f t="shared" si="0"/>
        <v>26</v>
      </c>
      <c r="R33" s="83">
        <f t="shared" si="1"/>
        <v>24</v>
      </c>
      <c r="S33" s="113">
        <f t="shared" si="2"/>
        <v>79998.600000000006</v>
      </c>
      <c r="T33" s="113">
        <f t="shared" si="3"/>
        <v>79998.600000000006</v>
      </c>
      <c r="U33" s="113">
        <f t="shared" si="5"/>
        <v>0</v>
      </c>
      <c r="V33" s="83">
        <v>16</v>
      </c>
      <c r="W33" s="84">
        <v>13</v>
      </c>
    </row>
    <row r="34" spans="2:23" ht="12.75" x14ac:dyDescent="0.2">
      <c r="B34" s="24"/>
      <c r="C34" s="148"/>
      <c r="D34" s="152" t="s">
        <v>224</v>
      </c>
      <c r="E34" s="148"/>
      <c r="F34" s="259">
        <f>U38*F19</f>
        <v>25556.400000000009</v>
      </c>
      <c r="G34" s="267"/>
      <c r="H34" s="148"/>
      <c r="I34" s="148"/>
      <c r="J34" s="148"/>
      <c r="K34" s="28"/>
      <c r="P34" s="112" t="str">
        <f t="shared" si="4"/>
        <v>LB</v>
      </c>
      <c r="Q34" s="83">
        <f t="shared" si="0"/>
        <v>27</v>
      </c>
      <c r="R34" s="83">
        <f t="shared" si="1"/>
        <v>25</v>
      </c>
      <c r="S34" s="113">
        <f t="shared" si="2"/>
        <v>79998.600000000006</v>
      </c>
      <c r="T34" s="113">
        <f t="shared" si="3"/>
        <v>79998.600000000006</v>
      </c>
      <c r="U34" s="113">
        <f t="shared" si="5"/>
        <v>0</v>
      </c>
      <c r="V34" s="83">
        <v>17</v>
      </c>
      <c r="W34" s="84">
        <v>14</v>
      </c>
    </row>
    <row r="35" spans="2:23" ht="12.75" x14ac:dyDescent="0.2">
      <c r="B35" s="24"/>
      <c r="C35" s="148"/>
      <c r="D35" s="148"/>
      <c r="E35" s="148"/>
      <c r="F35" s="148"/>
      <c r="G35" s="148"/>
      <c r="H35" s="148"/>
      <c r="I35" s="148"/>
      <c r="J35" s="148"/>
      <c r="K35" s="28"/>
      <c r="P35" s="112" t="str">
        <f t="shared" si="4"/>
        <v>LB</v>
      </c>
      <c r="Q35" s="83">
        <f t="shared" si="0"/>
        <v>28</v>
      </c>
      <c r="R35" s="83">
        <f t="shared" si="1"/>
        <v>26</v>
      </c>
      <c r="S35" s="113">
        <f t="shared" si="2"/>
        <v>79998.600000000006</v>
      </c>
      <c r="T35" s="113">
        <f t="shared" si="3"/>
        <v>79998.600000000006</v>
      </c>
      <c r="U35" s="113">
        <f t="shared" si="5"/>
        <v>0</v>
      </c>
      <c r="V35" s="83">
        <v>18</v>
      </c>
      <c r="W35" s="84">
        <v>15</v>
      </c>
    </row>
    <row r="36" spans="2:23" ht="12.75" x14ac:dyDescent="0.2">
      <c r="B36" s="24"/>
      <c r="C36" s="25"/>
      <c r="D36" s="25"/>
      <c r="E36" s="25"/>
      <c r="F36" s="25"/>
      <c r="G36" s="25"/>
      <c r="H36" s="25"/>
      <c r="I36" s="25"/>
      <c r="J36" s="25"/>
      <c r="K36" s="28"/>
      <c r="P36" s="112" t="str">
        <f t="shared" si="4"/>
        <v>LB</v>
      </c>
      <c r="Q36" s="83">
        <f t="shared" si="0"/>
        <v>29</v>
      </c>
      <c r="R36" s="83">
        <f t="shared" si="1"/>
        <v>27</v>
      </c>
      <c r="S36" s="113">
        <f t="shared" si="2"/>
        <v>79998.600000000006</v>
      </c>
      <c r="T36" s="113">
        <f t="shared" si="3"/>
        <v>79998.600000000006</v>
      </c>
      <c r="U36" s="113">
        <f t="shared" si="5"/>
        <v>0</v>
      </c>
      <c r="V36" s="83">
        <v>19</v>
      </c>
      <c r="W36" s="84">
        <v>16</v>
      </c>
    </row>
    <row r="37" spans="2:23" ht="12.75" x14ac:dyDescent="0.2">
      <c r="B37" s="24"/>
      <c r="C37" s="148"/>
      <c r="D37" s="148"/>
      <c r="E37" s="148"/>
      <c r="F37" s="148"/>
      <c r="G37" s="148"/>
      <c r="H37" s="148"/>
      <c r="I37" s="148"/>
      <c r="J37" s="148"/>
      <c r="K37" s="28"/>
      <c r="P37" s="114"/>
      <c r="Q37" s="83"/>
      <c r="R37" s="83"/>
      <c r="S37" s="83"/>
      <c r="T37" s="83"/>
      <c r="U37" s="83"/>
      <c r="V37" s="83"/>
      <c r="W37" s="84">
        <v>17</v>
      </c>
    </row>
    <row r="38" spans="2:23" ht="12.75" x14ac:dyDescent="0.2">
      <c r="B38" s="24"/>
      <c r="C38" s="148"/>
      <c r="D38" s="152" t="s">
        <v>225</v>
      </c>
      <c r="E38" s="148"/>
      <c r="F38" s="148"/>
      <c r="G38" s="148"/>
      <c r="H38" s="148"/>
      <c r="I38" s="148"/>
      <c r="J38" s="148"/>
      <c r="K38" s="28"/>
      <c r="P38" s="114"/>
      <c r="Q38" s="83"/>
      <c r="R38" s="83"/>
      <c r="S38" s="83"/>
      <c r="T38" s="83"/>
      <c r="U38" s="113">
        <f>SUM(U17:U36)</f>
        <v>25556.400000000009</v>
      </c>
      <c r="V38" s="83"/>
      <c r="W38" s="84" t="s">
        <v>9</v>
      </c>
    </row>
    <row r="39" spans="2:23" ht="12.75" x14ac:dyDescent="0.2">
      <c r="B39" s="24"/>
      <c r="C39" s="148"/>
      <c r="D39" s="152"/>
      <c r="E39" s="148"/>
      <c r="F39" s="148"/>
      <c r="G39" s="148"/>
      <c r="H39" s="148"/>
      <c r="I39" s="148"/>
      <c r="J39" s="148"/>
      <c r="K39" s="28"/>
      <c r="P39" s="114"/>
      <c r="Q39" s="83"/>
      <c r="R39" s="83"/>
      <c r="S39" s="83"/>
      <c r="T39" s="83"/>
      <c r="U39" s="113">
        <f>IF(F31=0,0,U38/F31)</f>
        <v>6389.1000000000022</v>
      </c>
      <c r="V39" s="83"/>
      <c r="W39" s="84" t="s">
        <v>10</v>
      </c>
    </row>
    <row r="40" spans="2:23" ht="12.75" x14ac:dyDescent="0.2">
      <c r="B40" s="24"/>
      <c r="C40" s="148"/>
      <c r="D40" s="148" t="s">
        <v>226</v>
      </c>
      <c r="E40" s="148"/>
      <c r="F40" s="548" t="s">
        <v>267</v>
      </c>
      <c r="G40" s="553"/>
      <c r="H40" s="549"/>
      <c r="I40" s="198"/>
      <c r="J40" s="148"/>
      <c r="K40" s="28"/>
      <c r="P40" s="83"/>
      <c r="Q40" s="83"/>
      <c r="R40" s="83"/>
      <c r="S40" s="83"/>
      <c r="T40" s="83"/>
      <c r="U40" s="83"/>
      <c r="V40" s="83"/>
      <c r="W40" s="84" t="s">
        <v>11</v>
      </c>
    </row>
    <row r="41" spans="2:23" ht="12.75" x14ac:dyDescent="0.2">
      <c r="B41" s="24"/>
      <c r="C41" s="148"/>
      <c r="D41" s="148"/>
      <c r="E41" s="148"/>
      <c r="F41" s="185"/>
      <c r="G41" s="185"/>
      <c r="H41" s="198"/>
      <c r="I41" s="198"/>
      <c r="J41" s="148"/>
      <c r="K41" s="28"/>
      <c r="P41" s="83"/>
      <c r="Q41" s="83"/>
      <c r="R41" s="83"/>
      <c r="S41" s="83"/>
      <c r="T41" s="83"/>
      <c r="U41" s="83"/>
      <c r="V41" s="83"/>
      <c r="W41" s="84" t="s">
        <v>12</v>
      </c>
    </row>
    <row r="42" spans="2:23" ht="12.75" x14ac:dyDescent="0.2">
      <c r="B42" s="24"/>
      <c r="C42" s="148"/>
      <c r="D42" s="187" t="s">
        <v>174</v>
      </c>
      <c r="E42" s="148"/>
      <c r="F42" s="148"/>
      <c r="G42" s="148"/>
      <c r="H42" s="148"/>
      <c r="I42" s="148"/>
      <c r="J42" s="148"/>
      <c r="K42" s="28"/>
      <c r="P42" s="83"/>
      <c r="Q42" s="83"/>
      <c r="R42" s="83"/>
      <c r="S42" s="83"/>
      <c r="T42" s="83"/>
      <c r="U42" s="83"/>
      <c r="V42" s="83"/>
      <c r="W42" s="83"/>
    </row>
    <row r="43" spans="2:23" ht="12.75" x14ac:dyDescent="0.2">
      <c r="B43" s="24"/>
      <c r="C43" s="148"/>
      <c r="D43" s="148" t="s">
        <v>175</v>
      </c>
      <c r="E43" s="148"/>
      <c r="F43" s="235">
        <v>500</v>
      </c>
      <c r="G43" s="278"/>
      <c r="H43" s="148"/>
      <c r="I43" s="148"/>
      <c r="J43" s="148"/>
      <c r="K43" s="28"/>
    </row>
    <row r="44" spans="2:23" ht="12.75" x14ac:dyDescent="0.2">
      <c r="B44" s="24"/>
      <c r="C44" s="148"/>
      <c r="D44" s="148" t="s">
        <v>177</v>
      </c>
      <c r="E44" s="148"/>
      <c r="F44" s="212">
        <v>0.75</v>
      </c>
      <c r="G44" s="265"/>
      <c r="H44" s="148"/>
      <c r="I44" s="148"/>
      <c r="J44" s="148"/>
      <c r="K44" s="28"/>
    </row>
    <row r="45" spans="2:23" ht="12.75" x14ac:dyDescent="0.2">
      <c r="B45" s="24"/>
      <c r="C45" s="148"/>
      <c r="D45" s="148" t="s">
        <v>227</v>
      </c>
      <c r="E45" s="148"/>
      <c r="F45" s="273">
        <f>ROUND(+F43*F44,0)</f>
        <v>375</v>
      </c>
      <c r="G45" s="278"/>
      <c r="H45" s="148"/>
      <c r="I45" s="148"/>
      <c r="J45" s="148"/>
      <c r="K45" s="28"/>
    </row>
    <row r="46" spans="2:23" ht="12.75" x14ac:dyDescent="0.2">
      <c r="B46" s="24"/>
      <c r="C46" s="148"/>
      <c r="D46" s="148"/>
      <c r="E46" s="148"/>
      <c r="F46" s="151"/>
      <c r="G46" s="151"/>
      <c r="H46" s="148"/>
      <c r="I46" s="148"/>
      <c r="J46" s="148"/>
      <c r="K46" s="28"/>
    </row>
    <row r="47" spans="2:23" ht="12.75" x14ac:dyDescent="0.2">
      <c r="B47" s="24"/>
      <c r="C47" s="148"/>
      <c r="D47" s="148" t="s">
        <v>228</v>
      </c>
      <c r="E47" s="148"/>
      <c r="F47" s="275">
        <v>0.02</v>
      </c>
      <c r="G47" s="164"/>
      <c r="H47" s="148"/>
      <c r="I47" s="148"/>
      <c r="J47" s="170"/>
      <c r="K47" s="93"/>
    </row>
    <row r="48" spans="2:23" ht="12.75" x14ac:dyDescent="0.2">
      <c r="B48" s="24"/>
      <c r="C48" s="148"/>
      <c r="D48" s="148" t="s">
        <v>227</v>
      </c>
      <c r="E48" s="148"/>
      <c r="F48" s="213">
        <f>ROUND(+F45*F47,0)</f>
        <v>8</v>
      </c>
      <c r="G48" s="278"/>
      <c r="H48" s="148"/>
      <c r="I48" s="148"/>
      <c r="J48" s="170"/>
      <c r="K48" s="93"/>
    </row>
    <row r="49" spans="2:14" ht="12.75" x14ac:dyDescent="0.2">
      <c r="B49" s="24"/>
      <c r="C49" s="148"/>
      <c r="D49" s="148" t="s">
        <v>229</v>
      </c>
      <c r="E49" s="148"/>
      <c r="F49" s="274">
        <v>4300</v>
      </c>
      <c r="G49" s="266"/>
      <c r="H49" s="148"/>
      <c r="I49" s="148"/>
      <c r="J49" s="170"/>
      <c r="K49" s="93"/>
    </row>
    <row r="50" spans="2:14" ht="12.75" x14ac:dyDescent="0.2">
      <c r="B50" s="24"/>
      <c r="C50" s="148"/>
      <c r="D50" s="148"/>
      <c r="E50" s="148"/>
      <c r="F50" s="266"/>
      <c r="G50" s="266"/>
      <c r="H50" s="148"/>
      <c r="I50" s="148"/>
      <c r="J50" s="170"/>
      <c r="K50" s="93"/>
    </row>
    <row r="51" spans="2:14" s="92" customFormat="1" ht="12.75" x14ac:dyDescent="0.2">
      <c r="B51" s="39"/>
      <c r="C51" s="152"/>
      <c r="D51" s="152" t="s">
        <v>230</v>
      </c>
      <c r="E51" s="152"/>
      <c r="F51" s="259">
        <f>+F48*F49</f>
        <v>34400</v>
      </c>
      <c r="G51" s="267"/>
      <c r="H51" s="152"/>
      <c r="I51" s="152"/>
      <c r="J51" s="186"/>
      <c r="K51" s="94"/>
    </row>
    <row r="52" spans="2:14" ht="12.75" x14ac:dyDescent="0.2">
      <c r="B52" s="24"/>
      <c r="C52" s="148"/>
      <c r="D52" s="152"/>
      <c r="E52" s="148"/>
      <c r="F52" s="148"/>
      <c r="G52" s="148"/>
      <c r="H52" s="148"/>
      <c r="I52" s="148"/>
      <c r="J52" s="170"/>
      <c r="K52" s="93"/>
    </row>
    <row r="53" spans="2:14" ht="12.75" x14ac:dyDescent="0.2">
      <c r="B53" s="24"/>
      <c r="C53" s="25"/>
      <c r="D53" s="25"/>
      <c r="E53" s="25"/>
      <c r="F53" s="25"/>
      <c r="G53" s="25"/>
      <c r="H53" s="25"/>
      <c r="I53" s="25"/>
      <c r="J53" s="48"/>
      <c r="K53" s="93"/>
    </row>
    <row r="54" spans="2:14" thickBot="1" x14ac:dyDescent="0.25">
      <c r="B54" s="49"/>
      <c r="C54" s="50"/>
      <c r="D54" s="50"/>
      <c r="E54" s="50"/>
      <c r="F54" s="50"/>
      <c r="G54" s="50"/>
      <c r="H54" s="50"/>
      <c r="I54" s="50"/>
      <c r="J54" s="115" t="s">
        <v>75</v>
      </c>
      <c r="K54" s="96"/>
    </row>
    <row r="55" spans="2:14" ht="12.75" x14ac:dyDescent="0.2">
      <c r="J55" s="97"/>
      <c r="K55" s="89"/>
    </row>
    <row r="56" spans="2:14" ht="12.75" x14ac:dyDescent="0.2">
      <c r="J56" s="97"/>
      <c r="K56" s="89"/>
    </row>
    <row r="57" spans="2:14" ht="12.75" x14ac:dyDescent="0.2">
      <c r="J57" s="97"/>
      <c r="K57" s="89"/>
    </row>
    <row r="58" spans="2:14" ht="12.75" x14ac:dyDescent="0.2">
      <c r="J58" s="89"/>
      <c r="K58" s="89"/>
    </row>
    <row r="59" spans="2:14" ht="12.75" x14ac:dyDescent="0.2">
      <c r="J59" s="89"/>
      <c r="K59" s="89"/>
      <c r="L59" s="102"/>
      <c r="M59" s="102"/>
      <c r="N59" s="102"/>
    </row>
    <row r="60" spans="2:14" ht="12.75" x14ac:dyDescent="0.2">
      <c r="J60" s="89"/>
      <c r="K60" s="89"/>
      <c r="M60" s="102"/>
      <c r="N60" s="102"/>
    </row>
    <row r="61" spans="2:14" ht="12.75" x14ac:dyDescent="0.2">
      <c r="J61" s="89"/>
      <c r="K61" s="89"/>
      <c r="M61" s="102"/>
      <c r="N61" s="102"/>
    </row>
    <row r="62" spans="2:14" ht="12.75" x14ac:dyDescent="0.2">
      <c r="J62" s="89"/>
      <c r="K62" s="89"/>
      <c r="M62" s="102"/>
      <c r="N62" s="102"/>
    </row>
    <row r="63" spans="2:14" ht="12.75" x14ac:dyDescent="0.2">
      <c r="J63" s="89"/>
      <c r="K63" s="89"/>
      <c r="M63" s="102"/>
      <c r="N63" s="102"/>
    </row>
    <row r="64" spans="2:14" ht="12.75" x14ac:dyDescent="0.2">
      <c r="J64" s="89"/>
      <c r="K64" s="89"/>
      <c r="M64" s="102"/>
      <c r="N64" s="102"/>
    </row>
    <row r="65" spans="10:14" ht="12.75" x14ac:dyDescent="0.2">
      <c r="J65" s="89"/>
      <c r="K65" s="89"/>
      <c r="M65" s="102"/>
      <c r="N65" s="102"/>
    </row>
    <row r="66" spans="10:14" ht="12.75" x14ac:dyDescent="0.2">
      <c r="J66" s="89"/>
      <c r="K66" s="89"/>
      <c r="M66" s="102"/>
      <c r="N66" s="102"/>
    </row>
    <row r="67" spans="10:14" ht="12.75" x14ac:dyDescent="0.2">
      <c r="J67" s="89"/>
      <c r="K67" s="89"/>
      <c r="M67" s="102"/>
      <c r="N67" s="102"/>
    </row>
    <row r="68" spans="10:14" ht="12.75" x14ac:dyDescent="0.2">
      <c r="J68" s="89"/>
      <c r="K68" s="89"/>
      <c r="M68" s="102"/>
      <c r="N68" s="102"/>
    </row>
    <row r="69" spans="10:14" ht="12.75" x14ac:dyDescent="0.2">
      <c r="J69" s="89"/>
      <c r="K69" s="89"/>
      <c r="M69" s="102"/>
      <c r="N69" s="102"/>
    </row>
    <row r="70" spans="10:14" ht="12.75" x14ac:dyDescent="0.2">
      <c r="J70" s="89"/>
      <c r="K70" s="89"/>
      <c r="M70" s="102"/>
      <c r="N70" s="102"/>
    </row>
    <row r="71" spans="10:14" ht="12.75" x14ac:dyDescent="0.2">
      <c r="J71" s="89"/>
      <c r="K71" s="89"/>
      <c r="M71" s="102"/>
      <c r="N71" s="102"/>
    </row>
    <row r="72" spans="10:14" ht="12.75" x14ac:dyDescent="0.2">
      <c r="J72" s="89"/>
      <c r="K72" s="89"/>
      <c r="M72" s="102"/>
      <c r="N72" s="102"/>
    </row>
    <row r="73" spans="10:14" ht="12.75" x14ac:dyDescent="0.2">
      <c r="J73" s="89"/>
      <c r="K73" s="89"/>
      <c r="M73" s="102"/>
      <c r="N73" s="102"/>
    </row>
    <row r="74" spans="10:14" ht="12.75" x14ac:dyDescent="0.2">
      <c r="J74" s="89"/>
      <c r="K74" s="89"/>
      <c r="M74" s="102"/>
      <c r="N74" s="102"/>
    </row>
    <row r="75" spans="10:14" ht="12.75" x14ac:dyDescent="0.2">
      <c r="J75" s="89"/>
      <c r="K75" s="89"/>
      <c r="M75" s="102"/>
      <c r="N75" s="102"/>
    </row>
    <row r="76" spans="10:14" ht="12.75" x14ac:dyDescent="0.2">
      <c r="J76" s="89"/>
      <c r="K76" s="89"/>
      <c r="M76" s="102"/>
      <c r="N76" s="102"/>
    </row>
    <row r="77" spans="10:14" ht="12.75" x14ac:dyDescent="0.2">
      <c r="J77" s="89"/>
      <c r="K77" s="89"/>
      <c r="M77" s="102"/>
      <c r="N77" s="102"/>
    </row>
    <row r="78" spans="10:14" ht="12.75" x14ac:dyDescent="0.2">
      <c r="J78" s="89"/>
      <c r="K78" s="89"/>
      <c r="M78" s="102"/>
      <c r="N78" s="102"/>
    </row>
    <row r="79" spans="10:14" ht="12.75" x14ac:dyDescent="0.2">
      <c r="J79" s="89"/>
      <c r="K79" s="89"/>
      <c r="M79" s="102"/>
      <c r="N79" s="102"/>
    </row>
    <row r="80" spans="10:14" ht="12.75" x14ac:dyDescent="0.2">
      <c r="J80" s="89"/>
      <c r="K80" s="89"/>
      <c r="M80" s="102"/>
      <c r="N80" s="102"/>
    </row>
    <row r="81" spans="6:14" ht="12.75" x14ac:dyDescent="0.2">
      <c r="J81" s="89"/>
      <c r="K81" s="89"/>
      <c r="M81" s="102"/>
      <c r="N81" s="102"/>
    </row>
    <row r="82" spans="6:14" ht="12.75" x14ac:dyDescent="0.2">
      <c r="J82" s="89"/>
      <c r="K82" s="89"/>
      <c r="M82" s="102"/>
      <c r="N82" s="102"/>
    </row>
    <row r="83" spans="6:14" ht="12.75" x14ac:dyDescent="0.2">
      <c r="J83" s="89"/>
      <c r="K83" s="89"/>
      <c r="M83" s="102"/>
      <c r="N83" s="102"/>
    </row>
    <row r="84" spans="6:14" ht="12.75" x14ac:dyDescent="0.2">
      <c r="J84" s="89"/>
      <c r="K84" s="89"/>
      <c r="M84" s="102"/>
      <c r="N84" s="102"/>
    </row>
    <row r="85" spans="6:14" ht="12.75" x14ac:dyDescent="0.2">
      <c r="J85" s="89"/>
      <c r="K85" s="89"/>
      <c r="M85" s="102"/>
      <c r="N85" s="102"/>
    </row>
    <row r="86" spans="6:14" ht="12.75" x14ac:dyDescent="0.2">
      <c r="J86" s="89"/>
      <c r="K86" s="89"/>
      <c r="M86" s="102"/>
      <c r="N86" s="102"/>
    </row>
    <row r="87" spans="6:14" ht="12.75" x14ac:dyDescent="0.2">
      <c r="J87" s="89"/>
      <c r="K87" s="89"/>
      <c r="M87" s="102"/>
      <c r="N87" s="102"/>
    </row>
    <row r="88" spans="6:14" ht="12.75" x14ac:dyDescent="0.2">
      <c r="J88" s="89"/>
      <c r="K88" s="89"/>
      <c r="M88" s="102"/>
      <c r="N88" s="102"/>
    </row>
    <row r="89" spans="6:14" ht="12.75" x14ac:dyDescent="0.2">
      <c r="J89" s="89"/>
      <c r="K89" s="89"/>
      <c r="M89" s="102"/>
      <c r="N89" s="102"/>
    </row>
    <row r="90" spans="6:14" ht="12.75" x14ac:dyDescent="0.2">
      <c r="F90" s="116"/>
      <c r="G90" s="116"/>
      <c r="H90" s="116"/>
      <c r="J90" s="89"/>
      <c r="K90" s="89"/>
      <c r="M90" s="102"/>
      <c r="N90" s="102"/>
    </row>
    <row r="91" spans="6:14" ht="12.75" x14ac:dyDescent="0.2">
      <c r="F91" s="116"/>
      <c r="G91" s="116"/>
      <c r="H91" s="116"/>
      <c r="J91" s="89"/>
      <c r="K91" s="89"/>
      <c r="M91" s="102"/>
      <c r="N91" s="102"/>
    </row>
    <row r="92" spans="6:14" ht="12.75" x14ac:dyDescent="0.2">
      <c r="F92" s="116"/>
      <c r="G92" s="116"/>
      <c r="H92" s="116"/>
      <c r="J92" s="89"/>
      <c r="K92" s="89"/>
      <c r="M92" s="102"/>
      <c r="N92" s="102"/>
    </row>
    <row r="93" spans="6:14" ht="12.75" x14ac:dyDescent="0.2">
      <c r="F93" s="116"/>
      <c r="G93" s="116"/>
      <c r="H93" s="116"/>
      <c r="J93" s="89"/>
      <c r="K93" s="89"/>
      <c r="M93" s="102"/>
      <c r="N93" s="102"/>
    </row>
    <row r="94" spans="6:14" ht="12.75" x14ac:dyDescent="0.2">
      <c r="F94" s="116"/>
      <c r="G94" s="116"/>
      <c r="H94" s="116"/>
      <c r="J94" s="89"/>
      <c r="K94" s="89"/>
      <c r="M94" s="102"/>
      <c r="N94" s="102"/>
    </row>
    <row r="95" spans="6:14" ht="12.75" x14ac:dyDescent="0.2">
      <c r="F95" s="116"/>
      <c r="G95" s="116"/>
      <c r="H95" s="116"/>
      <c r="J95" s="89"/>
      <c r="K95" s="89"/>
      <c r="M95" s="102"/>
      <c r="N95" s="102"/>
    </row>
    <row r="96" spans="6:14" ht="12.75" x14ac:dyDescent="0.2">
      <c r="F96" s="116"/>
      <c r="G96" s="116"/>
      <c r="H96" s="116"/>
      <c r="J96" s="89"/>
      <c r="K96" s="89"/>
      <c r="M96" s="102"/>
      <c r="N96" s="102"/>
    </row>
    <row r="97" spans="6:14" ht="12.75" x14ac:dyDescent="0.2">
      <c r="F97" s="116"/>
      <c r="G97" s="116"/>
      <c r="H97" s="116"/>
      <c r="J97" s="89"/>
      <c r="K97" s="89"/>
      <c r="M97" s="102"/>
      <c r="N97" s="102"/>
    </row>
    <row r="98" spans="6:14" ht="12.75" x14ac:dyDescent="0.2">
      <c r="F98" s="116"/>
      <c r="G98" s="116"/>
      <c r="H98" s="116"/>
      <c r="J98" s="89"/>
      <c r="K98" s="89"/>
      <c r="M98" s="102"/>
      <c r="N98" s="102"/>
    </row>
    <row r="99" spans="6:14" ht="12.75" x14ac:dyDescent="0.2">
      <c r="F99" s="117"/>
      <c r="G99" s="117"/>
      <c r="H99" s="104"/>
      <c r="J99" s="89"/>
      <c r="K99" s="89"/>
      <c r="M99" s="102"/>
      <c r="N99" s="102"/>
    </row>
    <row r="100" spans="6:14" ht="12.75" x14ac:dyDescent="0.2">
      <c r="F100" s="117"/>
      <c r="G100" s="117"/>
      <c r="H100" s="104"/>
      <c r="J100" s="89"/>
      <c r="K100" s="89"/>
      <c r="M100" s="102"/>
      <c r="N100" s="102"/>
    </row>
    <row r="101" spans="6:14" ht="12.75" x14ac:dyDescent="0.2">
      <c r="F101" s="117"/>
      <c r="G101" s="117"/>
      <c r="H101" s="104"/>
      <c r="J101" s="89"/>
      <c r="K101" s="89"/>
      <c r="M101" s="102"/>
      <c r="N101" s="102"/>
    </row>
    <row r="102" spans="6:14" ht="12.75" x14ac:dyDescent="0.2">
      <c r="F102" s="117"/>
      <c r="G102" s="117"/>
      <c r="H102" s="104"/>
      <c r="J102" s="89"/>
      <c r="K102" s="89"/>
      <c r="M102" s="102"/>
      <c r="N102" s="102"/>
    </row>
    <row r="103" spans="6:14" ht="12.75" x14ac:dyDescent="0.2">
      <c r="F103" s="118"/>
      <c r="G103" s="118"/>
      <c r="H103" s="89"/>
      <c r="J103" s="89"/>
      <c r="K103" s="89"/>
    </row>
    <row r="104" spans="6:14" ht="12.75" x14ac:dyDescent="0.2">
      <c r="F104" s="117"/>
      <c r="G104" s="117"/>
      <c r="H104" s="89"/>
      <c r="J104" s="89"/>
      <c r="K104" s="89"/>
    </row>
    <row r="105" spans="6:14" ht="12.75" x14ac:dyDescent="0.2">
      <c r="F105" s="119"/>
      <c r="G105" s="119"/>
      <c r="H105" s="116"/>
      <c r="J105" s="89"/>
      <c r="K105" s="89"/>
    </row>
    <row r="106" spans="6:14" ht="12.75" x14ac:dyDescent="0.2">
      <c r="F106" s="116"/>
      <c r="G106" s="116"/>
      <c r="H106" s="116"/>
      <c r="J106" s="89"/>
      <c r="K106" s="89"/>
    </row>
    <row r="107" spans="6:14" ht="12.75" x14ac:dyDescent="0.2">
      <c r="F107" s="116"/>
      <c r="G107" s="116"/>
      <c r="H107" s="116"/>
      <c r="J107" s="89"/>
      <c r="K107" s="89"/>
    </row>
    <row r="108" spans="6:14" ht="12.75" x14ac:dyDescent="0.2">
      <c r="F108" s="116"/>
      <c r="G108" s="116"/>
      <c r="H108" s="116"/>
    </row>
    <row r="109" spans="6:14" ht="12.75" x14ac:dyDescent="0.2">
      <c r="F109" s="116"/>
      <c r="G109" s="116"/>
      <c r="H109" s="116"/>
    </row>
    <row r="110" spans="6:14" ht="12.75" x14ac:dyDescent="0.2"/>
    <row r="111" spans="6:14" ht="12.75" x14ac:dyDescent="0.2"/>
    <row r="112" spans="6:14" ht="12.75" x14ac:dyDescent="0.2"/>
    <row r="113" spans="6:8" ht="12.75" x14ac:dyDescent="0.2"/>
    <row r="114" spans="6:8" ht="12.75" x14ac:dyDescent="0.2"/>
    <row r="115" spans="6:8" ht="12.75" x14ac:dyDescent="0.2"/>
    <row r="120" spans="6:8" ht="12.75" x14ac:dyDescent="0.2">
      <c r="F120" s="116"/>
      <c r="G120" s="116"/>
      <c r="H120" s="116"/>
    </row>
    <row r="121" spans="6:8" ht="12.75" x14ac:dyDescent="0.2">
      <c r="F121" s="116"/>
      <c r="G121" s="116"/>
      <c r="H121" s="116"/>
    </row>
    <row r="122" spans="6:8" ht="12.75" x14ac:dyDescent="0.2">
      <c r="F122" s="116"/>
      <c r="G122" s="116"/>
      <c r="H122" s="116"/>
    </row>
    <row r="123" spans="6:8" ht="12.75" x14ac:dyDescent="0.2">
      <c r="F123" s="116"/>
      <c r="G123" s="116"/>
      <c r="H123" s="116"/>
    </row>
    <row r="124" spans="6:8" ht="12.75" x14ac:dyDescent="0.2">
      <c r="F124" s="116"/>
      <c r="G124" s="116"/>
      <c r="H124" s="116"/>
    </row>
    <row r="125" spans="6:8" ht="12.75" x14ac:dyDescent="0.2">
      <c r="F125" s="116"/>
      <c r="G125" s="116"/>
      <c r="H125" s="116"/>
    </row>
    <row r="126" spans="6:8" ht="12.75" x14ac:dyDescent="0.2">
      <c r="F126" s="116"/>
      <c r="G126" s="116"/>
      <c r="H126" s="116"/>
    </row>
    <row r="127" spans="6:8" ht="12.75" x14ac:dyDescent="0.2">
      <c r="F127" s="116"/>
      <c r="G127" s="116"/>
      <c r="H127" s="116"/>
    </row>
    <row r="128" spans="6:8" ht="12.75" x14ac:dyDescent="0.2">
      <c r="F128" s="116"/>
      <c r="G128" s="116"/>
      <c r="H128" s="116"/>
    </row>
    <row r="129" spans="6:8" ht="12.75" x14ac:dyDescent="0.2">
      <c r="F129" s="116"/>
      <c r="G129" s="116"/>
      <c r="H129" s="116"/>
    </row>
    <row r="130" spans="6:8" ht="12.75" x14ac:dyDescent="0.2">
      <c r="F130" s="116"/>
      <c r="G130" s="116"/>
      <c r="H130" s="116"/>
    </row>
    <row r="131" spans="6:8" ht="12.75" x14ac:dyDescent="0.2">
      <c r="F131" s="116"/>
      <c r="G131" s="116"/>
      <c r="H131" s="116"/>
    </row>
    <row r="132" spans="6:8" ht="12.75" x14ac:dyDescent="0.2">
      <c r="F132" s="116"/>
      <c r="G132" s="116"/>
      <c r="H132" s="116"/>
    </row>
    <row r="133" spans="6:8" ht="12.75" x14ac:dyDescent="0.2">
      <c r="F133" s="116"/>
      <c r="G133" s="116"/>
      <c r="H133" s="116"/>
    </row>
    <row r="134" spans="6:8" ht="12.75" x14ac:dyDescent="0.2">
      <c r="F134" s="116"/>
      <c r="G134" s="116"/>
      <c r="H134" s="116"/>
    </row>
    <row r="135" spans="6:8" ht="12.75" x14ac:dyDescent="0.2">
      <c r="F135" s="116"/>
      <c r="G135" s="116"/>
      <c r="H135" s="116"/>
    </row>
    <row r="136" spans="6:8" ht="12.75" x14ac:dyDescent="0.2">
      <c r="F136" s="116"/>
      <c r="G136" s="116"/>
      <c r="H136" s="116"/>
    </row>
    <row r="137" spans="6:8" ht="12.75" x14ac:dyDescent="0.2">
      <c r="F137" s="116"/>
      <c r="G137" s="116"/>
      <c r="H137" s="116"/>
    </row>
    <row r="138" spans="6:8" ht="12.75" x14ac:dyDescent="0.2">
      <c r="F138" s="116"/>
      <c r="G138" s="116"/>
      <c r="H138" s="116"/>
    </row>
    <row r="139" spans="6:8" ht="12.75" x14ac:dyDescent="0.2">
      <c r="F139" s="116"/>
      <c r="G139" s="116"/>
      <c r="H139" s="116"/>
    </row>
  </sheetData>
  <sheetProtection algorithmName="SHA-512" hashValue="1at38vUPePI2PuaY7wroWJjJ67maqlA0Lq7Khl7ftrLZ5VL/SajC9+C+KLMND9g+CBcDroRmamk3gsNJ31kFHg==" saltValue="+mkA7ubQrTK8e+fdgY8Nqg==" spinCount="100000" sheet="1" objects="1" scenarios="1"/>
  <mergeCells count="2">
    <mergeCell ref="F10:H10"/>
    <mergeCell ref="F40:H40"/>
  </mergeCells>
  <dataValidations count="3">
    <dataValidation type="list" allowBlank="1" showInputMessage="1" showErrorMessage="1" sqref="F23:F25" xr:uid="{00000000-0002-0000-0600-000000000000}">
      <formula1>"ja,nee"</formula1>
    </dataValidation>
    <dataValidation type="list" allowBlank="1" showInputMessage="1" showErrorMessage="1" sqref="G23:G25" xr:uid="{00000000-0002-0000-0600-000001000000}">
      <formula1>"ja, nee"</formula1>
    </dataValidation>
    <dataValidation type="list" allowBlank="1" showInputMessage="1" showErrorMessage="1" sqref="F16:G16" xr:uid="{00000000-0002-0000-0600-000002000000}">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55"/>
  <sheetViews>
    <sheetView zoomScale="84" zoomScaleNormal="84" workbookViewId="0"/>
  </sheetViews>
  <sheetFormatPr defaultRowHeight="12.75" x14ac:dyDescent="0.2"/>
  <cols>
    <col min="1" max="1" width="33.7109375" style="1" customWidth="1"/>
    <col min="2" max="4" width="10.7109375" style="1" customWidth="1"/>
    <col min="5" max="5" width="8.42578125" style="1" customWidth="1"/>
    <col min="6" max="20" width="10.7109375" style="1" customWidth="1"/>
    <col min="21" max="16384" width="9.140625" style="1"/>
  </cols>
  <sheetData>
    <row r="2" spans="1:8" x14ac:dyDescent="0.2">
      <c r="A2" s="1" t="s">
        <v>0</v>
      </c>
      <c r="B2" s="2">
        <v>2021</v>
      </c>
      <c r="C2" s="3" t="s">
        <v>424</v>
      </c>
      <c r="E2" s="557"/>
    </row>
    <row r="3" spans="1:8" x14ac:dyDescent="0.2">
      <c r="A3" s="1" t="s">
        <v>1</v>
      </c>
      <c r="B3" s="2" t="s">
        <v>425</v>
      </c>
      <c r="C3" s="288"/>
    </row>
    <row r="5" spans="1:8" x14ac:dyDescent="0.2">
      <c r="A5" s="4" t="s">
        <v>13</v>
      </c>
    </row>
    <row r="6" spans="1:8" x14ac:dyDescent="0.2">
      <c r="A6" s="4"/>
      <c r="B6" s="4"/>
      <c r="C6" s="1" t="s">
        <v>14</v>
      </c>
      <c r="D6" s="1" t="s">
        <v>15</v>
      </c>
      <c r="E6" s="1" t="s">
        <v>16</v>
      </c>
      <c r="F6" s="1" t="s">
        <v>17</v>
      </c>
      <c r="G6" s="1" t="s">
        <v>18</v>
      </c>
      <c r="H6" s="1" t="s">
        <v>19</v>
      </c>
    </row>
    <row r="7" spans="1:8" x14ac:dyDescent="0.2">
      <c r="A7" s="281" t="s">
        <v>20</v>
      </c>
      <c r="B7" s="282">
        <v>1</v>
      </c>
      <c r="C7" s="284">
        <v>0.1797</v>
      </c>
      <c r="D7" s="284">
        <v>7.9299999999999995E-2</v>
      </c>
      <c r="E7" s="283">
        <v>14550</v>
      </c>
      <c r="F7" s="6">
        <f>+E7/12</f>
        <v>1212.5</v>
      </c>
    </row>
    <row r="8" spans="1:8" x14ac:dyDescent="0.2">
      <c r="A8" s="281" t="s">
        <v>21</v>
      </c>
      <c r="B8" s="282">
        <v>2</v>
      </c>
      <c r="C8" s="284">
        <v>6.3E-3</v>
      </c>
      <c r="D8" s="284">
        <v>2.7000000000000001E-3</v>
      </c>
      <c r="E8" s="283">
        <v>21800</v>
      </c>
      <c r="F8" s="6">
        <f>+E8/12</f>
        <v>1816.6666666666667</v>
      </c>
    </row>
    <row r="9" spans="1:8" x14ac:dyDescent="0.2">
      <c r="A9" s="281" t="s">
        <v>22</v>
      </c>
      <c r="B9" s="282">
        <v>3</v>
      </c>
      <c r="C9" s="284">
        <v>2.5999999999999999E-2</v>
      </c>
      <c r="D9" s="284">
        <v>0</v>
      </c>
      <c r="E9" s="285"/>
      <c r="F9" s="8"/>
    </row>
    <row r="10" spans="1:8" x14ac:dyDescent="0.2">
      <c r="A10" s="282" t="s">
        <v>235</v>
      </c>
      <c r="B10" s="281">
        <v>4</v>
      </c>
      <c r="C10" s="284">
        <v>7.5300000000000006E-2</v>
      </c>
      <c r="D10" s="286"/>
      <c r="E10" s="286"/>
      <c r="F10" s="9"/>
      <c r="G10" s="307">
        <v>58311</v>
      </c>
      <c r="H10" s="307">
        <f t="shared" ref="H10:H13" si="0">+G10/12</f>
        <v>4859.25</v>
      </c>
    </row>
    <row r="11" spans="1:8" x14ac:dyDescent="0.2">
      <c r="A11" s="282" t="s">
        <v>261</v>
      </c>
      <c r="B11" s="281">
        <v>5</v>
      </c>
      <c r="C11" s="284">
        <v>1.2E-2</v>
      </c>
      <c r="D11" s="286"/>
      <c r="E11" s="286"/>
      <c r="F11" s="9"/>
      <c r="G11" s="307">
        <f>+G10</f>
        <v>58311</v>
      </c>
      <c r="H11" s="307">
        <f t="shared" si="0"/>
        <v>4859.25</v>
      </c>
    </row>
    <row r="12" spans="1:8" x14ac:dyDescent="0.2">
      <c r="A12" s="282" t="s">
        <v>23</v>
      </c>
      <c r="B12" s="281">
        <v>8</v>
      </c>
      <c r="C12" s="287">
        <v>7.0000000000000007E-2</v>
      </c>
      <c r="D12" s="126"/>
      <c r="E12" s="285"/>
      <c r="F12" s="8"/>
      <c r="G12" s="307">
        <f>+G10</f>
        <v>58311</v>
      </c>
      <c r="H12" s="307">
        <f>+G12/12</f>
        <v>4859.25</v>
      </c>
    </row>
    <row r="13" spans="1:8" x14ac:dyDescent="0.2">
      <c r="A13" s="282" t="s">
        <v>24</v>
      </c>
      <c r="B13" s="281">
        <v>9</v>
      </c>
      <c r="C13" s="284">
        <v>6.7999999999999996E-3</v>
      </c>
      <c r="D13" s="286"/>
      <c r="E13" s="286"/>
      <c r="F13" s="9"/>
      <c r="G13" s="307">
        <f>+G10</f>
        <v>58311</v>
      </c>
      <c r="H13" s="307">
        <f t="shared" si="0"/>
        <v>4859.25</v>
      </c>
    </row>
    <row r="14" spans="1:8" x14ac:dyDescent="0.2">
      <c r="A14" s="1" t="s">
        <v>25</v>
      </c>
      <c r="B14" s="1">
        <v>10</v>
      </c>
      <c r="C14" s="7">
        <v>0.05</v>
      </c>
      <c r="D14" s="9"/>
      <c r="E14" s="9"/>
      <c r="F14" s="9"/>
      <c r="G14" s="8"/>
      <c r="H14" s="8"/>
    </row>
    <row r="15" spans="1:8" x14ac:dyDescent="0.2">
      <c r="A15" s="1" t="s">
        <v>26</v>
      </c>
      <c r="B15" s="1">
        <v>11</v>
      </c>
      <c r="C15" s="7">
        <v>0.02</v>
      </c>
      <c r="D15" s="9"/>
      <c r="E15" s="9"/>
      <c r="F15" s="9"/>
      <c r="G15" s="8"/>
      <c r="H15" s="8"/>
    </row>
    <row r="16" spans="1:8" x14ac:dyDescent="0.2">
      <c r="B16" s="1" t="s">
        <v>27</v>
      </c>
      <c r="C16" s="10">
        <f>SUM(C7:C15)</f>
        <v>0.4461</v>
      </c>
      <c r="D16" s="10">
        <f>SUM(D7:D15)</f>
        <v>8.199999999999999E-2</v>
      </c>
      <c r="E16" s="10">
        <f>SUM(C16:D16)</f>
        <v>0.52810000000000001</v>
      </c>
    </row>
    <row r="18" spans="1:10" x14ac:dyDescent="0.2">
      <c r="A18" s="4" t="s">
        <v>387</v>
      </c>
      <c r="B18" s="1" t="s">
        <v>5</v>
      </c>
      <c r="C18" s="11">
        <v>26.78</v>
      </c>
    </row>
    <row r="19" spans="1:10" x14ac:dyDescent="0.2">
      <c r="B19" s="1" t="s">
        <v>6</v>
      </c>
      <c r="C19" s="11">
        <v>48.93</v>
      </c>
    </row>
    <row r="20" spans="1:10" x14ac:dyDescent="0.2">
      <c r="B20" s="1" t="s">
        <v>7</v>
      </c>
      <c r="C20" s="11">
        <v>24.21</v>
      </c>
    </row>
    <row r="21" spans="1:10" x14ac:dyDescent="0.2">
      <c r="C21" s="12"/>
      <c r="D21" s="1" t="s">
        <v>19</v>
      </c>
    </row>
    <row r="22" spans="1:10" x14ac:dyDescent="0.2">
      <c r="A22" s="4" t="s">
        <v>28</v>
      </c>
      <c r="B22" s="1" t="s">
        <v>29</v>
      </c>
      <c r="C22" s="11">
        <v>1567.58</v>
      </c>
      <c r="D22" s="1">
        <f>ROUND(+C22/12,2)</f>
        <v>130.63</v>
      </c>
      <c r="E22" s="294" t="s">
        <v>274</v>
      </c>
    </row>
    <row r="23" spans="1:10" x14ac:dyDescent="0.2">
      <c r="B23" s="1" t="s">
        <v>30</v>
      </c>
      <c r="C23" s="11">
        <v>260.02999999999997</v>
      </c>
      <c r="D23" s="1">
        <f>ROUND(+C23/12,2)</f>
        <v>21.67</v>
      </c>
    </row>
    <row r="24" spans="1:10" x14ac:dyDescent="0.2">
      <c r="B24" s="1" t="s">
        <v>31</v>
      </c>
      <c r="C24" s="11">
        <v>260.02999999999997</v>
      </c>
      <c r="D24" s="1">
        <f>ROUND(+C24/12,2)</f>
        <v>21.67</v>
      </c>
    </row>
    <row r="25" spans="1:10" x14ac:dyDescent="0.2">
      <c r="B25" s="1" t="s">
        <v>32</v>
      </c>
      <c r="C25" s="11">
        <v>0</v>
      </c>
      <c r="D25" s="1">
        <f>ROUND(+C25/12,2)</f>
        <v>0</v>
      </c>
    </row>
    <row r="26" spans="1:10" x14ac:dyDescent="0.2">
      <c r="J26" s="280"/>
    </row>
    <row r="27" spans="1:10" x14ac:dyDescent="0.2">
      <c r="A27" s="4" t="s">
        <v>232</v>
      </c>
      <c r="C27" s="122">
        <v>0.55000000000000004</v>
      </c>
    </row>
    <row r="29" spans="1:10" hidden="1" x14ac:dyDescent="0.2">
      <c r="A29" s="1" t="s">
        <v>278</v>
      </c>
      <c r="B29" s="281"/>
      <c r="C29" s="288" t="s">
        <v>283</v>
      </c>
      <c r="E29" s="1" t="s">
        <v>279</v>
      </c>
    </row>
    <row r="30" spans="1:10" hidden="1" x14ac:dyDescent="0.2"/>
    <row r="31" spans="1:10" x14ac:dyDescent="0.2">
      <c r="A31" s="4" t="s">
        <v>33</v>
      </c>
      <c r="B31" s="4"/>
      <c r="D31" s="11">
        <v>149.41999999999999</v>
      </c>
      <c r="E31" s="1" t="s">
        <v>34</v>
      </c>
    </row>
    <row r="32" spans="1:10" x14ac:dyDescent="0.2">
      <c r="A32" s="4" t="s">
        <v>416</v>
      </c>
      <c r="B32" s="4"/>
      <c r="D32" s="537">
        <v>0.08</v>
      </c>
    </row>
    <row r="33" spans="1:7" x14ac:dyDescent="0.2">
      <c r="A33" s="4" t="s">
        <v>35</v>
      </c>
      <c r="B33" s="4"/>
      <c r="D33" s="537">
        <v>0.08</v>
      </c>
    </row>
    <row r="34" spans="1:7" x14ac:dyDescent="0.2">
      <c r="A34" s="1" t="s">
        <v>36</v>
      </c>
      <c r="B34" s="4"/>
      <c r="C34" s="1">
        <v>0</v>
      </c>
      <c r="D34" s="11">
        <v>0</v>
      </c>
    </row>
    <row r="35" spans="1:7" x14ac:dyDescent="0.2">
      <c r="B35" s="4"/>
      <c r="C35" s="1">
        <v>1</v>
      </c>
      <c r="D35" s="11">
        <v>1200</v>
      </c>
    </row>
    <row r="36" spans="1:7" x14ac:dyDescent="0.2">
      <c r="B36" s="4"/>
      <c r="C36" s="1">
        <v>9</v>
      </c>
      <c r="D36" s="11">
        <v>0</v>
      </c>
    </row>
    <row r="37" spans="1:7" x14ac:dyDescent="0.2">
      <c r="B37" s="4"/>
      <c r="D37" s="12"/>
    </row>
    <row r="38" spans="1:7" x14ac:dyDescent="0.2">
      <c r="A38" s="124" t="s">
        <v>422</v>
      </c>
    </row>
    <row r="39" spans="1:7" x14ac:dyDescent="0.2">
      <c r="A39" s="124" t="s">
        <v>423</v>
      </c>
    </row>
    <row r="40" spans="1:7" x14ac:dyDescent="0.2">
      <c r="A40" s="13" t="s">
        <v>236</v>
      </c>
    </row>
    <row r="41" spans="1:7" x14ac:dyDescent="0.2">
      <c r="A41" s="13"/>
    </row>
    <row r="42" spans="1:7" x14ac:dyDescent="0.2">
      <c r="A42" s="4" t="s">
        <v>37</v>
      </c>
      <c r="G42" s="14"/>
    </row>
    <row r="43" spans="1:7" x14ac:dyDescent="0.2">
      <c r="A43" s="4" t="s">
        <v>38</v>
      </c>
      <c r="B43" s="1" t="s">
        <v>39</v>
      </c>
      <c r="C43" s="1" t="s">
        <v>40</v>
      </c>
    </row>
    <row r="44" spans="1:7" x14ac:dyDescent="0.2">
      <c r="A44" s="1">
        <v>1</v>
      </c>
      <c r="B44" s="535">
        <v>35941</v>
      </c>
      <c r="C44" s="536">
        <v>9.4500000000000001E-2</v>
      </c>
    </row>
    <row r="45" spans="1:7" x14ac:dyDescent="0.2">
      <c r="A45" s="1">
        <v>2</v>
      </c>
      <c r="B45" s="535">
        <v>68507</v>
      </c>
      <c r="C45" s="536">
        <v>0.371</v>
      </c>
    </row>
    <row r="46" spans="1:7" x14ac:dyDescent="0.2">
      <c r="A46" s="1">
        <v>3</v>
      </c>
      <c r="B46" s="535">
        <v>999999</v>
      </c>
      <c r="C46" s="536">
        <v>0.495</v>
      </c>
    </row>
    <row r="49" spans="1:5" hidden="1" x14ac:dyDescent="0.2">
      <c r="A49" s="4" t="s">
        <v>237</v>
      </c>
      <c r="B49" s="125" t="e">
        <f>2254-4.787%*(IF(wgl!#REF!&lt;67068,wgl!#REF!-#REF!,67068-#REF!))</f>
        <v>#REF!</v>
      </c>
    </row>
    <row r="50" spans="1:5" hidden="1" x14ac:dyDescent="0.2">
      <c r="A50" s="1" t="s">
        <v>238</v>
      </c>
      <c r="B50" s="123"/>
      <c r="C50" s="123"/>
    </row>
    <row r="51" spans="1:5" x14ac:dyDescent="0.2">
      <c r="A51" s="123"/>
      <c r="B51"/>
      <c r="C51"/>
      <c r="D51" s="123"/>
      <c r="E51" s="5"/>
    </row>
    <row r="52" spans="1:5" x14ac:dyDescent="0.2">
      <c r="A52"/>
      <c r="B52"/>
      <c r="C52"/>
      <c r="D52"/>
      <c r="E52" s="5"/>
    </row>
    <row r="53" spans="1:5" x14ac:dyDescent="0.2">
      <c r="A53"/>
      <c r="B53"/>
      <c r="C53"/>
      <c r="D53"/>
      <c r="E53" s="5"/>
    </row>
    <row r="54" spans="1:5" x14ac:dyDescent="0.2">
      <c r="A54"/>
      <c r="B54"/>
      <c r="C54"/>
      <c r="D54"/>
      <c r="E54" s="5"/>
    </row>
    <row r="55" spans="1:5" x14ac:dyDescent="0.2">
      <c r="A55"/>
      <c r="C55" s="15"/>
      <c r="D55"/>
      <c r="E55" s="5"/>
    </row>
  </sheetData>
  <sheetProtection algorithmName="SHA-512" hashValue="0aqQwgNAYwasS3rI4uXsne0CEnhNq5lYr1I+0Mvz954u8VUeead64S3Sip5VDN4GkuA5iasP18I4oiTvCOoiIg==" saltValue="akLDt8LfTwz83S0eNiqrng==" spinCount="100000" sheet="1" objects="1" scenarios="1"/>
  <printOptions gridLines="1"/>
  <pageMargins left="0.70866141732283472" right="0.70866141732283472" top="0.74803149606299213" bottom="0.74803149606299213" header="0.31496062992125984" footer="0.31496062992125984"/>
  <pageSetup paperSize="9" scale="64" orientation="portrait" r:id="rId1"/>
  <headerFooter>
    <oddFooter>&amp;L&amp;F&amp;CPagina &amp;P&amp;R&amp;A</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S114"/>
  <sheetViews>
    <sheetView workbookViewId="0"/>
  </sheetViews>
  <sheetFormatPr defaultRowHeight="12.75" x14ac:dyDescent="0.2"/>
  <cols>
    <col min="1" max="1" width="3.7109375" style="297" customWidth="1"/>
    <col min="2" max="2" width="14.140625" style="306" customWidth="1"/>
    <col min="3" max="18" width="9.140625" style="297"/>
    <col min="19" max="20" width="9.140625" style="297" customWidth="1"/>
    <col min="21" max="16384" width="9.140625" style="297"/>
  </cols>
  <sheetData>
    <row r="2" spans="2:19" ht="15.75" x14ac:dyDescent="0.25">
      <c r="B2" s="296" t="s">
        <v>275</v>
      </c>
    </row>
    <row r="4" spans="2:19" hidden="1" x14ac:dyDescent="0.2">
      <c r="B4" s="298" t="s">
        <v>2</v>
      </c>
      <c r="C4" s="299">
        <v>43617</v>
      </c>
      <c r="D4" s="300"/>
      <c r="E4" s="301" t="s">
        <v>277</v>
      </c>
      <c r="F4" s="302">
        <v>2.1499999999999998E-2</v>
      </c>
      <c r="G4" s="525" t="s">
        <v>399</v>
      </c>
      <c r="K4" s="303"/>
      <c r="L4" s="303"/>
      <c r="M4" s="303"/>
      <c r="N4" s="303"/>
      <c r="O4" s="303"/>
      <c r="P4" s="303"/>
      <c r="Q4" s="303"/>
      <c r="R4" s="303"/>
    </row>
    <row r="5" spans="2:19" hidden="1" x14ac:dyDescent="0.2">
      <c r="B5" s="304" t="s">
        <v>3</v>
      </c>
      <c r="C5" s="304">
        <v>1</v>
      </c>
      <c r="D5" s="304">
        <v>2</v>
      </c>
      <c r="E5" s="304">
        <v>3</v>
      </c>
      <c r="F5" s="304">
        <v>4</v>
      </c>
      <c r="G5" s="304">
        <v>5</v>
      </c>
      <c r="H5" s="304">
        <v>6</v>
      </c>
      <c r="I5" s="304">
        <v>7</v>
      </c>
      <c r="J5" s="304">
        <v>8</v>
      </c>
      <c r="K5" s="304">
        <v>9</v>
      </c>
      <c r="L5" s="304">
        <v>10</v>
      </c>
      <c r="M5" s="304">
        <v>11</v>
      </c>
      <c r="N5" s="304">
        <v>12</v>
      </c>
      <c r="O5" s="304">
        <v>13</v>
      </c>
      <c r="P5" s="304">
        <v>14</v>
      </c>
      <c r="Q5" s="304">
        <v>15</v>
      </c>
      <c r="R5" s="304">
        <v>16</v>
      </c>
      <c r="S5" s="304" t="s">
        <v>4</v>
      </c>
    </row>
    <row r="6" spans="2:19" hidden="1" x14ac:dyDescent="0.2">
      <c r="B6" s="291" t="s">
        <v>5</v>
      </c>
      <c r="C6" s="292">
        <v>2747</v>
      </c>
      <c r="D6" s="292">
        <v>2814</v>
      </c>
      <c r="E6" s="292">
        <v>2898</v>
      </c>
      <c r="F6" s="292">
        <v>2983</v>
      </c>
      <c r="G6" s="292">
        <v>3068</v>
      </c>
      <c r="H6" s="292">
        <v>3174</v>
      </c>
      <c r="I6" s="292">
        <v>3297</v>
      </c>
      <c r="J6" s="292">
        <v>3438</v>
      </c>
      <c r="K6" s="292">
        <v>3597</v>
      </c>
      <c r="L6" s="292">
        <v>3773</v>
      </c>
      <c r="M6" s="292">
        <v>3969</v>
      </c>
      <c r="N6" s="292">
        <v>4186</v>
      </c>
      <c r="O6" s="292"/>
      <c r="P6" s="292"/>
      <c r="Q6" s="292"/>
      <c r="R6" s="292"/>
      <c r="S6" s="293">
        <f t="shared" ref="S6:S30" si="0">COUNTA(C6:R6)</f>
        <v>12</v>
      </c>
    </row>
    <row r="7" spans="2:19" hidden="1" x14ac:dyDescent="0.2">
      <c r="B7" s="291" t="s">
        <v>6</v>
      </c>
      <c r="C7" s="292">
        <v>2764</v>
      </c>
      <c r="D7" s="292">
        <v>2895</v>
      </c>
      <c r="E7" s="292">
        <v>3045</v>
      </c>
      <c r="F7" s="292">
        <v>3195</v>
      </c>
      <c r="G7" s="292">
        <v>3344</v>
      </c>
      <c r="H7" s="292">
        <v>3511</v>
      </c>
      <c r="I7" s="292">
        <v>3696</v>
      </c>
      <c r="J7" s="292">
        <v>3897</v>
      </c>
      <c r="K7" s="292">
        <v>4116</v>
      </c>
      <c r="L7" s="292">
        <v>4353</v>
      </c>
      <c r="M7" s="292">
        <v>4607</v>
      </c>
      <c r="N7" s="292">
        <v>4878</v>
      </c>
      <c r="O7" s="292"/>
      <c r="P7" s="292"/>
      <c r="Q7" s="292"/>
      <c r="R7" s="292"/>
      <c r="S7" s="293">
        <f t="shared" si="0"/>
        <v>12</v>
      </c>
    </row>
    <row r="8" spans="2:19" hidden="1" x14ac:dyDescent="0.2">
      <c r="B8" s="291" t="s">
        <v>7</v>
      </c>
      <c r="C8" s="292">
        <v>2775</v>
      </c>
      <c r="D8" s="292">
        <v>2938</v>
      </c>
      <c r="E8" s="292">
        <v>3128</v>
      </c>
      <c r="F8" s="292">
        <v>3319</v>
      </c>
      <c r="G8" s="292">
        <v>3509</v>
      </c>
      <c r="H8" s="292">
        <v>3723</v>
      </c>
      <c r="I8" s="292">
        <v>3963</v>
      </c>
      <c r="J8" s="292">
        <v>4229</v>
      </c>
      <c r="K8" s="292">
        <v>4520</v>
      </c>
      <c r="L8" s="292">
        <v>4837</v>
      </c>
      <c r="M8" s="292">
        <v>5178</v>
      </c>
      <c r="N8" s="292">
        <v>5546</v>
      </c>
      <c r="O8" s="292"/>
      <c r="P8" s="292"/>
      <c r="Q8" s="292"/>
      <c r="R8" s="292"/>
      <c r="S8" s="293">
        <f t="shared" si="0"/>
        <v>12</v>
      </c>
    </row>
    <row r="9" spans="2:19" hidden="1" x14ac:dyDescent="0.2">
      <c r="B9" s="291" t="s">
        <v>8</v>
      </c>
      <c r="C9" s="292">
        <v>3561</v>
      </c>
      <c r="D9" s="292">
        <v>3693</v>
      </c>
      <c r="E9" s="292">
        <v>3811</v>
      </c>
      <c r="F9" s="292">
        <v>4050</v>
      </c>
      <c r="G9" s="292">
        <v>4316</v>
      </c>
      <c r="H9" s="292">
        <v>4559</v>
      </c>
      <c r="I9" s="292">
        <v>4800</v>
      </c>
      <c r="J9" s="292">
        <v>5043</v>
      </c>
      <c r="K9" s="292">
        <v>5285</v>
      </c>
      <c r="L9" s="292">
        <v>5526</v>
      </c>
      <c r="M9" s="292">
        <v>5768</v>
      </c>
      <c r="N9" s="292">
        <v>6012</v>
      </c>
      <c r="O9" s="292"/>
      <c r="P9" s="292"/>
      <c r="Q9" s="292"/>
      <c r="R9" s="292"/>
      <c r="S9" s="293">
        <f t="shared" si="0"/>
        <v>12</v>
      </c>
    </row>
    <row r="10" spans="2:19" hidden="1" x14ac:dyDescent="0.2">
      <c r="B10" s="291">
        <v>1</v>
      </c>
      <c r="C10" s="292">
        <v>1709</v>
      </c>
      <c r="D10" s="292">
        <v>1777</v>
      </c>
      <c r="E10" s="292">
        <v>1843</v>
      </c>
      <c r="F10" s="292">
        <v>1874</v>
      </c>
      <c r="G10" s="292">
        <v>1909</v>
      </c>
      <c r="H10" s="292">
        <v>1944</v>
      </c>
      <c r="I10" s="292">
        <v>1991</v>
      </c>
      <c r="J10" s="292"/>
      <c r="K10" s="292"/>
      <c r="L10" s="292"/>
      <c r="M10" s="292"/>
      <c r="N10" s="292"/>
      <c r="O10" s="292"/>
      <c r="P10" s="292"/>
      <c r="Q10" s="292"/>
      <c r="R10" s="292"/>
      <c r="S10" s="293">
        <f t="shared" si="0"/>
        <v>7</v>
      </c>
    </row>
    <row r="11" spans="2:19" hidden="1" x14ac:dyDescent="0.2">
      <c r="B11" s="291">
        <v>2</v>
      </c>
      <c r="C11" s="292">
        <v>1746</v>
      </c>
      <c r="D11" s="292">
        <v>1811</v>
      </c>
      <c r="E11" s="292">
        <v>1874</v>
      </c>
      <c r="F11" s="292">
        <v>1944</v>
      </c>
      <c r="G11" s="292">
        <v>1991</v>
      </c>
      <c r="H11" s="292">
        <v>2045</v>
      </c>
      <c r="I11" s="292">
        <v>2111</v>
      </c>
      <c r="J11" s="292">
        <v>2172</v>
      </c>
      <c r="K11" s="292"/>
      <c r="L11" s="292"/>
      <c r="M11" s="292"/>
      <c r="N11" s="292"/>
      <c r="O11" s="292"/>
      <c r="P11" s="292"/>
      <c r="Q11" s="292"/>
      <c r="R11" s="292"/>
      <c r="S11" s="293">
        <f t="shared" si="0"/>
        <v>8</v>
      </c>
    </row>
    <row r="12" spans="2:19" hidden="1" x14ac:dyDescent="0.2">
      <c r="B12" s="291">
        <v>3</v>
      </c>
      <c r="C12" s="292">
        <v>1746</v>
      </c>
      <c r="D12" s="292">
        <v>1874</v>
      </c>
      <c r="E12" s="292">
        <v>1944</v>
      </c>
      <c r="F12" s="292">
        <v>2045</v>
      </c>
      <c r="G12" s="292">
        <v>2111</v>
      </c>
      <c r="H12" s="292">
        <v>2172</v>
      </c>
      <c r="I12" s="292">
        <v>2233</v>
      </c>
      <c r="J12" s="292">
        <v>2292</v>
      </c>
      <c r="K12" s="292">
        <v>2351</v>
      </c>
      <c r="L12" s="292"/>
      <c r="M12" s="292"/>
      <c r="N12" s="292"/>
      <c r="O12" s="292"/>
      <c r="P12" s="292"/>
      <c r="Q12" s="292"/>
      <c r="R12" s="292"/>
      <c r="S12" s="293">
        <f t="shared" si="0"/>
        <v>9</v>
      </c>
    </row>
    <row r="13" spans="2:19" hidden="1" x14ac:dyDescent="0.2">
      <c r="B13" s="291">
        <v>4</v>
      </c>
      <c r="C13" s="292">
        <v>1777</v>
      </c>
      <c r="D13" s="292">
        <v>1874</v>
      </c>
      <c r="E13" s="292">
        <v>1944</v>
      </c>
      <c r="F13" s="292">
        <v>2045</v>
      </c>
      <c r="G13" s="292">
        <v>2111</v>
      </c>
      <c r="H13" s="292">
        <v>2172</v>
      </c>
      <c r="I13" s="292">
        <v>2233</v>
      </c>
      <c r="J13" s="292">
        <v>2292</v>
      </c>
      <c r="K13" s="292">
        <v>2351</v>
      </c>
      <c r="L13" s="292">
        <v>2408</v>
      </c>
      <c r="M13" s="292">
        <v>2464</v>
      </c>
      <c r="N13" s="292"/>
      <c r="O13" s="292"/>
      <c r="P13" s="292"/>
      <c r="Q13" s="292"/>
      <c r="R13" s="292"/>
      <c r="S13" s="293">
        <f t="shared" si="0"/>
        <v>11</v>
      </c>
    </row>
    <row r="14" spans="2:19" hidden="1" x14ac:dyDescent="0.2">
      <c r="B14" s="291">
        <v>5</v>
      </c>
      <c r="C14" s="292">
        <v>1811</v>
      </c>
      <c r="D14" s="292">
        <v>1874</v>
      </c>
      <c r="E14" s="292">
        <v>1944</v>
      </c>
      <c r="F14" s="292">
        <v>2045</v>
      </c>
      <c r="G14" s="292">
        <v>2172</v>
      </c>
      <c r="H14" s="292">
        <v>2233</v>
      </c>
      <c r="I14" s="292">
        <v>2292</v>
      </c>
      <c r="J14" s="292">
        <v>2351</v>
      </c>
      <c r="K14" s="292">
        <v>2408</v>
      </c>
      <c r="L14" s="292">
        <v>2464</v>
      </c>
      <c r="M14" s="292">
        <v>2522</v>
      </c>
      <c r="N14" s="292">
        <v>2588</v>
      </c>
      <c r="O14" s="292"/>
      <c r="P14" s="292"/>
      <c r="Q14" s="292"/>
      <c r="R14" s="292"/>
      <c r="S14" s="293">
        <f t="shared" si="0"/>
        <v>12</v>
      </c>
    </row>
    <row r="15" spans="2:19" hidden="1" x14ac:dyDescent="0.2">
      <c r="B15" s="291">
        <v>6</v>
      </c>
      <c r="C15" s="292">
        <v>1874</v>
      </c>
      <c r="D15" s="292">
        <v>1944</v>
      </c>
      <c r="E15" s="292">
        <v>2172</v>
      </c>
      <c r="F15" s="292">
        <v>2292</v>
      </c>
      <c r="G15" s="292">
        <v>2351</v>
      </c>
      <c r="H15" s="292">
        <v>2408</v>
      </c>
      <c r="I15" s="292">
        <v>2464</v>
      </c>
      <c r="J15" s="292">
        <v>2522</v>
      </c>
      <c r="K15" s="292">
        <v>2588</v>
      </c>
      <c r="L15" s="292">
        <v>2651</v>
      </c>
      <c r="M15" s="292">
        <v>2710</v>
      </c>
      <c r="N15" s="292"/>
      <c r="O15" s="292"/>
      <c r="P15" s="292"/>
      <c r="Q15" s="292"/>
      <c r="R15" s="292"/>
      <c r="S15" s="293">
        <f t="shared" si="0"/>
        <v>11</v>
      </c>
    </row>
    <row r="16" spans="2:19" hidden="1" x14ac:dyDescent="0.2">
      <c r="B16" s="291">
        <v>7</v>
      </c>
      <c r="C16" s="292">
        <v>1991</v>
      </c>
      <c r="D16" s="292">
        <v>2045</v>
      </c>
      <c r="E16" s="292">
        <v>2172</v>
      </c>
      <c r="F16" s="292">
        <v>2408</v>
      </c>
      <c r="G16" s="292">
        <v>2522</v>
      </c>
      <c r="H16" s="292">
        <v>2588</v>
      </c>
      <c r="I16" s="292">
        <v>2651</v>
      </c>
      <c r="J16" s="292">
        <v>2710</v>
      </c>
      <c r="K16" s="292">
        <v>2775</v>
      </c>
      <c r="L16" s="292">
        <v>2841</v>
      </c>
      <c r="M16" s="292">
        <v>2908</v>
      </c>
      <c r="N16" s="292">
        <v>2986</v>
      </c>
      <c r="O16" s="292"/>
      <c r="P16" s="292"/>
      <c r="Q16" s="292"/>
      <c r="R16" s="292"/>
      <c r="S16" s="293">
        <f t="shared" si="0"/>
        <v>12</v>
      </c>
    </row>
    <row r="17" spans="2:19" hidden="1" x14ac:dyDescent="0.2">
      <c r="B17" s="291">
        <v>8</v>
      </c>
      <c r="C17" s="292">
        <v>2233</v>
      </c>
      <c r="D17" s="292">
        <v>2292</v>
      </c>
      <c r="E17" s="292">
        <v>2408</v>
      </c>
      <c r="F17" s="292">
        <v>2651</v>
      </c>
      <c r="G17" s="292">
        <v>2775</v>
      </c>
      <c r="H17" s="292">
        <v>2908</v>
      </c>
      <c r="I17" s="292">
        <v>2986</v>
      </c>
      <c r="J17" s="292">
        <v>3056</v>
      </c>
      <c r="K17" s="292">
        <v>3118</v>
      </c>
      <c r="L17" s="292">
        <v>3186</v>
      </c>
      <c r="M17" s="292">
        <v>3253</v>
      </c>
      <c r="N17" s="292">
        <v>3315</v>
      </c>
      <c r="O17" s="292">
        <v>3374</v>
      </c>
      <c r="P17" s="292"/>
      <c r="Q17" s="292"/>
      <c r="R17" s="292"/>
      <c r="S17" s="293">
        <f t="shared" si="0"/>
        <v>13</v>
      </c>
    </row>
    <row r="18" spans="2:19" hidden="1" x14ac:dyDescent="0.2">
      <c r="B18" s="291">
        <v>9</v>
      </c>
      <c r="C18" s="292">
        <v>2522</v>
      </c>
      <c r="D18" s="292">
        <v>2651</v>
      </c>
      <c r="E18" s="292">
        <v>2908</v>
      </c>
      <c r="F18" s="292">
        <v>3056</v>
      </c>
      <c r="G18" s="292">
        <v>3186</v>
      </c>
      <c r="H18" s="292">
        <v>3315</v>
      </c>
      <c r="I18" s="292">
        <v>3439</v>
      </c>
      <c r="J18" s="292">
        <v>3561</v>
      </c>
      <c r="K18" s="292">
        <v>3693</v>
      </c>
      <c r="L18" s="292">
        <v>3811</v>
      </c>
      <c r="M18" s="292"/>
      <c r="N18" s="292"/>
      <c r="O18" s="292"/>
      <c r="P18" s="292"/>
      <c r="Q18" s="292"/>
      <c r="R18" s="292"/>
      <c r="S18" s="293">
        <f t="shared" si="0"/>
        <v>10</v>
      </c>
    </row>
    <row r="19" spans="2:19" hidden="1" x14ac:dyDescent="0.2">
      <c r="B19" s="291">
        <v>10</v>
      </c>
      <c r="C19" s="292">
        <v>2522</v>
      </c>
      <c r="D19" s="292">
        <v>2775</v>
      </c>
      <c r="E19" s="292">
        <v>2908</v>
      </c>
      <c r="F19" s="292">
        <v>3056</v>
      </c>
      <c r="G19" s="292">
        <v>3186</v>
      </c>
      <c r="H19" s="292">
        <v>3315</v>
      </c>
      <c r="I19" s="292">
        <v>3439</v>
      </c>
      <c r="J19" s="292">
        <v>3561</v>
      </c>
      <c r="K19" s="292">
        <v>3693</v>
      </c>
      <c r="L19" s="292">
        <v>3811</v>
      </c>
      <c r="M19" s="292">
        <v>3933</v>
      </c>
      <c r="N19" s="292">
        <v>4050</v>
      </c>
      <c r="O19" s="292">
        <v>4186</v>
      </c>
      <c r="P19" s="292"/>
      <c r="Q19" s="292"/>
      <c r="R19" s="292"/>
      <c r="S19" s="293">
        <f t="shared" si="0"/>
        <v>13</v>
      </c>
    </row>
    <row r="20" spans="2:19" hidden="1" x14ac:dyDescent="0.2">
      <c r="B20" s="291">
        <v>11</v>
      </c>
      <c r="C20" s="292">
        <v>2651</v>
      </c>
      <c r="D20" s="292">
        <v>2775</v>
      </c>
      <c r="E20" s="292">
        <v>2911</v>
      </c>
      <c r="F20" s="292">
        <v>3058</v>
      </c>
      <c r="G20" s="292">
        <v>3195</v>
      </c>
      <c r="H20" s="292">
        <v>3333</v>
      </c>
      <c r="I20" s="292">
        <v>3472</v>
      </c>
      <c r="J20" s="292">
        <v>3693</v>
      </c>
      <c r="K20" s="292">
        <v>3841</v>
      </c>
      <c r="L20" s="292">
        <v>3989</v>
      </c>
      <c r="M20" s="292">
        <v>4137</v>
      </c>
      <c r="N20" s="292">
        <v>4286</v>
      </c>
      <c r="O20" s="292">
        <v>4434</v>
      </c>
      <c r="P20" s="292">
        <v>4582</v>
      </c>
      <c r="Q20" s="292">
        <v>4731</v>
      </c>
      <c r="R20" s="292">
        <v>4878</v>
      </c>
      <c r="S20" s="293">
        <f t="shared" si="0"/>
        <v>16</v>
      </c>
    </row>
    <row r="21" spans="2:19" hidden="1" x14ac:dyDescent="0.2">
      <c r="B21" s="291">
        <v>12</v>
      </c>
      <c r="C21" s="292">
        <v>3561</v>
      </c>
      <c r="D21" s="292">
        <v>3693</v>
      </c>
      <c r="E21" s="292">
        <v>3811</v>
      </c>
      <c r="F21" s="292">
        <v>3933</v>
      </c>
      <c r="G21" s="292">
        <v>4050</v>
      </c>
      <c r="H21" s="292">
        <v>4186</v>
      </c>
      <c r="I21" s="292">
        <v>4446</v>
      </c>
      <c r="J21" s="292">
        <v>4569</v>
      </c>
      <c r="K21" s="292">
        <v>4694</v>
      </c>
      <c r="L21" s="292">
        <v>4815</v>
      </c>
      <c r="M21" s="292">
        <v>4942</v>
      </c>
      <c r="N21" s="292">
        <v>5067</v>
      </c>
      <c r="O21" s="292">
        <v>5188</v>
      </c>
      <c r="P21" s="292">
        <v>5312</v>
      </c>
      <c r="Q21" s="292">
        <v>5467</v>
      </c>
      <c r="R21" s="292">
        <v>5546</v>
      </c>
      <c r="S21" s="293">
        <f t="shared" si="0"/>
        <v>16</v>
      </c>
    </row>
    <row r="22" spans="2:19" hidden="1" x14ac:dyDescent="0.2">
      <c r="B22" s="291">
        <v>13</v>
      </c>
      <c r="C22" s="292">
        <v>4316</v>
      </c>
      <c r="D22" s="292">
        <v>4446</v>
      </c>
      <c r="E22" s="292">
        <v>4569</v>
      </c>
      <c r="F22" s="292">
        <v>4694</v>
      </c>
      <c r="G22" s="292">
        <v>4815</v>
      </c>
      <c r="H22" s="292">
        <v>5067</v>
      </c>
      <c r="I22" s="292">
        <v>5188</v>
      </c>
      <c r="J22" s="292">
        <v>5312</v>
      </c>
      <c r="K22" s="292">
        <v>5467</v>
      </c>
      <c r="L22" s="292">
        <v>5624</v>
      </c>
      <c r="M22" s="292">
        <v>5780</v>
      </c>
      <c r="N22" s="292">
        <v>5937</v>
      </c>
      <c r="O22" s="292">
        <v>6012</v>
      </c>
      <c r="P22" s="292"/>
      <c r="Q22" s="292"/>
      <c r="R22" s="292"/>
      <c r="S22" s="293">
        <f t="shared" si="0"/>
        <v>13</v>
      </c>
    </row>
    <row r="23" spans="2:19" hidden="1" x14ac:dyDescent="0.2">
      <c r="B23" s="291">
        <v>14</v>
      </c>
      <c r="C23" s="292">
        <v>4942</v>
      </c>
      <c r="D23" s="292">
        <v>5067</v>
      </c>
      <c r="E23" s="292">
        <v>5312</v>
      </c>
      <c r="F23" s="292">
        <v>5467</v>
      </c>
      <c r="G23" s="292">
        <v>5624</v>
      </c>
      <c r="H23" s="292">
        <v>5780</v>
      </c>
      <c r="I23" s="292">
        <v>5937</v>
      </c>
      <c r="J23" s="292">
        <v>6095</v>
      </c>
      <c r="K23" s="292">
        <v>6259</v>
      </c>
      <c r="L23" s="292">
        <v>6430</v>
      </c>
      <c r="M23" s="292">
        <v>6604</v>
      </c>
      <c r="N23" s="292"/>
      <c r="O23" s="292"/>
      <c r="P23" s="292"/>
      <c r="Q23" s="292"/>
      <c r="R23" s="292"/>
      <c r="S23" s="293">
        <f t="shared" si="0"/>
        <v>11</v>
      </c>
    </row>
    <row r="24" spans="2:19" hidden="1" x14ac:dyDescent="0.2">
      <c r="B24" s="291">
        <v>15</v>
      </c>
      <c r="C24" s="292">
        <v>5188</v>
      </c>
      <c r="D24" s="292">
        <v>5312</v>
      </c>
      <c r="E24" s="292">
        <v>5467</v>
      </c>
      <c r="F24" s="292">
        <v>5780</v>
      </c>
      <c r="G24" s="292">
        <v>5937</v>
      </c>
      <c r="H24" s="292">
        <v>6095</v>
      </c>
      <c r="I24" s="292">
        <v>6259</v>
      </c>
      <c r="J24" s="292">
        <v>6430</v>
      </c>
      <c r="K24" s="292">
        <v>6604</v>
      </c>
      <c r="L24" s="292">
        <v>6813</v>
      </c>
      <c r="M24" s="292">
        <v>7030</v>
      </c>
      <c r="N24" s="292">
        <v>7251</v>
      </c>
      <c r="O24" s="292"/>
      <c r="P24" s="292"/>
      <c r="Q24" s="292"/>
      <c r="R24" s="292"/>
      <c r="S24" s="293">
        <f t="shared" si="0"/>
        <v>12</v>
      </c>
    </row>
    <row r="25" spans="2:19" hidden="1" x14ac:dyDescent="0.2">
      <c r="B25" s="291">
        <v>16</v>
      </c>
      <c r="C25" s="292">
        <v>5624</v>
      </c>
      <c r="D25" s="292">
        <v>5780</v>
      </c>
      <c r="E25" s="292">
        <v>5937</v>
      </c>
      <c r="F25" s="292">
        <v>6259</v>
      </c>
      <c r="G25" s="292">
        <v>6430</v>
      </c>
      <c r="H25" s="292">
        <v>6604</v>
      </c>
      <c r="I25" s="292">
        <v>6813</v>
      </c>
      <c r="J25" s="292">
        <v>7030</v>
      </c>
      <c r="K25" s="292">
        <v>7251</v>
      </c>
      <c r="L25" s="292">
        <v>7484</v>
      </c>
      <c r="M25" s="292">
        <v>7720</v>
      </c>
      <c r="N25" s="292">
        <v>7966</v>
      </c>
      <c r="O25" s="292"/>
      <c r="P25" s="292"/>
      <c r="Q25" s="292"/>
      <c r="R25" s="292"/>
      <c r="S25" s="293">
        <f t="shared" si="0"/>
        <v>12</v>
      </c>
    </row>
    <row r="26" spans="2:19" hidden="1" x14ac:dyDescent="0.2">
      <c r="B26" s="291">
        <v>17</v>
      </c>
      <c r="C26" s="292">
        <v>6095</v>
      </c>
      <c r="D26" s="292">
        <v>6259</v>
      </c>
      <c r="E26" s="292">
        <v>6430</v>
      </c>
      <c r="F26" s="292">
        <v>6813</v>
      </c>
      <c r="G26" s="292">
        <v>7030</v>
      </c>
      <c r="H26" s="292">
        <v>7251</v>
      </c>
      <c r="I26" s="292">
        <v>7484</v>
      </c>
      <c r="J26" s="292">
        <v>7720</v>
      </c>
      <c r="K26" s="292">
        <v>7966</v>
      </c>
      <c r="L26" s="292">
        <v>8220</v>
      </c>
      <c r="M26" s="292">
        <v>8480</v>
      </c>
      <c r="N26" s="292">
        <v>8750</v>
      </c>
      <c r="O26" s="292"/>
      <c r="P26" s="292"/>
      <c r="Q26" s="292"/>
      <c r="R26" s="292"/>
      <c r="S26" s="293">
        <f t="shared" si="0"/>
        <v>12</v>
      </c>
    </row>
    <row r="27" spans="2:19" hidden="1" x14ac:dyDescent="0.2">
      <c r="B27" s="291" t="s">
        <v>9</v>
      </c>
      <c r="C27" s="292">
        <v>1662.46</v>
      </c>
      <c r="D27" s="292">
        <v>1685.73</v>
      </c>
      <c r="E27" s="292">
        <v>1709</v>
      </c>
      <c r="F27" s="292">
        <v>1777</v>
      </c>
      <c r="G27" s="292">
        <v>1843</v>
      </c>
      <c r="H27" s="292">
        <v>1874</v>
      </c>
      <c r="I27" s="292">
        <v>1909</v>
      </c>
      <c r="J27" s="292">
        <v>1944</v>
      </c>
      <c r="K27" s="292">
        <v>1991</v>
      </c>
      <c r="L27" s="292"/>
      <c r="M27" s="292"/>
      <c r="N27" s="292"/>
      <c r="O27" s="292"/>
      <c r="P27" s="292"/>
      <c r="Q27" s="292"/>
      <c r="R27" s="292"/>
      <c r="S27" s="293">
        <f t="shared" si="0"/>
        <v>9</v>
      </c>
    </row>
    <row r="28" spans="2:19" hidden="1" x14ac:dyDescent="0.2">
      <c r="B28" s="291" t="s">
        <v>10</v>
      </c>
      <c r="C28" s="292">
        <v>1746</v>
      </c>
      <c r="D28" s="292">
        <v>1811</v>
      </c>
      <c r="E28" s="292">
        <v>1874</v>
      </c>
      <c r="F28" s="292">
        <v>1944</v>
      </c>
      <c r="G28" s="292">
        <v>1991</v>
      </c>
      <c r="H28" s="292">
        <v>2045</v>
      </c>
      <c r="I28" s="292">
        <v>2111</v>
      </c>
      <c r="J28" s="292">
        <v>2172</v>
      </c>
      <c r="K28" s="292"/>
      <c r="L28" s="292"/>
      <c r="M28" s="292"/>
      <c r="N28" s="292"/>
      <c r="O28" s="292"/>
      <c r="P28" s="292"/>
      <c r="Q28" s="292"/>
      <c r="R28" s="292"/>
      <c r="S28" s="293">
        <f t="shared" si="0"/>
        <v>8</v>
      </c>
    </row>
    <row r="29" spans="2:19" hidden="1" x14ac:dyDescent="0.2">
      <c r="B29" s="291" t="s">
        <v>11</v>
      </c>
      <c r="C29" s="292">
        <v>1746</v>
      </c>
      <c r="D29" s="292">
        <v>1874</v>
      </c>
      <c r="E29" s="292">
        <v>1944</v>
      </c>
      <c r="F29" s="292">
        <v>2045</v>
      </c>
      <c r="G29" s="292">
        <v>2111</v>
      </c>
      <c r="H29" s="292">
        <v>2172</v>
      </c>
      <c r="I29" s="292">
        <v>2233</v>
      </c>
      <c r="J29" s="292">
        <v>2292</v>
      </c>
      <c r="K29" s="292">
        <v>2351</v>
      </c>
      <c r="L29" s="292"/>
      <c r="M29" s="292"/>
      <c r="N29" s="292"/>
      <c r="O29" s="292"/>
      <c r="P29" s="292"/>
      <c r="Q29" s="292"/>
      <c r="R29" s="292"/>
      <c r="S29" s="293">
        <f t="shared" si="0"/>
        <v>9</v>
      </c>
    </row>
    <row r="30" spans="2:19" hidden="1" x14ac:dyDescent="0.2">
      <c r="B30" s="291" t="s">
        <v>12</v>
      </c>
      <c r="C30" s="292">
        <v>1387</v>
      </c>
      <c r="D30" s="305"/>
      <c r="E30" s="305"/>
      <c r="F30" s="305"/>
      <c r="G30" s="305"/>
      <c r="H30" s="305"/>
      <c r="I30" s="305"/>
      <c r="J30" s="305"/>
      <c r="K30" s="305"/>
      <c r="L30" s="305"/>
      <c r="M30" s="305"/>
      <c r="N30" s="305"/>
      <c r="O30" s="305"/>
      <c r="P30" s="305"/>
      <c r="Q30" s="305"/>
      <c r="R30" s="305"/>
      <c r="S30" s="293">
        <f t="shared" si="0"/>
        <v>1</v>
      </c>
    </row>
    <row r="31" spans="2:19" hidden="1" x14ac:dyDescent="0.2"/>
    <row r="32" spans="2:19" hidden="1" x14ac:dyDescent="0.2">
      <c r="B32" s="298" t="s">
        <v>2</v>
      </c>
      <c r="C32" s="299">
        <v>43891</v>
      </c>
      <c r="D32" s="300"/>
      <c r="E32" s="301" t="s">
        <v>276</v>
      </c>
      <c r="F32" s="302">
        <v>2.75E-2</v>
      </c>
      <c r="G32" s="303" t="s">
        <v>400</v>
      </c>
      <c r="K32" s="303"/>
      <c r="L32" s="303"/>
      <c r="M32" s="303"/>
      <c r="N32" s="303"/>
      <c r="O32" s="303"/>
      <c r="P32" s="303"/>
      <c r="Q32" s="303"/>
      <c r="R32" s="303"/>
    </row>
    <row r="33" spans="2:19" hidden="1" x14ac:dyDescent="0.2">
      <c r="B33" s="304" t="s">
        <v>3</v>
      </c>
      <c r="C33" s="304">
        <v>1</v>
      </c>
      <c r="D33" s="304">
        <v>2</v>
      </c>
      <c r="E33" s="304">
        <v>3</v>
      </c>
      <c r="F33" s="304">
        <v>4</v>
      </c>
      <c r="G33" s="304">
        <v>5</v>
      </c>
      <c r="H33" s="304">
        <v>6</v>
      </c>
      <c r="I33" s="304">
        <v>7</v>
      </c>
      <c r="J33" s="304">
        <v>8</v>
      </c>
      <c r="K33" s="304">
        <v>9</v>
      </c>
      <c r="L33" s="304">
        <v>10</v>
      </c>
      <c r="M33" s="304">
        <v>11</v>
      </c>
      <c r="N33" s="304">
        <v>12</v>
      </c>
      <c r="O33" s="304">
        <v>13</v>
      </c>
      <c r="P33" s="304">
        <v>14</v>
      </c>
      <c r="Q33" s="304">
        <v>15</v>
      </c>
      <c r="R33" s="304">
        <v>16</v>
      </c>
      <c r="S33" s="304" t="s">
        <v>4</v>
      </c>
    </row>
    <row r="34" spans="2:19" hidden="1" x14ac:dyDescent="0.2">
      <c r="B34" s="291" t="s">
        <v>5</v>
      </c>
      <c r="C34" s="292">
        <v>2822</v>
      </c>
      <c r="D34" s="292">
        <v>2891</v>
      </c>
      <c r="E34" s="292">
        <v>2978</v>
      </c>
      <c r="F34" s="292">
        <v>3065</v>
      </c>
      <c r="G34" s="292">
        <v>3153</v>
      </c>
      <c r="H34" s="292">
        <v>3261</v>
      </c>
      <c r="I34" s="292">
        <v>3388</v>
      </c>
      <c r="J34" s="292">
        <v>3532</v>
      </c>
      <c r="K34" s="292">
        <v>3696</v>
      </c>
      <c r="L34" s="292">
        <v>3877</v>
      </c>
      <c r="M34" s="292">
        <v>4078</v>
      </c>
      <c r="N34" s="292">
        <v>4301</v>
      </c>
      <c r="O34" s="292"/>
      <c r="P34" s="292"/>
      <c r="Q34" s="292"/>
      <c r="R34" s="292"/>
      <c r="S34" s="293">
        <f t="shared" ref="S34:S58" si="1">COUNTA(C34:R34)</f>
        <v>12</v>
      </c>
    </row>
    <row r="35" spans="2:19" hidden="1" x14ac:dyDescent="0.2">
      <c r="B35" s="291" t="s">
        <v>6</v>
      </c>
      <c r="C35" s="292">
        <v>2840</v>
      </c>
      <c r="D35" s="292">
        <v>2974</v>
      </c>
      <c r="E35" s="292">
        <v>3129</v>
      </c>
      <c r="F35" s="292">
        <v>3283</v>
      </c>
      <c r="G35" s="292">
        <v>3436</v>
      </c>
      <c r="H35" s="292">
        <v>3608</v>
      </c>
      <c r="I35" s="292">
        <v>3797</v>
      </c>
      <c r="J35" s="292">
        <v>4004</v>
      </c>
      <c r="K35" s="292">
        <v>4229</v>
      </c>
      <c r="L35" s="292">
        <v>4473</v>
      </c>
      <c r="M35" s="292">
        <v>4733</v>
      </c>
      <c r="N35" s="292">
        <v>5012</v>
      </c>
      <c r="O35" s="292"/>
      <c r="P35" s="292"/>
      <c r="Q35" s="292"/>
      <c r="R35" s="292"/>
      <c r="S35" s="293">
        <f t="shared" si="1"/>
        <v>12</v>
      </c>
    </row>
    <row r="36" spans="2:19" hidden="1" x14ac:dyDescent="0.2">
      <c r="B36" s="291" t="s">
        <v>7</v>
      </c>
      <c r="C36" s="292">
        <v>2851</v>
      </c>
      <c r="D36" s="292">
        <v>3019</v>
      </c>
      <c r="E36" s="292">
        <v>3214</v>
      </c>
      <c r="F36" s="292">
        <v>3410</v>
      </c>
      <c r="G36" s="292">
        <v>3605</v>
      </c>
      <c r="H36" s="292">
        <v>3826</v>
      </c>
      <c r="I36" s="292">
        <v>4072</v>
      </c>
      <c r="J36" s="292">
        <v>4346</v>
      </c>
      <c r="K36" s="292">
        <v>4644</v>
      </c>
      <c r="L36" s="292">
        <v>4970</v>
      </c>
      <c r="M36" s="292">
        <v>5321</v>
      </c>
      <c r="N36" s="292">
        <v>5699</v>
      </c>
      <c r="O36" s="292"/>
      <c r="P36" s="292"/>
      <c r="Q36" s="292"/>
      <c r="R36" s="292"/>
      <c r="S36" s="293">
        <f t="shared" si="1"/>
        <v>12</v>
      </c>
    </row>
    <row r="37" spans="2:19" hidden="1" x14ac:dyDescent="0.2">
      <c r="B37" s="291" t="s">
        <v>8</v>
      </c>
      <c r="C37" s="292">
        <v>3659</v>
      </c>
      <c r="D37" s="292">
        <v>3795</v>
      </c>
      <c r="E37" s="292">
        <v>3916</v>
      </c>
      <c r="F37" s="292">
        <v>4162</v>
      </c>
      <c r="G37" s="292">
        <v>4435</v>
      </c>
      <c r="H37" s="292">
        <v>4684</v>
      </c>
      <c r="I37" s="292">
        <v>4932</v>
      </c>
      <c r="J37" s="292">
        <v>5181</v>
      </c>
      <c r="K37" s="292">
        <v>5430</v>
      </c>
      <c r="L37" s="292">
        <v>5678</v>
      </c>
      <c r="M37" s="292">
        <v>5926</v>
      </c>
      <c r="N37" s="292">
        <v>6178</v>
      </c>
      <c r="O37" s="292"/>
      <c r="P37" s="292"/>
      <c r="Q37" s="292"/>
      <c r="R37" s="292"/>
      <c r="S37" s="293">
        <f t="shared" si="1"/>
        <v>12</v>
      </c>
    </row>
    <row r="38" spans="2:19" hidden="1" x14ac:dyDescent="0.2">
      <c r="B38" s="291">
        <v>1</v>
      </c>
      <c r="C38" s="292">
        <v>1756</v>
      </c>
      <c r="D38" s="292">
        <v>1826</v>
      </c>
      <c r="E38" s="292">
        <v>1893</v>
      </c>
      <c r="F38" s="292">
        <v>1925</v>
      </c>
      <c r="G38" s="292">
        <v>1962</v>
      </c>
      <c r="H38" s="292">
        <v>1997</v>
      </c>
      <c r="I38" s="292">
        <v>2045</v>
      </c>
      <c r="J38" s="292"/>
      <c r="K38" s="292"/>
      <c r="L38" s="292"/>
      <c r="M38" s="292"/>
      <c r="N38" s="292"/>
      <c r="O38" s="292"/>
      <c r="P38" s="292"/>
      <c r="Q38" s="292"/>
      <c r="R38" s="292"/>
      <c r="S38" s="293">
        <f t="shared" si="1"/>
        <v>7</v>
      </c>
    </row>
    <row r="39" spans="2:19" hidden="1" x14ac:dyDescent="0.2">
      <c r="B39" s="291">
        <v>2</v>
      </c>
      <c r="C39" s="292">
        <v>1794</v>
      </c>
      <c r="D39" s="292">
        <v>1861</v>
      </c>
      <c r="E39" s="292">
        <v>1925</v>
      </c>
      <c r="F39" s="292">
        <v>1997</v>
      </c>
      <c r="G39" s="292">
        <v>2045</v>
      </c>
      <c r="H39" s="292">
        <v>2101</v>
      </c>
      <c r="I39" s="292">
        <v>2169</v>
      </c>
      <c r="J39" s="292">
        <v>2232</v>
      </c>
      <c r="K39" s="292"/>
      <c r="L39" s="292"/>
      <c r="M39" s="292"/>
      <c r="N39" s="292"/>
      <c r="O39" s="292"/>
      <c r="P39" s="292"/>
      <c r="Q39" s="292"/>
      <c r="R39" s="292"/>
      <c r="S39" s="293">
        <f t="shared" si="1"/>
        <v>8</v>
      </c>
    </row>
    <row r="40" spans="2:19" hidden="1" x14ac:dyDescent="0.2">
      <c r="B40" s="291">
        <v>3</v>
      </c>
      <c r="C40" s="292">
        <v>1794</v>
      </c>
      <c r="D40" s="292">
        <v>1925</v>
      </c>
      <c r="E40" s="292">
        <v>1997</v>
      </c>
      <c r="F40" s="292">
        <v>2101</v>
      </c>
      <c r="G40" s="292">
        <v>2169</v>
      </c>
      <c r="H40" s="292">
        <v>2232</v>
      </c>
      <c r="I40" s="292">
        <v>2294</v>
      </c>
      <c r="J40" s="292">
        <v>2355</v>
      </c>
      <c r="K40" s="292">
        <v>2416</v>
      </c>
      <c r="L40" s="292"/>
      <c r="M40" s="292"/>
      <c r="N40" s="292"/>
      <c r="O40" s="292"/>
      <c r="P40" s="292"/>
      <c r="Q40" s="292"/>
      <c r="R40" s="292"/>
      <c r="S40" s="293">
        <f t="shared" si="1"/>
        <v>9</v>
      </c>
    </row>
    <row r="41" spans="2:19" hidden="1" x14ac:dyDescent="0.2">
      <c r="B41" s="291">
        <v>4</v>
      </c>
      <c r="C41" s="292">
        <v>1826</v>
      </c>
      <c r="D41" s="292">
        <v>1925</v>
      </c>
      <c r="E41" s="292">
        <v>1997</v>
      </c>
      <c r="F41" s="292">
        <v>2101</v>
      </c>
      <c r="G41" s="292">
        <v>2169</v>
      </c>
      <c r="H41" s="292">
        <v>2232</v>
      </c>
      <c r="I41" s="292">
        <v>2294</v>
      </c>
      <c r="J41" s="292">
        <v>2355</v>
      </c>
      <c r="K41" s="292">
        <v>2416</v>
      </c>
      <c r="L41" s="292">
        <v>2474</v>
      </c>
      <c r="M41" s="292">
        <v>2532</v>
      </c>
      <c r="N41" s="292"/>
      <c r="O41" s="292"/>
      <c r="P41" s="292"/>
      <c r="Q41" s="292"/>
      <c r="R41" s="292"/>
      <c r="S41" s="293">
        <f t="shared" si="1"/>
        <v>11</v>
      </c>
    </row>
    <row r="42" spans="2:19" hidden="1" x14ac:dyDescent="0.2">
      <c r="B42" s="291">
        <v>5</v>
      </c>
      <c r="C42" s="292">
        <v>1861</v>
      </c>
      <c r="D42" s="292">
        <v>1925</v>
      </c>
      <c r="E42" s="292">
        <v>1997</v>
      </c>
      <c r="F42" s="292">
        <v>2101</v>
      </c>
      <c r="G42" s="292">
        <v>2232</v>
      </c>
      <c r="H42" s="292">
        <v>2294</v>
      </c>
      <c r="I42" s="292">
        <v>2355</v>
      </c>
      <c r="J42" s="292">
        <v>2416</v>
      </c>
      <c r="K42" s="292">
        <v>2474</v>
      </c>
      <c r="L42" s="292">
        <v>2532</v>
      </c>
      <c r="M42" s="292">
        <v>2592</v>
      </c>
      <c r="N42" s="292">
        <v>2659</v>
      </c>
      <c r="O42" s="292"/>
      <c r="P42" s="292"/>
      <c r="Q42" s="292"/>
      <c r="R42" s="292"/>
      <c r="S42" s="293">
        <f t="shared" si="1"/>
        <v>12</v>
      </c>
    </row>
    <row r="43" spans="2:19" hidden="1" x14ac:dyDescent="0.2">
      <c r="B43" s="291">
        <v>6</v>
      </c>
      <c r="C43" s="292">
        <v>1925</v>
      </c>
      <c r="D43" s="292">
        <v>1997</v>
      </c>
      <c r="E43" s="292">
        <v>2232</v>
      </c>
      <c r="F43" s="292">
        <v>2355</v>
      </c>
      <c r="G43" s="292">
        <v>2416</v>
      </c>
      <c r="H43" s="292">
        <v>2474</v>
      </c>
      <c r="I43" s="292">
        <v>2532</v>
      </c>
      <c r="J43" s="292">
        <v>2592</v>
      </c>
      <c r="K43" s="292">
        <v>2659</v>
      </c>
      <c r="L43" s="292">
        <v>2724</v>
      </c>
      <c r="M43" s="292">
        <v>2785</v>
      </c>
      <c r="N43" s="292"/>
      <c r="O43" s="292"/>
      <c r="P43" s="292"/>
      <c r="Q43" s="292"/>
      <c r="R43" s="292"/>
      <c r="S43" s="293">
        <f t="shared" si="1"/>
        <v>11</v>
      </c>
    </row>
    <row r="44" spans="2:19" hidden="1" x14ac:dyDescent="0.2">
      <c r="B44" s="291">
        <v>7</v>
      </c>
      <c r="C44" s="292">
        <v>2045</v>
      </c>
      <c r="D44" s="292">
        <v>2101</v>
      </c>
      <c r="E44" s="292">
        <v>2232</v>
      </c>
      <c r="F44" s="292">
        <v>2474</v>
      </c>
      <c r="G44" s="292">
        <v>2592</v>
      </c>
      <c r="H44" s="292">
        <v>2659</v>
      </c>
      <c r="I44" s="292">
        <v>2724</v>
      </c>
      <c r="J44" s="292">
        <v>2785</v>
      </c>
      <c r="K44" s="292">
        <v>2851</v>
      </c>
      <c r="L44" s="292">
        <v>2920</v>
      </c>
      <c r="M44" s="292">
        <v>2988</v>
      </c>
      <c r="N44" s="292">
        <v>3068</v>
      </c>
      <c r="O44" s="292"/>
      <c r="P44" s="292"/>
      <c r="Q44" s="292"/>
      <c r="R44" s="292"/>
      <c r="S44" s="293">
        <f t="shared" si="1"/>
        <v>12</v>
      </c>
    </row>
    <row r="45" spans="2:19" hidden="1" x14ac:dyDescent="0.2">
      <c r="B45" s="291">
        <v>8</v>
      </c>
      <c r="C45" s="292">
        <v>2294</v>
      </c>
      <c r="D45" s="292">
        <v>2355</v>
      </c>
      <c r="E45" s="292">
        <v>2474</v>
      </c>
      <c r="F45" s="292">
        <v>2724</v>
      </c>
      <c r="G45" s="292">
        <v>2851</v>
      </c>
      <c r="H45" s="292">
        <v>2988</v>
      </c>
      <c r="I45" s="292">
        <v>3068</v>
      </c>
      <c r="J45" s="292">
        <v>3140</v>
      </c>
      <c r="K45" s="292">
        <v>3204</v>
      </c>
      <c r="L45" s="292">
        <v>3274</v>
      </c>
      <c r="M45" s="292">
        <v>3342</v>
      </c>
      <c r="N45" s="292">
        <v>3406</v>
      </c>
      <c r="O45" s="292">
        <v>3467</v>
      </c>
      <c r="P45" s="292"/>
      <c r="Q45" s="292"/>
      <c r="R45" s="292"/>
      <c r="S45" s="293">
        <f t="shared" si="1"/>
        <v>13</v>
      </c>
    </row>
    <row r="46" spans="2:19" hidden="1" x14ac:dyDescent="0.2">
      <c r="B46" s="291">
        <v>9</v>
      </c>
      <c r="C46" s="292">
        <v>2592</v>
      </c>
      <c r="D46" s="292">
        <v>2724</v>
      </c>
      <c r="E46" s="292">
        <v>2988</v>
      </c>
      <c r="F46" s="292">
        <v>3140</v>
      </c>
      <c r="G46" s="292">
        <v>3274</v>
      </c>
      <c r="H46" s="292">
        <v>3406</v>
      </c>
      <c r="I46" s="292">
        <v>3533</v>
      </c>
      <c r="J46" s="292">
        <v>3659</v>
      </c>
      <c r="K46" s="292">
        <v>3795</v>
      </c>
      <c r="L46" s="292">
        <v>3916</v>
      </c>
      <c r="M46" s="292"/>
      <c r="N46" s="292"/>
      <c r="O46" s="292"/>
      <c r="P46" s="292"/>
      <c r="Q46" s="292"/>
      <c r="R46" s="292"/>
      <c r="S46" s="293">
        <f t="shared" si="1"/>
        <v>10</v>
      </c>
    </row>
    <row r="47" spans="2:19" hidden="1" x14ac:dyDescent="0.2">
      <c r="B47" s="291">
        <v>10</v>
      </c>
      <c r="C47" s="292">
        <v>2592</v>
      </c>
      <c r="D47" s="292">
        <v>2851</v>
      </c>
      <c r="E47" s="292">
        <v>2988</v>
      </c>
      <c r="F47" s="292">
        <v>3140</v>
      </c>
      <c r="G47" s="292">
        <v>3274</v>
      </c>
      <c r="H47" s="292">
        <v>3406</v>
      </c>
      <c r="I47" s="292">
        <v>3533</v>
      </c>
      <c r="J47" s="292">
        <v>3659</v>
      </c>
      <c r="K47" s="292">
        <v>3795</v>
      </c>
      <c r="L47" s="292">
        <v>3916</v>
      </c>
      <c r="M47" s="292">
        <v>4041</v>
      </c>
      <c r="N47" s="292">
        <v>4162</v>
      </c>
      <c r="O47" s="292">
        <v>4301</v>
      </c>
      <c r="P47" s="292"/>
      <c r="Q47" s="292"/>
      <c r="R47" s="292"/>
      <c r="S47" s="293">
        <f t="shared" si="1"/>
        <v>13</v>
      </c>
    </row>
    <row r="48" spans="2:19" hidden="1" x14ac:dyDescent="0.2">
      <c r="B48" s="291">
        <v>11</v>
      </c>
      <c r="C48" s="292">
        <v>2724</v>
      </c>
      <c r="D48" s="292">
        <v>2851</v>
      </c>
      <c r="E48" s="292">
        <v>2992</v>
      </c>
      <c r="F48" s="292">
        <v>3142</v>
      </c>
      <c r="G48" s="292">
        <v>3283</v>
      </c>
      <c r="H48" s="292">
        <v>3425</v>
      </c>
      <c r="I48" s="292">
        <v>3568</v>
      </c>
      <c r="J48" s="292">
        <v>3795</v>
      </c>
      <c r="K48" s="292">
        <v>3947</v>
      </c>
      <c r="L48" s="292">
        <v>4099</v>
      </c>
      <c r="M48" s="292">
        <v>4251</v>
      </c>
      <c r="N48" s="292">
        <v>4404</v>
      </c>
      <c r="O48" s="292">
        <v>4556</v>
      </c>
      <c r="P48" s="292">
        <v>4708</v>
      </c>
      <c r="Q48" s="292">
        <v>4861</v>
      </c>
      <c r="R48" s="292">
        <v>5012</v>
      </c>
      <c r="S48" s="293">
        <f t="shared" si="1"/>
        <v>16</v>
      </c>
    </row>
    <row r="49" spans="2:19" hidden="1" x14ac:dyDescent="0.2">
      <c r="B49" s="291">
        <v>12</v>
      </c>
      <c r="C49" s="526">
        <v>3659</v>
      </c>
      <c r="D49" s="526">
        <v>3795</v>
      </c>
      <c r="E49" s="526">
        <v>3916</v>
      </c>
      <c r="F49" s="526">
        <v>4041</v>
      </c>
      <c r="G49" s="526">
        <v>4162</v>
      </c>
      <c r="H49" s="526">
        <v>4301</v>
      </c>
      <c r="I49" s="526">
        <v>4569</v>
      </c>
      <c r="J49" s="526">
        <v>4694</v>
      </c>
      <c r="K49" s="526">
        <v>4823</v>
      </c>
      <c r="L49" s="526">
        <v>4947</v>
      </c>
      <c r="M49" s="526">
        <v>5078</v>
      </c>
      <c r="N49" s="526">
        <v>5206</v>
      </c>
      <c r="O49" s="526">
        <v>5331</v>
      </c>
      <c r="P49" s="526">
        <v>5458</v>
      </c>
      <c r="Q49" s="526">
        <v>5617</v>
      </c>
      <c r="R49" s="526">
        <v>5699</v>
      </c>
      <c r="S49" s="293">
        <f t="shared" si="1"/>
        <v>16</v>
      </c>
    </row>
    <row r="50" spans="2:19" hidden="1" x14ac:dyDescent="0.2">
      <c r="B50" s="291">
        <v>13</v>
      </c>
      <c r="C50" s="292">
        <v>4435</v>
      </c>
      <c r="D50" s="292">
        <v>4569</v>
      </c>
      <c r="E50" s="292">
        <v>4694</v>
      </c>
      <c r="F50" s="292">
        <v>4823</v>
      </c>
      <c r="G50" s="292">
        <v>4947</v>
      </c>
      <c r="H50" s="292">
        <v>5206</v>
      </c>
      <c r="I50" s="292">
        <v>5331</v>
      </c>
      <c r="J50" s="292">
        <v>5458</v>
      </c>
      <c r="K50" s="292">
        <v>5618</v>
      </c>
      <c r="L50" s="292">
        <v>5779</v>
      </c>
      <c r="M50" s="292">
        <v>5939</v>
      </c>
      <c r="N50" s="292">
        <v>6100</v>
      </c>
      <c r="O50" s="292">
        <v>6178</v>
      </c>
      <c r="P50" s="292"/>
      <c r="Q50" s="292"/>
      <c r="R50" s="292"/>
      <c r="S50" s="293">
        <v>13</v>
      </c>
    </row>
    <row r="51" spans="2:19" hidden="1" x14ac:dyDescent="0.2">
      <c r="B51" s="291">
        <v>14</v>
      </c>
      <c r="C51" s="292">
        <v>5078</v>
      </c>
      <c r="D51" s="292">
        <v>5206</v>
      </c>
      <c r="E51" s="292">
        <v>5458</v>
      </c>
      <c r="F51" s="292">
        <v>5618</v>
      </c>
      <c r="G51" s="292">
        <v>5779</v>
      </c>
      <c r="H51" s="292">
        <v>5939</v>
      </c>
      <c r="I51" s="292">
        <v>6100</v>
      </c>
      <c r="J51" s="292">
        <v>6262</v>
      </c>
      <c r="K51" s="292">
        <v>6431</v>
      </c>
      <c r="L51" s="292">
        <v>6606</v>
      </c>
      <c r="M51" s="292">
        <v>6786</v>
      </c>
      <c r="N51" s="292"/>
      <c r="O51" s="292"/>
      <c r="P51" s="292"/>
      <c r="Q51" s="292"/>
      <c r="R51" s="292"/>
      <c r="S51" s="293">
        <v>11</v>
      </c>
    </row>
    <row r="52" spans="2:19" hidden="1" x14ac:dyDescent="0.2">
      <c r="B52" s="291">
        <v>15</v>
      </c>
      <c r="C52" s="292">
        <v>5331</v>
      </c>
      <c r="D52" s="292">
        <v>5458</v>
      </c>
      <c r="E52" s="292">
        <v>5618</v>
      </c>
      <c r="F52" s="292">
        <v>5939</v>
      </c>
      <c r="G52" s="292">
        <v>6100</v>
      </c>
      <c r="H52" s="292">
        <v>6262</v>
      </c>
      <c r="I52" s="292">
        <v>6431</v>
      </c>
      <c r="J52" s="292">
        <v>6606</v>
      </c>
      <c r="K52" s="292">
        <v>6786</v>
      </c>
      <c r="L52" s="292">
        <v>7001</v>
      </c>
      <c r="M52" s="292">
        <v>7223</v>
      </c>
      <c r="N52" s="292">
        <v>7451</v>
      </c>
      <c r="O52" s="292"/>
      <c r="P52" s="292"/>
      <c r="Q52" s="292"/>
      <c r="R52" s="292"/>
      <c r="S52" s="293">
        <v>12</v>
      </c>
    </row>
    <row r="53" spans="2:19" hidden="1" x14ac:dyDescent="0.2">
      <c r="B53" s="291">
        <v>16</v>
      </c>
      <c r="C53" s="292">
        <v>5779</v>
      </c>
      <c r="D53" s="292">
        <v>5939</v>
      </c>
      <c r="E53" s="292">
        <v>6100</v>
      </c>
      <c r="F53" s="292">
        <v>6431</v>
      </c>
      <c r="G53" s="292">
        <v>6606</v>
      </c>
      <c r="H53" s="292">
        <v>6786</v>
      </c>
      <c r="I53" s="292">
        <v>7001</v>
      </c>
      <c r="J53" s="292">
        <v>7223</v>
      </c>
      <c r="K53" s="292">
        <v>7451</v>
      </c>
      <c r="L53" s="292">
        <v>7690</v>
      </c>
      <c r="M53" s="292">
        <v>7932</v>
      </c>
      <c r="N53" s="292">
        <v>8185</v>
      </c>
      <c r="O53" s="292"/>
      <c r="P53" s="292"/>
      <c r="Q53" s="292"/>
      <c r="R53" s="292"/>
      <c r="S53" s="293">
        <v>12</v>
      </c>
    </row>
    <row r="54" spans="2:19" hidden="1" x14ac:dyDescent="0.2">
      <c r="B54" s="291">
        <v>17</v>
      </c>
      <c r="C54" s="292">
        <v>6262</v>
      </c>
      <c r="D54" s="292">
        <v>6431</v>
      </c>
      <c r="E54" s="292">
        <v>6606</v>
      </c>
      <c r="F54" s="292">
        <v>7001</v>
      </c>
      <c r="G54" s="292">
        <v>7223</v>
      </c>
      <c r="H54" s="292">
        <v>7451</v>
      </c>
      <c r="I54" s="292">
        <v>7690</v>
      </c>
      <c r="J54" s="292">
        <v>7932</v>
      </c>
      <c r="K54" s="292">
        <v>8185</v>
      </c>
      <c r="L54" s="292">
        <v>8446</v>
      </c>
      <c r="M54" s="292">
        <v>8714</v>
      </c>
      <c r="N54" s="292">
        <v>8990</v>
      </c>
      <c r="O54" s="292"/>
      <c r="P54" s="292"/>
      <c r="Q54" s="292"/>
      <c r="R54" s="292"/>
      <c r="S54" s="293">
        <v>12</v>
      </c>
    </row>
    <row r="55" spans="2:19" hidden="1" x14ac:dyDescent="0.2">
      <c r="B55" s="291" t="s">
        <v>9</v>
      </c>
      <c r="C55" s="292">
        <v>1708</v>
      </c>
      <c r="D55" s="292">
        <v>1732</v>
      </c>
      <c r="E55" s="292">
        <v>1756</v>
      </c>
      <c r="F55" s="292">
        <v>1826</v>
      </c>
      <c r="G55" s="292">
        <v>1894</v>
      </c>
      <c r="H55" s="292">
        <v>1926</v>
      </c>
      <c r="I55" s="292">
        <v>1961</v>
      </c>
      <c r="J55" s="292">
        <v>1997</v>
      </c>
      <c r="K55" s="292">
        <v>2046</v>
      </c>
      <c r="L55" s="292"/>
      <c r="M55" s="292"/>
      <c r="N55" s="292"/>
      <c r="O55" s="292"/>
      <c r="P55" s="292"/>
      <c r="Q55" s="292"/>
      <c r="R55" s="292"/>
      <c r="S55" s="293">
        <f t="shared" si="1"/>
        <v>9</v>
      </c>
    </row>
    <row r="56" spans="2:19" hidden="1" x14ac:dyDescent="0.2">
      <c r="B56" s="291" t="s">
        <v>10</v>
      </c>
      <c r="C56" s="292">
        <v>1794</v>
      </c>
      <c r="D56" s="292">
        <v>1861</v>
      </c>
      <c r="E56" s="292">
        <v>1926</v>
      </c>
      <c r="F56" s="292">
        <v>1997</v>
      </c>
      <c r="G56" s="292">
        <v>2046</v>
      </c>
      <c r="H56" s="292">
        <v>2101</v>
      </c>
      <c r="I56" s="292">
        <v>2169</v>
      </c>
      <c r="J56" s="292">
        <v>2232</v>
      </c>
      <c r="K56" s="292"/>
      <c r="L56" s="292"/>
      <c r="M56" s="292"/>
      <c r="N56" s="292"/>
      <c r="O56" s="292"/>
      <c r="P56" s="292"/>
      <c r="Q56" s="292"/>
      <c r="R56" s="292"/>
      <c r="S56" s="293">
        <f t="shared" si="1"/>
        <v>8</v>
      </c>
    </row>
    <row r="57" spans="2:19" hidden="1" x14ac:dyDescent="0.2">
      <c r="B57" s="291" t="s">
        <v>11</v>
      </c>
      <c r="C57" s="292">
        <v>1794</v>
      </c>
      <c r="D57" s="292">
        <v>1926</v>
      </c>
      <c r="E57" s="292">
        <v>1997</v>
      </c>
      <c r="F57" s="292">
        <v>2101</v>
      </c>
      <c r="G57" s="292">
        <v>2169</v>
      </c>
      <c r="H57" s="292">
        <v>2232</v>
      </c>
      <c r="I57" s="292">
        <v>2294</v>
      </c>
      <c r="J57" s="292">
        <v>2355</v>
      </c>
      <c r="K57" s="292">
        <v>2416</v>
      </c>
      <c r="L57" s="292"/>
      <c r="M57" s="292"/>
      <c r="N57" s="292"/>
      <c r="O57" s="292"/>
      <c r="P57" s="292"/>
      <c r="Q57" s="292"/>
      <c r="R57" s="292"/>
      <c r="S57" s="293">
        <f t="shared" si="1"/>
        <v>9</v>
      </c>
    </row>
    <row r="58" spans="2:19" hidden="1" x14ac:dyDescent="0.2">
      <c r="B58" s="291" t="s">
        <v>12</v>
      </c>
      <c r="C58" s="292">
        <v>1425</v>
      </c>
      <c r="D58" s="305"/>
      <c r="E58" s="305"/>
      <c r="F58" s="305"/>
      <c r="G58" s="305"/>
      <c r="H58" s="305"/>
      <c r="I58" s="305"/>
      <c r="J58" s="305"/>
      <c r="K58" s="305"/>
      <c r="L58" s="305"/>
      <c r="M58" s="305"/>
      <c r="N58" s="305"/>
      <c r="O58" s="305"/>
      <c r="P58" s="305"/>
      <c r="Q58" s="305"/>
      <c r="R58" s="305"/>
      <c r="S58" s="293">
        <f t="shared" si="1"/>
        <v>1</v>
      </c>
    </row>
    <row r="59" spans="2:19" hidden="1" x14ac:dyDescent="0.2"/>
    <row r="60" spans="2:19" hidden="1" x14ac:dyDescent="0.2">
      <c r="B60" s="527" t="s">
        <v>401</v>
      </c>
      <c r="G60" s="528" t="s">
        <v>402</v>
      </c>
    </row>
    <row r="61" spans="2:19" ht="25.5" hidden="1" x14ac:dyDescent="0.2">
      <c r="B61" s="306" t="s">
        <v>403</v>
      </c>
      <c r="C61" s="529" t="s">
        <v>404</v>
      </c>
      <c r="D61" s="529" t="s">
        <v>405</v>
      </c>
      <c r="E61" s="297" t="s">
        <v>403</v>
      </c>
      <c r="G61" s="528" t="s">
        <v>403</v>
      </c>
      <c r="H61" s="528" t="s">
        <v>406</v>
      </c>
      <c r="L61" s="306" t="s">
        <v>403</v>
      </c>
      <c r="M61" s="529" t="s">
        <v>404</v>
      </c>
      <c r="N61" s="529" t="s">
        <v>405</v>
      </c>
      <c r="O61" s="297" t="s">
        <v>403</v>
      </c>
    </row>
    <row r="62" spans="2:19" hidden="1" x14ac:dyDescent="0.2">
      <c r="D62" s="297">
        <v>2851</v>
      </c>
      <c r="E62" s="297">
        <v>1</v>
      </c>
      <c r="G62" s="297">
        <v>1</v>
      </c>
      <c r="H62" s="297">
        <v>2851</v>
      </c>
      <c r="L62" s="306"/>
      <c r="N62" s="297">
        <v>2851</v>
      </c>
      <c r="O62" s="297">
        <v>1</v>
      </c>
    </row>
    <row r="63" spans="2:19" hidden="1" x14ac:dyDescent="0.2">
      <c r="D63" s="297">
        <v>3019</v>
      </c>
      <c r="E63" s="297">
        <v>2</v>
      </c>
      <c r="G63" s="297">
        <v>2</v>
      </c>
      <c r="H63" s="297">
        <v>3019</v>
      </c>
      <c r="L63" s="306"/>
      <c r="N63" s="297">
        <v>3019</v>
      </c>
      <c r="O63" s="297">
        <v>2</v>
      </c>
    </row>
    <row r="64" spans="2:19" hidden="1" x14ac:dyDescent="0.2">
      <c r="D64" s="297">
        <v>3214</v>
      </c>
      <c r="E64" s="297">
        <v>3</v>
      </c>
      <c r="G64" s="297">
        <v>3</v>
      </c>
      <c r="H64" s="297">
        <v>3214</v>
      </c>
      <c r="L64" s="306"/>
      <c r="N64" s="297">
        <v>3214</v>
      </c>
      <c r="O64" s="297">
        <v>3</v>
      </c>
    </row>
    <row r="65" spans="2:18" hidden="1" x14ac:dyDescent="0.2">
      <c r="D65" s="297">
        <v>3410</v>
      </c>
      <c r="E65" s="297">
        <v>4</v>
      </c>
      <c r="G65" s="297">
        <v>4</v>
      </c>
      <c r="H65" s="297">
        <v>3410</v>
      </c>
      <c r="L65" s="306"/>
      <c r="N65" s="297">
        <v>3410</v>
      </c>
      <c r="O65" s="297">
        <v>4</v>
      </c>
    </row>
    <row r="66" spans="2:18" hidden="1" x14ac:dyDescent="0.2">
      <c r="D66" s="297">
        <v>3605</v>
      </c>
      <c r="E66" s="297">
        <v>5</v>
      </c>
      <c r="G66" s="297">
        <v>5</v>
      </c>
      <c r="H66" s="297">
        <v>3605</v>
      </c>
      <c r="L66" s="306"/>
      <c r="N66" s="297">
        <v>3605</v>
      </c>
      <c r="O66" s="297">
        <v>5</v>
      </c>
    </row>
    <row r="67" spans="2:18" hidden="1" x14ac:dyDescent="0.2">
      <c r="B67" s="306">
        <v>1</v>
      </c>
      <c r="C67" s="297">
        <v>3659</v>
      </c>
      <c r="D67" s="297">
        <v>3826</v>
      </c>
      <c r="E67" s="297">
        <v>6</v>
      </c>
      <c r="G67" s="297">
        <v>6</v>
      </c>
      <c r="H67" s="297">
        <v>3826</v>
      </c>
      <c r="L67" s="306">
        <v>1</v>
      </c>
      <c r="M67" s="297">
        <v>3659</v>
      </c>
      <c r="N67" s="297">
        <v>3826</v>
      </c>
      <c r="O67" s="297">
        <v>6</v>
      </c>
      <c r="P67" s="528" t="s">
        <v>197</v>
      </c>
      <c r="Q67" s="528"/>
      <c r="R67" s="528"/>
    </row>
    <row r="68" spans="2:18" hidden="1" x14ac:dyDescent="0.2">
      <c r="B68" s="306">
        <v>2</v>
      </c>
      <c r="C68" s="297">
        <v>3795</v>
      </c>
      <c r="D68" s="297">
        <v>3826</v>
      </c>
      <c r="E68" s="297">
        <v>6</v>
      </c>
      <c r="G68" s="297">
        <v>7</v>
      </c>
      <c r="H68" s="297">
        <v>4072</v>
      </c>
      <c r="L68" s="306">
        <v>2</v>
      </c>
      <c r="M68" s="297">
        <v>3795</v>
      </c>
      <c r="N68" s="297">
        <v>3826</v>
      </c>
      <c r="O68" s="297">
        <v>6</v>
      </c>
      <c r="P68" s="297">
        <v>4</v>
      </c>
    </row>
    <row r="69" spans="2:18" hidden="1" x14ac:dyDescent="0.2">
      <c r="B69" s="306">
        <v>3</v>
      </c>
      <c r="C69" s="297">
        <v>3916</v>
      </c>
      <c r="D69" s="297">
        <v>4072</v>
      </c>
      <c r="E69" s="297">
        <v>7</v>
      </c>
      <c r="G69" s="297">
        <v>8</v>
      </c>
      <c r="H69" s="297">
        <v>4346</v>
      </c>
      <c r="L69" s="306">
        <v>3</v>
      </c>
      <c r="M69" s="297">
        <v>3916</v>
      </c>
      <c r="N69" s="297">
        <v>4072</v>
      </c>
      <c r="O69" s="297">
        <v>7</v>
      </c>
      <c r="P69" s="297">
        <v>4</v>
      </c>
    </row>
    <row r="70" spans="2:18" hidden="1" x14ac:dyDescent="0.2">
      <c r="B70" s="306">
        <v>4</v>
      </c>
      <c r="C70" s="297">
        <v>4041</v>
      </c>
      <c r="D70" s="297">
        <v>4072</v>
      </c>
      <c r="E70" s="297">
        <v>7</v>
      </c>
      <c r="G70" s="297">
        <v>9</v>
      </c>
      <c r="H70" s="297">
        <v>4644</v>
      </c>
      <c r="L70" s="306">
        <v>4</v>
      </c>
      <c r="M70" s="297">
        <v>4041</v>
      </c>
      <c r="N70" s="297">
        <v>4072</v>
      </c>
      <c r="O70" s="297">
        <v>7</v>
      </c>
      <c r="P70" s="297">
        <v>3</v>
      </c>
    </row>
    <row r="71" spans="2:18" hidden="1" x14ac:dyDescent="0.2">
      <c r="B71" s="306">
        <v>5</v>
      </c>
      <c r="C71" s="297">
        <v>4162</v>
      </c>
      <c r="D71" s="297">
        <v>4346</v>
      </c>
      <c r="E71" s="297">
        <v>8</v>
      </c>
      <c r="G71" s="297">
        <v>10</v>
      </c>
      <c r="H71" s="297">
        <v>4970</v>
      </c>
      <c r="L71" s="306">
        <v>5</v>
      </c>
      <c r="M71" s="297">
        <v>4162</v>
      </c>
      <c r="N71" s="297">
        <v>4346</v>
      </c>
      <c r="O71" s="297">
        <v>8</v>
      </c>
      <c r="P71" s="297">
        <v>3</v>
      </c>
    </row>
    <row r="72" spans="2:18" hidden="1" x14ac:dyDescent="0.2">
      <c r="B72" s="306">
        <v>6</v>
      </c>
      <c r="C72" s="297">
        <v>4301</v>
      </c>
      <c r="D72" s="297">
        <v>4346</v>
      </c>
      <c r="E72" s="297">
        <v>8</v>
      </c>
      <c r="G72" s="297">
        <v>11</v>
      </c>
      <c r="H72" s="297">
        <v>5321</v>
      </c>
      <c r="L72" s="306">
        <v>6</v>
      </c>
      <c r="M72" s="297">
        <v>4301</v>
      </c>
      <c r="N72" s="297">
        <v>4346</v>
      </c>
      <c r="O72" s="297">
        <v>8</v>
      </c>
      <c r="P72" s="297">
        <v>2</v>
      </c>
    </row>
    <row r="73" spans="2:18" hidden="1" x14ac:dyDescent="0.2">
      <c r="B73" s="306">
        <v>7</v>
      </c>
      <c r="C73" s="297">
        <v>4569</v>
      </c>
      <c r="D73" s="297">
        <v>4644</v>
      </c>
      <c r="E73" s="297">
        <v>9</v>
      </c>
      <c r="G73" s="297">
        <v>12</v>
      </c>
      <c r="H73" s="297">
        <v>5699</v>
      </c>
      <c r="L73" s="306">
        <v>7</v>
      </c>
      <c r="M73" s="297">
        <v>4569</v>
      </c>
      <c r="N73" s="297">
        <v>4644</v>
      </c>
      <c r="O73" s="297">
        <v>9</v>
      </c>
      <c r="P73" s="297">
        <v>2</v>
      </c>
    </row>
    <row r="74" spans="2:18" hidden="1" x14ac:dyDescent="0.2">
      <c r="B74" s="306">
        <v>8</v>
      </c>
      <c r="C74" s="297">
        <v>4694</v>
      </c>
      <c r="D74" s="297">
        <v>4970</v>
      </c>
      <c r="E74" s="297">
        <v>10</v>
      </c>
      <c r="L74" s="306">
        <v>8</v>
      </c>
      <c r="M74" s="297">
        <v>4694</v>
      </c>
      <c r="N74" s="297">
        <v>4970</v>
      </c>
      <c r="O74" s="297">
        <v>10</v>
      </c>
      <c r="P74" s="297">
        <v>2</v>
      </c>
    </row>
    <row r="75" spans="2:18" hidden="1" x14ac:dyDescent="0.2">
      <c r="B75" s="306">
        <v>9</v>
      </c>
      <c r="C75" s="297">
        <v>4823</v>
      </c>
      <c r="D75" s="297">
        <v>4970</v>
      </c>
      <c r="E75" s="297">
        <v>10</v>
      </c>
      <c r="L75" s="306">
        <v>9</v>
      </c>
      <c r="M75" s="297">
        <v>4823</v>
      </c>
      <c r="N75" s="297">
        <v>4970</v>
      </c>
      <c r="O75" s="297">
        <v>10</v>
      </c>
      <c r="P75" s="297">
        <v>1</v>
      </c>
    </row>
    <row r="76" spans="2:18" hidden="1" x14ac:dyDescent="0.2">
      <c r="B76" s="306">
        <v>10</v>
      </c>
      <c r="C76" s="297">
        <v>4947</v>
      </c>
      <c r="D76" s="297">
        <v>4970</v>
      </c>
      <c r="E76" s="297">
        <v>10</v>
      </c>
      <c r="L76" s="306">
        <v>10</v>
      </c>
      <c r="M76" s="297">
        <v>4947</v>
      </c>
      <c r="N76" s="297">
        <v>4970</v>
      </c>
      <c r="O76" s="297">
        <v>10</v>
      </c>
      <c r="P76" s="297">
        <v>0</v>
      </c>
    </row>
    <row r="77" spans="2:18" hidden="1" x14ac:dyDescent="0.2">
      <c r="B77" s="306">
        <v>11</v>
      </c>
      <c r="C77" s="297">
        <v>5078</v>
      </c>
      <c r="D77" s="297">
        <v>5321</v>
      </c>
      <c r="E77" s="297">
        <v>11</v>
      </c>
      <c r="L77" s="306">
        <v>11</v>
      </c>
      <c r="M77" s="297">
        <v>5078</v>
      </c>
      <c r="N77" s="297">
        <v>5321</v>
      </c>
      <c r="O77" s="297">
        <v>11</v>
      </c>
      <c r="P77" s="297">
        <v>0</v>
      </c>
    </row>
    <row r="78" spans="2:18" hidden="1" x14ac:dyDescent="0.2">
      <c r="B78" s="306">
        <v>12</v>
      </c>
      <c r="C78" s="297">
        <v>5206</v>
      </c>
      <c r="D78" s="297">
        <v>5321</v>
      </c>
      <c r="E78" s="297">
        <v>11</v>
      </c>
      <c r="L78" s="306">
        <v>12</v>
      </c>
      <c r="M78" s="297">
        <v>5206</v>
      </c>
      <c r="N78" s="297">
        <v>5321</v>
      </c>
      <c r="O78" s="297">
        <v>11</v>
      </c>
      <c r="P78" s="297">
        <v>-1</v>
      </c>
    </row>
    <row r="79" spans="2:18" hidden="1" x14ac:dyDescent="0.2">
      <c r="B79" s="306">
        <v>13</v>
      </c>
      <c r="C79" s="297">
        <v>5331</v>
      </c>
      <c r="D79" s="297">
        <v>5699</v>
      </c>
      <c r="E79" s="297">
        <v>12</v>
      </c>
      <c r="L79" s="306">
        <v>13</v>
      </c>
      <c r="M79" s="297">
        <v>5331</v>
      </c>
      <c r="N79" s="297">
        <v>5699</v>
      </c>
      <c r="O79" s="297">
        <v>12</v>
      </c>
      <c r="P79" s="297">
        <v>-1</v>
      </c>
    </row>
    <row r="80" spans="2:18" hidden="1" x14ac:dyDescent="0.2">
      <c r="B80" s="306">
        <v>14</v>
      </c>
      <c r="C80" s="297">
        <v>5458</v>
      </c>
      <c r="D80" s="297">
        <v>5699</v>
      </c>
      <c r="E80" s="297">
        <v>12</v>
      </c>
      <c r="L80" s="306">
        <v>14</v>
      </c>
      <c r="M80" s="297">
        <v>5458</v>
      </c>
      <c r="N80" s="297">
        <v>5699</v>
      </c>
      <c r="O80" s="297">
        <v>12</v>
      </c>
      <c r="P80" s="297">
        <v>-2</v>
      </c>
    </row>
    <row r="81" spans="2:19" hidden="1" x14ac:dyDescent="0.2">
      <c r="B81" s="306">
        <v>15</v>
      </c>
      <c r="C81" s="297">
        <v>5618</v>
      </c>
      <c r="D81" s="297">
        <v>5699</v>
      </c>
      <c r="E81" s="297">
        <v>12</v>
      </c>
      <c r="L81" s="306">
        <v>15</v>
      </c>
      <c r="M81" s="297">
        <v>5618</v>
      </c>
      <c r="N81" s="297">
        <v>5699</v>
      </c>
      <c r="O81" s="297">
        <v>12</v>
      </c>
      <c r="P81" s="297">
        <v>-3</v>
      </c>
    </row>
    <row r="82" spans="2:19" hidden="1" x14ac:dyDescent="0.2">
      <c r="B82" s="306">
        <v>16</v>
      </c>
      <c r="C82" s="297">
        <v>5699</v>
      </c>
      <c r="D82" s="297">
        <v>5699</v>
      </c>
      <c r="E82" s="297">
        <v>12</v>
      </c>
      <c r="L82" s="306">
        <v>16</v>
      </c>
      <c r="M82" s="297">
        <v>5699</v>
      </c>
      <c r="N82" s="297">
        <v>5699</v>
      </c>
      <c r="O82" s="297">
        <v>12</v>
      </c>
      <c r="P82" s="297">
        <v>-4</v>
      </c>
    </row>
    <row r="83" spans="2:19" hidden="1" x14ac:dyDescent="0.2"/>
    <row r="84" spans="2:19" hidden="1" x14ac:dyDescent="0.2">
      <c r="B84" s="530" t="s">
        <v>407</v>
      </c>
    </row>
    <row r="86" spans="2:19" x14ac:dyDescent="0.2">
      <c r="B86" s="531" t="s">
        <v>2</v>
      </c>
      <c r="C86" s="532">
        <v>44044</v>
      </c>
      <c r="E86" s="533" t="s">
        <v>408</v>
      </c>
      <c r="G86" s="534" t="s">
        <v>400</v>
      </c>
    </row>
    <row r="87" spans="2:19" x14ac:dyDescent="0.2">
      <c r="B87" s="306" t="s">
        <v>3</v>
      </c>
      <c r="C87" s="297">
        <v>1</v>
      </c>
      <c r="D87" s="297">
        <v>2</v>
      </c>
      <c r="E87" s="297">
        <v>3</v>
      </c>
      <c r="F87" s="297">
        <v>4</v>
      </c>
      <c r="G87" s="297">
        <v>5</v>
      </c>
      <c r="H87" s="297">
        <v>6</v>
      </c>
      <c r="I87" s="297">
        <v>7</v>
      </c>
      <c r="J87" s="297">
        <v>8</v>
      </c>
      <c r="K87" s="297">
        <v>9</v>
      </c>
      <c r="L87" s="297">
        <v>10</v>
      </c>
      <c r="M87" s="297">
        <v>11</v>
      </c>
      <c r="N87" s="297">
        <v>12</v>
      </c>
      <c r="O87" s="297">
        <v>13</v>
      </c>
      <c r="P87" s="297">
        <v>14</v>
      </c>
      <c r="Q87" s="297">
        <v>15</v>
      </c>
      <c r="R87" s="297">
        <v>16</v>
      </c>
      <c r="S87" s="297" t="s">
        <v>4</v>
      </c>
    </row>
    <row r="88" spans="2:19" x14ac:dyDescent="0.2">
      <c r="B88" s="306" t="s">
        <v>5</v>
      </c>
      <c r="C88" s="297">
        <v>2822</v>
      </c>
      <c r="D88" s="297">
        <v>2891</v>
      </c>
      <c r="E88" s="297">
        <v>2978</v>
      </c>
      <c r="F88" s="297">
        <v>3065</v>
      </c>
      <c r="G88" s="297">
        <v>3153</v>
      </c>
      <c r="H88" s="297">
        <v>3261</v>
      </c>
      <c r="I88" s="297">
        <v>3388</v>
      </c>
      <c r="J88" s="297">
        <v>3532</v>
      </c>
      <c r="K88" s="297">
        <v>3696</v>
      </c>
      <c r="L88" s="297">
        <v>3877</v>
      </c>
      <c r="M88" s="297">
        <v>4078</v>
      </c>
      <c r="N88" s="297">
        <v>4301</v>
      </c>
      <c r="S88" s="297">
        <f>COUNTA(C88:R88)</f>
        <v>12</v>
      </c>
    </row>
    <row r="89" spans="2:19" x14ac:dyDescent="0.2">
      <c r="B89" s="306" t="s">
        <v>6</v>
      </c>
      <c r="C89" s="297">
        <v>2840</v>
      </c>
      <c r="D89" s="297">
        <v>2974</v>
      </c>
      <c r="E89" s="297">
        <v>3129</v>
      </c>
      <c r="F89" s="297">
        <v>3283</v>
      </c>
      <c r="G89" s="297">
        <v>3436</v>
      </c>
      <c r="H89" s="297">
        <v>3608</v>
      </c>
      <c r="I89" s="297">
        <v>3797</v>
      </c>
      <c r="J89" s="297">
        <v>4004</v>
      </c>
      <c r="K89" s="297">
        <v>4229</v>
      </c>
      <c r="L89" s="297">
        <v>4473</v>
      </c>
      <c r="M89" s="297">
        <v>4733</v>
      </c>
      <c r="N89" s="297">
        <v>5012</v>
      </c>
      <c r="S89" s="297">
        <f t="shared" ref="S89:S112" si="2">COUNTA(C89:R89)</f>
        <v>12</v>
      </c>
    </row>
    <row r="90" spans="2:19" x14ac:dyDescent="0.2">
      <c r="B90" s="306" t="s">
        <v>7</v>
      </c>
      <c r="C90" s="297">
        <v>2851</v>
      </c>
      <c r="D90" s="297">
        <v>3019</v>
      </c>
      <c r="E90" s="297">
        <v>3214</v>
      </c>
      <c r="F90" s="297">
        <v>3410</v>
      </c>
      <c r="G90" s="297">
        <v>3605</v>
      </c>
      <c r="H90" s="297">
        <v>3826</v>
      </c>
      <c r="I90" s="297">
        <v>4072</v>
      </c>
      <c r="J90" s="297">
        <v>4346</v>
      </c>
      <c r="K90" s="297">
        <v>4644</v>
      </c>
      <c r="L90" s="297">
        <v>4970</v>
      </c>
      <c r="M90" s="297">
        <v>5321</v>
      </c>
      <c r="N90" s="297">
        <v>5699</v>
      </c>
      <c r="S90" s="297">
        <f t="shared" si="2"/>
        <v>12</v>
      </c>
    </row>
    <row r="91" spans="2:19" x14ac:dyDescent="0.2">
      <c r="B91" s="306" t="s">
        <v>8</v>
      </c>
      <c r="C91" s="297">
        <v>3659</v>
      </c>
      <c r="D91" s="297">
        <v>3795</v>
      </c>
      <c r="E91" s="297">
        <v>3916</v>
      </c>
      <c r="F91" s="297">
        <v>4162</v>
      </c>
      <c r="G91" s="297">
        <v>4435</v>
      </c>
      <c r="H91" s="297">
        <v>4684</v>
      </c>
      <c r="I91" s="297">
        <v>4932</v>
      </c>
      <c r="J91" s="297">
        <v>5181</v>
      </c>
      <c r="K91" s="297">
        <v>5430</v>
      </c>
      <c r="L91" s="297">
        <v>5678</v>
      </c>
      <c r="M91" s="297">
        <v>5926</v>
      </c>
      <c r="N91" s="297">
        <v>6178</v>
      </c>
      <c r="S91" s="297">
        <f t="shared" si="2"/>
        <v>12</v>
      </c>
    </row>
    <row r="92" spans="2:19" x14ac:dyDescent="0.2">
      <c r="B92" s="306">
        <v>1</v>
      </c>
      <c r="C92" s="297">
        <v>1756</v>
      </c>
      <c r="D92" s="297">
        <v>1826</v>
      </c>
      <c r="E92" s="297">
        <v>1893</v>
      </c>
      <c r="F92" s="297">
        <v>1925</v>
      </c>
      <c r="G92" s="297">
        <v>1962</v>
      </c>
      <c r="H92" s="297">
        <v>1997</v>
      </c>
      <c r="I92" s="297">
        <v>2045</v>
      </c>
      <c r="S92" s="297">
        <f t="shared" si="2"/>
        <v>7</v>
      </c>
    </row>
    <row r="93" spans="2:19" x14ac:dyDescent="0.2">
      <c r="B93" s="306">
        <v>2</v>
      </c>
      <c r="C93" s="297">
        <v>1794</v>
      </c>
      <c r="D93" s="297">
        <v>1861</v>
      </c>
      <c r="E93" s="297">
        <v>1925</v>
      </c>
      <c r="F93" s="297">
        <v>1997</v>
      </c>
      <c r="G93" s="297">
        <v>2045</v>
      </c>
      <c r="H93" s="297">
        <v>2101</v>
      </c>
      <c r="I93" s="297">
        <v>2169</v>
      </c>
      <c r="J93" s="297">
        <v>2232</v>
      </c>
      <c r="S93" s="297">
        <f t="shared" si="2"/>
        <v>8</v>
      </c>
    </row>
    <row r="94" spans="2:19" x14ac:dyDescent="0.2">
      <c r="B94" s="306">
        <v>3</v>
      </c>
      <c r="C94" s="297">
        <v>1794</v>
      </c>
      <c r="D94" s="297">
        <v>1925</v>
      </c>
      <c r="E94" s="297">
        <v>1997</v>
      </c>
      <c r="F94" s="297">
        <v>2101</v>
      </c>
      <c r="G94" s="297">
        <v>2169</v>
      </c>
      <c r="H94" s="297">
        <v>2232</v>
      </c>
      <c r="I94" s="297">
        <v>2294</v>
      </c>
      <c r="J94" s="297">
        <v>2355</v>
      </c>
      <c r="K94" s="297">
        <v>2416</v>
      </c>
      <c r="S94" s="297">
        <f t="shared" si="2"/>
        <v>9</v>
      </c>
    </row>
    <row r="95" spans="2:19" x14ac:dyDescent="0.2">
      <c r="B95" s="306">
        <v>4</v>
      </c>
      <c r="C95" s="297">
        <v>1826</v>
      </c>
      <c r="D95" s="297">
        <v>1925</v>
      </c>
      <c r="E95" s="297">
        <v>1997</v>
      </c>
      <c r="F95" s="297">
        <v>2101</v>
      </c>
      <c r="G95" s="297">
        <v>2169</v>
      </c>
      <c r="H95" s="297">
        <v>2232</v>
      </c>
      <c r="I95" s="297">
        <v>2294</v>
      </c>
      <c r="J95" s="297">
        <v>2355</v>
      </c>
      <c r="K95" s="297">
        <v>2416</v>
      </c>
      <c r="L95" s="297">
        <v>2474</v>
      </c>
      <c r="M95" s="297">
        <v>2532</v>
      </c>
      <c r="S95" s="297">
        <f t="shared" si="2"/>
        <v>11</v>
      </c>
    </row>
    <row r="96" spans="2:19" x14ac:dyDescent="0.2">
      <c r="B96" s="306">
        <v>5</v>
      </c>
      <c r="C96" s="297">
        <v>1861</v>
      </c>
      <c r="D96" s="297">
        <v>1925</v>
      </c>
      <c r="E96" s="297">
        <v>1997</v>
      </c>
      <c r="F96" s="297">
        <v>2101</v>
      </c>
      <c r="G96" s="297">
        <v>2232</v>
      </c>
      <c r="H96" s="297">
        <v>2294</v>
      </c>
      <c r="I96" s="297">
        <v>2355</v>
      </c>
      <c r="J96" s="297">
        <v>2416</v>
      </c>
      <c r="K96" s="297">
        <v>2474</v>
      </c>
      <c r="L96" s="297">
        <v>2532</v>
      </c>
      <c r="M96" s="297">
        <v>2592</v>
      </c>
      <c r="N96" s="297">
        <v>2659</v>
      </c>
      <c r="S96" s="297">
        <f t="shared" si="2"/>
        <v>12</v>
      </c>
    </row>
    <row r="97" spans="2:19" x14ac:dyDescent="0.2">
      <c r="B97" s="306">
        <v>6</v>
      </c>
      <c r="C97" s="297">
        <v>1925</v>
      </c>
      <c r="D97" s="297">
        <v>1997</v>
      </c>
      <c r="E97" s="297">
        <v>2232</v>
      </c>
      <c r="F97" s="297">
        <v>2355</v>
      </c>
      <c r="G97" s="297">
        <v>2416</v>
      </c>
      <c r="H97" s="297">
        <v>2474</v>
      </c>
      <c r="I97" s="297">
        <v>2532</v>
      </c>
      <c r="J97" s="297">
        <v>2592</v>
      </c>
      <c r="K97" s="297">
        <v>2659</v>
      </c>
      <c r="L97" s="297">
        <v>2724</v>
      </c>
      <c r="M97" s="297">
        <v>2785</v>
      </c>
      <c r="S97" s="297">
        <f t="shared" si="2"/>
        <v>11</v>
      </c>
    </row>
    <row r="98" spans="2:19" x14ac:dyDescent="0.2">
      <c r="B98" s="306">
        <v>7</v>
      </c>
      <c r="C98" s="297">
        <v>2045</v>
      </c>
      <c r="D98" s="297">
        <v>2101</v>
      </c>
      <c r="E98" s="297">
        <v>2232</v>
      </c>
      <c r="F98" s="297">
        <v>2474</v>
      </c>
      <c r="G98" s="297">
        <v>2592</v>
      </c>
      <c r="H98" s="297">
        <v>2659</v>
      </c>
      <c r="I98" s="297">
        <v>2724</v>
      </c>
      <c r="J98" s="297">
        <v>2785</v>
      </c>
      <c r="K98" s="297">
        <v>2851</v>
      </c>
      <c r="L98" s="297">
        <v>2920</v>
      </c>
      <c r="M98" s="297">
        <v>2988</v>
      </c>
      <c r="N98" s="297">
        <v>3068</v>
      </c>
      <c r="S98" s="297">
        <f t="shared" si="2"/>
        <v>12</v>
      </c>
    </row>
    <row r="99" spans="2:19" x14ac:dyDescent="0.2">
      <c r="B99" s="306">
        <v>8</v>
      </c>
      <c r="C99" s="297">
        <v>2294</v>
      </c>
      <c r="D99" s="297">
        <v>2355</v>
      </c>
      <c r="E99" s="297">
        <v>2474</v>
      </c>
      <c r="F99" s="297">
        <v>2724</v>
      </c>
      <c r="G99" s="297">
        <v>2851</v>
      </c>
      <c r="H99" s="297">
        <v>2988</v>
      </c>
      <c r="I99" s="297">
        <v>3068</v>
      </c>
      <c r="J99" s="297">
        <v>3140</v>
      </c>
      <c r="K99" s="297">
        <v>3204</v>
      </c>
      <c r="L99" s="297">
        <v>3274</v>
      </c>
      <c r="M99" s="297">
        <v>3342</v>
      </c>
      <c r="N99" s="297">
        <v>3406</v>
      </c>
      <c r="O99" s="297">
        <v>3467</v>
      </c>
      <c r="S99" s="297">
        <f t="shared" si="2"/>
        <v>13</v>
      </c>
    </row>
    <row r="100" spans="2:19" x14ac:dyDescent="0.2">
      <c r="B100" s="306">
        <v>9</v>
      </c>
      <c r="C100" s="297">
        <v>2592</v>
      </c>
      <c r="D100" s="297">
        <v>2724</v>
      </c>
      <c r="E100" s="297">
        <v>2988</v>
      </c>
      <c r="F100" s="297">
        <v>3140</v>
      </c>
      <c r="G100" s="297">
        <v>3274</v>
      </c>
      <c r="H100" s="297">
        <v>3406</v>
      </c>
      <c r="I100" s="297">
        <v>3533</v>
      </c>
      <c r="J100" s="297">
        <v>3659</v>
      </c>
      <c r="K100" s="297">
        <v>3795</v>
      </c>
      <c r="L100" s="297">
        <v>3916</v>
      </c>
      <c r="S100" s="297">
        <f t="shared" si="2"/>
        <v>10</v>
      </c>
    </row>
    <row r="101" spans="2:19" x14ac:dyDescent="0.2">
      <c r="B101" s="306">
        <v>10</v>
      </c>
      <c r="C101" s="297">
        <v>2592</v>
      </c>
      <c r="D101" s="297">
        <v>2851</v>
      </c>
      <c r="E101" s="297">
        <v>2988</v>
      </c>
      <c r="F101" s="297">
        <v>3140</v>
      </c>
      <c r="G101" s="297">
        <v>3274</v>
      </c>
      <c r="H101" s="297">
        <v>3406</v>
      </c>
      <c r="I101" s="297">
        <v>3533</v>
      </c>
      <c r="J101" s="297">
        <v>3659</v>
      </c>
      <c r="K101" s="297">
        <v>3795</v>
      </c>
      <c r="L101" s="297">
        <v>3916</v>
      </c>
      <c r="M101" s="297">
        <v>4041</v>
      </c>
      <c r="N101" s="297">
        <v>4162</v>
      </c>
      <c r="O101" s="297">
        <v>4301</v>
      </c>
      <c r="S101" s="297">
        <f t="shared" si="2"/>
        <v>13</v>
      </c>
    </row>
    <row r="102" spans="2:19" x14ac:dyDescent="0.2">
      <c r="B102" s="306">
        <v>11</v>
      </c>
      <c r="C102" s="297">
        <v>2724</v>
      </c>
      <c r="D102" s="297">
        <v>2851</v>
      </c>
      <c r="E102" s="297">
        <v>2992</v>
      </c>
      <c r="F102" s="297">
        <v>3142</v>
      </c>
      <c r="G102" s="297">
        <v>3283</v>
      </c>
      <c r="H102" s="297">
        <v>3425</v>
      </c>
      <c r="I102" s="297">
        <v>3568</v>
      </c>
      <c r="J102" s="297">
        <v>3795</v>
      </c>
      <c r="K102" s="297">
        <v>3947</v>
      </c>
      <c r="L102" s="297">
        <v>4099</v>
      </c>
      <c r="M102" s="297">
        <v>4251</v>
      </c>
      <c r="N102" s="297">
        <v>4404</v>
      </c>
      <c r="O102" s="297">
        <v>4556</v>
      </c>
      <c r="P102" s="297">
        <v>4708</v>
      </c>
      <c r="Q102" s="297">
        <v>4861</v>
      </c>
      <c r="R102" s="297">
        <v>5012</v>
      </c>
      <c r="S102" s="297">
        <f t="shared" si="2"/>
        <v>16</v>
      </c>
    </row>
    <row r="103" spans="2:19" x14ac:dyDescent="0.2">
      <c r="B103" s="306">
        <v>12</v>
      </c>
      <c r="C103" s="297">
        <v>2851</v>
      </c>
      <c r="D103" s="297">
        <v>3019</v>
      </c>
      <c r="E103" s="297">
        <v>3214</v>
      </c>
      <c r="F103" s="297">
        <v>3410</v>
      </c>
      <c r="G103" s="297">
        <v>3605</v>
      </c>
      <c r="H103" s="297">
        <v>3826</v>
      </c>
      <c r="I103" s="297">
        <v>4072</v>
      </c>
      <c r="J103" s="297">
        <v>4346</v>
      </c>
      <c r="K103" s="297">
        <v>4644</v>
      </c>
      <c r="L103" s="297">
        <v>4970</v>
      </c>
      <c r="M103" s="297">
        <v>5321</v>
      </c>
      <c r="N103" s="297">
        <v>5699</v>
      </c>
      <c r="S103" s="297">
        <f t="shared" si="2"/>
        <v>12</v>
      </c>
    </row>
    <row r="104" spans="2:19" x14ac:dyDescent="0.2">
      <c r="B104" s="306">
        <v>13</v>
      </c>
      <c r="C104" s="297">
        <v>4435</v>
      </c>
      <c r="D104" s="297">
        <v>4569</v>
      </c>
      <c r="E104" s="297">
        <v>4694</v>
      </c>
      <c r="F104" s="297">
        <v>4823</v>
      </c>
      <c r="G104" s="297">
        <v>4947</v>
      </c>
      <c r="H104" s="297">
        <v>5206</v>
      </c>
      <c r="I104" s="297">
        <v>5331</v>
      </c>
      <c r="J104" s="297">
        <v>5458</v>
      </c>
      <c r="K104" s="297">
        <v>5618</v>
      </c>
      <c r="L104" s="297">
        <v>5779</v>
      </c>
      <c r="M104" s="297">
        <v>5939</v>
      </c>
      <c r="N104" s="297">
        <v>6100</v>
      </c>
      <c r="O104" s="297">
        <v>6178</v>
      </c>
      <c r="S104" s="297">
        <f t="shared" si="2"/>
        <v>13</v>
      </c>
    </row>
    <row r="105" spans="2:19" x14ac:dyDescent="0.2">
      <c r="B105" s="306">
        <v>14</v>
      </c>
      <c r="C105" s="297">
        <v>5078</v>
      </c>
      <c r="D105" s="297">
        <v>5206</v>
      </c>
      <c r="E105" s="297">
        <v>5458</v>
      </c>
      <c r="F105" s="297">
        <v>5618</v>
      </c>
      <c r="G105" s="297">
        <v>5779</v>
      </c>
      <c r="H105" s="297">
        <v>5939</v>
      </c>
      <c r="I105" s="297">
        <v>6100</v>
      </c>
      <c r="J105" s="297">
        <v>6262</v>
      </c>
      <c r="K105" s="297">
        <v>6431</v>
      </c>
      <c r="L105" s="297">
        <v>6606</v>
      </c>
      <c r="M105" s="297">
        <v>6786</v>
      </c>
      <c r="S105" s="297">
        <f t="shared" si="2"/>
        <v>11</v>
      </c>
    </row>
    <row r="106" spans="2:19" x14ac:dyDescent="0.2">
      <c r="B106" s="306">
        <v>15</v>
      </c>
      <c r="C106" s="297">
        <v>5331</v>
      </c>
      <c r="D106" s="297">
        <v>5458</v>
      </c>
      <c r="E106" s="297">
        <v>5618</v>
      </c>
      <c r="F106" s="297">
        <v>5939</v>
      </c>
      <c r="G106" s="297">
        <v>6100</v>
      </c>
      <c r="H106" s="297">
        <v>6262</v>
      </c>
      <c r="I106" s="297">
        <v>6431</v>
      </c>
      <c r="J106" s="297">
        <v>6606</v>
      </c>
      <c r="K106" s="297">
        <v>6786</v>
      </c>
      <c r="L106" s="297">
        <v>7001</v>
      </c>
      <c r="M106" s="297">
        <v>7223</v>
      </c>
      <c r="N106" s="297">
        <v>7451</v>
      </c>
      <c r="S106" s="297">
        <f t="shared" si="2"/>
        <v>12</v>
      </c>
    </row>
    <row r="107" spans="2:19" x14ac:dyDescent="0.2">
      <c r="B107" s="306">
        <v>16</v>
      </c>
      <c r="C107" s="297">
        <v>5779</v>
      </c>
      <c r="D107" s="297">
        <v>5939</v>
      </c>
      <c r="E107" s="297">
        <v>6100</v>
      </c>
      <c r="F107" s="297">
        <v>6431</v>
      </c>
      <c r="G107" s="297">
        <v>6606</v>
      </c>
      <c r="H107" s="297">
        <v>6786</v>
      </c>
      <c r="I107" s="297">
        <v>7001</v>
      </c>
      <c r="J107" s="297">
        <v>7223</v>
      </c>
      <c r="K107" s="297">
        <v>7451</v>
      </c>
      <c r="L107" s="297">
        <v>7690</v>
      </c>
      <c r="M107" s="297">
        <v>7932</v>
      </c>
      <c r="N107" s="297">
        <v>8185</v>
      </c>
      <c r="S107" s="297">
        <f t="shared" si="2"/>
        <v>12</v>
      </c>
    </row>
    <row r="108" spans="2:19" x14ac:dyDescent="0.2">
      <c r="B108" s="306">
        <v>17</v>
      </c>
      <c r="C108" s="297">
        <v>6262</v>
      </c>
      <c r="D108" s="297">
        <v>6431</v>
      </c>
      <c r="E108" s="297">
        <v>6606</v>
      </c>
      <c r="F108" s="297">
        <v>7001</v>
      </c>
      <c r="G108" s="297">
        <v>7223</v>
      </c>
      <c r="H108" s="297">
        <v>7451</v>
      </c>
      <c r="I108" s="297">
        <v>7690</v>
      </c>
      <c r="J108" s="297">
        <v>7932</v>
      </c>
      <c r="K108" s="297">
        <v>8185</v>
      </c>
      <c r="L108" s="297">
        <v>8446</v>
      </c>
      <c r="M108" s="297">
        <v>8714</v>
      </c>
      <c r="N108" s="297">
        <v>8990</v>
      </c>
      <c r="S108" s="297">
        <f t="shared" si="2"/>
        <v>12</v>
      </c>
    </row>
    <row r="109" spans="2:19" x14ac:dyDescent="0.2">
      <c r="B109" s="306" t="s">
        <v>9</v>
      </c>
      <c r="C109" s="297">
        <v>1727.86</v>
      </c>
      <c r="D109" s="297">
        <v>1741.93</v>
      </c>
      <c r="E109" s="297">
        <v>1756</v>
      </c>
      <c r="F109" s="297">
        <v>1826</v>
      </c>
      <c r="G109" s="297">
        <v>1894</v>
      </c>
      <c r="H109" s="297">
        <v>1926</v>
      </c>
      <c r="I109" s="297">
        <v>1961</v>
      </c>
      <c r="J109" s="297">
        <v>1997</v>
      </c>
      <c r="K109" s="297">
        <v>2046</v>
      </c>
      <c r="S109" s="297">
        <f t="shared" si="2"/>
        <v>9</v>
      </c>
    </row>
    <row r="110" spans="2:19" x14ac:dyDescent="0.2">
      <c r="B110" s="306" t="s">
        <v>10</v>
      </c>
      <c r="C110" s="297">
        <v>1794</v>
      </c>
      <c r="D110" s="297">
        <v>1861</v>
      </c>
      <c r="E110" s="297">
        <v>1926</v>
      </c>
      <c r="F110" s="297">
        <v>1997</v>
      </c>
      <c r="G110" s="297">
        <v>2046</v>
      </c>
      <c r="H110" s="297">
        <v>2101</v>
      </c>
      <c r="I110" s="297">
        <v>2169</v>
      </c>
      <c r="J110" s="297">
        <v>2232</v>
      </c>
      <c r="S110" s="297">
        <f t="shared" si="2"/>
        <v>8</v>
      </c>
    </row>
    <row r="111" spans="2:19" x14ac:dyDescent="0.2">
      <c r="B111" s="306" t="s">
        <v>11</v>
      </c>
      <c r="C111" s="297">
        <v>1794</v>
      </c>
      <c r="D111" s="297">
        <v>1926</v>
      </c>
      <c r="E111" s="297">
        <v>1997</v>
      </c>
      <c r="F111" s="297">
        <v>2101</v>
      </c>
      <c r="G111" s="297">
        <v>2169</v>
      </c>
      <c r="H111" s="297">
        <v>2232</v>
      </c>
      <c r="I111" s="297">
        <v>2294</v>
      </c>
      <c r="J111" s="297">
        <v>2355</v>
      </c>
      <c r="K111" s="297">
        <v>2416</v>
      </c>
      <c r="S111" s="297">
        <f t="shared" si="2"/>
        <v>9</v>
      </c>
    </row>
    <row r="112" spans="2:19" x14ac:dyDescent="0.2">
      <c r="B112" s="306" t="s">
        <v>12</v>
      </c>
      <c r="C112" s="297">
        <v>1425</v>
      </c>
      <c r="S112" s="297">
        <f t="shared" si="2"/>
        <v>1</v>
      </c>
    </row>
    <row r="114" spans="2:4" x14ac:dyDescent="0.2">
      <c r="B114" s="527" t="s">
        <v>421</v>
      </c>
      <c r="D114" s="297">
        <v>1701</v>
      </c>
    </row>
  </sheetData>
  <sheetProtection algorithmName="SHA-512" hashValue="qZXNZs445LQeU7sUd2t7viNz+E/vemMaDJwAS/u18F8v+7jSyxQEN1dNAp+zgavnVMoCQSxIeE2ogclAQsDd8Q==" saltValue="pAuGZCdWMkIYNyVk/MQ1x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13</vt:i4>
      </vt:variant>
    </vt:vector>
  </HeadingPairs>
  <TitlesOfParts>
    <vt:vector size="22" baseType="lpstr">
      <vt:lpstr>Toelichting</vt:lpstr>
      <vt:lpstr>wgl</vt:lpstr>
      <vt:lpstr>wgl tot</vt:lpstr>
      <vt:lpstr>Blad1</vt:lpstr>
      <vt:lpstr>Ouderschapsverlof</vt:lpstr>
      <vt:lpstr>Functiedifferentiatie</vt:lpstr>
      <vt:lpstr>Extra periodieken</vt:lpstr>
      <vt:lpstr>tabellen</vt:lpstr>
      <vt:lpstr>saltab</vt:lpstr>
      <vt:lpstr>Blad1!_ftnref1</vt:lpstr>
      <vt:lpstr>'Extra periodieken'!Afdrukbereik</vt:lpstr>
      <vt:lpstr>Functiedifferentiatie!Afdrukbereik</vt:lpstr>
      <vt:lpstr>Ouderschapsverlof!Afdrukbereik</vt:lpstr>
      <vt:lpstr>tabellen!Afdrukbereik</vt:lpstr>
      <vt:lpstr>Toelichting!Afdrukbereik</vt:lpstr>
      <vt:lpstr>wgl!Afdrukbereik</vt:lpstr>
      <vt:lpstr>'wgl tot'!Afdrukbereik</vt:lpstr>
      <vt:lpstr>bindingstoelage</vt:lpstr>
      <vt:lpstr>eindejaarsuitkering_OOP</vt:lpstr>
      <vt:lpstr>saltab2019okt</vt:lpstr>
      <vt:lpstr>saltab2020aug</vt:lpstr>
      <vt:lpstr>uitlooptoeslag</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2021-08-03T16:00:44Z</cp:lastPrinted>
  <dcterms:created xsi:type="dcterms:W3CDTF">2013-01-15T12:00:14Z</dcterms:created>
  <dcterms:modified xsi:type="dcterms:W3CDTF">2021-08-05T20:11:31Z</dcterms:modified>
</cp:coreProperties>
</file>